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N2495\Desktop\"/>
    </mc:Choice>
  </mc:AlternateContent>
  <xr:revisionPtr revIDLastSave="0" documentId="13_ncr:1_{D66C8EA4-D626-4FA9-A61D-5A545014164F}" xr6:coauthVersionLast="47" xr6:coauthVersionMax="47" xr10:uidLastSave="{00000000-0000-0000-0000-000000000000}"/>
  <bookViews>
    <workbookView xWindow="15" yWindow="15" windowWidth="38370" windowHeight="20850" tabRatio="599" activeTab="5" xr2:uid="{00000000-000D-0000-FFFF-FFFF00000000}"/>
  </bookViews>
  <sheets>
    <sheet name="SNKS" sheetId="3" r:id="rId1"/>
    <sheet name="Petoro" sheetId="7" r:id="rId2"/>
    <sheet name="Formue" sheetId="6" r:id="rId3"/>
    <sheet name="FAME Persistence2" sheetId="515" state="veryHidden" r:id="rId4"/>
    <sheet name="Charts" sheetId="23" r:id="rId5"/>
    <sheet name="KVARTS" sheetId="1" r:id="rId6"/>
    <sheet name="Skiftberegning" sheetId="5" r:id="rId7"/>
    <sheet name="Investments" sheetId="20" r:id="rId8"/>
    <sheet name="NGL-pris" sheetId="24" r:id="rId9"/>
    <sheet name="Ark1" sheetId="516" r:id="rId10"/>
  </sheets>
  <externalReferences>
    <externalReference r:id="rId11"/>
    <externalReference r:id="rId12"/>
  </externalReferences>
  <definedNames>
    <definedName name="DATAFILNAVN">'[1]L Basis sokkel'!$C$2</definedName>
    <definedName name="DATAARK2">'[1]A Innh'!$P$7</definedName>
    <definedName name="_xlnm.Print_Area" localSheetId="2">Formue!#REF!</definedName>
    <definedName name="_xlnm.Print_Area" localSheetId="5">KVARTS!$A$352:$O$362</definedName>
    <definedName name="_xlnm.Print_Area" localSheetId="1">Petoro!$A$24:$L$53</definedName>
    <definedName name="_xlnm.Print_Area" localSheetId="6">Skiftberegning!$A$61:$I$81</definedName>
    <definedName name="_xlnm.Print_Area" localSheetId="0">SNKS!$A$54:$BM$99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3" i="516" l="1"/>
  <c r="N83" i="516" s="1"/>
  <c r="N82" i="516"/>
  <c r="M82" i="516"/>
  <c r="L82" i="516"/>
  <c r="K82" i="516"/>
  <c r="J82" i="516"/>
  <c r="C82" i="516"/>
  <c r="I82" i="516" s="1"/>
  <c r="C81" i="516"/>
  <c r="J81" i="516" s="1"/>
  <c r="N80" i="516"/>
  <c r="M80" i="516"/>
  <c r="L80" i="516"/>
  <c r="C80" i="516"/>
  <c r="K80" i="516" s="1"/>
  <c r="L79" i="516"/>
  <c r="K79" i="516"/>
  <c r="J79" i="516"/>
  <c r="I79" i="516"/>
  <c r="C79" i="516"/>
  <c r="N79" i="516" s="1"/>
  <c r="N78" i="516"/>
  <c r="C78" i="516"/>
  <c r="M78" i="516" s="1"/>
  <c r="N77" i="516"/>
  <c r="M77" i="516"/>
  <c r="L77" i="516"/>
  <c r="K77" i="516"/>
  <c r="J77" i="516"/>
  <c r="I77" i="516"/>
  <c r="C77" i="516"/>
  <c r="C76" i="516"/>
  <c r="N76" i="516" s="1"/>
  <c r="N75" i="516"/>
  <c r="M75" i="516"/>
  <c r="L75" i="516"/>
  <c r="K75" i="516"/>
  <c r="C75" i="516"/>
  <c r="J75" i="516" s="1"/>
  <c r="C74" i="516"/>
  <c r="N74" i="516" s="1"/>
  <c r="N73" i="516"/>
  <c r="M73" i="516"/>
  <c r="I73" i="516"/>
  <c r="C73" i="516"/>
  <c r="L73" i="516" s="1"/>
  <c r="C72" i="516"/>
  <c r="L72" i="516" s="1"/>
  <c r="C71" i="516"/>
  <c r="N71" i="516" s="1"/>
  <c r="N70" i="516"/>
  <c r="M70" i="516"/>
  <c r="L70" i="516"/>
  <c r="K70" i="516"/>
  <c r="J70" i="516"/>
  <c r="C70" i="516"/>
  <c r="I70" i="516" s="1"/>
  <c r="C69" i="516"/>
  <c r="J69" i="516" s="1"/>
  <c r="N68" i="516"/>
  <c r="M68" i="516"/>
  <c r="L68" i="516"/>
  <c r="C68" i="516"/>
  <c r="K68" i="516" s="1"/>
  <c r="C67" i="516"/>
  <c r="J67" i="516" s="1"/>
  <c r="N66" i="516"/>
  <c r="C66" i="516"/>
  <c r="M66" i="516" s="1"/>
  <c r="N65" i="516"/>
  <c r="M65" i="516"/>
  <c r="L65" i="516"/>
  <c r="K65" i="516"/>
  <c r="J65" i="516"/>
  <c r="I65" i="516"/>
  <c r="C65" i="516"/>
  <c r="C64" i="516"/>
  <c r="N64" i="516" s="1"/>
  <c r="N63" i="516"/>
  <c r="M63" i="516"/>
  <c r="L63" i="516"/>
  <c r="K63" i="516"/>
  <c r="C63" i="516"/>
  <c r="J63" i="516" s="1"/>
  <c r="C62" i="516"/>
  <c r="J62" i="516" s="1"/>
  <c r="N61" i="516"/>
  <c r="M61" i="516"/>
  <c r="C61" i="516"/>
  <c r="L61" i="516" s="1"/>
  <c r="C60" i="516"/>
  <c r="L60" i="516" s="1"/>
  <c r="C59" i="516"/>
  <c r="N59" i="516" s="1"/>
  <c r="N58" i="516"/>
  <c r="M58" i="516"/>
  <c r="L58" i="516"/>
  <c r="K58" i="516"/>
  <c r="J58" i="516"/>
  <c r="E58" i="516"/>
  <c r="D58" i="516"/>
  <c r="I58" i="516" s="1"/>
  <c r="C58" i="516"/>
  <c r="BM95" i="7"/>
  <c r="BC99" i="3"/>
  <c r="BW74" i="6"/>
  <c r="C115" i="20"/>
  <c r="C126" i="20"/>
  <c r="D23" i="20"/>
  <c r="C131" i="20"/>
  <c r="C119" i="20"/>
  <c r="C114" i="20"/>
  <c r="D47" i="20"/>
  <c r="C110" i="20"/>
  <c r="C106" i="20"/>
  <c r="C127" i="20"/>
  <c r="C123" i="20"/>
  <c r="C111" i="20"/>
  <c r="C107" i="20"/>
  <c r="C109" i="20"/>
  <c r="C116" i="20"/>
  <c r="C128" i="20"/>
  <c r="C124" i="20"/>
  <c r="C112" i="20"/>
  <c r="C108" i="20"/>
  <c r="C113" i="20"/>
  <c r="C125" i="20"/>
  <c r="C218" i="1"/>
  <c r="C217" i="1"/>
  <c r="C230" i="1"/>
  <c r="C220" i="1"/>
  <c r="C227" i="1"/>
  <c r="C219" i="1"/>
  <c r="S21" i="3"/>
  <c r="S20" i="3"/>
  <c r="AD32" i="20"/>
  <c r="I72" i="516" l="1"/>
  <c r="I62" i="516"/>
  <c r="I69" i="516"/>
  <c r="J74" i="516"/>
  <c r="M60" i="516"/>
  <c r="N60" i="516"/>
  <c r="L62" i="516"/>
  <c r="J64" i="516"/>
  <c r="M67" i="516"/>
  <c r="K69" i="516"/>
  <c r="I71" i="516"/>
  <c r="N72" i="516"/>
  <c r="L74" i="516"/>
  <c r="J76" i="516"/>
  <c r="M79" i="516"/>
  <c r="K81" i="516"/>
  <c r="I83" i="516"/>
  <c r="L67" i="516"/>
  <c r="M62" i="516"/>
  <c r="K64" i="516"/>
  <c r="I66" i="516"/>
  <c r="N67" i="516"/>
  <c r="L69" i="516"/>
  <c r="J71" i="516"/>
  <c r="M74" i="516"/>
  <c r="K76" i="516"/>
  <c r="I78" i="516"/>
  <c r="L81" i="516"/>
  <c r="J83" i="516"/>
  <c r="I60" i="516"/>
  <c r="I74" i="516"/>
  <c r="I64" i="516"/>
  <c r="N62" i="516"/>
  <c r="J66" i="516"/>
  <c r="M69" i="516"/>
  <c r="L76" i="516"/>
  <c r="J78" i="516"/>
  <c r="M81" i="516"/>
  <c r="K83" i="516"/>
  <c r="I67" i="516"/>
  <c r="K60" i="516"/>
  <c r="K62" i="516"/>
  <c r="K74" i="516"/>
  <c r="I59" i="516"/>
  <c r="J59" i="516"/>
  <c r="K59" i="516"/>
  <c r="L64" i="516"/>
  <c r="L59" i="516"/>
  <c r="J61" i="516"/>
  <c r="M64" i="516"/>
  <c r="K66" i="516"/>
  <c r="I68" i="516"/>
  <c r="N69" i="516"/>
  <c r="L71" i="516"/>
  <c r="J73" i="516"/>
  <c r="M76" i="516"/>
  <c r="K78" i="516"/>
  <c r="I80" i="516"/>
  <c r="N81" i="516"/>
  <c r="L83" i="516"/>
  <c r="J60" i="516"/>
  <c r="K72" i="516"/>
  <c r="K67" i="516"/>
  <c r="M72" i="516"/>
  <c r="I76" i="516"/>
  <c r="M59" i="516"/>
  <c r="K61" i="516"/>
  <c r="I63" i="516"/>
  <c r="L66" i="516"/>
  <c r="J68" i="516"/>
  <c r="M71" i="516"/>
  <c r="K73" i="516"/>
  <c r="I75" i="516"/>
  <c r="L78" i="516"/>
  <c r="J80" i="516"/>
  <c r="M83" i="516"/>
  <c r="J72" i="516"/>
  <c r="I81" i="516"/>
  <c r="I61" i="516"/>
  <c r="K71" i="516"/>
  <c r="AJ39" i="7"/>
  <c r="AJ48" i="7" s="1"/>
  <c r="AJ40" i="7"/>
  <c r="AJ43" i="7"/>
  <c r="AJ50" i="7"/>
  <c r="AJ51" i="7"/>
  <c r="AJ55" i="7"/>
  <c r="AJ57" i="7" s="1"/>
  <c r="AJ56" i="7"/>
  <c r="AJ62" i="7"/>
  <c r="AJ63" i="7"/>
  <c r="AJ52" i="7" l="1"/>
  <c r="AD13" i="1"/>
  <c r="BN25" i="1" l="1"/>
  <c r="AD24" i="1"/>
  <c r="AG14" i="1" l="1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AE147" i="20"/>
  <c r="AE146" i="20"/>
  <c r="AE145" i="20"/>
  <c r="AE144" i="20"/>
  <c r="AE143" i="20"/>
  <c r="AE142" i="20"/>
  <c r="AE141" i="20"/>
  <c r="AE140" i="20"/>
  <c r="AE81" i="20" s="1"/>
  <c r="AE139" i="20"/>
  <c r="AE138" i="20"/>
  <c r="AE137" i="20"/>
  <c r="AE80" i="20" s="1"/>
  <c r="AE130" i="20"/>
  <c r="AE132" i="20" s="1"/>
  <c r="AE118" i="20"/>
  <c r="AE120" i="20" s="1"/>
  <c r="AE82" i="20"/>
  <c r="AE79" i="20"/>
  <c r="K20" i="3"/>
  <c r="L20" i="3"/>
  <c r="M20" i="3"/>
  <c r="N20" i="3"/>
  <c r="K21" i="3"/>
  <c r="L21" i="3"/>
  <c r="M21" i="3"/>
  <c r="N21" i="3"/>
  <c r="S26" i="3" l="1"/>
  <c r="S25" i="3"/>
  <c r="S71" i="3"/>
  <c r="S70" i="3"/>
  <c r="R70" i="3"/>
  <c r="S69" i="3"/>
  <c r="R69" i="3"/>
  <c r="S68" i="3"/>
  <c r="S67" i="3"/>
  <c r="R59" i="3"/>
  <c r="S58" i="3"/>
  <c r="R58" i="3"/>
  <c r="S57" i="3"/>
  <c r="R57" i="3"/>
  <c r="S56" i="3"/>
  <c r="R56" i="3"/>
  <c r="AB32" i="20" l="1"/>
  <c r="AO31" i="1" l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AC35" i="1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E51" i="7"/>
  <c r="AF51" i="7"/>
  <c r="AG51" i="7"/>
  <c r="AH51" i="7"/>
  <c r="AI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AD51" i="7"/>
  <c r="R21" i="3" l="1"/>
  <c r="R20" i="3"/>
  <c r="AI27" i="1" l="1"/>
  <c r="AF22" i="20" l="1"/>
  <c r="AE22" i="20"/>
  <c r="AC13" i="1"/>
  <c r="AC24" i="1" s="1"/>
  <c r="AC31" i="1" s="1"/>
  <c r="AH27" i="1"/>
  <c r="AD82" i="20" l="1"/>
  <c r="AD147" i="20"/>
  <c r="AD146" i="20"/>
  <c r="AD145" i="20"/>
  <c r="AD144" i="20"/>
  <c r="AD143" i="20"/>
  <c r="AD142" i="20"/>
  <c r="AD141" i="20"/>
  <c r="AD140" i="20"/>
  <c r="AD81" i="20" s="1"/>
  <c r="AD139" i="20"/>
  <c r="AD138" i="20"/>
  <c r="AD79" i="20" s="1"/>
  <c r="AD137" i="20"/>
  <c r="AD130" i="20"/>
  <c r="AD132" i="20" s="1"/>
  <c r="AD118" i="20"/>
  <c r="AD85" i="20" s="1"/>
  <c r="AE85" i="20" s="1"/>
  <c r="B65" i="1"/>
  <c r="B66" i="1" s="1"/>
  <c r="B67" i="1"/>
  <c r="B80" i="1"/>
  <c r="B81" i="1"/>
  <c r="B83" i="1" s="1"/>
  <c r="B82" i="1"/>
  <c r="AD80" i="20" l="1"/>
  <c r="AE154" i="20"/>
  <c r="B68" i="1"/>
  <c r="AD120" i="20"/>
  <c r="B43" i="6" l="1"/>
  <c r="C43" i="6"/>
  <c r="D43" i="6"/>
  <c r="E43" i="6"/>
  <c r="F43" i="6"/>
  <c r="G43" i="6"/>
  <c r="H43" i="6"/>
  <c r="Z82" i="20" l="1"/>
  <c r="AA82" i="20"/>
  <c r="AB82" i="20"/>
  <c r="AC82" i="20"/>
  <c r="R13" i="3"/>
  <c r="S13" i="3"/>
  <c r="R14" i="3"/>
  <c r="S14" i="3"/>
  <c r="R22" i="3"/>
  <c r="S22" i="3"/>
  <c r="S54" i="3" s="1"/>
  <c r="R23" i="3"/>
  <c r="S23" i="3"/>
  <c r="S55" i="3" s="1"/>
  <c r="R24" i="3"/>
  <c r="S24" i="3"/>
  <c r="S33" i="3" s="1"/>
  <c r="R25" i="3"/>
  <c r="R26" i="3"/>
  <c r="R27" i="3"/>
  <c r="S27" i="3"/>
  <c r="S59" i="3" s="1"/>
  <c r="R33" i="3"/>
  <c r="R37" i="3"/>
  <c r="R38" i="3"/>
  <c r="R39" i="3" s="1"/>
  <c r="S38" i="3" l="1"/>
  <c r="S15" i="3"/>
  <c r="R15" i="3"/>
  <c r="S37" i="3"/>
  <c r="S39" i="3" l="1"/>
  <c r="AD92" i="23"/>
  <c r="AD95" i="23" s="1"/>
  <c r="AE92" i="23"/>
  <c r="AE95" i="23" s="1"/>
  <c r="AF92" i="23"/>
  <c r="AF95" i="23" s="1"/>
  <c r="AG92" i="23"/>
  <c r="AG95" i="23" s="1"/>
  <c r="AH92" i="23"/>
  <c r="AH95" i="23" s="1"/>
  <c r="AI92" i="23"/>
  <c r="AI95" i="23" s="1"/>
  <c r="AJ92" i="23"/>
  <c r="AJ95" i="23" s="1"/>
  <c r="AK92" i="23"/>
  <c r="AK95" i="23" s="1"/>
  <c r="AL92" i="23"/>
  <c r="AM92" i="23"/>
  <c r="AM95" i="23" s="1"/>
  <c r="AL95" i="23"/>
  <c r="AD347" i="23"/>
  <c r="AE347" i="23"/>
  <c r="AF347" i="23"/>
  <c r="AG347" i="23"/>
  <c r="AH347" i="23"/>
  <c r="AI347" i="23"/>
  <c r="AJ347" i="23"/>
  <c r="AK347" i="23"/>
  <c r="AL347" i="23"/>
  <c r="AM347" i="23"/>
  <c r="AN347" i="23"/>
  <c r="AO347" i="23"/>
  <c r="AP347" i="23"/>
  <c r="AQ347" i="23"/>
  <c r="AQ352" i="23" s="1"/>
  <c r="AR347" i="23"/>
  <c r="AR352" i="23" s="1"/>
  <c r="AS347" i="23"/>
  <c r="AS352" i="23" s="1"/>
  <c r="AT347" i="23"/>
  <c r="AU347" i="23"/>
  <c r="AU352" i="23" s="1"/>
  <c r="AV347" i="23"/>
  <c r="AV352" i="23" s="1"/>
  <c r="AW347" i="23"/>
  <c r="AX347" i="23"/>
  <c r="AY347" i="23"/>
  <c r="AY352" i="23" s="1"/>
  <c r="AZ347" i="23"/>
  <c r="AZ352" i="23" s="1"/>
  <c r="BA347" i="23"/>
  <c r="BA352" i="23" s="1"/>
  <c r="BB347" i="23"/>
  <c r="BC347" i="23"/>
  <c r="BC352" i="23" s="1"/>
  <c r="BD347" i="23"/>
  <c r="BD352" i="23" s="1"/>
  <c r="BE347" i="23"/>
  <c r="BF347" i="23"/>
  <c r="BG347" i="23"/>
  <c r="BG352" i="23" s="1"/>
  <c r="BH347" i="23"/>
  <c r="BH352" i="23" s="1"/>
  <c r="BI347" i="23"/>
  <c r="BI352" i="23" s="1"/>
  <c r="BJ347" i="23"/>
  <c r="BK347" i="23"/>
  <c r="BK352" i="23" s="1"/>
  <c r="BL347" i="23"/>
  <c r="BL352" i="23" s="1"/>
  <c r="BM347" i="23"/>
  <c r="BN347" i="23"/>
  <c r="BO347" i="23"/>
  <c r="BO352" i="23" s="1"/>
  <c r="BP347" i="23"/>
  <c r="BP352" i="23" s="1"/>
  <c r="BQ347" i="23"/>
  <c r="BQ352" i="23" s="1"/>
  <c r="AD352" i="23"/>
  <c r="AE352" i="23"/>
  <c r="AF352" i="23"/>
  <c r="AG352" i="23"/>
  <c r="AH352" i="23"/>
  <c r="AI352" i="23"/>
  <c r="AJ352" i="23"/>
  <c r="AK352" i="23"/>
  <c r="AL352" i="23"/>
  <c r="AM352" i="23"/>
  <c r="AN352" i="23"/>
  <c r="AO352" i="23"/>
  <c r="AP352" i="23"/>
  <c r="AT352" i="23"/>
  <c r="AW352" i="23"/>
  <c r="AX352" i="23"/>
  <c r="BB352" i="23"/>
  <c r="BE352" i="23"/>
  <c r="BF352" i="23"/>
  <c r="BJ352" i="23"/>
  <c r="BM352" i="23"/>
  <c r="BN352" i="23"/>
  <c r="R72" i="3" l="1"/>
  <c r="R71" i="3"/>
  <c r="R68" i="3"/>
  <c r="R67" i="3"/>
  <c r="R55" i="3"/>
  <c r="R54" i="3"/>
  <c r="H134" i="23"/>
  <c r="H137" i="23"/>
  <c r="AZ8" i="5" l="1"/>
  <c r="BA8" i="5"/>
  <c r="BB8" i="5"/>
  <c r="BC8" i="5"/>
  <c r="BD8" i="5"/>
  <c r="BE8" i="5"/>
  <c r="BF8" i="5"/>
  <c r="BG8" i="5"/>
  <c r="BH8" i="5"/>
  <c r="BI8" i="5"/>
  <c r="AZ9" i="5"/>
  <c r="BA9" i="5"/>
  <c r="BB9" i="5"/>
  <c r="BC9" i="5"/>
  <c r="BD9" i="5"/>
  <c r="BE9" i="5"/>
  <c r="BF9" i="5"/>
  <c r="BF37" i="5" s="1"/>
  <c r="BG9" i="5"/>
  <c r="BH9" i="5"/>
  <c r="BI9" i="5"/>
  <c r="AZ10" i="5"/>
  <c r="BA10" i="5"/>
  <c r="BA38" i="5" s="1"/>
  <c r="BB10" i="5"/>
  <c r="BC10" i="5"/>
  <c r="BD10" i="5"/>
  <c r="BE10" i="5"/>
  <c r="BF10" i="5"/>
  <c r="BG10" i="5"/>
  <c r="BH10" i="5"/>
  <c r="BI10" i="5"/>
  <c r="BI38" i="5" s="1"/>
  <c r="AZ11" i="5"/>
  <c r="BA11" i="5"/>
  <c r="BB11" i="5"/>
  <c r="BB39" i="5" s="1"/>
  <c r="BC11" i="5"/>
  <c r="BD11" i="5"/>
  <c r="BE11" i="5"/>
  <c r="BF11" i="5"/>
  <c r="BG11" i="5"/>
  <c r="BH11" i="5"/>
  <c r="BI11" i="5"/>
  <c r="AZ15" i="5"/>
  <c r="BA15" i="5"/>
  <c r="BB15" i="5"/>
  <c r="BC15" i="5"/>
  <c r="BD15" i="5"/>
  <c r="BE15" i="5"/>
  <c r="BF15" i="5"/>
  <c r="BG15" i="5"/>
  <c r="BH15" i="5"/>
  <c r="BI15" i="5"/>
  <c r="AZ19" i="5"/>
  <c r="BA19" i="5"/>
  <c r="BB19" i="5"/>
  <c r="BC19" i="5"/>
  <c r="BD19" i="5"/>
  <c r="BE19" i="5"/>
  <c r="BF19" i="5"/>
  <c r="BG19" i="5"/>
  <c r="BH19" i="5"/>
  <c r="BI19" i="5"/>
  <c r="AZ20" i="5"/>
  <c r="BA20" i="5"/>
  <c r="BB20" i="5"/>
  <c r="BB38" i="5" s="1"/>
  <c r="BC20" i="5"/>
  <c r="BD20" i="5"/>
  <c r="BE20" i="5"/>
  <c r="BE38" i="5" s="1"/>
  <c r="BF20" i="5"/>
  <c r="BG20" i="5"/>
  <c r="BH20" i="5"/>
  <c r="BI20" i="5"/>
  <c r="AZ21" i="5"/>
  <c r="BA21" i="5"/>
  <c r="BB21" i="5"/>
  <c r="BC21" i="5"/>
  <c r="BD21" i="5"/>
  <c r="BE21" i="5"/>
  <c r="BF21" i="5"/>
  <c r="BG21" i="5"/>
  <c r="BG39" i="5" s="1"/>
  <c r="BH21" i="5"/>
  <c r="BI21" i="5"/>
  <c r="BB37" i="5"/>
  <c r="BC37" i="5"/>
  <c r="BD38" i="5"/>
  <c r="BF39" i="5"/>
  <c r="BE90" i="7"/>
  <c r="BD395" i="1" s="1"/>
  <c r="BF90" i="7"/>
  <c r="BE395" i="1" s="1"/>
  <c r="BG90" i="7"/>
  <c r="BH90" i="7"/>
  <c r="BI90" i="7"/>
  <c r="BH395" i="1" s="1"/>
  <c r="BJ90" i="7"/>
  <c r="BI395" i="1" s="1"/>
  <c r="BK90" i="7"/>
  <c r="BJ395" i="1" s="1"/>
  <c r="BL90" i="7"/>
  <c r="BK395" i="1" s="1"/>
  <c r="BM90" i="7"/>
  <c r="BL395" i="1" s="1"/>
  <c r="BN90" i="7"/>
  <c r="BM395" i="1" s="1"/>
  <c r="BD380" i="1"/>
  <c r="BE380" i="1"/>
  <c r="BF380" i="1"/>
  <c r="BG380" i="1"/>
  <c r="BH380" i="1"/>
  <c r="BI380" i="1"/>
  <c r="BJ380" i="1"/>
  <c r="BK380" i="1"/>
  <c r="BL380" i="1"/>
  <c r="BM380" i="1"/>
  <c r="BD384" i="1"/>
  <c r="BE384" i="1"/>
  <c r="BF384" i="1"/>
  <c r="BF398" i="1" s="1"/>
  <c r="BG384" i="1"/>
  <c r="BH384" i="1"/>
  <c r="BI384" i="1"/>
  <c r="BJ384" i="1"/>
  <c r="BK384" i="1"/>
  <c r="BL384" i="1"/>
  <c r="BM384" i="1"/>
  <c r="BD385" i="1"/>
  <c r="BE385" i="1"/>
  <c r="BF385" i="1"/>
  <c r="BG385" i="1"/>
  <c r="BH385" i="1"/>
  <c r="BI385" i="1"/>
  <c r="BJ385" i="1"/>
  <c r="BK385" i="1"/>
  <c r="BL385" i="1"/>
  <c r="BM385" i="1"/>
  <c r="BD386" i="1"/>
  <c r="BE386" i="1"/>
  <c r="BE400" i="1" s="1"/>
  <c r="BF386" i="1"/>
  <c r="BG386" i="1"/>
  <c r="BH386" i="1"/>
  <c r="BH400" i="1" s="1"/>
  <c r="BI386" i="1"/>
  <c r="BJ386" i="1"/>
  <c r="BK386" i="1"/>
  <c r="BL386" i="1"/>
  <c r="BM386" i="1"/>
  <c r="BD388" i="1"/>
  <c r="BE388" i="1"/>
  <c r="BF388" i="1"/>
  <c r="BG388" i="1"/>
  <c r="BH388" i="1"/>
  <c r="BI388" i="1"/>
  <c r="BJ388" i="1"/>
  <c r="BK388" i="1"/>
  <c r="BL388" i="1"/>
  <c r="BM388" i="1"/>
  <c r="BD392" i="1"/>
  <c r="BE392" i="1"/>
  <c r="BF392" i="1"/>
  <c r="BG392" i="1"/>
  <c r="BG398" i="1" s="1"/>
  <c r="BH392" i="1"/>
  <c r="BI392" i="1"/>
  <c r="BJ392" i="1"/>
  <c r="BK392" i="1"/>
  <c r="BK398" i="1" s="1"/>
  <c r="BL392" i="1"/>
  <c r="BM392" i="1"/>
  <c r="BD393" i="1"/>
  <c r="BE393" i="1"/>
  <c r="BF393" i="1"/>
  <c r="BG393" i="1"/>
  <c r="BH393" i="1"/>
  <c r="BI393" i="1"/>
  <c r="BJ393" i="1"/>
  <c r="BK393" i="1"/>
  <c r="BK399" i="1" s="1"/>
  <c r="BL393" i="1"/>
  <c r="BM393" i="1"/>
  <c r="BD394" i="1"/>
  <c r="BE394" i="1"/>
  <c r="BF394" i="1"/>
  <c r="BF400" i="1" s="1"/>
  <c r="BG394" i="1"/>
  <c r="BH394" i="1"/>
  <c r="BI394" i="1"/>
  <c r="BJ394" i="1"/>
  <c r="BK394" i="1"/>
  <c r="BK400" i="1" s="1"/>
  <c r="BL394" i="1"/>
  <c r="BM394" i="1"/>
  <c r="BF395" i="1"/>
  <c r="BG395" i="1"/>
  <c r="BD396" i="1"/>
  <c r="BE396" i="1"/>
  <c r="BF396" i="1"/>
  <c r="BH396" i="1"/>
  <c r="BI396" i="1"/>
  <c r="BJ396" i="1"/>
  <c r="BL396" i="1"/>
  <c r="BM396" i="1"/>
  <c r="BD420" i="1"/>
  <c r="BE420" i="1"/>
  <c r="BF420" i="1"/>
  <c r="BG420" i="1"/>
  <c r="BH420" i="1"/>
  <c r="BI420" i="1"/>
  <c r="BJ420" i="1"/>
  <c r="BK420" i="1"/>
  <c r="BL420" i="1"/>
  <c r="BM420" i="1"/>
  <c r="BD429" i="1"/>
  <c r="BE429" i="1"/>
  <c r="BE432" i="1" s="1"/>
  <c r="BF429" i="1"/>
  <c r="BG429" i="1"/>
  <c r="BH429" i="1"/>
  <c r="BI429" i="1"/>
  <c r="BI432" i="1" s="1"/>
  <c r="BJ429" i="1"/>
  <c r="BK429" i="1"/>
  <c r="BL429" i="1"/>
  <c r="BM429" i="1"/>
  <c r="BM432" i="1" s="1"/>
  <c r="BD430" i="1"/>
  <c r="BE430" i="1"/>
  <c r="BF430" i="1"/>
  <c r="BG430" i="1"/>
  <c r="BH430" i="1"/>
  <c r="BI430" i="1"/>
  <c r="BJ430" i="1"/>
  <c r="BK430" i="1"/>
  <c r="BL430" i="1"/>
  <c r="BM430" i="1"/>
  <c r="BD431" i="1"/>
  <c r="BE431" i="1"/>
  <c r="BF431" i="1"/>
  <c r="BG431" i="1"/>
  <c r="BH431" i="1"/>
  <c r="BI431" i="1"/>
  <c r="BJ431" i="1"/>
  <c r="BK431" i="1"/>
  <c r="BL431" i="1"/>
  <c r="BM431" i="1"/>
  <c r="BD432" i="1"/>
  <c r="BF432" i="1"/>
  <c r="BG432" i="1"/>
  <c r="BH432" i="1"/>
  <c r="BJ432" i="1"/>
  <c r="BK432" i="1"/>
  <c r="BL432" i="1"/>
  <c r="BD168" i="1"/>
  <c r="AZ12" i="5" s="1"/>
  <c r="BE168" i="1"/>
  <c r="BE174" i="1" s="1"/>
  <c r="BF168" i="1"/>
  <c r="BF424" i="1" s="1"/>
  <c r="BG168" i="1"/>
  <c r="BH168" i="1"/>
  <c r="BD12" i="5" s="1"/>
  <c r="BI168" i="1"/>
  <c r="BJ168" i="1"/>
  <c r="BJ424" i="1" s="1"/>
  <c r="BK168" i="1"/>
  <c r="BK424" i="1" s="1"/>
  <c r="BL168" i="1"/>
  <c r="BH12" i="5" s="1"/>
  <c r="BM168" i="1"/>
  <c r="BD169" i="1"/>
  <c r="BE169" i="1"/>
  <c r="BF169" i="1"/>
  <c r="BB13" i="5" s="1"/>
  <c r="BG169" i="1"/>
  <c r="BH169" i="1"/>
  <c r="BI169" i="1"/>
  <c r="BJ169" i="1"/>
  <c r="BF13" i="5" s="1"/>
  <c r="BK169" i="1"/>
  <c r="BL169" i="1"/>
  <c r="BM169" i="1"/>
  <c r="BM425" i="1" s="1"/>
  <c r="BD170" i="1"/>
  <c r="BD426" i="1" s="1"/>
  <c r="BE170" i="1"/>
  <c r="BA14" i="5" s="1"/>
  <c r="BF170" i="1"/>
  <c r="BF426" i="1" s="1"/>
  <c r="BG170" i="1"/>
  <c r="BC14" i="5" s="1"/>
  <c r="BH170" i="1"/>
  <c r="BH426" i="1" s="1"/>
  <c r="BI170" i="1"/>
  <c r="BE14" i="5" s="1"/>
  <c r="BJ170" i="1"/>
  <c r="BF14" i="5" s="1"/>
  <c r="BK170" i="1"/>
  <c r="BG14" i="5" s="1"/>
  <c r="BL170" i="1"/>
  <c r="BL426" i="1" s="1"/>
  <c r="BM170" i="1"/>
  <c r="BM426" i="1" s="1"/>
  <c r="BD143" i="1"/>
  <c r="BE143" i="1"/>
  <c r="BF143" i="1" s="1"/>
  <c r="BG143" i="1" s="1"/>
  <c r="BH143" i="1" s="1"/>
  <c r="BI143" i="1" s="1"/>
  <c r="BJ143" i="1" s="1"/>
  <c r="BK143" i="1" s="1"/>
  <c r="BL143" i="1" s="1"/>
  <c r="BM143" i="1" s="1"/>
  <c r="BD144" i="1"/>
  <c r="BE144" i="1"/>
  <c r="BF144" i="1"/>
  <c r="BG144" i="1"/>
  <c r="BH144" i="1" s="1"/>
  <c r="BI144" i="1" s="1"/>
  <c r="BJ144" i="1" s="1"/>
  <c r="BK144" i="1" s="1"/>
  <c r="BL144" i="1" s="1"/>
  <c r="BM144" i="1" s="1"/>
  <c r="BD106" i="1"/>
  <c r="BD408" i="1" s="1"/>
  <c r="BE106" i="1"/>
  <c r="BE408" i="1" s="1"/>
  <c r="BF106" i="1"/>
  <c r="BF408" i="1" s="1"/>
  <c r="BG106" i="1"/>
  <c r="BG408" i="1" s="1"/>
  <c r="BH106" i="1"/>
  <c r="BH408" i="1" s="1"/>
  <c r="BI106" i="1"/>
  <c r="BI408" i="1" s="1"/>
  <c r="BJ106" i="1"/>
  <c r="BJ408" i="1" s="1"/>
  <c r="BK106" i="1"/>
  <c r="BK408" i="1" s="1"/>
  <c r="BL106" i="1"/>
  <c r="BL408" i="1" s="1"/>
  <c r="BM106" i="1"/>
  <c r="BM408" i="1" s="1"/>
  <c r="BD110" i="1"/>
  <c r="BE110" i="1"/>
  <c r="BF110" i="1"/>
  <c r="BG110" i="1"/>
  <c r="BH110" i="1"/>
  <c r="BI110" i="1"/>
  <c r="BJ110" i="1"/>
  <c r="BK110" i="1"/>
  <c r="BL110" i="1"/>
  <c r="BM110" i="1"/>
  <c r="BD111" i="1"/>
  <c r="BE111" i="1"/>
  <c r="BF111" i="1"/>
  <c r="BG111" i="1"/>
  <c r="BH111" i="1"/>
  <c r="BI111" i="1"/>
  <c r="BJ111" i="1"/>
  <c r="BK111" i="1"/>
  <c r="BL111" i="1"/>
  <c r="BM111" i="1"/>
  <c r="BD100" i="1"/>
  <c r="BE100" i="1"/>
  <c r="BF100" i="1"/>
  <c r="BG100" i="1"/>
  <c r="BH100" i="1"/>
  <c r="BI100" i="1"/>
  <c r="BJ100" i="1"/>
  <c r="BK100" i="1"/>
  <c r="BL100" i="1"/>
  <c r="BM100" i="1"/>
  <c r="BD86" i="1"/>
  <c r="BE86" i="1"/>
  <c r="BF86" i="1"/>
  <c r="BG86" i="1"/>
  <c r="BH86" i="1"/>
  <c r="BI86" i="1"/>
  <c r="BJ86" i="1"/>
  <c r="BK86" i="1"/>
  <c r="BL86" i="1"/>
  <c r="BM86" i="1"/>
  <c r="BD87" i="1"/>
  <c r="BE87" i="1"/>
  <c r="BF87" i="1"/>
  <c r="BG87" i="1"/>
  <c r="BG93" i="1" s="1"/>
  <c r="BH87" i="1"/>
  <c r="BI87" i="1"/>
  <c r="BJ87" i="1"/>
  <c r="BJ89" i="1" s="1"/>
  <c r="BK87" i="1"/>
  <c r="BK93" i="1" s="1"/>
  <c r="BL87" i="1"/>
  <c r="BM87" i="1"/>
  <c r="BD88" i="1"/>
  <c r="BE88" i="1"/>
  <c r="BF88" i="1"/>
  <c r="BG88" i="1"/>
  <c r="BH88" i="1"/>
  <c r="BI88" i="1"/>
  <c r="BJ88" i="1"/>
  <c r="BK88" i="1"/>
  <c r="BL88" i="1"/>
  <c r="BM88" i="1"/>
  <c r="BD72" i="1"/>
  <c r="BE72" i="1"/>
  <c r="BF72" i="1"/>
  <c r="BG72" i="1"/>
  <c r="BH72" i="1"/>
  <c r="BI72" i="1"/>
  <c r="BJ72" i="1"/>
  <c r="BK72" i="1"/>
  <c r="BL72" i="1"/>
  <c r="BM72" i="1"/>
  <c r="BD73" i="1"/>
  <c r="BE73" i="1"/>
  <c r="BF73" i="1"/>
  <c r="BG73" i="1"/>
  <c r="BH73" i="1"/>
  <c r="BI73" i="1"/>
  <c r="BJ73" i="1"/>
  <c r="BK73" i="1"/>
  <c r="BL73" i="1"/>
  <c r="BM73" i="1"/>
  <c r="BD74" i="1"/>
  <c r="BE74" i="1"/>
  <c r="BF74" i="1"/>
  <c r="BG74" i="1"/>
  <c r="BH74" i="1"/>
  <c r="BI74" i="1"/>
  <c r="BJ74" i="1"/>
  <c r="BK74" i="1"/>
  <c r="BL74" i="1"/>
  <c r="BM74" i="1"/>
  <c r="BD65" i="1"/>
  <c r="BD389" i="1" s="1"/>
  <c r="BE65" i="1"/>
  <c r="BF65" i="1"/>
  <c r="BF68" i="1" s="1"/>
  <c r="BG65" i="1"/>
  <c r="BH65" i="1"/>
  <c r="BH66" i="1" s="1"/>
  <c r="BH387" i="1" s="1"/>
  <c r="BI65" i="1"/>
  <c r="BJ65" i="1"/>
  <c r="BJ389" i="1" s="1"/>
  <c r="BK65" i="1"/>
  <c r="BK66" i="1" s="1"/>
  <c r="BL65" i="1"/>
  <c r="BL68" i="1" s="1"/>
  <c r="BM65" i="1"/>
  <c r="BD67" i="1"/>
  <c r="BE67" i="1"/>
  <c r="BF67" i="1"/>
  <c r="BG67" i="1"/>
  <c r="BH67" i="1"/>
  <c r="BI67" i="1"/>
  <c r="BJ67" i="1"/>
  <c r="BK67" i="1"/>
  <c r="BL67" i="1"/>
  <c r="BM67" i="1"/>
  <c r="BD56" i="1"/>
  <c r="BE56" i="1"/>
  <c r="BF56" i="1"/>
  <c r="BG56" i="1"/>
  <c r="BH56" i="1"/>
  <c r="BI56" i="1"/>
  <c r="BJ56" i="1"/>
  <c r="BK56" i="1"/>
  <c r="BL56" i="1"/>
  <c r="BM56" i="1"/>
  <c r="BD35" i="1"/>
  <c r="BE35" i="1"/>
  <c r="BF35" i="1"/>
  <c r="BG35" i="1"/>
  <c r="BH35" i="1"/>
  <c r="BI35" i="1"/>
  <c r="BJ35" i="1"/>
  <c r="BK35" i="1"/>
  <c r="BL35" i="1"/>
  <c r="BM35" i="1"/>
  <c r="BC39" i="5" l="1"/>
  <c r="BG400" i="1"/>
  <c r="BG37" i="5"/>
  <c r="BD68" i="1"/>
  <c r="BI75" i="1"/>
  <c r="BE176" i="1"/>
  <c r="BF89" i="1"/>
  <c r="BM77" i="1"/>
  <c r="BI77" i="1"/>
  <c r="BE77" i="1"/>
  <c r="BK92" i="1"/>
  <c r="BG92" i="1"/>
  <c r="BL77" i="1"/>
  <c r="BG174" i="1"/>
  <c r="BL93" i="1"/>
  <c r="BH93" i="1"/>
  <c r="BJ398" i="1"/>
  <c r="BI39" i="5"/>
  <c r="BK396" i="1"/>
  <c r="BG396" i="1"/>
  <c r="BM112" i="1"/>
  <c r="BI112" i="1"/>
  <c r="BE112" i="1"/>
  <c r="BD112" i="1"/>
  <c r="BE115" i="1" s="1"/>
  <c r="BM94" i="1"/>
  <c r="BI94" i="1"/>
  <c r="BE94" i="1"/>
  <c r="BM176" i="1"/>
  <c r="BK175" i="1"/>
  <c r="BL174" i="1"/>
  <c r="BM174" i="1"/>
  <c r="BH424" i="1"/>
  <c r="BJ77" i="1"/>
  <c r="BF77" i="1"/>
  <c r="BA39" i="5"/>
  <c r="BM400" i="1"/>
  <c r="BI400" i="1"/>
  <c r="BH39" i="5"/>
  <c r="BD39" i="5"/>
  <c r="AZ39" i="5"/>
  <c r="BE39" i="5"/>
  <c r="BL400" i="1"/>
  <c r="BD400" i="1"/>
  <c r="BJ400" i="1"/>
  <c r="BG399" i="1"/>
  <c r="BG38" i="5"/>
  <c r="BC38" i="5"/>
  <c r="BJ399" i="1"/>
  <c r="BF399" i="1"/>
  <c r="BF38" i="5"/>
  <c r="BL399" i="1"/>
  <c r="BH399" i="1"/>
  <c r="BD399" i="1"/>
  <c r="BH38" i="5"/>
  <c r="AZ38" i="5"/>
  <c r="BM398" i="1"/>
  <c r="BE398" i="1"/>
  <c r="BI37" i="5"/>
  <c r="BA37" i="5"/>
  <c r="BL398" i="1"/>
  <c r="BH398" i="1"/>
  <c r="AZ37" i="5"/>
  <c r="BH401" i="1"/>
  <c r="BI398" i="1"/>
  <c r="BE37" i="5"/>
  <c r="BD398" i="1"/>
  <c r="BJ112" i="1"/>
  <c r="BF112" i="1"/>
  <c r="BF115" i="1" s="1"/>
  <c r="BL112" i="1"/>
  <c r="BM115" i="1" s="1"/>
  <c r="BH112" i="1"/>
  <c r="BI115" i="1" s="1"/>
  <c r="BK68" i="1"/>
  <c r="BK176" i="1"/>
  <c r="BI176" i="1"/>
  <c r="BI93" i="1"/>
  <c r="BF175" i="1"/>
  <c r="BI92" i="1"/>
  <c r="BM89" i="1"/>
  <c r="BL171" i="1"/>
  <c r="BH68" i="1"/>
  <c r="BL66" i="1"/>
  <c r="BL387" i="1" s="1"/>
  <c r="BL401" i="1" s="1"/>
  <c r="BD171" i="1"/>
  <c r="BL94" i="1"/>
  <c r="BH94" i="1"/>
  <c r="BB14" i="5"/>
  <c r="BD66" i="1"/>
  <c r="BD387" i="1" s="1"/>
  <c r="BD401" i="1" s="1"/>
  <c r="BJ94" i="1"/>
  <c r="BF94" i="1"/>
  <c r="BI14" i="5"/>
  <c r="BI425" i="1"/>
  <c r="BI13" i="5"/>
  <c r="BI175" i="1"/>
  <c r="BJ171" i="1"/>
  <c r="BE175" i="1"/>
  <c r="BE425" i="1"/>
  <c r="BE13" i="5"/>
  <c r="BJ175" i="1"/>
  <c r="BF171" i="1"/>
  <c r="BJ93" i="1"/>
  <c r="BF93" i="1"/>
  <c r="BG175" i="1"/>
  <c r="BA13" i="5"/>
  <c r="BJ68" i="1"/>
  <c r="BH77" i="1"/>
  <c r="BD424" i="1"/>
  <c r="BG12" i="5"/>
  <c r="BJ66" i="1"/>
  <c r="BJ387" i="1" s="1"/>
  <c r="BJ401" i="1" s="1"/>
  <c r="BH177" i="1"/>
  <c r="BF66" i="1"/>
  <c r="BF387" i="1" s="1"/>
  <c r="BF401" i="1" s="1"/>
  <c r="BK75" i="1"/>
  <c r="BG75" i="1"/>
  <c r="BL424" i="1"/>
  <c r="BH37" i="5"/>
  <c r="BF12" i="5"/>
  <c r="BK112" i="1"/>
  <c r="BG112" i="1"/>
  <c r="BG426" i="1"/>
  <c r="BH176" i="1"/>
  <c r="BJ176" i="1"/>
  <c r="BF176" i="1"/>
  <c r="BI426" i="1"/>
  <c r="BE426" i="1"/>
  <c r="BH14" i="5"/>
  <c r="BD14" i="5"/>
  <c r="AZ14" i="5"/>
  <c r="BK426" i="1"/>
  <c r="BG389" i="1"/>
  <c r="BJ75" i="1"/>
  <c r="BG94" i="1"/>
  <c r="BG177" i="1"/>
  <c r="BJ426" i="1"/>
  <c r="BF389" i="1"/>
  <c r="BK94" i="1"/>
  <c r="BG68" i="1"/>
  <c r="BG66" i="1"/>
  <c r="BG387" i="1" s="1"/>
  <c r="BG401" i="1" s="1"/>
  <c r="BL176" i="1"/>
  <c r="BG176" i="1"/>
  <c r="BK389" i="1"/>
  <c r="BM93" i="1"/>
  <c r="BM175" i="1"/>
  <c r="BL175" i="1"/>
  <c r="BH175" i="1"/>
  <c r="BM171" i="1"/>
  <c r="BL425" i="1"/>
  <c r="BH425" i="1"/>
  <c r="BD425" i="1"/>
  <c r="BH13" i="5"/>
  <c r="BD13" i="5"/>
  <c r="AZ13" i="5"/>
  <c r="BH171" i="1"/>
  <c r="BK425" i="1"/>
  <c r="BG425" i="1"/>
  <c r="BG13" i="5"/>
  <c r="BC13" i="5"/>
  <c r="BE93" i="1"/>
  <c r="BL89" i="1"/>
  <c r="BH89" i="1"/>
  <c r="BD89" i="1"/>
  <c r="BJ425" i="1"/>
  <c r="BF425" i="1"/>
  <c r="BF427" i="1" s="1"/>
  <c r="BM399" i="1"/>
  <c r="BI399" i="1"/>
  <c r="BE399" i="1"/>
  <c r="BG77" i="1"/>
  <c r="BK77" i="1"/>
  <c r="BD37" i="5"/>
  <c r="BM66" i="1"/>
  <c r="BM68" i="1"/>
  <c r="BM389" i="1"/>
  <c r="BI66" i="1"/>
  <c r="BI68" i="1"/>
  <c r="BI389" i="1"/>
  <c r="BE66" i="1"/>
  <c r="BE68" i="1"/>
  <c r="BE389" i="1"/>
  <c r="BF75" i="1"/>
  <c r="BM92" i="1"/>
  <c r="BK177" i="1"/>
  <c r="BK174" i="1"/>
  <c r="BL177" i="1"/>
  <c r="BG171" i="1"/>
  <c r="BC12" i="5"/>
  <c r="BL389" i="1"/>
  <c r="BL75" i="1"/>
  <c r="BH389" i="1"/>
  <c r="BH75" i="1"/>
  <c r="BM75" i="1"/>
  <c r="BE75" i="1"/>
  <c r="BI89" i="1"/>
  <c r="BJ92" i="1"/>
  <c r="BE92" i="1"/>
  <c r="BE89" i="1"/>
  <c r="BF92" i="1"/>
  <c r="BH174" i="1"/>
  <c r="BK171" i="1"/>
  <c r="BG424" i="1"/>
  <c r="BK387" i="1"/>
  <c r="BK401" i="1" s="1"/>
  <c r="BB12" i="5"/>
  <c r="BL92" i="1"/>
  <c r="BH92" i="1"/>
  <c r="BJ174" i="1"/>
  <c r="BF174" i="1"/>
  <c r="BI12" i="5"/>
  <c r="BE12" i="5"/>
  <c r="BA12" i="5"/>
  <c r="BI174" i="1"/>
  <c r="BM424" i="1"/>
  <c r="BM427" i="1" s="1"/>
  <c r="BI424" i="1"/>
  <c r="BE424" i="1"/>
  <c r="BJ177" i="1"/>
  <c r="BF177" i="1"/>
  <c r="BM177" i="1"/>
  <c r="BI177" i="1"/>
  <c r="BE177" i="1"/>
  <c r="BI171" i="1"/>
  <c r="BE171" i="1"/>
  <c r="BK89" i="1"/>
  <c r="BG89" i="1"/>
  <c r="BA56" i="6"/>
  <c r="BB56" i="6"/>
  <c r="BC56" i="6"/>
  <c r="BD56" i="6"/>
  <c r="BE56" i="6"/>
  <c r="BF56" i="6"/>
  <c r="BG56" i="6"/>
  <c r="BH56" i="6"/>
  <c r="BI56" i="6"/>
  <c r="BJ56" i="6"/>
  <c r="BB43" i="6"/>
  <c r="BC43" i="6"/>
  <c r="BD43" i="6"/>
  <c r="BE43" i="6"/>
  <c r="BF43" i="6"/>
  <c r="BG43" i="6"/>
  <c r="BH43" i="6"/>
  <c r="BI43" i="6"/>
  <c r="BJ43" i="6"/>
  <c r="BA43" i="6"/>
  <c r="BJ30" i="6"/>
  <c r="BJ31" i="6"/>
  <c r="BJ32" i="6"/>
  <c r="BK32" i="6" s="1"/>
  <c r="BL32" i="6" s="1"/>
  <c r="BM32" i="6" s="1"/>
  <c r="BN32" i="6" s="1"/>
  <c r="BO32" i="6" s="1"/>
  <c r="BP32" i="6" s="1"/>
  <c r="BQ32" i="6" s="1"/>
  <c r="BR32" i="6" s="1"/>
  <c r="BS32" i="6" s="1"/>
  <c r="BT32" i="6" s="1"/>
  <c r="BU32" i="6" s="1"/>
  <c r="BV32" i="6" s="1"/>
  <c r="BW32" i="6" s="1"/>
  <c r="BX32" i="6" s="1"/>
  <c r="BY32" i="6" s="1"/>
  <c r="BZ32" i="6" s="1"/>
  <c r="CA32" i="6" s="1"/>
  <c r="CB32" i="6" s="1"/>
  <c r="CC32" i="6" s="1"/>
  <c r="CD32" i="6" s="1"/>
  <c r="CE32" i="6" s="1"/>
  <c r="CF32" i="6" s="1"/>
  <c r="CG32" i="6" s="1"/>
  <c r="CH32" i="6" s="1"/>
  <c r="CI32" i="6" s="1"/>
  <c r="CJ32" i="6" s="1"/>
  <c r="CK32" i="6" s="1"/>
  <c r="CL32" i="6" s="1"/>
  <c r="CM32" i="6" s="1"/>
  <c r="CN32" i="6" s="1"/>
  <c r="BA30" i="6"/>
  <c r="AD176" i="23" s="1"/>
  <c r="AD179" i="23" s="1"/>
  <c r="BB30" i="6"/>
  <c r="BC30" i="6"/>
  <c r="AF176" i="23" s="1"/>
  <c r="AF179" i="23" s="1"/>
  <c r="BD30" i="6"/>
  <c r="AG176" i="23" s="1"/>
  <c r="AG179" i="23" s="1"/>
  <c r="BE30" i="6"/>
  <c r="AH176" i="23" s="1"/>
  <c r="AH179" i="23" s="1"/>
  <c r="BF30" i="6"/>
  <c r="BG30" i="6"/>
  <c r="AJ176" i="23" s="1"/>
  <c r="AJ179" i="23" s="1"/>
  <c r="BH30" i="6"/>
  <c r="AK176" i="23" s="1"/>
  <c r="AK179" i="23" s="1"/>
  <c r="BI30" i="6"/>
  <c r="AL176" i="23" s="1"/>
  <c r="AL179" i="23" s="1"/>
  <c r="BA31" i="6"/>
  <c r="AD222" i="23" s="1"/>
  <c r="AD225" i="23" s="1"/>
  <c r="BB31" i="6"/>
  <c r="AE222" i="23" s="1"/>
  <c r="AE225" i="23" s="1"/>
  <c r="BC31" i="6"/>
  <c r="BD31" i="6"/>
  <c r="AG222" i="23" s="1"/>
  <c r="AG225" i="23" s="1"/>
  <c r="BE31" i="6"/>
  <c r="AH222" i="23" s="1"/>
  <c r="AH225" i="23" s="1"/>
  <c r="BF31" i="6"/>
  <c r="AI222" i="23" s="1"/>
  <c r="AI225" i="23" s="1"/>
  <c r="BG31" i="6"/>
  <c r="BH31" i="6"/>
  <c r="AK222" i="23" s="1"/>
  <c r="AK225" i="23" s="1"/>
  <c r="BI31" i="6"/>
  <c r="AL222" i="23" s="1"/>
  <c r="AL225" i="23" s="1"/>
  <c r="BA32" i="6"/>
  <c r="BB32" i="6"/>
  <c r="BC32" i="6"/>
  <c r="BD32" i="6"/>
  <c r="BE32" i="6"/>
  <c r="BF32" i="6"/>
  <c r="BG32" i="6"/>
  <c r="BH32" i="6"/>
  <c r="BI32" i="6"/>
  <c r="BD6" i="7"/>
  <c r="BE6" i="7"/>
  <c r="BF6" i="7"/>
  <c r="BG6" i="7"/>
  <c r="BH6" i="7"/>
  <c r="BI6" i="7"/>
  <c r="BJ6" i="7"/>
  <c r="BK6" i="7"/>
  <c r="BL6" i="7"/>
  <c r="BM6" i="7"/>
  <c r="BN6" i="7"/>
  <c r="BD11" i="7"/>
  <c r="BE11" i="7"/>
  <c r="BF11" i="7"/>
  <c r="BG11" i="7"/>
  <c r="BH11" i="7"/>
  <c r="BI11" i="7"/>
  <c r="BJ11" i="7"/>
  <c r="BK11" i="7"/>
  <c r="BL11" i="7"/>
  <c r="BM11" i="7"/>
  <c r="BN11" i="7"/>
  <c r="AZ62" i="7"/>
  <c r="AZ63" i="7" s="1"/>
  <c r="BA62" i="7"/>
  <c r="BB62" i="7"/>
  <c r="BB63" i="7" s="1"/>
  <c r="BC62" i="7"/>
  <c r="BC63" i="7" s="1"/>
  <c r="BD62" i="7"/>
  <c r="BD63" i="7" s="1"/>
  <c r="BE62" i="7"/>
  <c r="BF62" i="7"/>
  <c r="BF63" i="7" s="1"/>
  <c r="BG62" i="7"/>
  <c r="BG63" i="7" s="1"/>
  <c r="BH62" i="7"/>
  <c r="BH63" i="7" s="1"/>
  <c r="BI62" i="7"/>
  <c r="BJ62" i="7"/>
  <c r="BJ63" i="7" s="1"/>
  <c r="BK62" i="7"/>
  <c r="BK63" i="7" s="1"/>
  <c r="BL62" i="7"/>
  <c r="BL63" i="7" s="1"/>
  <c r="BM62" i="7"/>
  <c r="BN62" i="7"/>
  <c r="BN63" i="7" s="1"/>
  <c r="BA63" i="7"/>
  <c r="BE63" i="7"/>
  <c r="BI63" i="7"/>
  <c r="BM63" i="7"/>
  <c r="AZ66" i="7"/>
  <c r="BA66" i="7"/>
  <c r="BA68" i="7" s="1"/>
  <c r="BB66" i="7"/>
  <c r="BC66" i="7"/>
  <c r="BD66" i="7"/>
  <c r="BE66" i="7"/>
  <c r="BE68" i="7" s="1"/>
  <c r="BF66" i="7"/>
  <c r="BG66" i="7"/>
  <c r="BH66" i="7"/>
  <c r="BI66" i="7"/>
  <c r="BI68" i="7" s="1"/>
  <c r="BJ66" i="7"/>
  <c r="BK66" i="7"/>
  <c r="BL66" i="7"/>
  <c r="BM66" i="7"/>
  <c r="BM68" i="7" s="1"/>
  <c r="BN66" i="7"/>
  <c r="AZ67" i="7"/>
  <c r="BA67" i="7"/>
  <c r="BB67" i="7"/>
  <c r="BB68" i="7" s="1"/>
  <c r="BC67" i="7"/>
  <c r="BD67" i="7"/>
  <c r="BE67" i="7"/>
  <c r="BF67" i="7"/>
  <c r="BG67" i="7"/>
  <c r="BH67" i="7"/>
  <c r="BI67" i="7"/>
  <c r="BJ67" i="7"/>
  <c r="BK67" i="7"/>
  <c r="BL67" i="7"/>
  <c r="BM67" i="7"/>
  <c r="BN67" i="7"/>
  <c r="BC68" i="7"/>
  <c r="AZ75" i="7"/>
  <c r="BA75" i="7"/>
  <c r="BA76" i="7" s="1"/>
  <c r="BB75" i="7"/>
  <c r="BB76" i="7" s="1"/>
  <c r="BC75" i="7"/>
  <c r="BD75" i="7"/>
  <c r="BE75" i="7"/>
  <c r="BE76" i="7" s="1"/>
  <c r="BF75" i="7"/>
  <c r="BF76" i="7" s="1"/>
  <c r="BG75" i="7"/>
  <c r="BH75" i="7"/>
  <c r="BH76" i="7" s="1"/>
  <c r="BI75" i="7"/>
  <c r="BI76" i="7" s="1"/>
  <c r="BJ75" i="7"/>
  <c r="BJ76" i="7" s="1"/>
  <c r="BK75" i="7"/>
  <c r="BL75" i="7"/>
  <c r="BM75" i="7"/>
  <c r="BM76" i="7" s="1"/>
  <c r="BN75" i="7"/>
  <c r="BN76" i="7" s="1"/>
  <c r="AZ76" i="7"/>
  <c r="BC76" i="7"/>
  <c r="BD76" i="7"/>
  <c r="BG76" i="7"/>
  <c r="BK76" i="7"/>
  <c r="BL76" i="7"/>
  <c r="BE39" i="7"/>
  <c r="BF39" i="7"/>
  <c r="BG39" i="7"/>
  <c r="BH39" i="7"/>
  <c r="BI39" i="7"/>
  <c r="BJ39" i="7"/>
  <c r="BK39" i="7"/>
  <c r="BL39" i="7"/>
  <c r="BM39" i="7"/>
  <c r="BN39" i="7"/>
  <c r="BE40" i="7"/>
  <c r="BF40" i="7"/>
  <c r="BG40" i="7"/>
  <c r="BH40" i="7"/>
  <c r="BI40" i="7"/>
  <c r="BJ40" i="7"/>
  <c r="BK40" i="7"/>
  <c r="BL40" i="7"/>
  <c r="BM40" i="7"/>
  <c r="BN40" i="7"/>
  <c r="BE43" i="7"/>
  <c r="BF43" i="7"/>
  <c r="BG43" i="7"/>
  <c r="BH43" i="7"/>
  <c r="BI43" i="7"/>
  <c r="BJ43" i="7"/>
  <c r="BK43" i="7"/>
  <c r="BL43" i="7"/>
  <c r="BM43" i="7"/>
  <c r="BN43" i="7"/>
  <c r="BE50" i="7"/>
  <c r="BE52" i="7" s="1"/>
  <c r="BF50" i="7"/>
  <c r="AU79" i="3" s="1"/>
  <c r="BG50" i="7"/>
  <c r="AV79" i="3" s="1"/>
  <c r="BH50" i="7"/>
  <c r="AW79" i="3" s="1"/>
  <c r="BI50" i="7"/>
  <c r="BI52" i="7" s="1"/>
  <c r="BJ50" i="7"/>
  <c r="AY79" i="3" s="1"/>
  <c r="BK50" i="7"/>
  <c r="BL50" i="7"/>
  <c r="BA79" i="3" s="1"/>
  <c r="BM50" i="7"/>
  <c r="BB79" i="3" s="1"/>
  <c r="BN50" i="7"/>
  <c r="AU80" i="3"/>
  <c r="AV80" i="3"/>
  <c r="AW80" i="3"/>
  <c r="AZ80" i="3"/>
  <c r="BA80" i="3"/>
  <c r="BM52" i="7"/>
  <c r="BE55" i="7"/>
  <c r="BF55" i="7"/>
  <c r="BG55" i="7"/>
  <c r="BG57" i="7" s="1"/>
  <c r="BH55" i="7"/>
  <c r="BI55" i="7"/>
  <c r="BJ55" i="7"/>
  <c r="BK55" i="7"/>
  <c r="BK57" i="7" s="1"/>
  <c r="BL55" i="7"/>
  <c r="BL57" i="7" s="1"/>
  <c r="BM55" i="7"/>
  <c r="BN55" i="7"/>
  <c r="BE56" i="7"/>
  <c r="BF56" i="7"/>
  <c r="BG56" i="7"/>
  <c r="BH56" i="7"/>
  <c r="BI56" i="7"/>
  <c r="BJ56" i="7"/>
  <c r="BK56" i="7"/>
  <c r="BL56" i="7"/>
  <c r="BM56" i="7"/>
  <c r="BN56" i="7"/>
  <c r="BE30" i="7"/>
  <c r="BF30" i="7"/>
  <c r="BG30" i="7"/>
  <c r="BH30" i="7"/>
  <c r="BI30" i="7"/>
  <c r="BJ30" i="7"/>
  <c r="BK30" i="7"/>
  <c r="BL30" i="7"/>
  <c r="BM30" i="7"/>
  <c r="BN30" i="7"/>
  <c r="BE19" i="7"/>
  <c r="BF19" i="7"/>
  <c r="BG19" i="7"/>
  <c r="BH19" i="7"/>
  <c r="BI19" i="7"/>
  <c r="BJ19" i="7"/>
  <c r="BK19" i="7"/>
  <c r="BL19" i="7"/>
  <c r="BM19" i="7"/>
  <c r="BN19" i="7"/>
  <c r="BC79" i="3"/>
  <c r="AT69" i="3"/>
  <c r="AU69" i="3"/>
  <c r="AV69" i="3"/>
  <c r="AW69" i="3"/>
  <c r="AX69" i="3"/>
  <c r="AY69" i="3"/>
  <c r="AZ69" i="3"/>
  <c r="BA69" i="3"/>
  <c r="BB69" i="3"/>
  <c r="BC69" i="3"/>
  <c r="AT56" i="3"/>
  <c r="AU56" i="3"/>
  <c r="AV56" i="3"/>
  <c r="AW56" i="3"/>
  <c r="AX56" i="3"/>
  <c r="AY56" i="3"/>
  <c r="AZ56" i="3"/>
  <c r="BA56" i="3"/>
  <c r="BB56" i="3"/>
  <c r="BC56" i="3"/>
  <c r="AT13" i="3"/>
  <c r="AU13" i="3"/>
  <c r="AV13" i="3"/>
  <c r="AW13" i="3"/>
  <c r="AX13" i="3"/>
  <c r="AY13" i="3"/>
  <c r="AZ13" i="3"/>
  <c r="BA13" i="3"/>
  <c r="BB13" i="3"/>
  <c r="BC13" i="3"/>
  <c r="AT14" i="3"/>
  <c r="AU14" i="3"/>
  <c r="AV14" i="3"/>
  <c r="AW14" i="3"/>
  <c r="AX14" i="3"/>
  <c r="AY14" i="3"/>
  <c r="AZ14" i="3"/>
  <c r="BA14" i="3"/>
  <c r="BB14" i="3"/>
  <c r="BC14" i="3"/>
  <c r="AT20" i="3"/>
  <c r="AT54" i="3" s="1"/>
  <c r="AU20" i="3"/>
  <c r="AV20" i="3"/>
  <c r="AV54" i="3" s="1"/>
  <c r="AW20" i="3"/>
  <c r="AW54" i="3" s="1"/>
  <c r="AX20" i="3"/>
  <c r="AX54" i="3" s="1"/>
  <c r="AY20" i="3"/>
  <c r="AZ20" i="3"/>
  <c r="AZ54" i="3" s="1"/>
  <c r="BA20" i="3"/>
  <c r="BA54" i="3" s="1"/>
  <c r="BB20" i="3"/>
  <c r="BB54" i="3" s="1"/>
  <c r="BC20" i="3"/>
  <c r="BC54" i="3" s="1"/>
  <c r="AT21" i="3"/>
  <c r="AU21" i="3"/>
  <c r="AV21" i="3"/>
  <c r="AW21" i="3"/>
  <c r="AX21" i="3"/>
  <c r="AY21" i="3"/>
  <c r="AZ21" i="3"/>
  <c r="BA21" i="3"/>
  <c r="BB21" i="3"/>
  <c r="BC21" i="3"/>
  <c r="AT22" i="3"/>
  <c r="AU22" i="3"/>
  <c r="AV22" i="3"/>
  <c r="AW22" i="3"/>
  <c r="AX22" i="3"/>
  <c r="AY22" i="3"/>
  <c r="AZ22" i="3"/>
  <c r="BA22" i="3"/>
  <c r="BB22" i="3"/>
  <c r="BC22" i="3"/>
  <c r="AT23" i="3"/>
  <c r="AU23" i="3"/>
  <c r="AV23" i="3"/>
  <c r="AW23" i="3"/>
  <c r="AX23" i="3"/>
  <c r="AY23" i="3"/>
  <c r="AZ23" i="3"/>
  <c r="BA23" i="3"/>
  <c r="BB23" i="3"/>
  <c r="BC23" i="3"/>
  <c r="AT24" i="3"/>
  <c r="AU24" i="3"/>
  <c r="AV33" i="3" s="1"/>
  <c r="AV24" i="3"/>
  <c r="AW24" i="3"/>
  <c r="AX24" i="3"/>
  <c r="AY24" i="3"/>
  <c r="AZ33" i="3" s="1"/>
  <c r="AZ24" i="3"/>
  <c r="BA24" i="3"/>
  <c r="BB24" i="3"/>
  <c r="BC24" i="3"/>
  <c r="AT25" i="3"/>
  <c r="AT34" i="3" s="1"/>
  <c r="AT70" i="3" s="1"/>
  <c r="AU25" i="3"/>
  <c r="AU57" i="3" s="1"/>
  <c r="AV25" i="3"/>
  <c r="AV57" i="3" s="1"/>
  <c r="AW25" i="3"/>
  <c r="AW57" i="3" s="1"/>
  <c r="AX25" i="3"/>
  <c r="AX34" i="3" s="1"/>
  <c r="AX70" i="3" s="1"/>
  <c r="AY25" i="3"/>
  <c r="AY57" i="3" s="1"/>
  <c r="AZ25" i="3"/>
  <c r="AZ57" i="3" s="1"/>
  <c r="BA25" i="3"/>
  <c r="BA57" i="3" s="1"/>
  <c r="BB25" i="3"/>
  <c r="BB34" i="3" s="1"/>
  <c r="BB70" i="3" s="1"/>
  <c r="BC25" i="3"/>
  <c r="BC57" i="3" s="1"/>
  <c r="AT26" i="3"/>
  <c r="AT58" i="3" s="1"/>
  <c r="AU26" i="3"/>
  <c r="AU35" i="3" s="1"/>
  <c r="AU71" i="3" s="1"/>
  <c r="AV26" i="3"/>
  <c r="AV58" i="3" s="1"/>
  <c r="AW26" i="3"/>
  <c r="AW58" i="3" s="1"/>
  <c r="AX26" i="3"/>
  <c r="AX58" i="3" s="1"/>
  <c r="AY26" i="3"/>
  <c r="AZ26" i="3"/>
  <c r="BA26" i="3"/>
  <c r="BA58" i="3" s="1"/>
  <c r="BB26" i="3"/>
  <c r="BB58" i="3" s="1"/>
  <c r="BC26" i="3"/>
  <c r="BC58" i="3" s="1"/>
  <c r="AT27" i="3"/>
  <c r="AT59" i="3" s="1"/>
  <c r="AU27" i="3"/>
  <c r="AU59" i="3" s="1"/>
  <c r="AV27" i="3"/>
  <c r="AV59" i="3" s="1"/>
  <c r="AW27" i="3"/>
  <c r="AX27" i="3"/>
  <c r="AX59" i="3" s="1"/>
  <c r="AY27" i="3"/>
  <c r="AY59" i="3" s="1"/>
  <c r="AZ27" i="3"/>
  <c r="AZ59" i="3" s="1"/>
  <c r="BA27" i="3"/>
  <c r="BB27" i="3"/>
  <c r="BC27" i="3"/>
  <c r="BC59" i="3" s="1"/>
  <c r="AT33" i="3"/>
  <c r="AU33" i="3"/>
  <c r="AW33" i="3"/>
  <c r="AX33" i="3"/>
  <c r="AY33" i="3"/>
  <c r="BA33" i="3"/>
  <c r="BB33" i="3"/>
  <c r="BC33" i="3"/>
  <c r="AV34" i="3"/>
  <c r="AV70" i="3" s="1"/>
  <c r="BD427" i="1" l="1"/>
  <c r="BN57" i="7"/>
  <c r="BJ57" i="7"/>
  <c r="BF57" i="7"/>
  <c r="AX79" i="3"/>
  <c r="AT79" i="3"/>
  <c r="AZ34" i="3"/>
  <c r="AZ70" i="3" s="1"/>
  <c r="BB15" i="3"/>
  <c r="AX15" i="3"/>
  <c r="AT15" i="3"/>
  <c r="AZ55" i="3"/>
  <c r="AZ60" i="3" s="1"/>
  <c r="BJ115" i="1"/>
  <c r="BI427" i="1"/>
  <c r="BM178" i="1"/>
  <c r="BM48" i="7"/>
  <c r="BM53" i="7" s="1"/>
  <c r="BL48" i="7"/>
  <c r="BH48" i="7"/>
  <c r="BL68" i="7"/>
  <c r="BH68" i="7"/>
  <c r="BD68" i="7"/>
  <c r="AZ68" i="7"/>
  <c r="BE48" i="7"/>
  <c r="BE53" i="7" s="1"/>
  <c r="BK48" i="7"/>
  <c r="BG48" i="7"/>
  <c r="BI48" i="7"/>
  <c r="BI53" i="7" s="1"/>
  <c r="BH57" i="7"/>
  <c r="BN48" i="7"/>
  <c r="BJ48" i="7"/>
  <c r="BF48" i="7"/>
  <c r="BK68" i="7"/>
  <c r="BG68" i="7"/>
  <c r="BA36" i="3"/>
  <c r="BA72" i="3" s="1"/>
  <c r="AY34" i="3"/>
  <c r="AY70" i="3" s="1"/>
  <c r="AV36" i="3"/>
  <c r="AV72" i="3" s="1"/>
  <c r="AU34" i="3"/>
  <c r="AU70" i="3" s="1"/>
  <c r="AV55" i="3"/>
  <c r="AV60" i="3" s="1"/>
  <c r="BB31" i="3"/>
  <c r="BB67" i="3" s="1"/>
  <c r="AX31" i="3"/>
  <c r="AX67" i="3" s="1"/>
  <c r="BG115" i="1"/>
  <c r="BM95" i="1"/>
  <c r="BH427" i="1"/>
  <c r="BL76" i="1"/>
  <c r="BC34" i="3"/>
  <c r="BC70" i="3" s="1"/>
  <c r="BB35" i="3"/>
  <c r="BB71" i="3" s="1"/>
  <c r="BC36" i="3"/>
  <c r="BC72" i="3" s="1"/>
  <c r="BA35" i="3"/>
  <c r="BA71" i="3" s="1"/>
  <c r="AX35" i="3"/>
  <c r="AX71" i="3" s="1"/>
  <c r="AZ36" i="3"/>
  <c r="AZ72" i="3" s="1"/>
  <c r="AW34" i="3"/>
  <c r="AW70" i="3" s="1"/>
  <c r="AZ31" i="3"/>
  <c r="AZ67" i="3" s="1"/>
  <c r="AV31" i="3"/>
  <c r="AV67" i="3" s="1"/>
  <c r="AW31" i="3"/>
  <c r="AW67" i="3" s="1"/>
  <c r="BL115" i="1"/>
  <c r="BK427" i="1"/>
  <c r="BG33" i="6"/>
  <c r="BC33" i="6"/>
  <c r="BL52" i="7"/>
  <c r="BA81" i="3" s="1"/>
  <c r="BK415" i="1" s="1"/>
  <c r="BK52" i="7"/>
  <c r="AZ81" i="3" s="1"/>
  <c r="BJ415" i="1" s="1"/>
  <c r="AZ79" i="3"/>
  <c r="BN52" i="7"/>
  <c r="BC81" i="3" s="1"/>
  <c r="BJ52" i="7"/>
  <c r="BF52" i="7"/>
  <c r="AU81" i="3" s="1"/>
  <c r="BG52" i="7"/>
  <c r="AV81" i="3" s="1"/>
  <c r="BF415" i="1" s="1"/>
  <c r="BM57" i="7"/>
  <c r="BI57" i="7"/>
  <c r="BE57" i="7"/>
  <c r="AV61" i="3"/>
  <c r="AZ15" i="3"/>
  <c r="BC61" i="3"/>
  <c r="BA34" i="3"/>
  <c r="BA70" i="3" s="1"/>
  <c r="AW35" i="3"/>
  <c r="AW71" i="3" s="1"/>
  <c r="BA15" i="3"/>
  <c r="AW15" i="3"/>
  <c r="BH115" i="1"/>
  <c r="BJ427" i="1"/>
  <c r="BG34" i="6"/>
  <c r="AJ260" i="23" s="1"/>
  <c r="AJ263" i="23" s="1"/>
  <c r="AJ222" i="23"/>
  <c r="AJ225" i="23" s="1"/>
  <c r="BC34" i="6"/>
  <c r="AF260" i="23" s="1"/>
  <c r="AF263" i="23" s="1"/>
  <c r="AF222" i="23"/>
  <c r="AF225" i="23" s="1"/>
  <c r="AM222" i="23"/>
  <c r="AM225" i="23" s="1"/>
  <c r="BK31" i="6"/>
  <c r="BL31" i="6" s="1"/>
  <c r="BM31" i="6" s="1"/>
  <c r="BN31" i="6" s="1"/>
  <c r="BO31" i="6" s="1"/>
  <c r="BP31" i="6" s="1"/>
  <c r="BQ31" i="6" s="1"/>
  <c r="BR31" i="6" s="1"/>
  <c r="BS31" i="6" s="1"/>
  <c r="BT31" i="6" s="1"/>
  <c r="BU31" i="6" s="1"/>
  <c r="BV31" i="6" s="1"/>
  <c r="BW31" i="6" s="1"/>
  <c r="BX31" i="6" s="1"/>
  <c r="BY31" i="6" s="1"/>
  <c r="BZ31" i="6" s="1"/>
  <c r="CA31" i="6" s="1"/>
  <c r="CB31" i="6" s="1"/>
  <c r="CC31" i="6" s="1"/>
  <c r="CD31" i="6" s="1"/>
  <c r="CE31" i="6" s="1"/>
  <c r="CF31" i="6" s="1"/>
  <c r="CG31" i="6" s="1"/>
  <c r="CH31" i="6" s="1"/>
  <c r="CI31" i="6" s="1"/>
  <c r="CJ31" i="6" s="1"/>
  <c r="CK31" i="6" s="1"/>
  <c r="CL31" i="6" s="1"/>
  <c r="CM31" i="6" s="1"/>
  <c r="CN31" i="6" s="1"/>
  <c r="BG76" i="1"/>
  <c r="BF34" i="6"/>
  <c r="AI260" i="23" s="1"/>
  <c r="AI263" i="23" s="1"/>
  <c r="BE427" i="1"/>
  <c r="BK178" i="1"/>
  <c r="BG178" i="1"/>
  <c r="BH76" i="1"/>
  <c r="BL427" i="1"/>
  <c r="BF33" i="6"/>
  <c r="AI176" i="23"/>
  <c r="AI179" i="23" s="1"/>
  <c r="BB33" i="6"/>
  <c r="AE176" i="23"/>
  <c r="AE179" i="23" s="1"/>
  <c r="BJ33" i="6"/>
  <c r="BK30" i="6"/>
  <c r="BL30" i="6" s="1"/>
  <c r="BM30" i="6" s="1"/>
  <c r="BN30" i="6" s="1"/>
  <c r="BO30" i="6" s="1"/>
  <c r="BP30" i="6" s="1"/>
  <c r="BQ30" i="6" s="1"/>
  <c r="BR30" i="6" s="1"/>
  <c r="BS30" i="6" s="1"/>
  <c r="BT30" i="6" s="1"/>
  <c r="BU30" i="6" s="1"/>
  <c r="BV30" i="6" s="1"/>
  <c r="BW30" i="6" s="1"/>
  <c r="BX30" i="6" s="1"/>
  <c r="BY30" i="6" s="1"/>
  <c r="BZ30" i="6" s="1"/>
  <c r="CA30" i="6" s="1"/>
  <c r="CB30" i="6" s="1"/>
  <c r="CC30" i="6" s="1"/>
  <c r="CD30" i="6" s="1"/>
  <c r="CE30" i="6" s="1"/>
  <c r="CF30" i="6" s="1"/>
  <c r="CG30" i="6" s="1"/>
  <c r="CH30" i="6" s="1"/>
  <c r="CI30" i="6" s="1"/>
  <c r="CJ30" i="6" s="1"/>
  <c r="CK30" i="6" s="1"/>
  <c r="CL30" i="6" s="1"/>
  <c r="CM30" i="6" s="1"/>
  <c r="CN30" i="6" s="1"/>
  <c r="AM176" i="23"/>
  <c r="AM179" i="23" s="1"/>
  <c r="BK76" i="1"/>
  <c r="BE33" i="6"/>
  <c r="AY80" i="3"/>
  <c r="BC80" i="3"/>
  <c r="BH52" i="7"/>
  <c r="AW81" i="3" s="1"/>
  <c r="AU36" i="3"/>
  <c r="AU72" i="3" s="1"/>
  <c r="BB36" i="3"/>
  <c r="BB72" i="3" s="1"/>
  <c r="AZ35" i="3"/>
  <c r="AZ71" i="3" s="1"/>
  <c r="AY36" i="3"/>
  <c r="AY72" i="3" s="1"/>
  <c r="AY35" i="3"/>
  <c r="AY71" i="3" s="1"/>
  <c r="AV15" i="3"/>
  <c r="BB59" i="3"/>
  <c r="AZ58" i="3"/>
  <c r="AZ61" i="3" s="1"/>
  <c r="BB57" i="3"/>
  <c r="AX57" i="3"/>
  <c r="AX61" i="3" s="1"/>
  <c r="AT57" i="3"/>
  <c r="AT61" i="3" s="1"/>
  <c r="AX36" i="3"/>
  <c r="AX72" i="3" s="1"/>
  <c r="AV35" i="3"/>
  <c r="AV71" i="3" s="1"/>
  <c r="AW36" i="3"/>
  <c r="AW72" i="3" s="1"/>
  <c r="BC35" i="3"/>
  <c r="BC71" i="3" s="1"/>
  <c r="BA59" i="3"/>
  <c r="BA61" i="3" s="1"/>
  <c r="AW59" i="3"/>
  <c r="AW61" i="3" s="1"/>
  <c r="AY58" i="3"/>
  <c r="AY61" i="3" s="1"/>
  <c r="AU58" i="3"/>
  <c r="AU61" i="3" s="1"/>
  <c r="BB55" i="3"/>
  <c r="BB60" i="3" s="1"/>
  <c r="AZ32" i="3"/>
  <c r="AZ68" i="3" s="1"/>
  <c r="AV32" i="3"/>
  <c r="AV68" i="3" s="1"/>
  <c r="BB32" i="3"/>
  <c r="BB68" i="3" s="1"/>
  <c r="AX32" i="3"/>
  <c r="AX55" i="3"/>
  <c r="AX60" i="3" s="1"/>
  <c r="AT55" i="3"/>
  <c r="AT60" i="3" s="1"/>
  <c r="AT62" i="3" s="1"/>
  <c r="BC55" i="3"/>
  <c r="BC60" i="3" s="1"/>
  <c r="AY55" i="3"/>
  <c r="AU55" i="3"/>
  <c r="BC31" i="3"/>
  <c r="BC67" i="3" s="1"/>
  <c r="BA55" i="3"/>
  <c r="BA60" i="3" s="1"/>
  <c r="AW55" i="3"/>
  <c r="AW60" i="3" s="1"/>
  <c r="AY54" i="3"/>
  <c r="AU54" i="3"/>
  <c r="BA32" i="3"/>
  <c r="BA31" i="3"/>
  <c r="BA67" i="3" s="1"/>
  <c r="AU31" i="3"/>
  <c r="AU67" i="3" s="1"/>
  <c r="BC32" i="3"/>
  <c r="AY32" i="3"/>
  <c r="AU32" i="3"/>
  <c r="AW32" i="3"/>
  <c r="AY31" i="3"/>
  <c r="AY67" i="3" s="1"/>
  <c r="BC15" i="3"/>
  <c r="AY15" i="3"/>
  <c r="AU15" i="3"/>
  <c r="BK115" i="1"/>
  <c r="BE34" i="6"/>
  <c r="AH260" i="23" s="1"/>
  <c r="AH263" i="23" s="1"/>
  <c r="BI33" i="6"/>
  <c r="BA33" i="6"/>
  <c r="BI34" i="6"/>
  <c r="AL260" i="23" s="1"/>
  <c r="AL263" i="23" s="1"/>
  <c r="BA34" i="6"/>
  <c r="AD260" i="23" s="1"/>
  <c r="AD263" i="23" s="1"/>
  <c r="BH33" i="6"/>
  <c r="BD33" i="6"/>
  <c r="BL178" i="1"/>
  <c r="BH34" i="6"/>
  <c r="AK260" i="23" s="1"/>
  <c r="AK263" i="23" s="1"/>
  <c r="BD34" i="6"/>
  <c r="AG260" i="23" s="1"/>
  <c r="AG263" i="23" s="1"/>
  <c r="BG427" i="1"/>
  <c r="BM387" i="1"/>
  <c r="BM401" i="1" s="1"/>
  <c r="BM76" i="1"/>
  <c r="BB34" i="6"/>
  <c r="AE260" i="23" s="1"/>
  <c r="AE263" i="23" s="1"/>
  <c r="BJ95" i="1"/>
  <c r="BI95" i="1"/>
  <c r="BI387" i="1"/>
  <c r="BI401" i="1" s="1"/>
  <c r="BI76" i="1"/>
  <c r="BF95" i="1"/>
  <c r="BE95" i="1"/>
  <c r="BE387" i="1"/>
  <c r="BE401" i="1" s="1"/>
  <c r="BE76" i="1"/>
  <c r="BJ76" i="1"/>
  <c r="BJ34" i="6"/>
  <c r="AM260" i="23" s="1"/>
  <c r="AM263" i="23" s="1"/>
  <c r="BH178" i="1"/>
  <c r="BF76" i="1"/>
  <c r="BF178" i="1"/>
  <c r="BE178" i="1"/>
  <c r="BJ178" i="1"/>
  <c r="BI178" i="1"/>
  <c r="BG95" i="1"/>
  <c r="BH95" i="1"/>
  <c r="BK95" i="1"/>
  <c r="BL95" i="1"/>
  <c r="BJ68" i="7"/>
  <c r="BN68" i="7"/>
  <c r="BF68" i="7"/>
  <c r="BB80" i="3"/>
  <c r="AX80" i="3"/>
  <c r="AT80" i="3"/>
  <c r="BB81" i="3"/>
  <c r="AX81" i="3"/>
  <c r="AT81" i="3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BD8" i="1" s="1"/>
  <c r="AO8" i="24"/>
  <c r="BE8" i="1" s="1"/>
  <c r="AP8" i="24"/>
  <c r="BF8" i="1" s="1"/>
  <c r="AQ8" i="24"/>
  <c r="BG8" i="1" s="1"/>
  <c r="AR8" i="24"/>
  <c r="BH8" i="1" s="1"/>
  <c r="AS8" i="24"/>
  <c r="BI8" i="1" s="1"/>
  <c r="AT8" i="24"/>
  <c r="BJ8" i="1" s="1"/>
  <c r="AU8" i="24"/>
  <c r="BK8" i="1" s="1"/>
  <c r="AV8" i="24"/>
  <c r="BL8" i="1" s="1"/>
  <c r="AW8" i="24"/>
  <c r="BM8" i="1" s="1"/>
  <c r="K8" i="24"/>
  <c r="BF21" i="20"/>
  <c r="BG21" i="20"/>
  <c r="BH21" i="20"/>
  <c r="BI21" i="20"/>
  <c r="BJ21" i="20"/>
  <c r="BK21" i="20"/>
  <c r="BL21" i="20"/>
  <c r="BM21" i="20"/>
  <c r="BN21" i="20"/>
  <c r="BO21" i="20"/>
  <c r="BF22" i="20"/>
  <c r="BD421" i="1" s="1"/>
  <c r="BD403" i="1" s="1"/>
  <c r="BG22" i="20"/>
  <c r="BE421" i="1" s="1"/>
  <c r="BE403" i="1" s="1"/>
  <c r="BH22" i="20"/>
  <c r="BF421" i="1" s="1"/>
  <c r="BF403" i="1" s="1"/>
  <c r="BI22" i="20"/>
  <c r="BG421" i="1" s="1"/>
  <c r="BG403" i="1" s="1"/>
  <c r="BJ22" i="20"/>
  <c r="BH421" i="1" s="1"/>
  <c r="BH403" i="1" s="1"/>
  <c r="BK22" i="20"/>
  <c r="BI421" i="1" s="1"/>
  <c r="BI403" i="1" s="1"/>
  <c r="BL22" i="20"/>
  <c r="BJ421" i="1" s="1"/>
  <c r="BJ403" i="1" s="1"/>
  <c r="BM22" i="20"/>
  <c r="BK421" i="1" s="1"/>
  <c r="BK403" i="1" s="1"/>
  <c r="BN22" i="20"/>
  <c r="BL421" i="1" s="1"/>
  <c r="BL403" i="1" s="1"/>
  <c r="BO22" i="20"/>
  <c r="BM421" i="1" s="1"/>
  <c r="BM403" i="1" s="1"/>
  <c r="AA32" i="20"/>
  <c r="AW74" i="3" l="1"/>
  <c r="BB74" i="3"/>
  <c r="AU74" i="3"/>
  <c r="BJ53" i="7"/>
  <c r="AV74" i="3"/>
  <c r="AZ73" i="3"/>
  <c r="AZ37" i="3"/>
  <c r="BC62" i="3"/>
  <c r="BJ69" i="6" s="1"/>
  <c r="AX37" i="3"/>
  <c r="BB73" i="3"/>
  <c r="BB75" i="3" s="1"/>
  <c r="BL414" i="1" s="1"/>
  <c r="BC71" i="6"/>
  <c r="AV38" i="3"/>
  <c r="BA74" i="3"/>
  <c r="AX38" i="3"/>
  <c r="BC74" i="3"/>
  <c r="AX74" i="3"/>
  <c r="AY38" i="3"/>
  <c r="AV62" i="3"/>
  <c r="BF413" i="1" s="1"/>
  <c r="AZ74" i="3"/>
  <c r="AZ75" i="3" s="1"/>
  <c r="BH71" i="6"/>
  <c r="BL53" i="7"/>
  <c r="BK53" i="7"/>
  <c r="BG71" i="6"/>
  <c r="AY81" i="3"/>
  <c r="BI415" i="1" s="1"/>
  <c r="BN53" i="7"/>
  <c r="AZ38" i="3"/>
  <c r="BA38" i="3"/>
  <c r="AV73" i="3"/>
  <c r="BB37" i="3"/>
  <c r="BJ404" i="1"/>
  <c r="AJ395" i="23"/>
  <c r="AJ398" i="23" s="1"/>
  <c r="BF404" i="1"/>
  <c r="AF395" i="23"/>
  <c r="AF398" i="23" s="1"/>
  <c r="BM404" i="1"/>
  <c r="AM395" i="23"/>
  <c r="AM398" i="23" s="1"/>
  <c r="BI404" i="1"/>
  <c r="AI395" i="23"/>
  <c r="AI398" i="23" s="1"/>
  <c r="BE404" i="1"/>
  <c r="AE395" i="23"/>
  <c r="AE398" i="23" s="1"/>
  <c r="BL404" i="1"/>
  <c r="AL395" i="23"/>
  <c r="AL398" i="23" s="1"/>
  <c r="BH404" i="1"/>
  <c r="AH395" i="23"/>
  <c r="AH398" i="23" s="1"/>
  <c r="BD404" i="1"/>
  <c r="AD395" i="23"/>
  <c r="AD398" i="23" s="1"/>
  <c r="BK404" i="1"/>
  <c r="AK395" i="23"/>
  <c r="AK398" i="23" s="1"/>
  <c r="BG404" i="1"/>
  <c r="AG395" i="23"/>
  <c r="AG398" i="23" s="1"/>
  <c r="BG53" i="7"/>
  <c r="BF53" i="7"/>
  <c r="BH53" i="7"/>
  <c r="AW38" i="3"/>
  <c r="AW62" i="3"/>
  <c r="BG413" i="1" s="1"/>
  <c r="AY74" i="3"/>
  <c r="AX68" i="3"/>
  <c r="AX73" i="3" s="1"/>
  <c r="AY60" i="3"/>
  <c r="AY62" i="3" s="1"/>
  <c r="BI413" i="1" s="1"/>
  <c r="BD415" i="1"/>
  <c r="BA71" i="6"/>
  <c r="BL415" i="1"/>
  <c r="BI71" i="6"/>
  <c r="BH415" i="1"/>
  <c r="BE71" i="6"/>
  <c r="BE415" i="1"/>
  <c r="BB71" i="6"/>
  <c r="BM415" i="1"/>
  <c r="BJ71" i="6"/>
  <c r="BG415" i="1"/>
  <c r="BD71" i="6"/>
  <c r="BA62" i="3"/>
  <c r="BK413" i="1" s="1"/>
  <c r="AZ62" i="3"/>
  <c r="BC38" i="3"/>
  <c r="BB61" i="3"/>
  <c r="BB62" i="3" s="1"/>
  <c r="AU38" i="3"/>
  <c r="AX62" i="3"/>
  <c r="BH413" i="1" s="1"/>
  <c r="BB38" i="3"/>
  <c r="AV37" i="3"/>
  <c r="AU60" i="3"/>
  <c r="AU62" i="3" s="1"/>
  <c r="BE413" i="1" s="1"/>
  <c r="AU37" i="3"/>
  <c r="AU68" i="3"/>
  <c r="AU73" i="3" s="1"/>
  <c r="AU75" i="3" s="1"/>
  <c r="AW37" i="3"/>
  <c r="AW68" i="3"/>
  <c r="AW73" i="3" s="1"/>
  <c r="AW75" i="3" s="1"/>
  <c r="AY37" i="3"/>
  <c r="AY68" i="3"/>
  <c r="AY73" i="3" s="1"/>
  <c r="BA37" i="3"/>
  <c r="BA68" i="3"/>
  <c r="BA73" i="3" s="1"/>
  <c r="BA75" i="3" s="1"/>
  <c r="BD413" i="1"/>
  <c r="BA69" i="6"/>
  <c r="BC37" i="3"/>
  <c r="BC68" i="3"/>
  <c r="BC73" i="3" s="1"/>
  <c r="BM96" i="7"/>
  <c r="BH6" i="5"/>
  <c r="BH32" i="5" s="1"/>
  <c r="BL377" i="1"/>
  <c r="BL36" i="1"/>
  <c r="BL82" i="1" s="1"/>
  <c r="BL123" i="1" s="1"/>
  <c r="AZ6" i="5"/>
  <c r="AZ32" i="5" s="1"/>
  <c r="BE96" i="7"/>
  <c r="BD377" i="1"/>
  <c r="BD36" i="1"/>
  <c r="BD82" i="1" s="1"/>
  <c r="BD123" i="1" s="1"/>
  <c r="BL96" i="7"/>
  <c r="BG6" i="5"/>
  <c r="BG32" i="5" s="1"/>
  <c r="BK377" i="1"/>
  <c r="BK36" i="1"/>
  <c r="BK82" i="1" s="1"/>
  <c r="BK123" i="1" s="1"/>
  <c r="BF6" i="5"/>
  <c r="BF32" i="5" s="1"/>
  <c r="BJ377" i="1"/>
  <c r="BJ36" i="1"/>
  <c r="BJ82" i="1" s="1"/>
  <c r="BJ123" i="1" s="1"/>
  <c r="BK96" i="7"/>
  <c r="BI96" i="7"/>
  <c r="BD6" i="5"/>
  <c r="BD32" i="5" s="1"/>
  <c r="BH377" i="1"/>
  <c r="BH36" i="1"/>
  <c r="BH82" i="1" s="1"/>
  <c r="BH123" i="1" s="1"/>
  <c r="BH96" i="7"/>
  <c r="BC6" i="5"/>
  <c r="BC32" i="5" s="1"/>
  <c r="BG377" i="1"/>
  <c r="BG36" i="1"/>
  <c r="BG82" i="1" s="1"/>
  <c r="BG123" i="1" s="1"/>
  <c r="BB6" i="5"/>
  <c r="BB32" i="5" s="1"/>
  <c r="BF377" i="1"/>
  <c r="BF36" i="1"/>
  <c r="BF82" i="1" s="1"/>
  <c r="BF123" i="1" s="1"/>
  <c r="BG96" i="7"/>
  <c r="BI6" i="5"/>
  <c r="BI32" i="5" s="1"/>
  <c r="BM377" i="1"/>
  <c r="BM36" i="1"/>
  <c r="BM82" i="1" s="1"/>
  <c r="BM123" i="1" s="1"/>
  <c r="BN96" i="7"/>
  <c r="BE6" i="5"/>
  <c r="BE32" i="5" s="1"/>
  <c r="BI377" i="1"/>
  <c r="BI36" i="1"/>
  <c r="BI82" i="1" s="1"/>
  <c r="BI123" i="1" s="1"/>
  <c r="BJ96" i="7"/>
  <c r="BA6" i="5"/>
  <c r="BA32" i="5" s="1"/>
  <c r="BE377" i="1"/>
  <c r="BE36" i="1"/>
  <c r="BE82" i="1" s="1"/>
  <c r="BE123" i="1" s="1"/>
  <c r="BF96" i="7"/>
  <c r="AB35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B28" i="1"/>
  <c r="Q26" i="3"/>
  <c r="Q25" i="3"/>
  <c r="Q21" i="3"/>
  <c r="Q20" i="3"/>
  <c r="AV75" i="3" l="1"/>
  <c r="BF414" i="1" s="1"/>
  <c r="BM413" i="1"/>
  <c r="AZ39" i="3"/>
  <c r="AX39" i="3"/>
  <c r="AU39" i="3"/>
  <c r="BC39" i="3"/>
  <c r="BA39" i="3"/>
  <c r="AW39" i="3"/>
  <c r="BC75" i="3"/>
  <c r="BM414" i="1" s="1"/>
  <c r="BF69" i="6"/>
  <c r="BD69" i="6"/>
  <c r="AX75" i="3"/>
  <c r="BE70" i="6" s="1"/>
  <c r="BC69" i="6"/>
  <c r="BE69" i="6"/>
  <c r="AY39" i="3"/>
  <c r="AV39" i="3"/>
  <c r="BC70" i="6"/>
  <c r="BG70" i="6"/>
  <c r="BJ414" i="1"/>
  <c r="BF71" i="6"/>
  <c r="AY75" i="3"/>
  <c r="BF70" i="6" s="1"/>
  <c r="BB69" i="6"/>
  <c r="BB39" i="3"/>
  <c r="BI70" i="6"/>
  <c r="BH69" i="6"/>
  <c r="BL413" i="1"/>
  <c r="BI69" i="6"/>
  <c r="BG69" i="6"/>
  <c r="BJ413" i="1"/>
  <c r="BK414" i="1"/>
  <c r="BH70" i="6"/>
  <c r="BE414" i="1"/>
  <c r="BB70" i="6"/>
  <c r="BG414" i="1"/>
  <c r="BD70" i="6"/>
  <c r="BG162" i="1"/>
  <c r="BG183" i="1" s="1"/>
  <c r="BH162" i="1"/>
  <c r="BH183" i="1" s="1"/>
  <c r="BK162" i="1"/>
  <c r="BK183" i="1" s="1"/>
  <c r="BD162" i="1"/>
  <c r="BD183" i="1" s="1"/>
  <c r="BL162" i="1"/>
  <c r="BL183" i="1" s="1"/>
  <c r="BE162" i="1"/>
  <c r="BE183" i="1" s="1"/>
  <c r="BI162" i="1"/>
  <c r="BI183" i="1" s="1"/>
  <c r="BM162" i="1"/>
  <c r="BM183" i="1" s="1"/>
  <c r="BF162" i="1"/>
  <c r="BF183" i="1" s="1"/>
  <c r="BJ162" i="1"/>
  <c r="BJ183" i="1" s="1"/>
  <c r="AB13" i="1"/>
  <c r="C6" i="23"/>
  <c r="C9" i="23" s="1"/>
  <c r="D6" i="23"/>
  <c r="D9" i="23" s="1"/>
  <c r="E6" i="23"/>
  <c r="E9" i="23" s="1"/>
  <c r="F6" i="23"/>
  <c r="F9" i="23" s="1"/>
  <c r="G6" i="23"/>
  <c r="G9" i="23" s="1"/>
  <c r="H6" i="23"/>
  <c r="H9" i="23" s="1"/>
  <c r="I6" i="23"/>
  <c r="I9" i="23" s="1"/>
  <c r="BI414" i="1" l="1"/>
  <c r="AB24" i="1"/>
  <c r="AB31" i="1" s="1"/>
  <c r="B6" i="23" s="1"/>
  <c r="B9" i="23" s="1"/>
  <c r="AB25" i="1"/>
  <c r="BJ70" i="6"/>
  <c r="BH414" i="1"/>
  <c r="AC147" i="20"/>
  <c r="AC146" i="20"/>
  <c r="AC145" i="20"/>
  <c r="AC144" i="20"/>
  <c r="AC143" i="20"/>
  <c r="AC142" i="20"/>
  <c r="AC141" i="20"/>
  <c r="AC140" i="20"/>
  <c r="AC81" i="20" s="1"/>
  <c r="AC139" i="20"/>
  <c r="AC138" i="20"/>
  <c r="AC79" i="20" s="1"/>
  <c r="AC137" i="20"/>
  <c r="AC80" i="20" s="1"/>
  <c r="AC130" i="20"/>
  <c r="AC132" i="20" s="1"/>
  <c r="AC118" i="20"/>
  <c r="AC50" i="7"/>
  <c r="Q71" i="3"/>
  <c r="Q70" i="3"/>
  <c r="Q69" i="3"/>
  <c r="Q68" i="3"/>
  <c r="Q67" i="3"/>
  <c r="P59" i="3"/>
  <c r="Q58" i="3"/>
  <c r="P58" i="3"/>
  <c r="Q57" i="3"/>
  <c r="Q56" i="3"/>
  <c r="P56" i="3"/>
  <c r="O56" i="3"/>
  <c r="N56" i="3"/>
  <c r="AC120" i="20" l="1"/>
  <c r="AC85" i="20"/>
  <c r="AC148" i="20"/>
  <c r="Z32" i="20" l="1"/>
  <c r="C65" i="1" l="1"/>
  <c r="C66" i="1" s="1"/>
  <c r="D65" i="1"/>
  <c r="D66" i="1" s="1"/>
  <c r="E65" i="1"/>
  <c r="E66" i="1" s="1"/>
  <c r="F65" i="1"/>
  <c r="F66" i="1" s="1"/>
  <c r="G65" i="1"/>
  <c r="G66" i="1" s="1"/>
  <c r="H65" i="1"/>
  <c r="H68" i="1" s="1"/>
  <c r="I65" i="1"/>
  <c r="I66" i="1" s="1"/>
  <c r="J65" i="1"/>
  <c r="J66" i="1" s="1"/>
  <c r="K65" i="1"/>
  <c r="K66" i="1" s="1"/>
  <c r="L65" i="1"/>
  <c r="L66" i="1" s="1"/>
  <c r="M65" i="1"/>
  <c r="M66" i="1" s="1"/>
  <c r="N65" i="1"/>
  <c r="N68" i="1" s="1"/>
  <c r="O65" i="1"/>
  <c r="O68" i="1" s="1"/>
  <c r="P65" i="1"/>
  <c r="Q65" i="1"/>
  <c r="Q66" i="1" s="1"/>
  <c r="R65" i="1"/>
  <c r="R68" i="1" s="1"/>
  <c r="S65" i="1"/>
  <c r="S66" i="1" s="1"/>
  <c r="S70" i="1" s="1"/>
  <c r="T65" i="1"/>
  <c r="T66" i="1" s="1"/>
  <c r="T69" i="1" s="1"/>
  <c r="U65" i="1"/>
  <c r="U66" i="1" s="1"/>
  <c r="V65" i="1"/>
  <c r="V66" i="1" s="1"/>
  <c r="W65" i="1"/>
  <c r="W68" i="1" s="1"/>
  <c r="X65" i="1"/>
  <c r="Y65" i="1"/>
  <c r="Y66" i="1" s="1"/>
  <c r="Z65" i="1"/>
  <c r="Z68" i="1" s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X68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R75" i="1"/>
  <c r="F77" i="1"/>
  <c r="J77" i="1"/>
  <c r="N77" i="1"/>
  <c r="R77" i="1"/>
  <c r="V77" i="1"/>
  <c r="Z77" i="1"/>
  <c r="J68" i="1" l="1"/>
  <c r="R66" i="1"/>
  <c r="R69" i="1" s="1"/>
  <c r="V69" i="1"/>
  <c r="V70" i="1"/>
  <c r="G75" i="1"/>
  <c r="V68" i="1"/>
  <c r="F68" i="1"/>
  <c r="N66" i="1"/>
  <c r="N76" i="1" s="1"/>
  <c r="Z66" i="1"/>
  <c r="Z69" i="1" s="1"/>
  <c r="G68" i="1"/>
  <c r="S75" i="1"/>
  <c r="G76" i="1"/>
  <c r="C75" i="1"/>
  <c r="S68" i="1"/>
  <c r="K68" i="1"/>
  <c r="O66" i="1"/>
  <c r="O69" i="1" s="1"/>
  <c r="W75" i="1"/>
  <c r="O75" i="1"/>
  <c r="C68" i="1"/>
  <c r="W66" i="1"/>
  <c r="X76" i="1" s="1"/>
  <c r="T75" i="1"/>
  <c r="K75" i="1"/>
  <c r="R70" i="1"/>
  <c r="C76" i="1"/>
  <c r="X75" i="1"/>
  <c r="P75" i="1"/>
  <c r="H75" i="1"/>
  <c r="L76" i="1"/>
  <c r="Y77" i="1"/>
  <c r="U77" i="1"/>
  <c r="Q77" i="1"/>
  <c r="M77" i="1"/>
  <c r="I77" i="1"/>
  <c r="E77" i="1"/>
  <c r="X66" i="1"/>
  <c r="X69" i="1" s="1"/>
  <c r="K76" i="1"/>
  <c r="Z70" i="1"/>
  <c r="W77" i="1"/>
  <c r="S77" i="1"/>
  <c r="O77" i="1"/>
  <c r="K77" i="1"/>
  <c r="G77" i="1"/>
  <c r="C77" i="1"/>
  <c r="D76" i="1"/>
  <c r="H66" i="1"/>
  <c r="H76" i="1" s="1"/>
  <c r="L75" i="1"/>
  <c r="D75" i="1"/>
  <c r="S69" i="1"/>
  <c r="L68" i="1"/>
  <c r="P68" i="1"/>
  <c r="P66" i="1"/>
  <c r="P69" i="1" s="1"/>
  <c r="S76" i="1"/>
  <c r="T68" i="1"/>
  <c r="D68" i="1"/>
  <c r="V75" i="1"/>
  <c r="F75" i="1"/>
  <c r="Z75" i="1"/>
  <c r="J75" i="1"/>
  <c r="N75" i="1"/>
  <c r="U69" i="1"/>
  <c r="U70" i="1"/>
  <c r="U76" i="1"/>
  <c r="V76" i="1"/>
  <c r="M76" i="1"/>
  <c r="Z76" i="1"/>
  <c r="Y69" i="1"/>
  <c r="Y70" i="1"/>
  <c r="J76" i="1"/>
  <c r="R76" i="1"/>
  <c r="Q69" i="1"/>
  <c r="Q70" i="1"/>
  <c r="F76" i="1"/>
  <c r="E76" i="1"/>
  <c r="Y75" i="1"/>
  <c r="U75" i="1"/>
  <c r="Q75" i="1"/>
  <c r="M75" i="1"/>
  <c r="I75" i="1"/>
  <c r="E75" i="1"/>
  <c r="Y68" i="1"/>
  <c r="U68" i="1"/>
  <c r="Q68" i="1"/>
  <c r="M68" i="1"/>
  <c r="I68" i="1"/>
  <c r="E68" i="1"/>
  <c r="X77" i="1"/>
  <c r="T77" i="1"/>
  <c r="P77" i="1"/>
  <c r="L77" i="1"/>
  <c r="H77" i="1"/>
  <c r="D77" i="1"/>
  <c r="T76" i="1"/>
  <c r="T70" i="1"/>
  <c r="P70" i="1"/>
  <c r="J6" i="23"/>
  <c r="J9" i="23" s="1"/>
  <c r="Y76" i="1" l="1"/>
  <c r="Q76" i="1"/>
  <c r="X70" i="1"/>
  <c r="I76" i="1"/>
  <c r="O76" i="1"/>
  <c r="P76" i="1"/>
  <c r="O70" i="1"/>
  <c r="W69" i="1"/>
  <c r="W76" i="1"/>
  <c r="W70" i="1"/>
  <c r="P25" i="3"/>
  <c r="P26" i="3"/>
  <c r="P21" i="3"/>
  <c r="P20" i="3"/>
  <c r="O67" i="3" l="1"/>
  <c r="P67" i="3"/>
  <c r="O68" i="3"/>
  <c r="P68" i="3"/>
  <c r="J67" i="3"/>
  <c r="K67" i="3"/>
  <c r="L67" i="3"/>
  <c r="M67" i="3"/>
  <c r="N67" i="3"/>
  <c r="J68" i="3"/>
  <c r="K68" i="3"/>
  <c r="L68" i="3"/>
  <c r="M68" i="3"/>
  <c r="N68" i="3"/>
  <c r="I68" i="3"/>
  <c r="I67" i="3"/>
  <c r="AA13" i="1"/>
  <c r="AF24" i="1" l="1"/>
  <c r="AA24" i="1"/>
  <c r="AA31" i="1" s="1"/>
  <c r="AA25" i="1"/>
  <c r="AB138" i="20"/>
  <c r="AB139" i="20"/>
  <c r="AC156" i="20" s="1"/>
  <c r="AB140" i="20"/>
  <c r="AB141" i="20"/>
  <c r="AC158" i="20" s="1"/>
  <c r="AB142" i="20"/>
  <c r="AC159" i="20" s="1"/>
  <c r="AB143" i="20"/>
  <c r="AC160" i="20" s="1"/>
  <c r="AB144" i="20"/>
  <c r="AC161" i="20" s="1"/>
  <c r="AB145" i="20"/>
  <c r="AC162" i="20" s="1"/>
  <c r="AB146" i="20"/>
  <c r="AC163" i="20" s="1"/>
  <c r="AB147" i="20"/>
  <c r="AC164" i="20" s="1"/>
  <c r="AB137" i="20"/>
  <c r="AB130" i="20"/>
  <c r="AB132" i="20" s="1"/>
  <c r="AB118" i="20"/>
  <c r="AB120" i="20" s="1"/>
  <c r="AC155" i="20" l="1"/>
  <c r="AB79" i="20"/>
  <c r="AC157" i="20"/>
  <c r="AB81" i="20"/>
  <c r="AC154" i="20"/>
  <c r="AB80" i="20"/>
  <c r="AB85" i="20"/>
  <c r="Y32" i="20"/>
  <c r="P72" i="3" l="1"/>
  <c r="P71" i="3"/>
  <c r="P70" i="3"/>
  <c r="P57" i="3"/>
  <c r="P73" i="3" l="1"/>
  <c r="W15" i="1"/>
  <c r="O20" i="3" l="1"/>
  <c r="O21" i="3"/>
  <c r="O25" i="3"/>
  <c r="O26" i="3"/>
  <c r="AN92" i="23" l="1"/>
  <c r="AN95" i="23" s="1"/>
  <c r="Z13" i="1"/>
  <c r="BO25" i="1" l="1"/>
  <c r="AO92" i="23" s="1"/>
  <c r="AO95" i="23" s="1"/>
  <c r="Z24" i="1"/>
  <c r="Z31" i="1" s="1"/>
  <c r="Z25" i="1"/>
  <c r="BP25" i="1" l="1"/>
  <c r="AP92" i="23" s="1"/>
  <c r="AP95" i="23" s="1"/>
  <c r="C354" i="23"/>
  <c r="D354" i="23" s="1"/>
  <c r="E354" i="23" s="1"/>
  <c r="F354" i="23" s="1"/>
  <c r="G354" i="23" s="1"/>
  <c r="H354" i="23" s="1"/>
  <c r="I354" i="23" s="1"/>
  <c r="J354" i="23" s="1"/>
  <c r="K354" i="23" s="1"/>
  <c r="L354" i="23" s="1"/>
  <c r="M354" i="23" s="1"/>
  <c r="N354" i="23" s="1"/>
  <c r="O354" i="23" s="1"/>
  <c r="P354" i="23" s="1"/>
  <c r="Q354" i="23" s="1"/>
  <c r="R354" i="23" s="1"/>
  <c r="S354" i="23" s="1"/>
  <c r="T354" i="23" s="1"/>
  <c r="U354" i="23" s="1"/>
  <c r="V354" i="23" s="1"/>
  <c r="W354" i="23" s="1"/>
  <c r="X354" i="23" s="1"/>
  <c r="Y354" i="23" s="1"/>
  <c r="Z354" i="23" s="1"/>
  <c r="AA354" i="23" s="1"/>
  <c r="AB354" i="23" s="1"/>
  <c r="AC354" i="23" s="1"/>
  <c r="AD354" i="23" s="1"/>
  <c r="AE354" i="23" s="1"/>
  <c r="AF354" i="23" s="1"/>
  <c r="AG354" i="23" s="1"/>
  <c r="AH354" i="23" s="1"/>
  <c r="AI354" i="23" s="1"/>
  <c r="AJ354" i="23" s="1"/>
  <c r="AK354" i="23" s="1"/>
  <c r="AL354" i="23" s="1"/>
  <c r="AM354" i="23" s="1"/>
  <c r="AN354" i="23" s="1"/>
  <c r="AO354" i="23" s="1"/>
  <c r="AP354" i="23" s="1"/>
  <c r="AQ354" i="23" s="1"/>
  <c r="AR354" i="23" s="1"/>
  <c r="AS354" i="23" s="1"/>
  <c r="AT354" i="23" s="1"/>
  <c r="AU354" i="23" s="1"/>
  <c r="AV354" i="23" s="1"/>
  <c r="AW354" i="23" s="1"/>
  <c r="AX354" i="23" s="1"/>
  <c r="AY354" i="23" s="1"/>
  <c r="AZ354" i="23" s="1"/>
  <c r="BA354" i="23" s="1"/>
  <c r="BB354" i="23" s="1"/>
  <c r="BC354" i="23" s="1"/>
  <c r="BD354" i="23" s="1"/>
  <c r="BE354" i="23" s="1"/>
  <c r="BF354" i="23" s="1"/>
  <c r="BG354" i="23" s="1"/>
  <c r="BH354" i="23" s="1"/>
  <c r="BI354" i="23" s="1"/>
  <c r="BJ354" i="23" s="1"/>
  <c r="BK354" i="23" s="1"/>
  <c r="BL354" i="23" s="1"/>
  <c r="BM354" i="23" s="1"/>
  <c r="BN354" i="23" s="1"/>
  <c r="BO354" i="23" s="1"/>
  <c r="BP354" i="23" s="1"/>
  <c r="BQ354" i="23" s="1"/>
  <c r="BQ25" i="1" l="1"/>
  <c r="AQ92" i="23" s="1"/>
  <c r="AQ95" i="23" s="1"/>
  <c r="Z39" i="7"/>
  <c r="BR25" i="1" l="1"/>
  <c r="AR92" i="23" s="1"/>
  <c r="AR95" i="23" s="1"/>
  <c r="AA147" i="20"/>
  <c r="AB164" i="20" s="1"/>
  <c r="AA146" i="20"/>
  <c r="AB163" i="20" s="1"/>
  <c r="AA145" i="20"/>
  <c r="AB162" i="20" s="1"/>
  <c r="AA144" i="20"/>
  <c r="AB161" i="20" s="1"/>
  <c r="AA143" i="20"/>
  <c r="AB160" i="20" s="1"/>
  <c r="AA142" i="20"/>
  <c r="AB159" i="20" s="1"/>
  <c r="AA141" i="20"/>
  <c r="AB158" i="20" s="1"/>
  <c r="AA140" i="20"/>
  <c r="AA139" i="20"/>
  <c r="AB156" i="20" s="1"/>
  <c r="AA138" i="20"/>
  <c r="AA137" i="20"/>
  <c r="AA130" i="20"/>
  <c r="AA132" i="20" s="1"/>
  <c r="AA118" i="20"/>
  <c r="AB154" i="20" l="1"/>
  <c r="AA80" i="20"/>
  <c r="AB155" i="20"/>
  <c r="AA79" i="20"/>
  <c r="AB157" i="20"/>
  <c r="AA81" i="20"/>
  <c r="BS25" i="1"/>
  <c r="AS92" i="23" s="1"/>
  <c r="AS95" i="23" s="1"/>
  <c r="AA148" i="20"/>
  <c r="AA85" i="20"/>
  <c r="AA120" i="20"/>
  <c r="O71" i="3"/>
  <c r="O70" i="3"/>
  <c r="O58" i="3"/>
  <c r="O57" i="3"/>
  <c r="BT25" i="1" l="1"/>
  <c r="AT92" i="23" s="1"/>
  <c r="AT95" i="23" s="1"/>
  <c r="Z118" i="20"/>
  <c r="BU25" i="1" l="1"/>
  <c r="AU92" i="23" s="1"/>
  <c r="AU95" i="23" s="1"/>
  <c r="Z120" i="20"/>
  <c r="Z85" i="20"/>
  <c r="X32" i="20"/>
  <c r="V15" i="1" s="1"/>
  <c r="BV25" i="1" l="1"/>
  <c r="AV92" i="23" s="1"/>
  <c r="AV95" i="23" s="1"/>
  <c r="X14" i="1"/>
  <c r="BW25" i="1" l="1"/>
  <c r="AW92" i="23" s="1"/>
  <c r="AW95" i="23" s="1"/>
  <c r="Z27" i="1"/>
  <c r="AA27" i="1"/>
  <c r="AB27" i="1"/>
  <c r="B134" i="23" s="1"/>
  <c r="B137" i="23" s="1"/>
  <c r="AC27" i="1"/>
  <c r="C134" i="23" s="1"/>
  <c r="C137" i="23" s="1"/>
  <c r="AD27" i="1"/>
  <c r="D134" i="23" s="1"/>
  <c r="D137" i="23" s="1"/>
  <c r="AE27" i="1"/>
  <c r="E134" i="23" s="1"/>
  <c r="E137" i="23" s="1"/>
  <c r="AF27" i="1"/>
  <c r="F134" i="23" s="1"/>
  <c r="F137" i="23" s="1"/>
  <c r="AG27" i="1"/>
  <c r="G134" i="23" s="1"/>
  <c r="G137" i="23" s="1"/>
  <c r="BX25" i="1" l="1"/>
  <c r="AX92" i="23" s="1"/>
  <c r="AX95" i="23" s="1"/>
  <c r="P72" i="6"/>
  <c r="BY25" i="1" l="1"/>
  <c r="AY92" i="23" s="1"/>
  <c r="AY95" i="23" s="1"/>
  <c r="B584" i="23"/>
  <c r="C584" i="23"/>
  <c r="BZ25" i="1" l="1"/>
  <c r="AZ92" i="23" s="1"/>
  <c r="AZ95" i="23" s="1"/>
  <c r="O24" i="3"/>
  <c r="CA25" i="1" l="1"/>
  <c r="BA92" i="23" s="1"/>
  <c r="BA95" i="23" s="1"/>
  <c r="N25" i="3"/>
  <c r="N26" i="3"/>
  <c r="N27" i="3"/>
  <c r="N24" i="3"/>
  <c r="N22" i="3"/>
  <c r="N23" i="3"/>
  <c r="CB25" i="1" l="1"/>
  <c r="BB92" i="23" s="1"/>
  <c r="BB95" i="23" s="1"/>
  <c r="N58" i="3"/>
  <c r="N57" i="3"/>
  <c r="N55" i="3"/>
  <c r="N54" i="3"/>
  <c r="CC25" i="1" l="1"/>
  <c r="BC92" i="23" s="1"/>
  <c r="BC95" i="23" s="1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L22" i="3"/>
  <c r="M22" i="3"/>
  <c r="O22" i="3"/>
  <c r="O54" i="3" s="1"/>
  <c r="P22" i="3"/>
  <c r="P54" i="3" s="1"/>
  <c r="Q22" i="3"/>
  <c r="Q54" i="3" s="1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L23" i="3"/>
  <c r="M23" i="3"/>
  <c r="O23" i="3"/>
  <c r="O55" i="3" s="1"/>
  <c r="P23" i="3"/>
  <c r="P55" i="3" s="1"/>
  <c r="Q23" i="3"/>
  <c r="Q55" i="3" s="1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I20" i="3"/>
  <c r="J20" i="3"/>
  <c r="I21" i="3"/>
  <c r="J21" i="3"/>
  <c r="I22" i="3"/>
  <c r="J22" i="3"/>
  <c r="I23" i="3"/>
  <c r="J23" i="3"/>
  <c r="K23" i="3"/>
  <c r="K22" i="3"/>
  <c r="CD25" i="1" l="1"/>
  <c r="BD92" i="23" s="1"/>
  <c r="BD95" i="23" s="1"/>
  <c r="AT32" i="3"/>
  <c r="AT68" i="3" s="1"/>
  <c r="AS54" i="3"/>
  <c r="AT31" i="3"/>
  <c r="U55" i="3"/>
  <c r="T55" i="3"/>
  <c r="W55" i="3"/>
  <c r="V55" i="3"/>
  <c r="AL32" i="3"/>
  <c r="AL68" i="3" s="1"/>
  <c r="AK55" i="3"/>
  <c r="AD32" i="3"/>
  <c r="AD68" i="3" s="1"/>
  <c r="AC55" i="3"/>
  <c r="V32" i="3"/>
  <c r="V68" i="3" s="1"/>
  <c r="AQ54" i="3"/>
  <c r="AR31" i="3"/>
  <c r="AR67" i="3" s="1"/>
  <c r="AI54" i="3"/>
  <c r="AJ31" i="3"/>
  <c r="AJ67" i="3" s="1"/>
  <c r="W54" i="3"/>
  <c r="X31" i="3"/>
  <c r="X67" i="3" s="1"/>
  <c r="AS55" i="3"/>
  <c r="AP32" i="3"/>
  <c r="AP68" i="3" s="1"/>
  <c r="AO55" i="3"/>
  <c r="AH32" i="3"/>
  <c r="AH68" i="3" s="1"/>
  <c r="AG55" i="3"/>
  <c r="Z32" i="3"/>
  <c r="Z68" i="3" s="1"/>
  <c r="Y55" i="3"/>
  <c r="AM54" i="3"/>
  <c r="AN31" i="3"/>
  <c r="AN67" i="3" s="1"/>
  <c r="AE54" i="3"/>
  <c r="AF31" i="3"/>
  <c r="AF67" i="3" s="1"/>
  <c r="AA54" i="3"/>
  <c r="AB31" i="3"/>
  <c r="AB67" i="3" s="1"/>
  <c r="T67" i="3"/>
  <c r="AS32" i="3"/>
  <c r="AS68" i="3" s="1"/>
  <c r="AR55" i="3"/>
  <c r="AO32" i="3"/>
  <c r="AO68" i="3" s="1"/>
  <c r="AN55" i="3"/>
  <c r="AK32" i="3"/>
  <c r="AK68" i="3" s="1"/>
  <c r="AJ55" i="3"/>
  <c r="AG32" i="3"/>
  <c r="AG68" i="3" s="1"/>
  <c r="AF55" i="3"/>
  <c r="AC32" i="3"/>
  <c r="AC68" i="3" s="1"/>
  <c r="AB55" i="3"/>
  <c r="Y32" i="3"/>
  <c r="Y68" i="3" s="1"/>
  <c r="X55" i="3"/>
  <c r="U32" i="3"/>
  <c r="U68" i="3" s="1"/>
  <c r="AP54" i="3"/>
  <c r="AQ31" i="3"/>
  <c r="AQ67" i="3" s="1"/>
  <c r="AL54" i="3"/>
  <c r="AM31" i="3"/>
  <c r="AM67" i="3" s="1"/>
  <c r="AH54" i="3"/>
  <c r="AI31" i="3"/>
  <c r="AI67" i="3" s="1"/>
  <c r="AD54" i="3"/>
  <c r="AE31" i="3"/>
  <c r="AE67" i="3" s="1"/>
  <c r="Z54" i="3"/>
  <c r="AA31" i="3"/>
  <c r="AA67" i="3" s="1"/>
  <c r="V54" i="3"/>
  <c r="W31" i="3"/>
  <c r="W67" i="3" s="1"/>
  <c r="AR32" i="3"/>
  <c r="AR68" i="3" s="1"/>
  <c r="AQ55" i="3"/>
  <c r="AN32" i="3"/>
  <c r="AN68" i="3" s="1"/>
  <c r="AM55" i="3"/>
  <c r="AJ32" i="3"/>
  <c r="AJ68" i="3" s="1"/>
  <c r="AI55" i="3"/>
  <c r="AF32" i="3"/>
  <c r="AF68" i="3" s="1"/>
  <c r="AE55" i="3"/>
  <c r="AB32" i="3"/>
  <c r="AB68" i="3" s="1"/>
  <c r="AA55" i="3"/>
  <c r="X32" i="3"/>
  <c r="X68" i="3" s="1"/>
  <c r="T68" i="3"/>
  <c r="AP31" i="3"/>
  <c r="AP67" i="3" s="1"/>
  <c r="AO54" i="3"/>
  <c r="AL31" i="3"/>
  <c r="AL67" i="3" s="1"/>
  <c r="AK54" i="3"/>
  <c r="AH31" i="3"/>
  <c r="AH67" i="3" s="1"/>
  <c r="AG54" i="3"/>
  <c r="AD31" i="3"/>
  <c r="AD67" i="3" s="1"/>
  <c r="AC54" i="3"/>
  <c r="Z31" i="3"/>
  <c r="Z67" i="3" s="1"/>
  <c r="Y54" i="3"/>
  <c r="V31" i="3"/>
  <c r="V67" i="3" s="1"/>
  <c r="U54" i="3"/>
  <c r="AP55" i="3"/>
  <c r="AQ32" i="3"/>
  <c r="AQ68" i="3" s="1"/>
  <c r="AL55" i="3"/>
  <c r="AM32" i="3"/>
  <c r="AM68" i="3" s="1"/>
  <c r="AH55" i="3"/>
  <c r="AI32" i="3"/>
  <c r="AI68" i="3" s="1"/>
  <c r="AD55" i="3"/>
  <c r="AE32" i="3"/>
  <c r="AE68" i="3" s="1"/>
  <c r="Z55" i="3"/>
  <c r="AA32" i="3"/>
  <c r="AA68" i="3" s="1"/>
  <c r="W32" i="3"/>
  <c r="W68" i="3" s="1"/>
  <c r="AR54" i="3"/>
  <c r="AS31" i="3"/>
  <c r="AS67" i="3" s="1"/>
  <c r="AN54" i="3"/>
  <c r="AO31" i="3"/>
  <c r="AO67" i="3" s="1"/>
  <c r="AJ54" i="3"/>
  <c r="AK31" i="3"/>
  <c r="AK67" i="3" s="1"/>
  <c r="AF54" i="3"/>
  <c r="AG31" i="3"/>
  <c r="AG67" i="3" s="1"/>
  <c r="AB54" i="3"/>
  <c r="AC31" i="3"/>
  <c r="AC67" i="3" s="1"/>
  <c r="X54" i="3"/>
  <c r="Y31" i="3"/>
  <c r="Y67" i="3" s="1"/>
  <c r="T54" i="3"/>
  <c r="U31" i="3"/>
  <c r="U67" i="3" s="1"/>
  <c r="K55" i="3"/>
  <c r="P60" i="3"/>
  <c r="J55" i="3"/>
  <c r="K54" i="3"/>
  <c r="L54" i="3"/>
  <c r="J54" i="3"/>
  <c r="I54" i="3"/>
  <c r="M55" i="3"/>
  <c r="L55" i="3"/>
  <c r="M54" i="3"/>
  <c r="I55" i="3"/>
  <c r="AS13" i="3"/>
  <c r="AS14" i="3"/>
  <c r="J13" i="3"/>
  <c r="K13" i="3"/>
  <c r="L13" i="3"/>
  <c r="M13" i="3"/>
  <c r="N13" i="3"/>
  <c r="O13" i="3"/>
  <c r="P13" i="3"/>
  <c r="Q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J14" i="3"/>
  <c r="K14" i="3"/>
  <c r="L14" i="3"/>
  <c r="M14" i="3"/>
  <c r="N14" i="3"/>
  <c r="O14" i="3"/>
  <c r="P14" i="3"/>
  <c r="Q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I13" i="3"/>
  <c r="CE25" i="1" l="1"/>
  <c r="BE92" i="23" s="1"/>
  <c r="BE95" i="23" s="1"/>
  <c r="AT67" i="3"/>
  <c r="AT73" i="3" s="1"/>
  <c r="AT37" i="3"/>
  <c r="K15" i="3"/>
  <c r="AI15" i="3"/>
  <c r="AA15" i="3"/>
  <c r="AQ15" i="3"/>
  <c r="AR15" i="3"/>
  <c r="AJ15" i="3"/>
  <c r="T15" i="3"/>
  <c r="L15" i="3"/>
  <c r="AO15" i="3"/>
  <c r="AG15" i="3"/>
  <c r="Y15" i="3"/>
  <c r="Q15" i="3"/>
  <c r="AN15" i="3"/>
  <c r="AF15" i="3"/>
  <c r="X15" i="3"/>
  <c r="P15" i="3"/>
  <c r="AB15" i="3"/>
  <c r="AL15" i="3"/>
  <c r="AD15" i="3"/>
  <c r="V15" i="3"/>
  <c r="N15" i="3"/>
  <c r="U15" i="3"/>
  <c r="M15" i="3"/>
  <c r="AK15" i="3"/>
  <c r="AC15" i="3"/>
  <c r="AS15" i="3"/>
  <c r="AM15" i="3"/>
  <c r="AE15" i="3"/>
  <c r="W15" i="3"/>
  <c r="O15" i="3"/>
  <c r="AP15" i="3"/>
  <c r="AH15" i="3"/>
  <c r="Z15" i="3"/>
  <c r="J15" i="3"/>
  <c r="CF25" i="1" l="1"/>
  <c r="BF92" i="23" s="1"/>
  <c r="BF95" i="23" s="1"/>
  <c r="Z30" i="1"/>
  <c r="CG25" i="1" l="1"/>
  <c r="BG92" i="23" s="1"/>
  <c r="BG95" i="23" s="1"/>
  <c r="K6" i="23"/>
  <c r="K9" i="23" s="1"/>
  <c r="Y13" i="1"/>
  <c r="CH25" i="1" l="1"/>
  <c r="BH92" i="23" s="1"/>
  <c r="BH95" i="23" s="1"/>
  <c r="X13" i="1"/>
  <c r="Y24" i="1"/>
  <c r="Y31" i="1" s="1"/>
  <c r="Y25" i="1"/>
  <c r="Y27" i="1" s="1"/>
  <c r="L6" i="23"/>
  <c r="L9" i="23" s="1"/>
  <c r="CI25" i="1" l="1"/>
  <c r="BI92" i="23" s="1"/>
  <c r="BI95" i="23" s="1"/>
  <c r="Y30" i="1"/>
  <c r="W13" i="1"/>
  <c r="X24" i="1"/>
  <c r="X31" i="1" s="1"/>
  <c r="M6" i="23"/>
  <c r="M9" i="23" s="1"/>
  <c r="CJ25" i="1" l="1"/>
  <c r="BJ92" i="23" s="1"/>
  <c r="BJ95" i="23" s="1"/>
  <c r="X30" i="1"/>
  <c r="V13" i="1"/>
  <c r="W24" i="1"/>
  <c r="N6" i="23"/>
  <c r="N9" i="23" s="1"/>
  <c r="CK25" i="1" l="1"/>
  <c r="BK92" i="23" s="1"/>
  <c r="BK95" i="23" s="1"/>
  <c r="U13" i="1"/>
  <c r="V24" i="1"/>
  <c r="O6" i="23"/>
  <c r="O9" i="23" s="1"/>
  <c r="CL25" i="1" l="1"/>
  <c r="BL92" i="23" s="1"/>
  <c r="BL95" i="23" s="1"/>
  <c r="T13" i="1"/>
  <c r="U24" i="1"/>
  <c r="P6" i="23"/>
  <c r="P9" i="23" s="1"/>
  <c r="CM25" i="1" l="1"/>
  <c r="BM92" i="23" s="1"/>
  <c r="BM95" i="23" s="1"/>
  <c r="S13" i="1"/>
  <c r="T24" i="1"/>
  <c r="Q6" i="23"/>
  <c r="Q9" i="23" s="1"/>
  <c r="CG96" i="3"/>
  <c r="CF96" i="3"/>
  <c r="CE96" i="3"/>
  <c r="CD96" i="3"/>
  <c r="CC96" i="3"/>
  <c r="CQ334" i="1"/>
  <c r="CP334" i="1"/>
  <c r="CO334" i="1"/>
  <c r="CN334" i="1"/>
  <c r="CM334" i="1"/>
  <c r="CQ277" i="1"/>
  <c r="CP277" i="1"/>
  <c r="CO277" i="1"/>
  <c r="CN277" i="1"/>
  <c r="CM277" i="1"/>
  <c r="CQ271" i="1"/>
  <c r="CP271" i="1"/>
  <c r="CO271" i="1"/>
  <c r="CN271" i="1"/>
  <c r="CM271" i="1"/>
  <c r="CQ219" i="1"/>
  <c r="CP219" i="1"/>
  <c r="CO219" i="1"/>
  <c r="CN219" i="1"/>
  <c r="CM219" i="1"/>
  <c r="CQ14" i="1"/>
  <c r="CP14" i="1"/>
  <c r="CO14" i="1"/>
  <c r="CN14" i="1"/>
  <c r="CM14" i="1"/>
  <c r="CN25" i="1" l="1"/>
  <c r="BN92" i="23" s="1"/>
  <c r="BN95" i="23" s="1"/>
  <c r="R13" i="1"/>
  <c r="S24" i="1"/>
  <c r="R6" i="23"/>
  <c r="R9" i="23" s="1"/>
  <c r="CO25" i="1" l="1"/>
  <c r="BO92" i="23" s="1"/>
  <c r="BO95" i="23" s="1"/>
  <c r="Q13" i="1"/>
  <c r="R24" i="1"/>
  <c r="S6" i="23"/>
  <c r="S9" i="23" s="1"/>
  <c r="CP25" i="1" l="1"/>
  <c r="BP92" i="23" s="1"/>
  <c r="BP95" i="23" s="1"/>
  <c r="P13" i="1"/>
  <c r="Q24" i="1"/>
  <c r="T6" i="23"/>
  <c r="T9" i="23" s="1"/>
  <c r="CQ25" i="1" l="1"/>
  <c r="BQ92" i="23" s="1"/>
  <c r="BQ95" i="23" s="1"/>
  <c r="O13" i="1"/>
  <c r="P24" i="1"/>
  <c r="U6" i="23"/>
  <c r="U9" i="23" s="1"/>
  <c r="AE24" i="1"/>
  <c r="N13" i="1" l="1"/>
  <c r="O24" i="1"/>
  <c r="V6" i="23"/>
  <c r="V9" i="23" s="1"/>
  <c r="M13" i="1" l="1"/>
  <c r="N24" i="1"/>
  <c r="W6" i="23"/>
  <c r="W9" i="23" s="1"/>
  <c r="AG24" i="1"/>
  <c r="Z137" i="20"/>
  <c r="Z80" i="20" s="1"/>
  <c r="Z138" i="20"/>
  <c r="Z79" i="20" s="1"/>
  <c r="Z139" i="20"/>
  <c r="Z140" i="20"/>
  <c r="Z81" i="20" s="1"/>
  <c r="Z141" i="20"/>
  <c r="Z142" i="20"/>
  <c r="Z143" i="20"/>
  <c r="Z144" i="20"/>
  <c r="Z145" i="20"/>
  <c r="Z146" i="20"/>
  <c r="Z147" i="20"/>
  <c r="L13" i="1" l="1"/>
  <c r="M24" i="1"/>
  <c r="X6" i="23"/>
  <c r="X9" i="23" s="1"/>
  <c r="Z130" i="20"/>
  <c r="Z132" i="20" s="1"/>
  <c r="AH24" i="1" l="1"/>
  <c r="K13" i="1"/>
  <c r="H44" i="6" s="1"/>
  <c r="H84" i="6" s="1"/>
  <c r="L24" i="1"/>
  <c r="Y6" i="23"/>
  <c r="Y9" i="23" s="1"/>
  <c r="N71" i="3"/>
  <c r="N70" i="3"/>
  <c r="M70" i="3"/>
  <c r="N69" i="3"/>
  <c r="AI24" i="1" l="1"/>
  <c r="I134" i="23"/>
  <c r="I137" i="23" s="1"/>
  <c r="J13" i="1"/>
  <c r="G44" i="6" s="1"/>
  <c r="G84" i="6" s="1"/>
  <c r="K24" i="1"/>
  <c r="Z6" i="23"/>
  <c r="Z9" i="23" s="1"/>
  <c r="AJ11" i="1"/>
  <c r="X25" i="1"/>
  <c r="W14" i="1"/>
  <c r="Y14" i="1"/>
  <c r="Z14" i="1"/>
  <c r="AA14" i="1"/>
  <c r="AB14" i="1"/>
  <c r="AC14" i="1"/>
  <c r="AJ27" i="1" l="1"/>
  <c r="J134" i="23" s="1"/>
  <c r="J137" i="23" s="1"/>
  <c r="X27" i="1"/>
  <c r="AA30" i="1"/>
  <c r="AK11" i="1"/>
  <c r="AJ24" i="1"/>
  <c r="I13" i="1"/>
  <c r="F44" i="6" s="1"/>
  <c r="F84" i="6" s="1"/>
  <c r="J24" i="1"/>
  <c r="AA6" i="23"/>
  <c r="AA9" i="23" s="1"/>
  <c r="W25" i="1"/>
  <c r="AK27" i="1" l="1"/>
  <c r="K134" i="23" s="1"/>
  <c r="K137" i="23" s="1"/>
  <c r="W27" i="1"/>
  <c r="H13" i="1"/>
  <c r="E44" i="6" s="1"/>
  <c r="E84" i="6" s="1"/>
  <c r="I24" i="1"/>
  <c r="AL11" i="1"/>
  <c r="AK24" i="1"/>
  <c r="AC30" i="1"/>
  <c r="AB30" i="1"/>
  <c r="AB6" i="23"/>
  <c r="AB9" i="23" s="1"/>
  <c r="W32" i="20"/>
  <c r="U15" i="1" s="1"/>
  <c r="AL27" i="1" l="1"/>
  <c r="L134" i="23" s="1"/>
  <c r="L137" i="23" s="1"/>
  <c r="AM11" i="1"/>
  <c r="AL24" i="1"/>
  <c r="G13" i="1"/>
  <c r="D44" i="6" s="1"/>
  <c r="D84" i="6" s="1"/>
  <c r="H24" i="1"/>
  <c r="AC6" i="23"/>
  <c r="AC9" i="23" s="1"/>
  <c r="AM24" i="1" l="1"/>
  <c r="AM27" i="1"/>
  <c r="M134" i="23" s="1"/>
  <c r="M137" i="23" s="1"/>
  <c r="F13" i="1"/>
  <c r="C44" i="6" s="1"/>
  <c r="C84" i="6" s="1"/>
  <c r="G24" i="1"/>
  <c r="AN11" i="1"/>
  <c r="AD6" i="23"/>
  <c r="AD9" i="23" s="1"/>
  <c r="BD374" i="1" l="1"/>
  <c r="AN27" i="1"/>
  <c r="N134" i="23" s="1"/>
  <c r="N137" i="23" s="1"/>
  <c r="AO11" i="1"/>
  <c r="AN24" i="1"/>
  <c r="E13" i="1"/>
  <c r="B44" i="6" s="1"/>
  <c r="B84" i="6" s="1"/>
  <c r="F24" i="1"/>
  <c r="AE6" i="23"/>
  <c r="AE9" i="23" s="1"/>
  <c r="B92" i="23"/>
  <c r="C92" i="23"/>
  <c r="D92" i="23"/>
  <c r="E92" i="23"/>
  <c r="F92" i="23"/>
  <c r="B50" i="23"/>
  <c r="C50" i="23"/>
  <c r="D50" i="23"/>
  <c r="E50" i="23"/>
  <c r="F50" i="23"/>
  <c r="BE374" i="1" l="1"/>
  <c r="AO27" i="1"/>
  <c r="O134" i="23" s="1"/>
  <c r="O137" i="23" s="1"/>
  <c r="D13" i="1"/>
  <c r="E24" i="1"/>
  <c r="AP11" i="1"/>
  <c r="AO24" i="1"/>
  <c r="AF6" i="23"/>
  <c r="AF9" i="23" s="1"/>
  <c r="G50" i="23"/>
  <c r="BF374" i="1" l="1"/>
  <c r="AP27" i="1"/>
  <c r="P134" i="23" s="1"/>
  <c r="P137" i="23" s="1"/>
  <c r="AP24" i="1"/>
  <c r="AQ11" i="1"/>
  <c r="C13" i="1"/>
  <c r="D24" i="1"/>
  <c r="AG6" i="23"/>
  <c r="AG9" i="23" s="1"/>
  <c r="V32" i="20"/>
  <c r="T15" i="1" s="1"/>
  <c r="BG374" i="1" l="1"/>
  <c r="AQ27" i="1"/>
  <c r="Q134" i="23" s="1"/>
  <c r="Q137" i="23" s="1"/>
  <c r="AR11" i="1"/>
  <c r="AQ24" i="1"/>
  <c r="B13" i="1"/>
  <c r="B24" i="1" s="1"/>
  <c r="C24" i="1"/>
  <c r="AH6" i="23"/>
  <c r="AH9" i="23" s="1"/>
  <c r="M24" i="3"/>
  <c r="M25" i="3"/>
  <c r="M26" i="3"/>
  <c r="BH374" i="1" l="1"/>
  <c r="AR27" i="1"/>
  <c r="R134" i="23" s="1"/>
  <c r="R137" i="23" s="1"/>
  <c r="AR24" i="1"/>
  <c r="AS11" i="1"/>
  <c r="AI6" i="23"/>
  <c r="AI9" i="23" s="1"/>
  <c r="Y82" i="20"/>
  <c r="BI374" i="1" l="1"/>
  <c r="AS27" i="1"/>
  <c r="S134" i="23" s="1"/>
  <c r="S137" i="23" s="1"/>
  <c r="AT11" i="1"/>
  <c r="AS24" i="1"/>
  <c r="AJ6" i="23"/>
  <c r="AJ9" i="23" s="1"/>
  <c r="Y130" i="20"/>
  <c r="Y132" i="20" s="1"/>
  <c r="Y118" i="20"/>
  <c r="Y85" i="20" s="1"/>
  <c r="Y86" i="20" s="1"/>
  <c r="Y137" i="20"/>
  <c r="Y138" i="20"/>
  <c r="Y79" i="20" s="1"/>
  <c r="Y139" i="20"/>
  <c r="Y140" i="20"/>
  <c r="Y81" i="20" s="1"/>
  <c r="Y141" i="20"/>
  <c r="Y142" i="20"/>
  <c r="Y143" i="20"/>
  <c r="Y144" i="20"/>
  <c r="Y145" i="20"/>
  <c r="Y146" i="20"/>
  <c r="Y147" i="20"/>
  <c r="BJ374" i="1" l="1"/>
  <c r="AT27" i="1"/>
  <c r="T134" i="23" s="1"/>
  <c r="T137" i="23" s="1"/>
  <c r="AU11" i="1"/>
  <c r="AT24" i="1"/>
  <c r="AK6" i="23"/>
  <c r="AK9" i="23" s="1"/>
  <c r="Y80" i="20"/>
  <c r="Y83" i="20" s="1"/>
  <c r="Y148" i="20"/>
  <c r="Y120" i="20"/>
  <c r="M71" i="3"/>
  <c r="M58" i="3"/>
  <c r="M57" i="3"/>
  <c r="M56" i="3"/>
  <c r="BK374" i="1" l="1"/>
  <c r="AU27" i="1"/>
  <c r="U134" i="23" s="1"/>
  <c r="U137" i="23" s="1"/>
  <c r="AU24" i="1"/>
  <c r="AV11" i="1"/>
  <c r="AL6" i="23"/>
  <c r="AL9" i="23" s="1"/>
  <c r="U32" i="20"/>
  <c r="S15" i="1" s="1"/>
  <c r="BL374" i="1" l="1"/>
  <c r="AV27" i="1"/>
  <c r="V134" i="23" s="1"/>
  <c r="V137" i="23" s="1"/>
  <c r="AV24" i="1"/>
  <c r="AW11" i="1"/>
  <c r="AM6" i="23"/>
  <c r="AM9" i="23" s="1"/>
  <c r="D144" i="20"/>
  <c r="E144" i="20"/>
  <c r="F144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BM374" i="1" l="1"/>
  <c r="AW27" i="1"/>
  <c r="W134" i="23" s="1"/>
  <c r="W137" i="23" s="1"/>
  <c r="AX11" i="1"/>
  <c r="AW24" i="1"/>
  <c r="BN31" i="1"/>
  <c r="AN6" i="23" s="1"/>
  <c r="AN9" i="23" s="1"/>
  <c r="V161" i="20"/>
  <c r="N161" i="20"/>
  <c r="F161" i="20"/>
  <c r="R161" i="20"/>
  <c r="J161" i="20"/>
  <c r="U161" i="20"/>
  <c r="Q161" i="20"/>
  <c r="M161" i="20"/>
  <c r="I161" i="20"/>
  <c r="E161" i="20"/>
  <c r="W161" i="20"/>
  <c r="S161" i="20"/>
  <c r="O161" i="20"/>
  <c r="K161" i="20"/>
  <c r="G161" i="20"/>
  <c r="X161" i="20"/>
  <c r="T161" i="20"/>
  <c r="P161" i="20"/>
  <c r="L161" i="20"/>
  <c r="H161" i="20"/>
  <c r="C144" i="20"/>
  <c r="D161" i="20" s="1"/>
  <c r="AX27" i="1" l="1"/>
  <c r="X134" i="23" s="1"/>
  <c r="X137" i="23" s="1"/>
  <c r="AY11" i="1"/>
  <c r="AX24" i="1"/>
  <c r="BO31" i="1"/>
  <c r="AO6" i="23" s="1"/>
  <c r="AO9" i="23" s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Y27" i="1" l="1"/>
  <c r="Y134" i="23" s="1"/>
  <c r="Y137" i="23" s="1"/>
  <c r="AZ11" i="1"/>
  <c r="AY24" i="1"/>
  <c r="BP31" i="1"/>
  <c r="AP6" i="23" s="1"/>
  <c r="AP9" i="23" s="1"/>
  <c r="U44" i="6"/>
  <c r="AZ27" i="1" l="1"/>
  <c r="Z134" i="23" s="1"/>
  <c r="Z137" i="23" s="1"/>
  <c r="BA11" i="1"/>
  <c r="AZ24" i="1"/>
  <c r="BQ31" i="1"/>
  <c r="AQ6" i="23" s="1"/>
  <c r="AQ9" i="23" s="1"/>
  <c r="BA27" i="1" l="1"/>
  <c r="AA134" i="23" s="1"/>
  <c r="AA137" i="23" s="1"/>
  <c r="BB11" i="1"/>
  <c r="BA24" i="1"/>
  <c r="BR31" i="1"/>
  <c r="AR6" i="23" s="1"/>
  <c r="AR9" i="23" s="1"/>
  <c r="L25" i="3"/>
  <c r="L26" i="3"/>
  <c r="BB27" i="1" l="1"/>
  <c r="AB134" i="23" s="1"/>
  <c r="AB137" i="23" s="1"/>
  <c r="BC11" i="1"/>
  <c r="BB24" i="1"/>
  <c r="BS31" i="1"/>
  <c r="AS6" i="23" s="1"/>
  <c r="AS9" i="23" s="1"/>
  <c r="T44" i="6"/>
  <c r="C487" i="23"/>
  <c r="D487" i="23" s="1"/>
  <c r="E487" i="23" s="1"/>
  <c r="F487" i="23" s="1"/>
  <c r="G487" i="23" s="1"/>
  <c r="H487" i="23" s="1"/>
  <c r="I487" i="23" s="1"/>
  <c r="J487" i="23" s="1"/>
  <c r="K487" i="23" s="1"/>
  <c r="L487" i="23" s="1"/>
  <c r="M487" i="23" s="1"/>
  <c r="N487" i="23" s="1"/>
  <c r="O487" i="23" s="1"/>
  <c r="P487" i="23" s="1"/>
  <c r="Q487" i="23" s="1"/>
  <c r="R487" i="23" s="1"/>
  <c r="S487" i="23" s="1"/>
  <c r="T487" i="23" s="1"/>
  <c r="U487" i="23" s="1"/>
  <c r="V487" i="23" s="1"/>
  <c r="W487" i="23" s="1"/>
  <c r="X487" i="23" s="1"/>
  <c r="Y487" i="23" s="1"/>
  <c r="Z487" i="23" s="1"/>
  <c r="AA487" i="23" s="1"/>
  <c r="AB487" i="23" s="1"/>
  <c r="AC487" i="23" s="1"/>
  <c r="AD487" i="23" s="1"/>
  <c r="B347" i="23"/>
  <c r="B352" i="23" s="1"/>
  <c r="C347" i="23"/>
  <c r="C352" i="23" s="1"/>
  <c r="D347" i="23"/>
  <c r="D352" i="23" s="1"/>
  <c r="E347" i="23"/>
  <c r="E352" i="23" s="1"/>
  <c r="F347" i="23"/>
  <c r="F352" i="23" s="1"/>
  <c r="G347" i="23"/>
  <c r="G352" i="23" s="1"/>
  <c r="H347" i="23"/>
  <c r="H352" i="23" s="1"/>
  <c r="I347" i="23"/>
  <c r="I352" i="23" s="1"/>
  <c r="J347" i="23"/>
  <c r="J352" i="23" s="1"/>
  <c r="K347" i="23"/>
  <c r="K352" i="23" s="1"/>
  <c r="L347" i="23"/>
  <c r="L352" i="23" s="1"/>
  <c r="M347" i="23"/>
  <c r="M352" i="23" s="1"/>
  <c r="N347" i="23"/>
  <c r="N352" i="23" s="1"/>
  <c r="O347" i="23"/>
  <c r="O352" i="23" s="1"/>
  <c r="P347" i="23"/>
  <c r="P352" i="23" s="1"/>
  <c r="Q347" i="23"/>
  <c r="Q352" i="23" s="1"/>
  <c r="R347" i="23"/>
  <c r="R352" i="23" s="1"/>
  <c r="S347" i="23"/>
  <c r="S352" i="23" s="1"/>
  <c r="T347" i="23"/>
  <c r="T352" i="23" s="1"/>
  <c r="U347" i="23"/>
  <c r="U352" i="23" s="1"/>
  <c r="V347" i="23"/>
  <c r="V352" i="23" s="1"/>
  <c r="W347" i="23"/>
  <c r="W352" i="23" s="1"/>
  <c r="X347" i="23"/>
  <c r="X352" i="23" s="1"/>
  <c r="Y347" i="23"/>
  <c r="Y352" i="23" s="1"/>
  <c r="Z347" i="23"/>
  <c r="Z352" i="23" s="1"/>
  <c r="AA347" i="23"/>
  <c r="AA352" i="23" s="1"/>
  <c r="AB347" i="23"/>
  <c r="AB352" i="23" s="1"/>
  <c r="AC347" i="23"/>
  <c r="AC352" i="23" s="1"/>
  <c r="AE487" i="23" l="1"/>
  <c r="BC27" i="1"/>
  <c r="AC134" i="23" s="1"/>
  <c r="AC137" i="23" s="1"/>
  <c r="BD11" i="1"/>
  <c r="BC24" i="1"/>
  <c r="BT31" i="1"/>
  <c r="AT6" i="23" s="1"/>
  <c r="AT9" i="23" s="1"/>
  <c r="AF487" i="23" l="1"/>
  <c r="BD379" i="1"/>
  <c r="BD27" i="1"/>
  <c r="AD134" i="23" s="1"/>
  <c r="AD137" i="23" s="1"/>
  <c r="BE11" i="1"/>
  <c r="BD24" i="1"/>
  <c r="AD50" i="23" s="1"/>
  <c r="AD53" i="23" s="1"/>
  <c r="BU31" i="1"/>
  <c r="AU6" i="23" s="1"/>
  <c r="AU9" i="23" s="1"/>
  <c r="D82" i="20"/>
  <c r="E82" i="20"/>
  <c r="F82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137" i="20"/>
  <c r="X80" i="20" s="1"/>
  <c r="X138" i="20"/>
  <c r="X79" i="20" s="1"/>
  <c r="X139" i="20"/>
  <c r="X140" i="20"/>
  <c r="X141" i="20"/>
  <c r="X142" i="20"/>
  <c r="X143" i="20"/>
  <c r="X145" i="20"/>
  <c r="X146" i="20"/>
  <c r="X147" i="20"/>
  <c r="X82" i="20"/>
  <c r="V27" i="20"/>
  <c r="W21" i="20"/>
  <c r="X21" i="20"/>
  <c r="Y21" i="20"/>
  <c r="Z21" i="20"/>
  <c r="AA21" i="20"/>
  <c r="AB21" i="20"/>
  <c r="AC21" i="20"/>
  <c r="AD21" i="20"/>
  <c r="B395" i="23" s="1"/>
  <c r="AE21" i="20"/>
  <c r="C395" i="23" s="1"/>
  <c r="AF21" i="20"/>
  <c r="D395" i="23" s="1"/>
  <c r="AG21" i="20"/>
  <c r="E395" i="23" s="1"/>
  <c r="AH21" i="20"/>
  <c r="F395" i="23" s="1"/>
  <c r="AI21" i="20"/>
  <c r="G395" i="23" s="1"/>
  <c r="AJ21" i="20"/>
  <c r="H395" i="23" s="1"/>
  <c r="AK21" i="20"/>
  <c r="I395" i="23" s="1"/>
  <c r="AL21" i="20"/>
  <c r="J395" i="23" s="1"/>
  <c r="AM21" i="20"/>
  <c r="K395" i="23" s="1"/>
  <c r="AN21" i="20"/>
  <c r="L395" i="23" s="1"/>
  <c r="AO21" i="20"/>
  <c r="M395" i="23" s="1"/>
  <c r="AP21" i="20"/>
  <c r="N395" i="23" s="1"/>
  <c r="AQ21" i="20"/>
  <c r="O395" i="23" s="1"/>
  <c r="AR21" i="20"/>
  <c r="P395" i="23" s="1"/>
  <c r="AS21" i="20"/>
  <c r="Q395" i="23" s="1"/>
  <c r="AT21" i="20"/>
  <c r="R395" i="23" s="1"/>
  <c r="AU21" i="20"/>
  <c r="S395" i="23" s="1"/>
  <c r="AV21" i="20"/>
  <c r="T395" i="23" s="1"/>
  <c r="AW21" i="20"/>
  <c r="U395" i="23" s="1"/>
  <c r="AX21" i="20"/>
  <c r="V395" i="23" s="1"/>
  <c r="AY21" i="20"/>
  <c r="W395" i="23" s="1"/>
  <c r="AZ21" i="20"/>
  <c r="X395" i="23" s="1"/>
  <c r="BA21" i="20"/>
  <c r="Y395" i="23" s="1"/>
  <c r="BB21" i="20"/>
  <c r="Z395" i="23" s="1"/>
  <c r="BC21" i="20"/>
  <c r="AA395" i="23" s="1"/>
  <c r="BD21" i="20"/>
  <c r="AB395" i="23" s="1"/>
  <c r="BE21" i="20"/>
  <c r="AC395" i="23" s="1"/>
  <c r="W22" i="20"/>
  <c r="X22" i="20"/>
  <c r="Y22" i="20"/>
  <c r="Z22" i="20"/>
  <c r="AA22" i="20"/>
  <c r="AB22" i="20"/>
  <c r="AC22" i="20"/>
  <c r="AD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D22" i="20"/>
  <c r="AG487" i="23" l="1"/>
  <c r="BE27" i="1"/>
  <c r="AE134" i="23" s="1"/>
  <c r="AE137" i="23" s="1"/>
  <c r="BE379" i="1"/>
  <c r="BA41" i="6"/>
  <c r="BD372" i="1"/>
  <c r="AC398" i="23"/>
  <c r="AA398" i="23"/>
  <c r="W398" i="23"/>
  <c r="S398" i="23"/>
  <c r="O398" i="23"/>
  <c r="K398" i="23"/>
  <c r="G398" i="23"/>
  <c r="C398" i="23"/>
  <c r="Z398" i="23"/>
  <c r="V398" i="23"/>
  <c r="R398" i="23"/>
  <c r="N398" i="23"/>
  <c r="J398" i="23"/>
  <c r="F398" i="23"/>
  <c r="B398" i="23"/>
  <c r="Y398" i="23"/>
  <c r="U398" i="23"/>
  <c r="Q398" i="23"/>
  <c r="M398" i="23"/>
  <c r="I398" i="23"/>
  <c r="E398" i="23"/>
  <c r="AB398" i="23"/>
  <c r="X398" i="23"/>
  <c r="T398" i="23"/>
  <c r="P398" i="23"/>
  <c r="L398" i="23"/>
  <c r="H398" i="23"/>
  <c r="D398" i="23"/>
  <c r="BE24" i="1"/>
  <c r="AE50" i="23" s="1"/>
  <c r="AE53" i="23" s="1"/>
  <c r="BF11" i="1"/>
  <c r="BV31" i="1"/>
  <c r="AV6" i="23" s="1"/>
  <c r="AV9" i="23" s="1"/>
  <c r="AG89" i="20"/>
  <c r="AI89" i="20"/>
  <c r="AE89" i="20"/>
  <c r="AC89" i="20"/>
  <c r="AA89" i="20"/>
  <c r="Y89" i="20"/>
  <c r="AJ89" i="20"/>
  <c r="AF89" i="20"/>
  <c r="AB89" i="20"/>
  <c r="AH89" i="20"/>
  <c r="AD89" i="20"/>
  <c r="Z89" i="20"/>
  <c r="C82" i="20"/>
  <c r="V55" i="20"/>
  <c r="X148" i="20"/>
  <c r="X81" i="20"/>
  <c r="AH487" i="23" l="1"/>
  <c r="BF379" i="1"/>
  <c r="BF27" i="1"/>
  <c r="AF134" i="23" s="1"/>
  <c r="AF137" i="23" s="1"/>
  <c r="BB41" i="6"/>
  <c r="BE372" i="1"/>
  <c r="BF24" i="1"/>
  <c r="AF50" i="23" s="1"/>
  <c r="AF53" i="23" s="1"/>
  <c r="BG11" i="1"/>
  <c r="BW31" i="1"/>
  <c r="AW6" i="23" s="1"/>
  <c r="AW9" i="23" s="1"/>
  <c r="D118" i="20"/>
  <c r="D85" i="20" s="1"/>
  <c r="E118" i="20"/>
  <c r="E85" i="20" s="1"/>
  <c r="F118" i="20"/>
  <c r="F85" i="20" s="1"/>
  <c r="G118" i="20"/>
  <c r="G85" i="20" s="1"/>
  <c r="H118" i="20"/>
  <c r="H85" i="20" s="1"/>
  <c r="I118" i="20"/>
  <c r="I85" i="20" s="1"/>
  <c r="J118" i="20"/>
  <c r="J85" i="20" s="1"/>
  <c r="K118" i="20"/>
  <c r="K85" i="20" s="1"/>
  <c r="L118" i="20"/>
  <c r="L85" i="20" s="1"/>
  <c r="M118" i="20"/>
  <c r="M85" i="20" s="1"/>
  <c r="N118" i="20"/>
  <c r="N85" i="20" s="1"/>
  <c r="O118" i="20"/>
  <c r="O85" i="20" s="1"/>
  <c r="P118" i="20"/>
  <c r="P85" i="20" s="1"/>
  <c r="Q118" i="20"/>
  <c r="Q85" i="20" s="1"/>
  <c r="R118" i="20"/>
  <c r="R85" i="20" s="1"/>
  <c r="S118" i="20"/>
  <c r="S85" i="20" s="1"/>
  <c r="T118" i="20"/>
  <c r="T85" i="20" s="1"/>
  <c r="U118" i="20"/>
  <c r="U85" i="20" s="1"/>
  <c r="U86" i="20" s="1"/>
  <c r="V118" i="20"/>
  <c r="V85" i="20" s="1"/>
  <c r="V86" i="20" s="1"/>
  <c r="W118" i="20"/>
  <c r="W85" i="20" s="1"/>
  <c r="W86" i="20" s="1"/>
  <c r="X118" i="20"/>
  <c r="X85" i="20" s="1"/>
  <c r="X86" i="20" s="1"/>
  <c r="D130" i="20"/>
  <c r="D132" i="20" s="1"/>
  <c r="E130" i="20"/>
  <c r="E132" i="20" s="1"/>
  <c r="F130" i="20"/>
  <c r="F132" i="20" s="1"/>
  <c r="G130" i="20"/>
  <c r="G132" i="20" s="1"/>
  <c r="H130" i="20"/>
  <c r="H132" i="20" s="1"/>
  <c r="I130" i="20"/>
  <c r="I132" i="20" s="1"/>
  <c r="J130" i="20"/>
  <c r="J132" i="20" s="1"/>
  <c r="K130" i="20"/>
  <c r="K132" i="20" s="1"/>
  <c r="L130" i="20"/>
  <c r="L132" i="20" s="1"/>
  <c r="M130" i="20"/>
  <c r="M132" i="20" s="1"/>
  <c r="N130" i="20"/>
  <c r="N132" i="20" s="1"/>
  <c r="O130" i="20"/>
  <c r="O132" i="20" s="1"/>
  <c r="P130" i="20"/>
  <c r="P132" i="20" s="1"/>
  <c r="Q130" i="20"/>
  <c r="Q132" i="20" s="1"/>
  <c r="R130" i="20"/>
  <c r="R132" i="20" s="1"/>
  <c r="S130" i="20"/>
  <c r="S132" i="20" s="1"/>
  <c r="T130" i="20"/>
  <c r="T132" i="20" s="1"/>
  <c r="U130" i="20"/>
  <c r="U132" i="20" s="1"/>
  <c r="V130" i="20"/>
  <c r="V132" i="20" s="1"/>
  <c r="W130" i="20"/>
  <c r="W132" i="20" s="1"/>
  <c r="X130" i="20"/>
  <c r="X132" i="20" s="1"/>
  <c r="AI487" i="23" l="1"/>
  <c r="BC41" i="6"/>
  <c r="BF372" i="1"/>
  <c r="BG379" i="1"/>
  <c r="BG27" i="1"/>
  <c r="AG134" i="23" s="1"/>
  <c r="AG137" i="23" s="1"/>
  <c r="BH11" i="1"/>
  <c r="BG24" i="1"/>
  <c r="AG50" i="23" s="1"/>
  <c r="AG53" i="23" s="1"/>
  <c r="BX31" i="1"/>
  <c r="AX6" i="23" s="1"/>
  <c r="AX9" i="23" s="1"/>
  <c r="X83" i="20"/>
  <c r="D147" i="20"/>
  <c r="E147" i="20"/>
  <c r="F147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X120" i="20"/>
  <c r="AJ487" i="23" l="1"/>
  <c r="BD41" i="6"/>
  <c r="BG372" i="1"/>
  <c r="BH379" i="1"/>
  <c r="BH27" i="1"/>
  <c r="AH134" i="23" s="1"/>
  <c r="AH137" i="23" s="1"/>
  <c r="BH24" i="1"/>
  <c r="AH50" i="23" s="1"/>
  <c r="AH53" i="23" s="1"/>
  <c r="BI11" i="1"/>
  <c r="Q164" i="20"/>
  <c r="I164" i="20"/>
  <c r="BY31" i="1"/>
  <c r="AY6" i="23" s="1"/>
  <c r="AY9" i="23" s="1"/>
  <c r="M164" i="20"/>
  <c r="E164" i="20"/>
  <c r="T164" i="20"/>
  <c r="P164" i="20"/>
  <c r="L164" i="20"/>
  <c r="H164" i="20"/>
  <c r="R164" i="20"/>
  <c r="N164" i="20"/>
  <c r="J164" i="20"/>
  <c r="F164" i="20"/>
  <c r="S164" i="20"/>
  <c r="O164" i="20"/>
  <c r="K164" i="20"/>
  <c r="G164" i="20"/>
  <c r="C118" i="20"/>
  <c r="C85" i="20" s="1"/>
  <c r="C130" i="20"/>
  <c r="C132" i="20" s="1"/>
  <c r="C147" i="20"/>
  <c r="D164" i="20" s="1"/>
  <c r="AK487" i="23" l="1"/>
  <c r="BI27" i="1"/>
  <c r="AI134" i="23" s="1"/>
  <c r="AI137" i="23" s="1"/>
  <c r="BI379" i="1"/>
  <c r="BE41" i="6"/>
  <c r="BH372" i="1"/>
  <c r="BJ11" i="1"/>
  <c r="BI24" i="1"/>
  <c r="AI50" i="23" s="1"/>
  <c r="AI53" i="23" s="1"/>
  <c r="BZ31" i="1"/>
  <c r="AZ6" i="23" s="1"/>
  <c r="AZ9" i="23" s="1"/>
  <c r="W39" i="7"/>
  <c r="AL487" i="23" l="1"/>
  <c r="BF41" i="6"/>
  <c r="BI372" i="1"/>
  <c r="BJ379" i="1"/>
  <c r="BJ27" i="1"/>
  <c r="AJ134" i="23" s="1"/>
  <c r="AJ137" i="23" s="1"/>
  <c r="BK11" i="1"/>
  <c r="BJ24" i="1"/>
  <c r="AJ50" i="23" s="1"/>
  <c r="AJ53" i="23" s="1"/>
  <c r="CA31" i="1"/>
  <c r="BA6" i="23" s="1"/>
  <c r="BA9" i="23" s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AM487" i="23" l="1"/>
  <c r="BG41" i="6"/>
  <c r="BJ372" i="1"/>
  <c r="BK379" i="1"/>
  <c r="BK27" i="1"/>
  <c r="AK134" i="23" s="1"/>
  <c r="AK137" i="23" s="1"/>
  <c r="BL11" i="1"/>
  <c r="BK24" i="1"/>
  <c r="AK50" i="23" s="1"/>
  <c r="AK53" i="23" s="1"/>
  <c r="CB31" i="1"/>
  <c r="BB6" i="23" s="1"/>
  <c r="BB9" i="23" s="1"/>
  <c r="L72" i="3"/>
  <c r="L71" i="3"/>
  <c r="L70" i="3"/>
  <c r="L58" i="3"/>
  <c r="L57" i="3"/>
  <c r="AN487" i="23" l="1"/>
  <c r="BL379" i="1"/>
  <c r="BL27" i="1"/>
  <c r="AL134" i="23" s="1"/>
  <c r="AL137" i="23" s="1"/>
  <c r="BH41" i="6"/>
  <c r="BK372" i="1"/>
  <c r="L73" i="3"/>
  <c r="BM11" i="1"/>
  <c r="BL24" i="1"/>
  <c r="AL50" i="23" s="1"/>
  <c r="AL53" i="23" s="1"/>
  <c r="CC31" i="1"/>
  <c r="BC6" i="23" s="1"/>
  <c r="BC9" i="23" s="1"/>
  <c r="G92" i="23"/>
  <c r="V25" i="1"/>
  <c r="V27" i="1" s="1"/>
  <c r="V14" i="1"/>
  <c r="AO487" i="23" l="1"/>
  <c r="BI41" i="6"/>
  <c r="BL372" i="1"/>
  <c r="BM379" i="1"/>
  <c r="BM27" i="1"/>
  <c r="AM134" i="23" s="1"/>
  <c r="AM137" i="23" s="1"/>
  <c r="BN11" i="1"/>
  <c r="BN27" i="1" s="1"/>
  <c r="AN134" i="23" s="1"/>
  <c r="AN137" i="23" s="1"/>
  <c r="BM24" i="1"/>
  <c r="AM50" i="23" s="1"/>
  <c r="AM53" i="23" s="1"/>
  <c r="CD31" i="1"/>
  <c r="BD6" i="23" s="1"/>
  <c r="BD9" i="23" s="1"/>
  <c r="H92" i="23"/>
  <c r="S44" i="6"/>
  <c r="AP487" i="23" l="1"/>
  <c r="BJ41" i="6"/>
  <c r="BM372" i="1"/>
  <c r="BN24" i="1"/>
  <c r="AN50" i="23" s="1"/>
  <c r="AN53" i="23" s="1"/>
  <c r="BO11" i="1"/>
  <c r="BO27" i="1" s="1"/>
  <c r="AO134" i="23" s="1"/>
  <c r="AO137" i="23" s="1"/>
  <c r="CE31" i="1"/>
  <c r="BE6" i="23" s="1"/>
  <c r="BE9" i="23" s="1"/>
  <c r="I92" i="23"/>
  <c r="V37" i="20"/>
  <c r="V38" i="20"/>
  <c r="V39" i="20"/>
  <c r="V40" i="20"/>
  <c r="V41" i="20"/>
  <c r="V42" i="20"/>
  <c r="V43" i="20"/>
  <c r="AQ487" i="23" l="1"/>
  <c r="BO24" i="1"/>
  <c r="AO50" i="23" s="1"/>
  <c r="AO53" i="23" s="1"/>
  <c r="BP11" i="1"/>
  <c r="BP27" i="1" s="1"/>
  <c r="AP134" i="23" s="1"/>
  <c r="AP137" i="23" s="1"/>
  <c r="CF31" i="1"/>
  <c r="BF6" i="23" s="1"/>
  <c r="BF9" i="23" s="1"/>
  <c r="J92" i="23"/>
  <c r="V54" i="20"/>
  <c r="V53" i="20"/>
  <c r="V52" i="20"/>
  <c r="C120" i="20"/>
  <c r="D120" i="20"/>
  <c r="E120" i="20"/>
  <c r="F120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AR487" i="23" l="1"/>
  <c r="BQ11" i="1"/>
  <c r="BQ27" i="1" s="1"/>
  <c r="AQ134" i="23" s="1"/>
  <c r="AQ137" i="23" s="1"/>
  <c r="BP24" i="1"/>
  <c r="AP50" i="23" s="1"/>
  <c r="AP53" i="23" s="1"/>
  <c r="CG31" i="1"/>
  <c r="BG6" i="23" s="1"/>
  <c r="BG9" i="23" s="1"/>
  <c r="K92" i="23"/>
  <c r="W120" i="20"/>
  <c r="AS487" i="23" l="1"/>
  <c r="BR11" i="1"/>
  <c r="BR27" i="1" s="1"/>
  <c r="AR134" i="23" s="1"/>
  <c r="AR137" i="23" s="1"/>
  <c r="BQ24" i="1"/>
  <c r="AQ50" i="23" s="1"/>
  <c r="AQ53" i="23" s="1"/>
  <c r="CH31" i="1"/>
  <c r="BH6" i="23" s="1"/>
  <c r="BH9" i="23" s="1"/>
  <c r="L92" i="23"/>
  <c r="U27" i="20"/>
  <c r="AD14" i="1"/>
  <c r="AE14" i="1"/>
  <c r="AF14" i="1"/>
  <c r="AH14" i="1"/>
  <c r="AI14" i="1"/>
  <c r="AT487" i="23" l="1"/>
  <c r="BS11" i="1"/>
  <c r="BS27" i="1" s="1"/>
  <c r="AS134" i="23" s="1"/>
  <c r="AS137" i="23" s="1"/>
  <c r="BR24" i="1"/>
  <c r="AR50" i="23" s="1"/>
  <c r="AR53" i="23" s="1"/>
  <c r="CI31" i="1"/>
  <c r="BI6" i="23" s="1"/>
  <c r="BI9" i="23" s="1"/>
  <c r="M92" i="23"/>
  <c r="U55" i="20"/>
  <c r="V63" i="20"/>
  <c r="V74" i="20" s="1"/>
  <c r="K26" i="3"/>
  <c r="K25" i="3"/>
  <c r="AU487" i="23" l="1"/>
  <c r="BT11" i="1"/>
  <c r="BT27" i="1" s="1"/>
  <c r="AT134" i="23" s="1"/>
  <c r="AT137" i="23" s="1"/>
  <c r="BS24" i="1"/>
  <c r="AS50" i="23" s="1"/>
  <c r="AS53" i="23" s="1"/>
  <c r="CJ31" i="1"/>
  <c r="BJ6" i="23" s="1"/>
  <c r="BJ9" i="23" s="1"/>
  <c r="N92" i="23"/>
  <c r="AV487" i="23" l="1"/>
  <c r="BU11" i="1"/>
  <c r="BU27" i="1" s="1"/>
  <c r="AU134" i="23" s="1"/>
  <c r="AU137" i="23" s="1"/>
  <c r="BT24" i="1"/>
  <c r="AT50" i="23" s="1"/>
  <c r="AT53" i="23" s="1"/>
  <c r="CK31" i="1"/>
  <c r="BK6" i="23" s="1"/>
  <c r="BK9" i="23" s="1"/>
  <c r="O92" i="23"/>
  <c r="H50" i="23"/>
  <c r="R44" i="6"/>
  <c r="U14" i="1"/>
  <c r="AW487" i="23" l="1"/>
  <c r="BV11" i="1"/>
  <c r="BV27" i="1" s="1"/>
  <c r="AV134" i="23" s="1"/>
  <c r="AV137" i="23" s="1"/>
  <c r="BU24" i="1"/>
  <c r="AU50" i="23" s="1"/>
  <c r="AU53" i="23" s="1"/>
  <c r="CL31" i="1"/>
  <c r="BL6" i="23" s="1"/>
  <c r="BL9" i="23" s="1"/>
  <c r="P92" i="23"/>
  <c r="I50" i="23"/>
  <c r="U25" i="1"/>
  <c r="U27" i="1" s="1"/>
  <c r="AX487" i="23" l="1"/>
  <c r="BV24" i="1"/>
  <c r="AV50" i="23" s="1"/>
  <c r="AV53" i="23" s="1"/>
  <c r="BW11" i="1"/>
  <c r="BW27" i="1" s="1"/>
  <c r="AW134" i="23" s="1"/>
  <c r="AW137" i="23" s="1"/>
  <c r="CM31" i="1"/>
  <c r="BM6" i="23" s="1"/>
  <c r="BM9" i="23" s="1"/>
  <c r="Q92" i="23"/>
  <c r="J50" i="23"/>
  <c r="W137" i="20"/>
  <c r="W80" i="20" s="1"/>
  <c r="AY487" i="23" l="1"/>
  <c r="BX11" i="1"/>
  <c r="BX27" i="1" s="1"/>
  <c r="AX134" i="23" s="1"/>
  <c r="AX137" i="23" s="1"/>
  <c r="BW24" i="1"/>
  <c r="AW50" i="23" s="1"/>
  <c r="AW53" i="23" s="1"/>
  <c r="CN31" i="1"/>
  <c r="BN6" i="23" s="1"/>
  <c r="BN9" i="23" s="1"/>
  <c r="R92" i="23"/>
  <c r="K50" i="23"/>
  <c r="W138" i="20"/>
  <c r="W79" i="20" s="1"/>
  <c r="W139" i="20"/>
  <c r="W140" i="20"/>
  <c r="W81" i="20" s="1"/>
  <c r="W141" i="20"/>
  <c r="W142" i="20"/>
  <c r="W143" i="20"/>
  <c r="W145" i="20"/>
  <c r="W146" i="20"/>
  <c r="W147" i="20"/>
  <c r="AZ487" i="23" l="1"/>
  <c r="BY11" i="1"/>
  <c r="BY27" i="1" s="1"/>
  <c r="AY134" i="23" s="1"/>
  <c r="AY137" i="23" s="1"/>
  <c r="BX24" i="1"/>
  <c r="AX50" i="23" s="1"/>
  <c r="AX53" i="23" s="1"/>
  <c r="CO31" i="1"/>
  <c r="BO6" i="23" s="1"/>
  <c r="BO9" i="23" s="1"/>
  <c r="S92" i="23"/>
  <c r="L50" i="23"/>
  <c r="W83" i="20"/>
  <c r="X64" i="20" s="1"/>
  <c r="W148" i="20"/>
  <c r="BA487" i="23" l="1"/>
  <c r="BZ11" i="1"/>
  <c r="BZ27" i="1" s="1"/>
  <c r="AZ134" i="23" s="1"/>
  <c r="AZ137" i="23" s="1"/>
  <c r="BY24" i="1"/>
  <c r="AY50" i="23" s="1"/>
  <c r="AY53" i="23" s="1"/>
  <c r="CP31" i="1"/>
  <c r="BP6" i="23" s="1"/>
  <c r="BP9" i="23" s="1"/>
  <c r="T92" i="23"/>
  <c r="M50" i="23"/>
  <c r="U288" i="1"/>
  <c r="T303" i="1"/>
  <c r="U303" i="1"/>
  <c r="S303" i="1"/>
  <c r="T301" i="1"/>
  <c r="U301" i="1"/>
  <c r="S301" i="1"/>
  <c r="U295" i="1"/>
  <c r="T295" i="1"/>
  <c r="U289" i="1"/>
  <c r="U287" i="1"/>
  <c r="U286" i="1"/>
  <c r="T286" i="1"/>
  <c r="BB487" i="23" l="1"/>
  <c r="CA11" i="1"/>
  <c r="CA27" i="1" s="1"/>
  <c r="BA134" i="23" s="1"/>
  <c r="BA137" i="23" s="1"/>
  <c r="BZ24" i="1"/>
  <c r="AZ50" i="23" s="1"/>
  <c r="AZ53" i="23" s="1"/>
  <c r="CQ31" i="1"/>
  <c r="BQ6" i="23" s="1"/>
  <c r="BQ9" i="23" s="1"/>
  <c r="U92" i="23"/>
  <c r="N50" i="23"/>
  <c r="K57" i="3"/>
  <c r="K58" i="3"/>
  <c r="BC487" i="23" l="1"/>
  <c r="CB11" i="1"/>
  <c r="CB27" i="1" s="1"/>
  <c r="BB134" i="23" s="1"/>
  <c r="BB137" i="23" s="1"/>
  <c r="CA24" i="1"/>
  <c r="BA50" i="23" s="1"/>
  <c r="BA53" i="23" s="1"/>
  <c r="V92" i="23"/>
  <c r="O50" i="23"/>
  <c r="K72" i="3"/>
  <c r="K71" i="3"/>
  <c r="K70" i="3"/>
  <c r="BD487" i="23" l="1"/>
  <c r="CC11" i="1"/>
  <c r="CC27" i="1" s="1"/>
  <c r="BC134" i="23" s="1"/>
  <c r="BC137" i="23" s="1"/>
  <c r="CB24" i="1"/>
  <c r="BB50" i="23" s="1"/>
  <c r="BB53" i="23" s="1"/>
  <c r="W92" i="23"/>
  <c r="P50" i="23"/>
  <c r="K73" i="3"/>
  <c r="BE487" i="23" l="1"/>
  <c r="CC24" i="1"/>
  <c r="BC50" i="23" s="1"/>
  <c r="BC53" i="23" s="1"/>
  <c r="CD11" i="1"/>
  <c r="CD27" i="1" s="1"/>
  <c r="BD134" i="23" s="1"/>
  <c r="BD137" i="23" s="1"/>
  <c r="X92" i="23"/>
  <c r="Q50" i="23"/>
  <c r="V137" i="20"/>
  <c r="V80" i="20" s="1"/>
  <c r="BF487" i="23" l="1"/>
  <c r="CE11" i="1"/>
  <c r="CE27" i="1" s="1"/>
  <c r="BE134" i="23" s="1"/>
  <c r="BE137" i="23" s="1"/>
  <c r="CD24" i="1"/>
  <c r="BD50" i="23" s="1"/>
  <c r="BD53" i="23" s="1"/>
  <c r="Y92" i="23"/>
  <c r="R50" i="23"/>
  <c r="W154" i="20"/>
  <c r="T143" i="1"/>
  <c r="BG487" i="23" l="1"/>
  <c r="CF11" i="1"/>
  <c r="CF27" i="1" s="1"/>
  <c r="BF134" i="23" s="1"/>
  <c r="BF137" i="23" s="1"/>
  <c r="CE24" i="1"/>
  <c r="BE50" i="23" s="1"/>
  <c r="BE53" i="23" s="1"/>
  <c r="Z92" i="23"/>
  <c r="S50" i="23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BH487" i="23" l="1"/>
  <c r="CF24" i="1"/>
  <c r="BF50" i="23" s="1"/>
  <c r="BF53" i="23" s="1"/>
  <c r="CG11" i="1"/>
  <c r="CG27" i="1" s="1"/>
  <c r="BG134" i="23" s="1"/>
  <c r="BG137" i="23" s="1"/>
  <c r="AA92" i="23"/>
  <c r="T50" i="23"/>
  <c r="T32" i="20"/>
  <c r="BI487" i="23" l="1"/>
  <c r="R15" i="1"/>
  <c r="T86" i="20"/>
  <c r="CH11" i="1"/>
  <c r="CH27" i="1" s="1"/>
  <c r="BH134" i="23" s="1"/>
  <c r="BH137" i="23" s="1"/>
  <c r="CG24" i="1"/>
  <c r="BG50" i="23" s="1"/>
  <c r="BG53" i="23" s="1"/>
  <c r="AB92" i="23"/>
  <c r="U50" i="23"/>
  <c r="T27" i="20"/>
  <c r="U30" i="1"/>
  <c r="BJ487" i="23" l="1"/>
  <c r="CI11" i="1"/>
  <c r="CI27" i="1" s="1"/>
  <c r="BI134" i="23" s="1"/>
  <c r="BI137" i="23" s="1"/>
  <c r="CH24" i="1"/>
  <c r="BH50" i="23" s="1"/>
  <c r="BH53" i="23" s="1"/>
  <c r="AC92" i="23"/>
  <c r="V50" i="23"/>
  <c r="P44" i="6"/>
  <c r="Q44" i="6"/>
  <c r="T55" i="20"/>
  <c r="U63" i="20"/>
  <c r="U74" i="20" s="1"/>
  <c r="BK487" i="23" l="1"/>
  <c r="CI24" i="1"/>
  <c r="BI50" i="23" s="1"/>
  <c r="BI53" i="23" s="1"/>
  <c r="CJ11" i="1"/>
  <c r="CJ27" i="1" s="1"/>
  <c r="BJ134" i="23" s="1"/>
  <c r="BJ137" i="23" s="1"/>
  <c r="W50" i="23"/>
  <c r="S32" i="20"/>
  <c r="BL487" i="23" l="1"/>
  <c r="Q15" i="1"/>
  <c r="S86" i="20"/>
  <c r="CK11" i="1"/>
  <c r="CK27" i="1" s="1"/>
  <c r="BK134" i="23" s="1"/>
  <c r="BK137" i="23" s="1"/>
  <c r="CJ24" i="1"/>
  <c r="BJ50" i="23" s="1"/>
  <c r="BJ53" i="23" s="1"/>
  <c r="X50" i="23"/>
  <c r="W27" i="20"/>
  <c r="S27" i="20"/>
  <c r="X40" i="20"/>
  <c r="W38" i="20"/>
  <c r="W46" i="20"/>
  <c r="BM487" i="23" l="1"/>
  <c r="CK24" i="1"/>
  <c r="BK50" i="23" s="1"/>
  <c r="BK53" i="23" s="1"/>
  <c r="CL11" i="1"/>
  <c r="CL27" i="1" s="1"/>
  <c r="BL134" i="23" s="1"/>
  <c r="BL137" i="23" s="1"/>
  <c r="Y50" i="23"/>
  <c r="S55" i="20"/>
  <c r="T63" i="20"/>
  <c r="T74" i="20" s="1"/>
  <c r="W52" i="20"/>
  <c r="W60" i="20"/>
  <c r="W71" i="20" s="1"/>
  <c r="X27" i="20"/>
  <c r="X63" i="20" s="1"/>
  <c r="W55" i="20"/>
  <c r="W63" i="20"/>
  <c r="W74" i="20" s="1"/>
  <c r="W48" i="20"/>
  <c r="BN487" i="23" l="1"/>
  <c r="CM11" i="1"/>
  <c r="CM27" i="1" s="1"/>
  <c r="BM134" i="23" s="1"/>
  <c r="BM137" i="23" s="1"/>
  <c r="CL24" i="1"/>
  <c r="BL50" i="23" s="1"/>
  <c r="BL53" i="23" s="1"/>
  <c r="Z50" i="23"/>
  <c r="O44" i="6"/>
  <c r="O84" i="6" s="1"/>
  <c r="X55" i="20"/>
  <c r="X74" i="20"/>
  <c r="BO487" i="23" l="1"/>
  <c r="CN11" i="1"/>
  <c r="CN27" i="1" s="1"/>
  <c r="BN134" i="23" s="1"/>
  <c r="BN137" i="23" s="1"/>
  <c r="CM24" i="1"/>
  <c r="BM50" i="23" s="1"/>
  <c r="BM53" i="23" s="1"/>
  <c r="AA50" i="23"/>
  <c r="N44" i="6"/>
  <c r="N84" i="6" s="1"/>
  <c r="BP487" i="23" l="1"/>
  <c r="CO11" i="1"/>
  <c r="CO27" i="1" s="1"/>
  <c r="BO134" i="23" s="1"/>
  <c r="BO137" i="23" s="1"/>
  <c r="CN24" i="1"/>
  <c r="BN50" i="23" s="1"/>
  <c r="BN53" i="23" s="1"/>
  <c r="AB50" i="23"/>
  <c r="M44" i="6"/>
  <c r="M84" i="6" s="1"/>
  <c r="L44" i="6"/>
  <c r="L84" i="6" s="1"/>
  <c r="BQ487" i="23" l="1"/>
  <c r="CP11" i="1"/>
  <c r="CP27" i="1" s="1"/>
  <c r="BP134" i="23" s="1"/>
  <c r="BP137" i="23" s="1"/>
  <c r="CO24" i="1"/>
  <c r="BO50" i="23" s="1"/>
  <c r="BO53" i="23" s="1"/>
  <c r="AC50" i="23"/>
  <c r="L60" i="3"/>
  <c r="CQ11" i="1" l="1"/>
  <c r="CQ27" i="1" s="1"/>
  <c r="BQ134" i="23" s="1"/>
  <c r="BQ137" i="23" s="1"/>
  <c r="CP24" i="1"/>
  <c r="BP50" i="23" s="1"/>
  <c r="BP53" i="23" s="1"/>
  <c r="K44" i="6"/>
  <c r="K84" i="6" s="1"/>
  <c r="T293" i="1"/>
  <c r="CQ24" i="1" l="1"/>
  <c r="BQ50" i="23" s="1"/>
  <c r="BQ53" i="23" s="1"/>
  <c r="J44" i="6"/>
  <c r="J84" i="6" s="1"/>
  <c r="S288" i="1"/>
  <c r="I44" i="6" l="1"/>
  <c r="I84" i="6" s="1"/>
  <c r="V146" i="20"/>
  <c r="W163" i="20" s="1"/>
  <c r="U34" i="1" l="1"/>
  <c r="U81" i="1" l="1"/>
  <c r="U169" i="1"/>
  <c r="U122" i="1" l="1"/>
  <c r="M286" i="1" l="1"/>
  <c r="N286" i="1"/>
  <c r="O286" i="1"/>
  <c r="P286" i="1"/>
  <c r="Q286" i="1"/>
  <c r="R286" i="1"/>
  <c r="S286" i="1"/>
  <c r="M287" i="1"/>
  <c r="N287" i="1"/>
  <c r="O287" i="1"/>
  <c r="P287" i="1"/>
  <c r="Q287" i="1"/>
  <c r="R287" i="1"/>
  <c r="S287" i="1"/>
  <c r="T287" i="1"/>
  <c r="M288" i="1"/>
  <c r="N288" i="1"/>
  <c r="O288" i="1"/>
  <c r="P288" i="1"/>
  <c r="Q288" i="1"/>
  <c r="R288" i="1"/>
  <c r="T288" i="1"/>
  <c r="M289" i="1"/>
  <c r="N289" i="1"/>
  <c r="O289" i="1"/>
  <c r="P289" i="1"/>
  <c r="Q289" i="1"/>
  <c r="R289" i="1"/>
  <c r="S289" i="1"/>
  <c r="T289" i="1"/>
  <c r="L289" i="1"/>
  <c r="L288" i="1"/>
  <c r="L287" i="1"/>
  <c r="L286" i="1"/>
  <c r="V138" i="20" l="1"/>
  <c r="V79" i="20" s="1"/>
  <c r="V139" i="20"/>
  <c r="W156" i="20" s="1"/>
  <c r="V140" i="20"/>
  <c r="V81" i="20" s="1"/>
  <c r="V141" i="20"/>
  <c r="W158" i="20" s="1"/>
  <c r="V142" i="20"/>
  <c r="W159" i="20" s="1"/>
  <c r="V143" i="20"/>
  <c r="W160" i="20" s="1"/>
  <c r="V145" i="20"/>
  <c r="W162" i="20" s="1"/>
  <c r="V147" i="20"/>
  <c r="W164" i="20" s="1"/>
  <c r="U137" i="20"/>
  <c r="U80" i="20" s="1"/>
  <c r="V83" i="20" l="1"/>
  <c r="V154" i="20"/>
  <c r="V148" i="20"/>
  <c r="V149" i="20" s="1"/>
  <c r="W157" i="20"/>
  <c r="W155" i="20"/>
  <c r="W64" i="20" l="1"/>
  <c r="W75" i="20" s="1"/>
  <c r="T56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14" i="1" l="1"/>
  <c r="T25" i="1"/>
  <c r="T27" i="1" s="1"/>
  <c r="U33" i="1"/>
  <c r="U80" i="1" s="1"/>
  <c r="U121" i="1" l="1"/>
  <c r="T34" i="1"/>
  <c r="T81" i="1" s="1"/>
  <c r="T30" i="1"/>
  <c r="T33" i="1"/>
  <c r="T80" i="1" s="1"/>
  <c r="D8" i="24" l="1"/>
  <c r="T8" i="1" s="1"/>
  <c r="T36" i="1" l="1"/>
  <c r="T82" i="1" s="1"/>
  <c r="T83" i="1" s="1"/>
  <c r="T79" i="1" s="1"/>
  <c r="T26" i="1"/>
  <c r="T123" i="1" l="1"/>
  <c r="S25" i="1"/>
  <c r="S27" i="1" s="1"/>
  <c r="S34" i="1" l="1"/>
  <c r="U41" i="1" l="1"/>
  <c r="U129" i="1" s="1"/>
  <c r="S81" i="1"/>
  <c r="S41" i="1"/>
  <c r="T41" i="1"/>
  <c r="T121" i="1"/>
  <c r="U48" i="1" l="1"/>
  <c r="J26" i="3" l="1"/>
  <c r="J58" i="3" s="1"/>
  <c r="J25" i="3"/>
  <c r="J57" i="3" s="1"/>
  <c r="J71" i="3"/>
  <c r="J70" i="3"/>
  <c r="S30" i="6" l="1"/>
  <c r="R30" i="6"/>
  <c r="R354" i="1"/>
  <c r="Q354" i="1"/>
  <c r="T46" i="20"/>
  <c r="R32" i="20"/>
  <c r="Q168" i="1"/>
  <c r="R110" i="1"/>
  <c r="R111" i="1"/>
  <c r="S19" i="1"/>
  <c r="Q19" i="1"/>
  <c r="Q110" i="1" s="1"/>
  <c r="S56" i="1"/>
  <c r="P15" i="1" l="1"/>
  <c r="R86" i="20"/>
  <c r="R27" i="20"/>
  <c r="T48" i="20"/>
  <c r="W36" i="20"/>
  <c r="U46" i="20"/>
  <c r="U65" i="20" s="1"/>
  <c r="U41" i="20"/>
  <c r="P19" i="1"/>
  <c r="P110" i="1" s="1"/>
  <c r="S110" i="1"/>
  <c r="T19" i="1"/>
  <c r="S111" i="1"/>
  <c r="Q111" i="1"/>
  <c r="R55" i="20" l="1"/>
  <c r="S63" i="20"/>
  <c r="S74" i="20" s="1"/>
  <c r="U48" i="20"/>
  <c r="V36" i="20"/>
  <c r="V57" i="20" s="1"/>
  <c r="V56" i="20" s="1"/>
  <c r="V46" i="20"/>
  <c r="P111" i="1"/>
  <c r="O19" i="1"/>
  <c r="O110" i="1" s="1"/>
  <c r="T111" i="1"/>
  <c r="T110" i="1"/>
  <c r="V65" i="20" l="1"/>
  <c r="W65" i="20"/>
  <c r="V48" i="20"/>
  <c r="N19" i="1"/>
  <c r="M19" i="1" s="1"/>
  <c r="O111" i="1"/>
  <c r="N110" i="1" l="1"/>
  <c r="N111" i="1"/>
  <c r="L19" i="1"/>
  <c r="M110" i="1"/>
  <c r="M111" i="1"/>
  <c r="F8" i="24"/>
  <c r="E8" i="24"/>
  <c r="V30" i="1" l="1"/>
  <c r="V33" i="1"/>
  <c r="V80" i="1" s="1"/>
  <c r="K19" i="1"/>
  <c r="L111" i="1"/>
  <c r="L110" i="1"/>
  <c r="T37" i="1" l="1"/>
  <c r="J19" i="1"/>
  <c r="K110" i="1"/>
  <c r="K111" i="1"/>
  <c r="J111" i="1" l="1"/>
  <c r="J110" i="1"/>
  <c r="W33" i="1"/>
  <c r="W80" i="1" s="1"/>
  <c r="X34" i="1"/>
  <c r="X41" i="1" l="1"/>
  <c r="X81" i="1"/>
  <c r="V44" i="6" l="1"/>
  <c r="U138" i="20" l="1"/>
  <c r="U79" i="20" s="1"/>
  <c r="S364" i="1"/>
  <c r="R356" i="1"/>
  <c r="P356" i="1"/>
  <c r="V155" i="20" l="1"/>
  <c r="R25" i="1" l="1"/>
  <c r="R27" i="1" s="1"/>
  <c r="V169" i="1"/>
  <c r="Q34" i="1"/>
  <c r="Q81" i="1" s="1"/>
  <c r="T169" i="1"/>
  <c r="Q122" i="1" l="1"/>
  <c r="Q41" i="1"/>
  <c r="Z50" i="7" l="1"/>
  <c r="Z52" i="7" l="1"/>
  <c r="C8" i="24"/>
  <c r="S8" i="1" s="1"/>
  <c r="S26" i="1" s="1"/>
  <c r="U139" i="20" l="1"/>
  <c r="U140" i="20"/>
  <c r="U81" i="20" s="1"/>
  <c r="U83" i="20" s="1"/>
  <c r="U141" i="20"/>
  <c r="V158" i="20" s="1"/>
  <c r="U142" i="20"/>
  <c r="V159" i="20" s="1"/>
  <c r="U143" i="20"/>
  <c r="V160" i="20" s="1"/>
  <c r="U145" i="20"/>
  <c r="V162" i="20" s="1"/>
  <c r="U146" i="20"/>
  <c r="V163" i="20" s="1"/>
  <c r="U147" i="20"/>
  <c r="V164" i="20" s="1"/>
  <c r="T137" i="20"/>
  <c r="T138" i="20"/>
  <c r="R364" i="1"/>
  <c r="S356" i="1"/>
  <c r="S354" i="1"/>
  <c r="S359" i="1" s="1"/>
  <c r="S355" i="1"/>
  <c r="S360" i="1" s="1"/>
  <c r="R355" i="1"/>
  <c r="R359" i="1"/>
  <c r="S339" i="1"/>
  <c r="S337" i="1"/>
  <c r="T79" i="20" l="1"/>
  <c r="T80" i="20"/>
  <c r="V64" i="20"/>
  <c r="V75" i="20" s="1"/>
  <c r="U154" i="20"/>
  <c r="V156" i="20"/>
  <c r="U148" i="20"/>
  <c r="V157" i="20"/>
  <c r="U155" i="20"/>
  <c r="S341" i="1"/>
  <c r="T146" i="20" l="1"/>
  <c r="P354" i="1"/>
  <c r="Q359" i="1"/>
  <c r="U45" i="20" l="1"/>
  <c r="U39" i="20"/>
  <c r="U38" i="20"/>
  <c r="U36" i="20"/>
  <c r="U52" i="20" l="1"/>
  <c r="V60" i="20"/>
  <c r="V71" i="20" s="1"/>
  <c r="U60" i="20"/>
  <c r="U71" i="20" s="1"/>
  <c r="U53" i="20"/>
  <c r="V61" i="20"/>
  <c r="V72" i="20" s="1"/>
  <c r="U61" i="20"/>
  <c r="U72" i="20" s="1"/>
  <c r="S168" i="1"/>
  <c r="S169" i="1"/>
  <c r="U43" i="20" l="1"/>
  <c r="U42" i="20"/>
  <c r="U40" i="20"/>
  <c r="U37" i="20"/>
  <c r="U57" i="20" l="1"/>
  <c r="U54" i="20"/>
  <c r="V62" i="20"/>
  <c r="V73" i="20" s="1"/>
  <c r="S14" i="1"/>
  <c r="S35" i="1"/>
  <c r="U56" i="20" l="1"/>
  <c r="T139" i="20" l="1"/>
  <c r="X46" i="20"/>
  <c r="X65" i="20" s="1"/>
  <c r="X48" i="20" l="1"/>
  <c r="I71" i="3"/>
  <c r="I70" i="3"/>
  <c r="B8" i="24" l="1"/>
  <c r="R8" i="1" s="1"/>
  <c r="R26" i="1" s="1"/>
  <c r="S42" i="20"/>
  <c r="T42" i="20"/>
  <c r="P56" i="1"/>
  <c r="S36" i="20"/>
  <c r="R42" i="20"/>
  <c r="D21" i="20"/>
  <c r="J112" i="1"/>
  <c r="K112" i="1"/>
  <c r="O112" i="1"/>
  <c r="Q112" i="1"/>
  <c r="R112" i="1"/>
  <c r="M112" i="1"/>
  <c r="S46" i="20" l="1"/>
  <c r="S112" i="1"/>
  <c r="N112" i="1"/>
  <c r="T112" i="1"/>
  <c r="P112" i="1"/>
  <c r="L112" i="1"/>
  <c r="I26" i="3"/>
  <c r="I58" i="3" s="1"/>
  <c r="I25" i="3"/>
  <c r="I57" i="3" s="1"/>
  <c r="T65" i="20" l="1"/>
  <c r="S48" i="20"/>
  <c r="F168" i="1"/>
  <c r="G168" i="1"/>
  <c r="H168" i="1"/>
  <c r="I168" i="1"/>
  <c r="J168" i="1"/>
  <c r="K168" i="1"/>
  <c r="L168" i="1"/>
  <c r="M168" i="1"/>
  <c r="N168" i="1"/>
  <c r="O168" i="1"/>
  <c r="P168" i="1"/>
  <c r="R168" i="1"/>
  <c r="T168" i="1"/>
  <c r="T170" i="1"/>
  <c r="R35" i="1"/>
  <c r="R154" i="1" s="1"/>
  <c r="T171" i="1" l="1"/>
  <c r="P12" i="5" l="1"/>
  <c r="S429" i="1"/>
  <c r="S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6" i="1" s="1"/>
  <c r="B170" i="1"/>
  <c r="Q56" i="1" l="1"/>
  <c r="S154" i="1"/>
  <c r="S156" i="1" s="1"/>
  <c r="Q364" i="1"/>
  <c r="T140" i="20"/>
  <c r="T81" i="20" s="1"/>
  <c r="T83" i="20" s="1"/>
  <c r="T141" i="20"/>
  <c r="T142" i="20"/>
  <c r="T143" i="20"/>
  <c r="T145" i="20"/>
  <c r="S137" i="20"/>
  <c r="S80" i="20" s="1"/>
  <c r="R337" i="1"/>
  <c r="R100" i="1"/>
  <c r="R56" i="1"/>
  <c r="M33" i="1"/>
  <c r="M80" i="1" s="1"/>
  <c r="S40" i="7"/>
  <c r="S39" i="7"/>
  <c r="S30" i="7"/>
  <c r="O351" i="1"/>
  <c r="N351" i="1"/>
  <c r="M351" i="1"/>
  <c r="S138" i="20"/>
  <c r="S79" i="20" s="1"/>
  <c r="Q32" i="20"/>
  <c r="O354" i="1"/>
  <c r="O359" i="1" s="1"/>
  <c r="P429" i="1"/>
  <c r="I72" i="3"/>
  <c r="Q355" i="1"/>
  <c r="Q360" i="1" s="1"/>
  <c r="M43" i="5" s="1"/>
  <c r="R39" i="7"/>
  <c r="T39" i="7"/>
  <c r="U39" i="7"/>
  <c r="V39" i="7"/>
  <c r="Q356" i="1"/>
  <c r="S146" i="20"/>
  <c r="T163" i="20" s="1"/>
  <c r="S145" i="20"/>
  <c r="S143" i="20"/>
  <c r="S142" i="20"/>
  <c r="S141" i="20"/>
  <c r="S140" i="20"/>
  <c r="S81" i="20" s="1"/>
  <c r="S139" i="20"/>
  <c r="T156" i="20" s="1"/>
  <c r="P75" i="7"/>
  <c r="P76" i="7" s="1"/>
  <c r="O75" i="7"/>
  <c r="O76" i="7" s="1"/>
  <c r="N75" i="7"/>
  <c r="N76" i="7" s="1"/>
  <c r="P67" i="7"/>
  <c r="O67" i="7"/>
  <c r="N67" i="7"/>
  <c r="P66" i="7"/>
  <c r="O66" i="7"/>
  <c r="N66" i="7"/>
  <c r="P62" i="7"/>
  <c r="P63" i="7" s="1"/>
  <c r="O62" i="7"/>
  <c r="O63" i="7" s="1"/>
  <c r="N62" i="7"/>
  <c r="N63" i="7" s="1"/>
  <c r="Q75" i="7"/>
  <c r="Q76" i="7" s="1"/>
  <c r="Q67" i="7"/>
  <c r="Q66" i="7"/>
  <c r="Q62" i="7"/>
  <c r="Q63" i="7" s="1"/>
  <c r="R75" i="7"/>
  <c r="R67" i="7"/>
  <c r="R66" i="7"/>
  <c r="R68" i="7" s="1"/>
  <c r="R62" i="7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BA421" i="1"/>
  <c r="BA403" i="1" s="1"/>
  <c r="AZ421" i="1"/>
  <c r="AZ403" i="1" s="1"/>
  <c r="AY421" i="1"/>
  <c r="AY403" i="1" s="1"/>
  <c r="AR421" i="1"/>
  <c r="AR403" i="1" s="1"/>
  <c r="AQ421" i="1"/>
  <c r="AQ403" i="1" s="1"/>
  <c r="AO421" i="1"/>
  <c r="AO403" i="1" s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Z56" i="6"/>
  <c r="BK56" i="6" s="1"/>
  <c r="BL56" i="6" s="1"/>
  <c r="BM56" i="6" s="1"/>
  <c r="BN56" i="6" s="1"/>
  <c r="BO56" i="6" s="1"/>
  <c r="BP56" i="6" s="1"/>
  <c r="BQ56" i="6" s="1"/>
  <c r="BR56" i="6" s="1"/>
  <c r="BS56" i="6" s="1"/>
  <c r="BT56" i="6" s="1"/>
  <c r="BU56" i="6" s="1"/>
  <c r="BV56" i="6" s="1"/>
  <c r="BW56" i="6" s="1"/>
  <c r="BX56" i="6" s="1"/>
  <c r="BY56" i="6" s="1"/>
  <c r="BZ56" i="6" s="1"/>
  <c r="CA56" i="6" s="1"/>
  <c r="CB56" i="6" s="1"/>
  <c r="CC56" i="6" s="1"/>
  <c r="CD56" i="6" s="1"/>
  <c r="CE56" i="6" s="1"/>
  <c r="CF56" i="6" s="1"/>
  <c r="CG56" i="6" s="1"/>
  <c r="CH56" i="6" s="1"/>
  <c r="CI56" i="6" s="1"/>
  <c r="CJ56" i="6" s="1"/>
  <c r="CK56" i="6" s="1"/>
  <c r="CL56" i="6" s="1"/>
  <c r="CM56" i="6" s="1"/>
  <c r="CN56" i="6" s="1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Z43" i="6"/>
  <c r="BK43" i="6" s="1"/>
  <c r="BL43" i="6" s="1"/>
  <c r="BM43" i="6" s="1"/>
  <c r="BN43" i="6" s="1"/>
  <c r="BO43" i="6" s="1"/>
  <c r="BP43" i="6" s="1"/>
  <c r="BQ43" i="6" s="1"/>
  <c r="BR43" i="6" s="1"/>
  <c r="BS43" i="6" s="1"/>
  <c r="BT43" i="6" s="1"/>
  <c r="BU43" i="6" s="1"/>
  <c r="BV43" i="6" s="1"/>
  <c r="BW43" i="6" s="1"/>
  <c r="BX43" i="6" s="1"/>
  <c r="BY43" i="6" s="1"/>
  <c r="BZ43" i="6" s="1"/>
  <c r="CA43" i="6" s="1"/>
  <c r="CB43" i="6" s="1"/>
  <c r="CC43" i="6" s="1"/>
  <c r="CD43" i="6" s="1"/>
  <c r="CE43" i="6" s="1"/>
  <c r="CF43" i="6" s="1"/>
  <c r="CG43" i="6" s="1"/>
  <c r="CH43" i="6" s="1"/>
  <c r="CI43" i="6" s="1"/>
  <c r="CJ43" i="6" s="1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Z30" i="6"/>
  <c r="AC176" i="23" s="1"/>
  <c r="AY30" i="6"/>
  <c r="AB176" i="23" s="1"/>
  <c r="AX30" i="6"/>
  <c r="AA176" i="23" s="1"/>
  <c r="AW30" i="6"/>
  <c r="Z176" i="23" s="1"/>
  <c r="AV30" i="6"/>
  <c r="Y176" i="23" s="1"/>
  <c r="AU30" i="6"/>
  <c r="X176" i="23" s="1"/>
  <c r="AT30" i="6"/>
  <c r="W176" i="23" s="1"/>
  <c r="AS30" i="6"/>
  <c r="V176" i="23" s="1"/>
  <c r="AR30" i="6"/>
  <c r="U176" i="23" s="1"/>
  <c r="AQ30" i="6"/>
  <c r="T176" i="23" s="1"/>
  <c r="AP30" i="6"/>
  <c r="S176" i="23" s="1"/>
  <c r="AO30" i="6"/>
  <c r="R176" i="23" s="1"/>
  <c r="AN30" i="6"/>
  <c r="Q176" i="23" s="1"/>
  <c r="AM30" i="6"/>
  <c r="P176" i="23" s="1"/>
  <c r="AL30" i="6"/>
  <c r="O176" i="23" s="1"/>
  <c r="AK32" i="6"/>
  <c r="AK31" i="6"/>
  <c r="AK30" i="6"/>
  <c r="N176" i="23" s="1"/>
  <c r="AJ32" i="6"/>
  <c r="AJ31" i="6"/>
  <c r="AJ30" i="6"/>
  <c r="M176" i="23" s="1"/>
  <c r="AI32" i="6"/>
  <c r="AI31" i="6"/>
  <c r="AI30" i="6"/>
  <c r="L176" i="23" s="1"/>
  <c r="AH32" i="6"/>
  <c r="AH31" i="6"/>
  <c r="AH30" i="6"/>
  <c r="K176" i="23" s="1"/>
  <c r="AG32" i="6"/>
  <c r="AG31" i="6"/>
  <c r="AG30" i="6"/>
  <c r="J176" i="23" s="1"/>
  <c r="AY15" i="5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R169" i="1"/>
  <c r="AS169" i="1"/>
  <c r="AT169" i="1"/>
  <c r="AT425" i="1" s="1"/>
  <c r="AU169" i="1"/>
  <c r="AV169" i="1"/>
  <c r="AV425" i="1" s="1"/>
  <c r="AW169" i="1"/>
  <c r="AX169" i="1"/>
  <c r="AY169" i="1"/>
  <c r="AZ169" i="1"/>
  <c r="BA169" i="1"/>
  <c r="BB169" i="1"/>
  <c r="BC169" i="1"/>
  <c r="BD175" i="1" s="1"/>
  <c r="AM169" i="1"/>
  <c r="AI13" i="5" s="1"/>
  <c r="AN169" i="1"/>
  <c r="AO169" i="1"/>
  <c r="AP169" i="1"/>
  <c r="AQ169" i="1"/>
  <c r="AK169" i="1"/>
  <c r="AL169" i="1"/>
  <c r="AL425" i="1" s="1"/>
  <c r="AJ169" i="1"/>
  <c r="BC106" i="1"/>
  <c r="BC408" i="1" s="1"/>
  <c r="BB106" i="1"/>
  <c r="BB408" i="1" s="1"/>
  <c r="BA106" i="1"/>
  <c r="BA408" i="1" s="1"/>
  <c r="AZ106" i="1"/>
  <c r="AZ408" i="1" s="1"/>
  <c r="AY106" i="1"/>
  <c r="AY408" i="1" s="1"/>
  <c r="AX106" i="1"/>
  <c r="AX408" i="1" s="1"/>
  <c r="AW106" i="1"/>
  <c r="AW408" i="1" s="1"/>
  <c r="AV106" i="1"/>
  <c r="AV408" i="1" s="1"/>
  <c r="AU106" i="1"/>
  <c r="AU408" i="1" s="1"/>
  <c r="AT106" i="1"/>
  <c r="AT408" i="1" s="1"/>
  <c r="AS106" i="1"/>
  <c r="AS408" i="1" s="1"/>
  <c r="AR106" i="1"/>
  <c r="AR408" i="1" s="1"/>
  <c r="AQ106" i="1"/>
  <c r="AQ408" i="1" s="1"/>
  <c r="AP106" i="1"/>
  <c r="AP408" i="1" s="1"/>
  <c r="AO106" i="1"/>
  <c r="AO408" i="1" s="1"/>
  <c r="AN106" i="1"/>
  <c r="AN408" i="1" s="1"/>
  <c r="AM106" i="1"/>
  <c r="AM408" i="1" s="1"/>
  <c r="AL106" i="1"/>
  <c r="AL408" i="1" s="1"/>
  <c r="AK106" i="1"/>
  <c r="AK408" i="1" s="1"/>
  <c r="AJ106" i="1"/>
  <c r="AJ408" i="1" s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BC67" i="1"/>
  <c r="BD77" i="1" s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BC65" i="1"/>
  <c r="BB65" i="1"/>
  <c r="BB68" i="1" s="1"/>
  <c r="BA65" i="1"/>
  <c r="AZ65" i="1"/>
  <c r="AY65" i="1"/>
  <c r="AY389" i="1" s="1"/>
  <c r="AX65" i="1"/>
  <c r="AX66" i="1" s="1"/>
  <c r="AX387" i="1" s="1"/>
  <c r="AW65" i="1"/>
  <c r="AW389" i="1" s="1"/>
  <c r="AV65" i="1"/>
  <c r="AV66" i="1" s="1"/>
  <c r="AV387" i="1" s="1"/>
  <c r="AU65" i="1"/>
  <c r="AU66" i="1" s="1"/>
  <c r="AU387" i="1" s="1"/>
  <c r="AT65" i="1"/>
  <c r="AT389" i="1" s="1"/>
  <c r="AS65" i="1"/>
  <c r="AS389" i="1" s="1"/>
  <c r="AR65" i="1"/>
  <c r="AR66" i="1" s="1"/>
  <c r="AR387" i="1" s="1"/>
  <c r="AQ65" i="1"/>
  <c r="AQ66" i="1" s="1"/>
  <c r="AQ387" i="1" s="1"/>
  <c r="AP65" i="1"/>
  <c r="AP68" i="1" s="1"/>
  <c r="AO65" i="1"/>
  <c r="AO66" i="1" s="1"/>
  <c r="AO387" i="1" s="1"/>
  <c r="AN65" i="1"/>
  <c r="AN68" i="1" s="1"/>
  <c r="AM65" i="1"/>
  <c r="AM66" i="1" s="1"/>
  <c r="AL65" i="1"/>
  <c r="AL68" i="1" s="1"/>
  <c r="AK65" i="1"/>
  <c r="AK68" i="1" s="1"/>
  <c r="AJ67" i="1"/>
  <c r="AJ65" i="1"/>
  <c r="AJ68" i="1" s="1"/>
  <c r="AY75" i="7"/>
  <c r="AY76" i="7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P75" i="7"/>
  <c r="AP76" i="7" s="1"/>
  <c r="AO75" i="7"/>
  <c r="AO76" i="7" s="1"/>
  <c r="AN75" i="7"/>
  <c r="AN76" i="7" s="1"/>
  <c r="AM75" i="7"/>
  <c r="AM76" i="7" s="1"/>
  <c r="AL75" i="7"/>
  <c r="AL76" i="7" s="1"/>
  <c r="AK75" i="7"/>
  <c r="AK76" i="7" s="1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Y66" i="7"/>
  <c r="AY68" i="7" s="1"/>
  <c r="AX66" i="7"/>
  <c r="AW66" i="7"/>
  <c r="AV66" i="7"/>
  <c r="AU66" i="7"/>
  <c r="AU68" i="7" s="1"/>
  <c r="AT66" i="7"/>
  <c r="AT68" i="7" s="1"/>
  <c r="AS66" i="7"/>
  <c r="AR66" i="7"/>
  <c r="AQ66" i="7"/>
  <c r="AQ68" i="7" s="1"/>
  <c r="AP66" i="7"/>
  <c r="AO66" i="7"/>
  <c r="AN66" i="7"/>
  <c r="AM66" i="7"/>
  <c r="AM68" i="7" s="1"/>
  <c r="AL66" i="7"/>
  <c r="AK66" i="7"/>
  <c r="AY62" i="7"/>
  <c r="AY63" i="7" s="1"/>
  <c r="AX62" i="7"/>
  <c r="AX63" i="7" s="1"/>
  <c r="AW62" i="7"/>
  <c r="AW63" i="7" s="1"/>
  <c r="AV62" i="7"/>
  <c r="AV63" i="7" s="1"/>
  <c r="AU62" i="7"/>
  <c r="AU63" i="7" s="1"/>
  <c r="AT62" i="7"/>
  <c r="AT63" i="7" s="1"/>
  <c r="AS62" i="7"/>
  <c r="AS63" i="7" s="1"/>
  <c r="AR62" i="7"/>
  <c r="AR63" i="7" s="1"/>
  <c r="AQ62" i="7"/>
  <c r="AQ63" i="7" s="1"/>
  <c r="AP62" i="7"/>
  <c r="AP63" i="7" s="1"/>
  <c r="AO62" i="7"/>
  <c r="AO63" i="7" s="1"/>
  <c r="AN62" i="7"/>
  <c r="AN63" i="7" s="1"/>
  <c r="AM62" i="7"/>
  <c r="AM63" i="7" s="1"/>
  <c r="AL62" i="7"/>
  <c r="AL63" i="7" s="1"/>
  <c r="AK62" i="7"/>
  <c r="AK63" i="7" s="1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BD50" i="7"/>
  <c r="AS79" i="3" s="1"/>
  <c r="BC50" i="7"/>
  <c r="AR79" i="3" s="1"/>
  <c r="BB50" i="7"/>
  <c r="AQ79" i="3" s="1"/>
  <c r="BA50" i="7"/>
  <c r="AP79" i="3" s="1"/>
  <c r="AZ50" i="7"/>
  <c r="AO79" i="3" s="1"/>
  <c r="AY50" i="7"/>
  <c r="AN79" i="3" s="1"/>
  <c r="AX50" i="7"/>
  <c r="AM79" i="3" s="1"/>
  <c r="AW50" i="7"/>
  <c r="AL79" i="3" s="1"/>
  <c r="AV50" i="7"/>
  <c r="AK79" i="3" s="1"/>
  <c r="AU50" i="7"/>
  <c r="AJ79" i="3" s="1"/>
  <c r="AT50" i="7"/>
  <c r="AI79" i="3" s="1"/>
  <c r="AS50" i="7"/>
  <c r="AH79" i="3" s="1"/>
  <c r="AR50" i="7"/>
  <c r="AG79" i="3" s="1"/>
  <c r="AQ50" i="7"/>
  <c r="AF79" i="3" s="1"/>
  <c r="AP50" i="7"/>
  <c r="AE79" i="3" s="1"/>
  <c r="AO50" i="7"/>
  <c r="AD79" i="3" s="1"/>
  <c r="AN50" i="7"/>
  <c r="AC79" i="3" s="1"/>
  <c r="AM50" i="7"/>
  <c r="AB79" i="3" s="1"/>
  <c r="AL50" i="7"/>
  <c r="AA79" i="3" s="1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56" i="7"/>
  <c r="AK55" i="7"/>
  <c r="Z80" i="3"/>
  <c r="AK50" i="7"/>
  <c r="Z79" i="3" s="1"/>
  <c r="AK43" i="7"/>
  <c r="AK40" i="7"/>
  <c r="AK39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S27" i="3"/>
  <c r="AR27" i="3"/>
  <c r="AR59" i="3" s="1"/>
  <c r="AQ27" i="3"/>
  <c r="AP27" i="3"/>
  <c r="AP59" i="3" s="1"/>
  <c r="AO27" i="3"/>
  <c r="AO59" i="3" s="1"/>
  <c r="AN27" i="3"/>
  <c r="AN59" i="3" s="1"/>
  <c r="AM27" i="3"/>
  <c r="AM59" i="3" s="1"/>
  <c r="AL27" i="3"/>
  <c r="AL59" i="3" s="1"/>
  <c r="AK27" i="3"/>
  <c r="AK59" i="3" s="1"/>
  <c r="AJ27" i="3"/>
  <c r="AJ59" i="3" s="1"/>
  <c r="AI27" i="3"/>
  <c r="AI59" i="3" s="1"/>
  <c r="AH27" i="3"/>
  <c r="AG27" i="3"/>
  <c r="AF27" i="3"/>
  <c r="AF59" i="3" s="1"/>
  <c r="AE27" i="3"/>
  <c r="AE59" i="3" s="1"/>
  <c r="AD27" i="3"/>
  <c r="AC27" i="3"/>
  <c r="AC59" i="3" s="1"/>
  <c r="AB27" i="3"/>
  <c r="AA27" i="3"/>
  <c r="AA59" i="3" s="1"/>
  <c r="Z27" i="3"/>
  <c r="AS26" i="3"/>
  <c r="AR26" i="3"/>
  <c r="AR58" i="3" s="1"/>
  <c r="AQ26" i="3"/>
  <c r="AQ58" i="3" s="1"/>
  <c r="AP26" i="3"/>
  <c r="AP58" i="3" s="1"/>
  <c r="AO26" i="3"/>
  <c r="AO58" i="3" s="1"/>
  <c r="AN26" i="3"/>
  <c r="AN58" i="3" s="1"/>
  <c r="AM26" i="3"/>
  <c r="AM58" i="3" s="1"/>
  <c r="AL26" i="3"/>
  <c r="AL58" i="3" s="1"/>
  <c r="AK26" i="3"/>
  <c r="AK58" i="3" s="1"/>
  <c r="AJ26" i="3"/>
  <c r="AI26" i="3"/>
  <c r="AH26" i="3"/>
  <c r="AG26" i="3"/>
  <c r="AF26" i="3"/>
  <c r="AF58" i="3" s="1"/>
  <c r="AE26" i="3"/>
  <c r="AE58" i="3" s="1"/>
  <c r="AD26" i="3"/>
  <c r="AD58" i="3" s="1"/>
  <c r="AC26" i="3"/>
  <c r="AC58" i="3" s="1"/>
  <c r="AB26" i="3"/>
  <c r="AB58" i="3" s="1"/>
  <c r="AA26" i="3"/>
  <c r="AA58" i="3" s="1"/>
  <c r="Z26" i="3"/>
  <c r="Z58" i="3" s="1"/>
  <c r="AS25" i="3"/>
  <c r="AS57" i="3" s="1"/>
  <c r="AR25" i="3"/>
  <c r="AR57" i="3" s="1"/>
  <c r="AQ25" i="3"/>
  <c r="AQ57" i="3" s="1"/>
  <c r="AP25" i="3"/>
  <c r="AP34" i="3" s="1"/>
  <c r="AP70" i="3" s="1"/>
  <c r="AO25" i="3"/>
  <c r="AO57" i="3" s="1"/>
  <c r="AN25" i="3"/>
  <c r="AN34" i="3" s="1"/>
  <c r="AN70" i="3" s="1"/>
  <c r="AM25" i="3"/>
  <c r="AM34" i="3" s="1"/>
  <c r="AL25" i="3"/>
  <c r="AL57" i="3" s="1"/>
  <c r="AK25" i="3"/>
  <c r="AK57" i="3" s="1"/>
  <c r="AJ25" i="3"/>
  <c r="AJ57" i="3" s="1"/>
  <c r="AI25" i="3"/>
  <c r="AI57" i="3" s="1"/>
  <c r="AH25" i="3"/>
  <c r="AH57" i="3" s="1"/>
  <c r="AG25" i="3"/>
  <c r="AG57" i="3" s="1"/>
  <c r="AF25" i="3"/>
  <c r="AF34" i="3" s="1"/>
  <c r="AE25" i="3"/>
  <c r="AE57" i="3" s="1"/>
  <c r="AD25" i="3"/>
  <c r="AD57" i="3" s="1"/>
  <c r="AC25" i="3"/>
  <c r="AC57" i="3" s="1"/>
  <c r="AB25" i="3"/>
  <c r="AB57" i="3" s="1"/>
  <c r="AA25" i="3"/>
  <c r="AA57" i="3" s="1"/>
  <c r="Z25" i="3"/>
  <c r="Z57" i="3" s="1"/>
  <c r="AS24" i="3"/>
  <c r="AS56" i="3" s="1"/>
  <c r="AR24" i="3"/>
  <c r="AR56" i="3" s="1"/>
  <c r="AQ24" i="3"/>
  <c r="AP24" i="3"/>
  <c r="AP56" i="3" s="1"/>
  <c r="AO24" i="3"/>
  <c r="AO56" i="3" s="1"/>
  <c r="AN24" i="3"/>
  <c r="AM24" i="3"/>
  <c r="AL24" i="3"/>
  <c r="AL56" i="3" s="1"/>
  <c r="AK24" i="3"/>
  <c r="AK56" i="3" s="1"/>
  <c r="AJ24" i="3"/>
  <c r="AJ56" i="3" s="1"/>
  <c r="AI24" i="3"/>
  <c r="AI56" i="3" s="1"/>
  <c r="AH24" i="3"/>
  <c r="AH56" i="3" s="1"/>
  <c r="AG24" i="3"/>
  <c r="AF24" i="3"/>
  <c r="AE24" i="3"/>
  <c r="AD24" i="3"/>
  <c r="AD56" i="3" s="1"/>
  <c r="AC24" i="3"/>
  <c r="AB24" i="3"/>
  <c r="AA24" i="3"/>
  <c r="AA56" i="3" s="1"/>
  <c r="Z24" i="3"/>
  <c r="Z56" i="3" s="1"/>
  <c r="BC35" i="1"/>
  <c r="BB35" i="1"/>
  <c r="BB154" i="1" s="1"/>
  <c r="BB156" i="1" s="1"/>
  <c r="BA35" i="1"/>
  <c r="BA154" i="1" s="1"/>
  <c r="AZ35" i="1"/>
  <c r="AZ154" i="1" s="1"/>
  <c r="AZ156" i="1" s="1"/>
  <c r="AY35" i="1"/>
  <c r="AY154" i="1" s="1"/>
  <c r="AX35" i="1"/>
  <c r="AX154" i="1" s="1"/>
  <c r="AX156" i="1" s="1"/>
  <c r="AW35" i="1"/>
  <c r="AW154" i="1" s="1"/>
  <c r="AW156" i="1" s="1"/>
  <c r="AV35" i="1"/>
  <c r="AV154" i="1" s="1"/>
  <c r="AU35" i="1"/>
  <c r="AU154" i="1" s="1"/>
  <c r="AT35" i="1"/>
  <c r="AT154" i="1" s="1"/>
  <c r="AS35" i="1"/>
  <c r="AS154" i="1" s="1"/>
  <c r="AR35" i="1"/>
  <c r="AR154" i="1" s="1"/>
  <c r="AQ35" i="1"/>
  <c r="AQ154" i="1" s="1"/>
  <c r="AP35" i="1"/>
  <c r="AP154" i="1" s="1"/>
  <c r="AO35" i="1"/>
  <c r="AO154" i="1" s="1"/>
  <c r="AO156" i="1" s="1"/>
  <c r="AN35" i="1"/>
  <c r="AN154" i="1" s="1"/>
  <c r="AM35" i="1"/>
  <c r="AM154" i="1" s="1"/>
  <c r="AL35" i="1"/>
  <c r="AL154" i="1" s="1"/>
  <c r="AK35" i="1"/>
  <c r="AK154" i="1" s="1"/>
  <c r="AK156" i="1" s="1"/>
  <c r="AJ35" i="1"/>
  <c r="AJ154" i="1" s="1"/>
  <c r="AJ156" i="1" s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O356" i="1"/>
  <c r="P355" i="1"/>
  <c r="P360" i="1" s="1"/>
  <c r="L43" i="5" s="1"/>
  <c r="O355" i="1"/>
  <c r="O360" i="1" s="1"/>
  <c r="K43" i="5" s="1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T299" i="1"/>
  <c r="U299" i="1" s="1"/>
  <c r="V299" i="1" s="1"/>
  <c r="W299" i="1" s="1"/>
  <c r="X299" i="1" s="1"/>
  <c r="Y299" i="1" s="1"/>
  <c r="Z299" i="1" s="1"/>
  <c r="AA299" i="1" s="1"/>
  <c r="AB299" i="1" s="1"/>
  <c r="AC299" i="1" s="1"/>
  <c r="AD299" i="1" s="1"/>
  <c r="AE299" i="1" s="1"/>
  <c r="AF299" i="1" s="1"/>
  <c r="AG299" i="1" s="1"/>
  <c r="AH299" i="1" s="1"/>
  <c r="AI299" i="1" s="1"/>
  <c r="AJ299" i="1" s="1"/>
  <c r="AK299" i="1" s="1"/>
  <c r="AL299" i="1" s="1"/>
  <c r="AM299" i="1" s="1"/>
  <c r="AN299" i="1" s="1"/>
  <c r="AO299" i="1" s="1"/>
  <c r="AP299" i="1" s="1"/>
  <c r="AQ299" i="1" s="1"/>
  <c r="AR299" i="1" s="1"/>
  <c r="AS299" i="1" s="1"/>
  <c r="AT299" i="1" s="1"/>
  <c r="AU299" i="1" s="1"/>
  <c r="AV299" i="1" s="1"/>
  <c r="AW299" i="1" s="1"/>
  <c r="AX299" i="1" s="1"/>
  <c r="AY299" i="1" s="1"/>
  <c r="AZ299" i="1" s="1"/>
  <c r="BA299" i="1" s="1"/>
  <c r="BB299" i="1" s="1"/>
  <c r="BC299" i="1" s="1"/>
  <c r="BD299" i="1" s="1"/>
  <c r="BE299" i="1" s="1"/>
  <c r="BF299" i="1" s="1"/>
  <c r="BG299" i="1" s="1"/>
  <c r="BH299" i="1" s="1"/>
  <c r="BI299" i="1" s="1"/>
  <c r="BJ299" i="1" s="1"/>
  <c r="BK299" i="1" s="1"/>
  <c r="BL299" i="1" s="1"/>
  <c r="BM299" i="1" s="1"/>
  <c r="BN299" i="1" s="1"/>
  <c r="BO299" i="1" s="1"/>
  <c r="BP299" i="1" s="1"/>
  <c r="BQ299" i="1" s="1"/>
  <c r="BR299" i="1" s="1"/>
  <c r="BS299" i="1" s="1"/>
  <c r="BT299" i="1" s="1"/>
  <c r="BU299" i="1" s="1"/>
  <c r="BV299" i="1" s="1"/>
  <c r="BW299" i="1" s="1"/>
  <c r="BX299" i="1" s="1"/>
  <c r="BY299" i="1" s="1"/>
  <c r="BZ299" i="1" s="1"/>
  <c r="CA299" i="1" s="1"/>
  <c r="CB299" i="1" s="1"/>
  <c r="CC299" i="1" s="1"/>
  <c r="CD299" i="1" s="1"/>
  <c r="CE299" i="1" s="1"/>
  <c r="CF299" i="1" s="1"/>
  <c r="CG299" i="1" s="1"/>
  <c r="CH299" i="1" s="1"/>
  <c r="CI299" i="1" s="1"/>
  <c r="CJ299" i="1" s="1"/>
  <c r="CK299" i="1" s="1"/>
  <c r="CL299" i="1" s="1"/>
  <c r="CM299" i="1" s="1"/>
  <c r="CN299" i="1" s="1"/>
  <c r="CO299" i="1" s="1"/>
  <c r="CP299" i="1" s="1"/>
  <c r="CQ299" i="1" s="1"/>
  <c r="T307" i="1"/>
  <c r="U307" i="1" s="1"/>
  <c r="V307" i="1" s="1"/>
  <c r="W307" i="1" s="1"/>
  <c r="X307" i="1" s="1"/>
  <c r="Y307" i="1" s="1"/>
  <c r="Z307" i="1" s="1"/>
  <c r="AA307" i="1" s="1"/>
  <c r="AB307" i="1" s="1"/>
  <c r="AC307" i="1" s="1"/>
  <c r="AD307" i="1" s="1"/>
  <c r="AE307" i="1" s="1"/>
  <c r="AF307" i="1" s="1"/>
  <c r="AG307" i="1" s="1"/>
  <c r="AH307" i="1" s="1"/>
  <c r="AI307" i="1" s="1"/>
  <c r="AJ307" i="1" s="1"/>
  <c r="AK307" i="1" s="1"/>
  <c r="AL307" i="1" s="1"/>
  <c r="AM307" i="1" s="1"/>
  <c r="AN307" i="1" s="1"/>
  <c r="AO307" i="1" s="1"/>
  <c r="AP307" i="1" s="1"/>
  <c r="AQ307" i="1" s="1"/>
  <c r="AR307" i="1" s="1"/>
  <c r="AS307" i="1" s="1"/>
  <c r="AT307" i="1" s="1"/>
  <c r="AU307" i="1" s="1"/>
  <c r="AV307" i="1" s="1"/>
  <c r="AW307" i="1" s="1"/>
  <c r="AX307" i="1" s="1"/>
  <c r="AY307" i="1" s="1"/>
  <c r="AZ307" i="1" s="1"/>
  <c r="BA307" i="1" s="1"/>
  <c r="BB307" i="1" s="1"/>
  <c r="BC307" i="1" s="1"/>
  <c r="BD307" i="1" s="1"/>
  <c r="BE307" i="1" s="1"/>
  <c r="BF307" i="1" s="1"/>
  <c r="BG307" i="1" s="1"/>
  <c r="BH307" i="1" s="1"/>
  <c r="BI307" i="1" s="1"/>
  <c r="BJ307" i="1" s="1"/>
  <c r="BK307" i="1" s="1"/>
  <c r="BL307" i="1" s="1"/>
  <c r="BM307" i="1" s="1"/>
  <c r="BN307" i="1" s="1"/>
  <c r="BO307" i="1" s="1"/>
  <c r="BP307" i="1" s="1"/>
  <c r="BQ307" i="1" s="1"/>
  <c r="BR307" i="1" s="1"/>
  <c r="BS307" i="1" s="1"/>
  <c r="BT307" i="1" s="1"/>
  <c r="BU307" i="1" s="1"/>
  <c r="BV307" i="1" s="1"/>
  <c r="BW307" i="1" s="1"/>
  <c r="BX307" i="1" s="1"/>
  <c r="BY307" i="1" s="1"/>
  <c r="BZ307" i="1" s="1"/>
  <c r="CA307" i="1" s="1"/>
  <c r="CB307" i="1" s="1"/>
  <c r="CC307" i="1" s="1"/>
  <c r="CD307" i="1" s="1"/>
  <c r="CE307" i="1" s="1"/>
  <c r="CF307" i="1" s="1"/>
  <c r="CG307" i="1" s="1"/>
  <c r="CH307" i="1" s="1"/>
  <c r="CI307" i="1" s="1"/>
  <c r="CJ307" i="1" s="1"/>
  <c r="CK307" i="1" s="1"/>
  <c r="CL307" i="1" s="1"/>
  <c r="CM307" i="1" s="1"/>
  <c r="CN307" i="1" s="1"/>
  <c r="CO307" i="1" s="1"/>
  <c r="CP307" i="1" s="1"/>
  <c r="CQ307" i="1" s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P364" i="1"/>
  <c r="P361" i="1" s="1"/>
  <c r="R146" i="20"/>
  <c r="R145" i="20"/>
  <c r="R143" i="20"/>
  <c r="R142" i="20"/>
  <c r="R141" i="20"/>
  <c r="R140" i="20"/>
  <c r="R81" i="20" s="1"/>
  <c r="R139" i="20"/>
  <c r="R138" i="20"/>
  <c r="R79" i="20" s="1"/>
  <c r="R137" i="20"/>
  <c r="R80" i="20" s="1"/>
  <c r="O364" i="1"/>
  <c r="P50" i="7"/>
  <c r="Y79" i="3"/>
  <c r="AI50" i="7"/>
  <c r="X79" i="3" s="1"/>
  <c r="AH50" i="7"/>
  <c r="W79" i="3" s="1"/>
  <c r="AG50" i="7"/>
  <c r="V79" i="3" s="1"/>
  <c r="AF50" i="7"/>
  <c r="U79" i="3" s="1"/>
  <c r="AE50" i="7"/>
  <c r="AD50" i="7"/>
  <c r="S79" i="3" s="1"/>
  <c r="AB50" i="7"/>
  <c r="Q79" i="3" s="1"/>
  <c r="AA50" i="7"/>
  <c r="P79" i="3" s="1"/>
  <c r="O79" i="3"/>
  <c r="Y50" i="7"/>
  <c r="N79" i="3" s="1"/>
  <c r="X50" i="7"/>
  <c r="M79" i="3" s="1"/>
  <c r="W50" i="7"/>
  <c r="L79" i="3" s="1"/>
  <c r="V50" i="7"/>
  <c r="K79" i="3" s="1"/>
  <c r="U50" i="7"/>
  <c r="T50" i="7"/>
  <c r="I79" i="3" s="1"/>
  <c r="S50" i="7"/>
  <c r="R50" i="7"/>
  <c r="Q50" i="7"/>
  <c r="O50" i="7"/>
  <c r="N50" i="7"/>
  <c r="M50" i="7"/>
  <c r="L50" i="7"/>
  <c r="K50" i="7"/>
  <c r="J50" i="7"/>
  <c r="I50" i="7"/>
  <c r="H50" i="7"/>
  <c r="F50" i="7"/>
  <c r="E50" i="7"/>
  <c r="D50" i="7"/>
  <c r="C50" i="7"/>
  <c r="P30" i="7"/>
  <c r="Y27" i="3"/>
  <c r="Y59" i="3" s="1"/>
  <c r="X27" i="3"/>
  <c r="W27" i="3"/>
  <c r="W59" i="3" s="1"/>
  <c r="V27" i="3"/>
  <c r="V59" i="3" s="1"/>
  <c r="U27" i="3"/>
  <c r="U59" i="3" s="1"/>
  <c r="T27" i="3"/>
  <c r="T59" i="3" s="1"/>
  <c r="Q27" i="3"/>
  <c r="Q59" i="3" s="1"/>
  <c r="P27" i="3"/>
  <c r="O27" i="3"/>
  <c r="O59" i="3" s="1"/>
  <c r="N59" i="3"/>
  <c r="M27" i="3"/>
  <c r="M59" i="3" s="1"/>
  <c r="L27" i="3"/>
  <c r="L59" i="3" s="1"/>
  <c r="K27" i="3"/>
  <c r="K59" i="3" s="1"/>
  <c r="J27" i="3"/>
  <c r="J59" i="3" s="1"/>
  <c r="I27" i="3"/>
  <c r="I59" i="3" s="1"/>
  <c r="Q146" i="20"/>
  <c r="Q145" i="20"/>
  <c r="Q143" i="20"/>
  <c r="Q142" i="20"/>
  <c r="Q141" i="20"/>
  <c r="Q140" i="20"/>
  <c r="Q81" i="20" s="1"/>
  <c r="Q139" i="20"/>
  <c r="Q138" i="20"/>
  <c r="Q79" i="20" s="1"/>
  <c r="Q137" i="20"/>
  <c r="Q80" i="20" s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355" i="1"/>
  <c r="N360" i="1" s="1"/>
  <c r="J43" i="5" s="1"/>
  <c r="AI8" i="1"/>
  <c r="AH8" i="1"/>
  <c r="AG8" i="1"/>
  <c r="AF8" i="1"/>
  <c r="AE8" i="1"/>
  <c r="AD8" i="1"/>
  <c r="AC8" i="1"/>
  <c r="AC36" i="1" s="1"/>
  <c r="AB8" i="1"/>
  <c r="AB36" i="1" s="1"/>
  <c r="J8" i="24"/>
  <c r="Z8" i="1" s="1"/>
  <c r="I8" i="24"/>
  <c r="Y8" i="1" s="1"/>
  <c r="Y26" i="1" s="1"/>
  <c r="H8" i="24"/>
  <c r="X8" i="1" s="1"/>
  <c r="X26" i="1" s="1"/>
  <c r="G8" i="24"/>
  <c r="W8" i="1" s="1"/>
  <c r="W26" i="1" s="1"/>
  <c r="V8" i="1"/>
  <c r="V26" i="1" s="1"/>
  <c r="U8" i="1"/>
  <c r="P33" i="1"/>
  <c r="N354" i="1"/>
  <c r="N359" i="1" s="1"/>
  <c r="T90" i="7"/>
  <c r="S395" i="1" s="1"/>
  <c r="S90" i="7"/>
  <c r="R395" i="1" s="1"/>
  <c r="R90" i="7"/>
  <c r="Q395" i="1" s="1"/>
  <c r="Q90" i="7"/>
  <c r="P395" i="1" s="1"/>
  <c r="P90" i="7"/>
  <c r="O395" i="1" s="1"/>
  <c r="P56" i="7"/>
  <c r="P55" i="7"/>
  <c r="P40" i="7"/>
  <c r="P39" i="7"/>
  <c r="K30" i="6"/>
  <c r="L30" i="6"/>
  <c r="M30" i="6"/>
  <c r="N30" i="6"/>
  <c r="O30" i="6"/>
  <c r="P30" i="6"/>
  <c r="Q30" i="6"/>
  <c r="T30" i="6"/>
  <c r="U30" i="6"/>
  <c r="V30" i="6"/>
  <c r="W30" i="6"/>
  <c r="X30" i="6"/>
  <c r="Y30" i="6"/>
  <c r="B176" i="23" s="1"/>
  <c r="Z30" i="6"/>
  <c r="C176" i="23" s="1"/>
  <c r="AA30" i="6"/>
  <c r="D176" i="23" s="1"/>
  <c r="AB30" i="6"/>
  <c r="E176" i="23" s="1"/>
  <c r="AC30" i="6"/>
  <c r="F176" i="23" s="1"/>
  <c r="AD30" i="6"/>
  <c r="G176" i="23" s="1"/>
  <c r="AE30" i="6"/>
  <c r="H176" i="23" s="1"/>
  <c r="AF30" i="6"/>
  <c r="I176" i="23" s="1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K9" i="5"/>
  <c r="B15" i="5"/>
  <c r="K11" i="5"/>
  <c r="K10" i="5"/>
  <c r="J2" i="5"/>
  <c r="J4" i="5" s="1"/>
  <c r="J25" i="5" s="1"/>
  <c r="L56" i="6"/>
  <c r="K14" i="7"/>
  <c r="M56" i="6"/>
  <c r="L9" i="5"/>
  <c r="L11" i="5"/>
  <c r="L10" i="5"/>
  <c r="M72" i="6"/>
  <c r="N56" i="6"/>
  <c r="M9" i="5"/>
  <c r="M11" i="5"/>
  <c r="M10" i="5"/>
  <c r="O56" i="6"/>
  <c r="N9" i="5"/>
  <c r="N11" i="5"/>
  <c r="N10" i="5"/>
  <c r="P56" i="6"/>
  <c r="O9" i="5"/>
  <c r="O11" i="5"/>
  <c r="O10" i="5"/>
  <c r="Q56" i="6"/>
  <c r="P9" i="5"/>
  <c r="P11" i="5"/>
  <c r="P10" i="5"/>
  <c r="R56" i="6"/>
  <c r="Q9" i="5"/>
  <c r="Q11" i="5"/>
  <c r="Q10" i="5"/>
  <c r="S56" i="6"/>
  <c r="R9" i="5"/>
  <c r="R28" i="5" s="1"/>
  <c r="R11" i="5"/>
  <c r="R10" i="5"/>
  <c r="T56" i="6"/>
  <c r="S9" i="5"/>
  <c r="S11" i="5"/>
  <c r="S10" i="5"/>
  <c r="U56" i="6"/>
  <c r="T9" i="5"/>
  <c r="T11" i="5"/>
  <c r="T10" i="5"/>
  <c r="V56" i="6"/>
  <c r="U9" i="5"/>
  <c r="U11" i="5"/>
  <c r="U10" i="5"/>
  <c r="W56" i="6"/>
  <c r="V9" i="5"/>
  <c r="V11" i="5"/>
  <c r="V10" i="5"/>
  <c r="X56" i="6"/>
  <c r="W9" i="5"/>
  <c r="W11" i="5"/>
  <c r="W10" i="5"/>
  <c r="Y56" i="6"/>
  <c r="X9" i="5"/>
  <c r="X11" i="5"/>
  <c r="X10" i="5"/>
  <c r="Z56" i="6"/>
  <c r="Y9" i="5"/>
  <c r="Y11" i="5"/>
  <c r="Y10" i="5"/>
  <c r="AA56" i="6"/>
  <c r="Z9" i="5"/>
  <c r="Z28" i="5" s="1"/>
  <c r="Z11" i="5"/>
  <c r="Z10" i="5"/>
  <c r="AB56" i="6"/>
  <c r="AA9" i="5"/>
  <c r="AA11" i="5"/>
  <c r="AA10" i="5"/>
  <c r="AC56" i="6"/>
  <c r="AB9" i="5"/>
  <c r="AB11" i="5"/>
  <c r="AB10" i="5"/>
  <c r="AD56" i="6"/>
  <c r="AC9" i="5"/>
  <c r="AC11" i="5"/>
  <c r="AC10" i="5"/>
  <c r="AE56" i="6"/>
  <c r="AD9" i="5"/>
  <c r="AD11" i="5"/>
  <c r="AD10" i="5"/>
  <c r="AF56" i="6"/>
  <c r="AE9" i="5"/>
  <c r="AE11" i="5"/>
  <c r="AE10" i="5"/>
  <c r="J9" i="5"/>
  <c r="J11" i="5"/>
  <c r="J5" i="5"/>
  <c r="J10" i="5"/>
  <c r="I2" i="5"/>
  <c r="I4" i="5" s="1"/>
  <c r="I25" i="5" s="1"/>
  <c r="J40" i="6" s="1"/>
  <c r="K56" i="6"/>
  <c r="AF43" i="6"/>
  <c r="AE15" i="5"/>
  <c r="AF32" i="6"/>
  <c r="I9" i="5"/>
  <c r="I6" i="5"/>
  <c r="I11" i="5"/>
  <c r="I5" i="5"/>
  <c r="I10" i="5"/>
  <c r="H2" i="5"/>
  <c r="H4" i="5" s="1"/>
  <c r="H25" i="5" s="1"/>
  <c r="J56" i="6"/>
  <c r="J80" i="3"/>
  <c r="K80" i="3"/>
  <c r="L80" i="3"/>
  <c r="M80" i="3"/>
  <c r="N80" i="3"/>
  <c r="O80" i="3"/>
  <c r="V25" i="3"/>
  <c r="V34" i="3" s="1"/>
  <c r="V70" i="3" s="1"/>
  <c r="U26" i="3"/>
  <c r="V26" i="3"/>
  <c r="W35" i="3" s="1"/>
  <c r="K72" i="6"/>
  <c r="Q80" i="3"/>
  <c r="M34" i="1"/>
  <c r="P19" i="7"/>
  <c r="L72" i="6"/>
  <c r="N356" i="1"/>
  <c r="L169" i="1"/>
  <c r="L425" i="1" s="1"/>
  <c r="M169" i="1"/>
  <c r="I13" i="5" s="1"/>
  <c r="K169" i="1"/>
  <c r="K425" i="1" s="1"/>
  <c r="J169" i="1"/>
  <c r="J171" i="1" s="1"/>
  <c r="I169" i="1"/>
  <c r="I171" i="1" s="1"/>
  <c r="H169" i="1"/>
  <c r="H171" i="1" s="1"/>
  <c r="F169" i="1"/>
  <c r="F171" i="1" s="1"/>
  <c r="E169" i="1"/>
  <c r="E425" i="1" s="1"/>
  <c r="D169" i="1"/>
  <c r="D425" i="1" s="1"/>
  <c r="E168" i="1"/>
  <c r="E424" i="1" s="1"/>
  <c r="D168" i="1"/>
  <c r="C168" i="1"/>
  <c r="C424" i="1" s="1"/>
  <c r="B169" i="1"/>
  <c r="B425" i="1" s="1"/>
  <c r="B168" i="1"/>
  <c r="R80" i="3"/>
  <c r="T80" i="3"/>
  <c r="T25" i="3"/>
  <c r="T34" i="3" s="1"/>
  <c r="T26" i="3"/>
  <c r="U80" i="3"/>
  <c r="U25" i="3"/>
  <c r="U57" i="3" s="1"/>
  <c r="W80" i="3"/>
  <c r="W25" i="3"/>
  <c r="W57" i="3" s="1"/>
  <c r="W26" i="3"/>
  <c r="X26" i="3"/>
  <c r="X58" i="3" s="1"/>
  <c r="X80" i="3"/>
  <c r="X25" i="3"/>
  <c r="X57" i="3" s="1"/>
  <c r="Y26" i="3"/>
  <c r="Y80" i="3"/>
  <c r="Y25" i="3"/>
  <c r="Y34" i="3" s="1"/>
  <c r="Y70" i="3" s="1"/>
  <c r="N364" i="1"/>
  <c r="P146" i="20"/>
  <c r="P145" i="20"/>
  <c r="P143" i="20"/>
  <c r="P142" i="20"/>
  <c r="P141" i="20"/>
  <c r="P140" i="20"/>
  <c r="P81" i="20" s="1"/>
  <c r="P139" i="20"/>
  <c r="P138" i="20"/>
  <c r="P79" i="20" s="1"/>
  <c r="P137" i="20"/>
  <c r="P80" i="20" s="1"/>
  <c r="N33" i="1"/>
  <c r="J24" i="3"/>
  <c r="K24" i="3"/>
  <c r="K56" i="3" s="1"/>
  <c r="I80" i="3"/>
  <c r="I24" i="3"/>
  <c r="I56" i="3" s="1"/>
  <c r="L24" i="3"/>
  <c r="L56" i="3" s="1"/>
  <c r="P24" i="3"/>
  <c r="Q24" i="3"/>
  <c r="T24" i="3"/>
  <c r="U24" i="3"/>
  <c r="U56" i="3" s="1"/>
  <c r="V24" i="3"/>
  <c r="V56" i="3" s="1"/>
  <c r="W24" i="3"/>
  <c r="W56" i="3" s="1"/>
  <c r="X24" i="3"/>
  <c r="Y24" i="3"/>
  <c r="D1" i="20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CB1" i="20" s="1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R46" i="20"/>
  <c r="AA421" i="1"/>
  <c r="AA403" i="1" s="1"/>
  <c r="K32" i="6"/>
  <c r="L32" i="6"/>
  <c r="M32" i="6"/>
  <c r="N32" i="6"/>
  <c r="O32" i="6"/>
  <c r="P32" i="6"/>
  <c r="Q32" i="6"/>
  <c r="R32" i="6"/>
  <c r="R33" i="6" s="1"/>
  <c r="S32" i="6"/>
  <c r="S33" i="6" s="1"/>
  <c r="T32" i="6"/>
  <c r="U32" i="6"/>
  <c r="V32" i="6"/>
  <c r="W32" i="6"/>
  <c r="X32" i="6"/>
  <c r="Y32" i="6"/>
  <c r="Z32" i="6"/>
  <c r="AA32" i="6"/>
  <c r="AB32" i="6"/>
  <c r="AC32" i="6"/>
  <c r="AD32" i="6"/>
  <c r="AE32" i="6"/>
  <c r="U55" i="7"/>
  <c r="Q404" i="1"/>
  <c r="O138" i="20"/>
  <c r="O79" i="20" s="1"/>
  <c r="O137" i="20"/>
  <c r="O80" i="20" s="1"/>
  <c r="O140" i="20"/>
  <c r="O81" i="20" s="1"/>
  <c r="N56" i="1"/>
  <c r="M56" i="1"/>
  <c r="L364" i="1"/>
  <c r="K36" i="1"/>
  <c r="K82" i="1" s="1"/>
  <c r="M36" i="1"/>
  <c r="M82" i="1" s="1"/>
  <c r="M364" i="1"/>
  <c r="K33" i="1"/>
  <c r="K80" i="1" s="1"/>
  <c r="M354" i="1"/>
  <c r="M359" i="1" s="1"/>
  <c r="L354" i="1"/>
  <c r="L359" i="1" s="1"/>
  <c r="M356" i="1"/>
  <c r="M355" i="1"/>
  <c r="M360" i="1" s="1"/>
  <c r="I43" i="5" s="1"/>
  <c r="N169" i="1"/>
  <c r="J13" i="5" s="1"/>
  <c r="K34" i="1"/>
  <c r="K35" i="1"/>
  <c r="K154" i="1" s="1"/>
  <c r="M153" i="1"/>
  <c r="S404" i="1"/>
  <c r="T404" i="1"/>
  <c r="U404" i="1"/>
  <c r="V404" i="1"/>
  <c r="X404" i="1"/>
  <c r="Y404" i="1"/>
  <c r="AA404" i="1"/>
  <c r="AB404" i="1"/>
  <c r="AC404" i="1"/>
  <c r="AD404" i="1"/>
  <c r="AF404" i="1"/>
  <c r="AG404" i="1"/>
  <c r="AI404" i="1"/>
  <c r="O30" i="7"/>
  <c r="Q30" i="7"/>
  <c r="R30" i="7"/>
  <c r="O39" i="7"/>
  <c r="O40" i="7"/>
  <c r="J30" i="6"/>
  <c r="Q35" i="1"/>
  <c r="Q154" i="1" s="1"/>
  <c r="Q161" i="1" s="1"/>
  <c r="O139" i="20"/>
  <c r="J72" i="6"/>
  <c r="I72" i="6"/>
  <c r="E33" i="1"/>
  <c r="E80" i="1" s="1"/>
  <c r="E34" i="1"/>
  <c r="E36" i="1"/>
  <c r="B9" i="5"/>
  <c r="B2" i="5"/>
  <c r="B4" i="5" s="1"/>
  <c r="B25" i="5" s="1"/>
  <c r="B6" i="5"/>
  <c r="B11" i="5"/>
  <c r="B5" i="5"/>
  <c r="B10" i="5"/>
  <c r="F33" i="1"/>
  <c r="F34" i="1"/>
  <c r="F81" i="1" s="1"/>
  <c r="F36" i="1"/>
  <c r="C9" i="5"/>
  <c r="C2" i="5"/>
  <c r="C4" i="5" s="1"/>
  <c r="C25" i="5" s="1"/>
  <c r="C6" i="5"/>
  <c r="C11" i="5"/>
  <c r="C5" i="5"/>
  <c r="C10" i="5"/>
  <c r="G33" i="1"/>
  <c r="G34" i="1"/>
  <c r="G81" i="1" s="1"/>
  <c r="G36" i="1"/>
  <c r="G82" i="1" s="1"/>
  <c r="D9" i="5"/>
  <c r="D2" i="5"/>
  <c r="D4" i="5" s="1"/>
  <c r="D25" i="5" s="1"/>
  <c r="D6" i="5"/>
  <c r="D11" i="5"/>
  <c r="D5" i="5"/>
  <c r="D10" i="5"/>
  <c r="H33" i="1"/>
  <c r="H80" i="1" s="1"/>
  <c r="H34" i="1"/>
  <c r="H81" i="1" s="1"/>
  <c r="H36" i="1"/>
  <c r="H82" i="1" s="1"/>
  <c r="E9" i="5"/>
  <c r="E2" i="5"/>
  <c r="E4" i="5" s="1"/>
  <c r="E25" i="5" s="1"/>
  <c r="E6" i="5"/>
  <c r="E11" i="5"/>
  <c r="E5" i="5"/>
  <c r="E10" i="5"/>
  <c r="I33" i="1"/>
  <c r="I80" i="1" s="1"/>
  <c r="I34" i="1"/>
  <c r="I36" i="1"/>
  <c r="I82" i="1" s="1"/>
  <c r="F9" i="5"/>
  <c r="F2" i="5"/>
  <c r="F4" i="5" s="1"/>
  <c r="F25" i="5" s="1"/>
  <c r="F6" i="5"/>
  <c r="F11" i="5"/>
  <c r="F5" i="5"/>
  <c r="F10" i="5"/>
  <c r="J33" i="1"/>
  <c r="J80" i="1" s="1"/>
  <c r="J34" i="1"/>
  <c r="J36" i="1"/>
  <c r="J82" i="1" s="1"/>
  <c r="G9" i="5"/>
  <c r="G2" i="5"/>
  <c r="G4" i="5" s="1"/>
  <c r="G25" i="5" s="1"/>
  <c r="G6" i="5"/>
  <c r="G11" i="5"/>
  <c r="G5" i="5"/>
  <c r="G10" i="5"/>
  <c r="I30" i="6"/>
  <c r="I31" i="6"/>
  <c r="I32" i="6"/>
  <c r="L33" i="1"/>
  <c r="L80" i="1" s="1"/>
  <c r="L34" i="1"/>
  <c r="I43" i="6"/>
  <c r="H9" i="5"/>
  <c r="H5" i="5"/>
  <c r="H10" i="5"/>
  <c r="H6" i="5"/>
  <c r="H11" i="5"/>
  <c r="L36" i="1"/>
  <c r="L82" i="1" s="1"/>
  <c r="I56" i="6"/>
  <c r="K19" i="5"/>
  <c r="K21" i="5"/>
  <c r="K20" i="5"/>
  <c r="J20" i="5"/>
  <c r="J19" i="5"/>
  <c r="J21" i="5"/>
  <c r="K8" i="5"/>
  <c r="J8" i="5"/>
  <c r="O141" i="20"/>
  <c r="O142" i="20"/>
  <c r="O143" i="20"/>
  <c r="O145" i="20"/>
  <c r="O146" i="20"/>
  <c r="N34" i="1"/>
  <c r="W55" i="7"/>
  <c r="K43" i="6"/>
  <c r="N138" i="20"/>
  <c r="N79" i="20" s="1"/>
  <c r="N137" i="20"/>
  <c r="N80" i="20" s="1"/>
  <c r="N140" i="20"/>
  <c r="N81" i="20" s="1"/>
  <c r="O56" i="1"/>
  <c r="C26" i="6"/>
  <c r="L153" i="1"/>
  <c r="L356" i="1"/>
  <c r="F354" i="1"/>
  <c r="F359" i="1" s="1"/>
  <c r="F364" i="1"/>
  <c r="F356" i="1"/>
  <c r="G354" i="1"/>
  <c r="G359" i="1" s="1"/>
  <c r="G364" i="1"/>
  <c r="G356" i="1"/>
  <c r="H354" i="1"/>
  <c r="H359" i="1" s="1"/>
  <c r="H364" i="1"/>
  <c r="H356" i="1"/>
  <c r="I354" i="1"/>
  <c r="I359" i="1" s="1"/>
  <c r="I364" i="1"/>
  <c r="I356" i="1"/>
  <c r="J354" i="1"/>
  <c r="J359" i="1" s="1"/>
  <c r="J364" i="1"/>
  <c r="J356" i="1"/>
  <c r="K354" i="1"/>
  <c r="K359" i="1" s="1"/>
  <c r="K364" i="1"/>
  <c r="K356" i="1"/>
  <c r="K355" i="1"/>
  <c r="K360" i="1" s="1"/>
  <c r="G43" i="5" s="1"/>
  <c r="L355" i="1"/>
  <c r="L360" i="1" s="1"/>
  <c r="H43" i="5" s="1"/>
  <c r="F153" i="1"/>
  <c r="I19" i="1"/>
  <c r="M387" i="1"/>
  <c r="N141" i="20"/>
  <c r="N142" i="20"/>
  <c r="N143" i="20"/>
  <c r="N145" i="20"/>
  <c r="N146" i="20"/>
  <c r="N139" i="20"/>
  <c r="K387" i="1"/>
  <c r="K153" i="1"/>
  <c r="C169" i="1"/>
  <c r="G169" i="1"/>
  <c r="G425" i="1" s="1"/>
  <c r="O169" i="1"/>
  <c r="P169" i="1"/>
  <c r="L13" i="5" s="1"/>
  <c r="Q169" i="1"/>
  <c r="M13" i="5" s="1"/>
  <c r="R169" i="1"/>
  <c r="R171" i="1" s="1"/>
  <c r="W169" i="1"/>
  <c r="X169" i="1"/>
  <c r="X425" i="1" s="1"/>
  <c r="Y169" i="1"/>
  <c r="Z169" i="1"/>
  <c r="V13" i="5" s="1"/>
  <c r="AA169" i="1"/>
  <c r="AB169" i="1"/>
  <c r="X13" i="5" s="1"/>
  <c r="AC169" i="1"/>
  <c r="AD169" i="1"/>
  <c r="AD425" i="1" s="1"/>
  <c r="AE169" i="1"/>
  <c r="AF169" i="1"/>
  <c r="AB13" i="5" s="1"/>
  <c r="AG169" i="1"/>
  <c r="AH169" i="1"/>
  <c r="AD13" i="5" s="1"/>
  <c r="AI169" i="1"/>
  <c r="S176" i="1"/>
  <c r="W176" i="1"/>
  <c r="AA176" i="1"/>
  <c r="K56" i="1"/>
  <c r="J56" i="1"/>
  <c r="L56" i="1"/>
  <c r="J35" i="1"/>
  <c r="J154" i="1" s="1"/>
  <c r="M138" i="20"/>
  <c r="M79" i="20" s="1"/>
  <c r="N39" i="7"/>
  <c r="N48" i="7" s="1"/>
  <c r="J153" i="1"/>
  <c r="L138" i="20"/>
  <c r="L79" i="20" s="1"/>
  <c r="L137" i="20"/>
  <c r="L80" i="20" s="1"/>
  <c r="L140" i="20"/>
  <c r="L81" i="20" s="1"/>
  <c r="M35" i="1"/>
  <c r="M154" i="1" s="1"/>
  <c r="M373" i="1"/>
  <c r="N242" i="20"/>
  <c r="N186" i="20"/>
  <c r="M137" i="20"/>
  <c r="M80" i="20" s="1"/>
  <c r="M140" i="20"/>
  <c r="M81" i="20" s="1"/>
  <c r="M186" i="20"/>
  <c r="B373" i="1"/>
  <c r="C373" i="1"/>
  <c r="D373" i="1"/>
  <c r="E373" i="1"/>
  <c r="F373" i="1"/>
  <c r="H373" i="1"/>
  <c r="I373" i="1"/>
  <c r="J373" i="1"/>
  <c r="K373" i="1"/>
  <c r="L373" i="1"/>
  <c r="N373" i="1"/>
  <c r="B33" i="1"/>
  <c r="C33" i="1"/>
  <c r="D33" i="1"/>
  <c r="E389" i="1"/>
  <c r="F387" i="1"/>
  <c r="G387" i="1"/>
  <c r="AA65" i="1"/>
  <c r="AB65" i="1"/>
  <c r="AB389" i="1" s="1"/>
  <c r="AC65" i="1"/>
  <c r="AC389" i="1" s="1"/>
  <c r="AD65" i="1"/>
  <c r="AD68" i="1" s="1"/>
  <c r="AE65" i="1"/>
  <c r="AE389" i="1" s="1"/>
  <c r="AF65" i="1"/>
  <c r="AF389" i="1" s="1"/>
  <c r="AG65" i="1"/>
  <c r="AG389" i="1" s="1"/>
  <c r="AH65" i="1"/>
  <c r="AH66" i="1" s="1"/>
  <c r="AI65" i="1"/>
  <c r="AI66" i="1" s="1"/>
  <c r="AA67" i="1"/>
  <c r="AB67" i="1"/>
  <c r="AC67" i="1"/>
  <c r="AD67" i="1"/>
  <c r="AE67" i="1"/>
  <c r="AF67" i="1"/>
  <c r="AG67" i="1"/>
  <c r="AH67" i="1"/>
  <c r="AI67" i="1"/>
  <c r="C90" i="7"/>
  <c r="B395" i="1" s="1"/>
  <c r="D90" i="7"/>
  <c r="C395" i="1" s="1"/>
  <c r="E90" i="7"/>
  <c r="D395" i="1" s="1"/>
  <c r="F90" i="7"/>
  <c r="E395" i="1" s="1"/>
  <c r="G90" i="7"/>
  <c r="F395" i="1" s="1"/>
  <c r="H90" i="7"/>
  <c r="G395" i="1" s="1"/>
  <c r="I90" i="7"/>
  <c r="H395" i="1" s="1"/>
  <c r="J90" i="7"/>
  <c r="I395" i="1" s="1"/>
  <c r="K90" i="7"/>
  <c r="J395" i="1" s="1"/>
  <c r="L90" i="7"/>
  <c r="K395" i="1" s="1"/>
  <c r="M90" i="7"/>
  <c r="L395" i="1" s="1"/>
  <c r="N90" i="7"/>
  <c r="M395" i="1" s="1"/>
  <c r="O90" i="7"/>
  <c r="N395" i="1" s="1"/>
  <c r="B421" i="1"/>
  <c r="B403" i="1" s="1"/>
  <c r="E12" i="20"/>
  <c r="K421" i="1"/>
  <c r="K403" i="1" s="1"/>
  <c r="M421" i="1"/>
  <c r="M403" i="1" s="1"/>
  <c r="X421" i="1"/>
  <c r="X403" i="1" s="1"/>
  <c r="Y421" i="1"/>
  <c r="Y403" i="1" s="1"/>
  <c r="B153" i="1"/>
  <c r="B34" i="1"/>
  <c r="B35" i="1"/>
  <c r="B154" i="1" s="1"/>
  <c r="B36" i="1"/>
  <c r="C153" i="1"/>
  <c r="C34" i="1"/>
  <c r="C81" i="1" s="1"/>
  <c r="C35" i="1"/>
  <c r="C154" i="1" s="1"/>
  <c r="C36" i="1"/>
  <c r="D153" i="1"/>
  <c r="D34" i="1"/>
  <c r="D81" i="1" s="1"/>
  <c r="D35" i="1"/>
  <c r="D154" i="1" s="1"/>
  <c r="D36" i="1"/>
  <c r="E153" i="1"/>
  <c r="E35" i="1"/>
  <c r="E154" i="1" s="1"/>
  <c r="F35" i="1"/>
  <c r="F154" i="1" s="1"/>
  <c r="G153" i="1"/>
  <c r="G35" i="1"/>
  <c r="G154" i="1" s="1"/>
  <c r="H35" i="1"/>
  <c r="H154" i="1" s="1"/>
  <c r="H153" i="1"/>
  <c r="I35" i="1"/>
  <c r="I154" i="1" s="1"/>
  <c r="I153" i="1"/>
  <c r="L35" i="1"/>
  <c r="L154" i="1" s="1"/>
  <c r="N153" i="1"/>
  <c r="N35" i="1"/>
  <c r="N154" i="1" s="1"/>
  <c r="O153" i="1"/>
  <c r="O35" i="1"/>
  <c r="O154" i="1" s="1"/>
  <c r="P153" i="1"/>
  <c r="Q153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R408" i="1" s="1"/>
  <c r="S106" i="1"/>
  <c r="S408" i="1" s="1"/>
  <c r="T106" i="1"/>
  <c r="T408" i="1" s="1"/>
  <c r="U106" i="1"/>
  <c r="U408" i="1" s="1"/>
  <c r="V106" i="1"/>
  <c r="V408" i="1" s="1"/>
  <c r="W106" i="1"/>
  <c r="W408" i="1" s="1"/>
  <c r="X106" i="1"/>
  <c r="X408" i="1" s="1"/>
  <c r="Y106" i="1"/>
  <c r="Y408" i="1" s="1"/>
  <c r="Z106" i="1"/>
  <c r="Z408" i="1" s="1"/>
  <c r="AA106" i="1"/>
  <c r="AA408" i="1" s="1"/>
  <c r="AB106" i="1"/>
  <c r="AB408" i="1" s="1"/>
  <c r="AC106" i="1"/>
  <c r="AC408" i="1" s="1"/>
  <c r="AD106" i="1"/>
  <c r="AD408" i="1" s="1"/>
  <c r="AE106" i="1"/>
  <c r="AE408" i="1" s="1"/>
  <c r="AF106" i="1"/>
  <c r="AF408" i="1" s="1"/>
  <c r="AG106" i="1"/>
  <c r="AG408" i="1" s="1"/>
  <c r="AH106" i="1"/>
  <c r="AH408" i="1" s="1"/>
  <c r="AI106" i="1"/>
  <c r="AI408" i="1" s="1"/>
  <c r="B413" i="1"/>
  <c r="C413" i="1"/>
  <c r="D413" i="1"/>
  <c r="E413" i="1"/>
  <c r="F413" i="1"/>
  <c r="G413" i="1"/>
  <c r="H413" i="1"/>
  <c r="I413" i="1"/>
  <c r="J413" i="1"/>
  <c r="K413" i="1"/>
  <c r="B414" i="1"/>
  <c r="C414" i="1"/>
  <c r="D414" i="1"/>
  <c r="E414" i="1"/>
  <c r="F414" i="1"/>
  <c r="G414" i="1"/>
  <c r="H414" i="1"/>
  <c r="I414" i="1"/>
  <c r="J414" i="1"/>
  <c r="K414" i="1"/>
  <c r="B415" i="1"/>
  <c r="C415" i="1"/>
  <c r="D415" i="1"/>
  <c r="E415" i="1"/>
  <c r="F415" i="1"/>
  <c r="G415" i="1"/>
  <c r="H415" i="1"/>
  <c r="I415" i="1"/>
  <c r="J415" i="1"/>
  <c r="K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C71" i="7"/>
  <c r="C72" i="7" s="1"/>
  <c r="B417" i="1"/>
  <c r="D71" i="7"/>
  <c r="D72" i="7" s="1"/>
  <c r="C417" i="1"/>
  <c r="E71" i="7"/>
  <c r="E72" i="7" s="1"/>
  <c r="D417" i="1"/>
  <c r="F71" i="7"/>
  <c r="F72" i="7" s="1"/>
  <c r="E417" i="1"/>
  <c r="G71" i="7"/>
  <c r="G72" i="7" s="1"/>
  <c r="F417" i="1"/>
  <c r="H71" i="7"/>
  <c r="H72" i="7" s="1"/>
  <c r="G417" i="1"/>
  <c r="I71" i="7"/>
  <c r="I72" i="7" s="1"/>
  <c r="H417" i="1"/>
  <c r="J71" i="7"/>
  <c r="J72" i="7" s="1"/>
  <c r="I417" i="1"/>
  <c r="J417" i="1"/>
  <c r="K417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F404" i="1"/>
  <c r="P404" i="1"/>
  <c r="E138" i="20"/>
  <c r="E79" i="20" s="1"/>
  <c r="E137" i="20"/>
  <c r="E80" i="20" s="1"/>
  <c r="E140" i="20"/>
  <c r="E81" i="20" s="1"/>
  <c r="D138" i="20"/>
  <c r="D79" i="20" s="1"/>
  <c r="D137" i="20"/>
  <c r="D80" i="20" s="1"/>
  <c r="D140" i="20"/>
  <c r="D81" i="20" s="1"/>
  <c r="F138" i="20"/>
  <c r="F79" i="20" s="1"/>
  <c r="F137" i="20"/>
  <c r="F80" i="20" s="1"/>
  <c r="F140" i="20"/>
  <c r="F81" i="20" s="1"/>
  <c r="G138" i="20"/>
  <c r="G79" i="20" s="1"/>
  <c r="G137" i="20"/>
  <c r="G80" i="20" s="1"/>
  <c r="G140" i="20"/>
  <c r="G81" i="20" s="1"/>
  <c r="H138" i="20"/>
  <c r="H79" i="20" s="1"/>
  <c r="H137" i="20"/>
  <c r="H80" i="20" s="1"/>
  <c r="H140" i="20"/>
  <c r="H81" i="20" s="1"/>
  <c r="I138" i="20"/>
  <c r="I79" i="20" s="1"/>
  <c r="I137" i="20"/>
  <c r="I80" i="20" s="1"/>
  <c r="I140" i="20"/>
  <c r="I81" i="20" s="1"/>
  <c r="J138" i="20"/>
  <c r="J79" i="20" s="1"/>
  <c r="J137" i="20"/>
  <c r="J80" i="20" s="1"/>
  <c r="J140" i="20"/>
  <c r="J81" i="20" s="1"/>
  <c r="K138" i="20"/>
  <c r="K79" i="20" s="1"/>
  <c r="K137" i="20"/>
  <c r="K80" i="20" s="1"/>
  <c r="K140" i="20"/>
  <c r="K81" i="20" s="1"/>
  <c r="C138" i="20"/>
  <c r="C79" i="20" s="1"/>
  <c r="C137" i="20"/>
  <c r="C80" i="20" s="1"/>
  <c r="C140" i="20"/>
  <c r="C81" i="20" s="1"/>
  <c r="D182" i="20"/>
  <c r="D183" i="20"/>
  <c r="D184" i="20"/>
  <c r="D185" i="20"/>
  <c r="D186" i="20"/>
  <c r="E182" i="20"/>
  <c r="E183" i="20"/>
  <c r="E184" i="20"/>
  <c r="E185" i="20"/>
  <c r="E186" i="20"/>
  <c r="F182" i="20"/>
  <c r="F183" i="20"/>
  <c r="F184" i="20"/>
  <c r="F185" i="20"/>
  <c r="F186" i="20"/>
  <c r="G182" i="20"/>
  <c r="G183" i="20"/>
  <c r="G184" i="20"/>
  <c r="G185" i="20"/>
  <c r="G186" i="20"/>
  <c r="H182" i="20"/>
  <c r="H183" i="20"/>
  <c r="H184" i="20"/>
  <c r="H185" i="20"/>
  <c r="H186" i="20"/>
  <c r="I182" i="20"/>
  <c r="I183" i="20"/>
  <c r="I184" i="20"/>
  <c r="I185" i="20"/>
  <c r="I186" i="20"/>
  <c r="J182" i="20"/>
  <c r="J183" i="20"/>
  <c r="J184" i="20"/>
  <c r="J185" i="20"/>
  <c r="J186" i="20"/>
  <c r="K182" i="20"/>
  <c r="K183" i="20"/>
  <c r="K184" i="20"/>
  <c r="K185" i="20"/>
  <c r="K186" i="20"/>
  <c r="L186" i="20"/>
  <c r="O186" i="20"/>
  <c r="P186" i="20"/>
  <c r="Q186" i="20"/>
  <c r="R186" i="20"/>
  <c r="S186" i="20"/>
  <c r="T186" i="20"/>
  <c r="U186" i="20"/>
  <c r="V186" i="20"/>
  <c r="W186" i="20"/>
  <c r="X186" i="20"/>
  <c r="Y186" i="20"/>
  <c r="Z186" i="20"/>
  <c r="AA186" i="20"/>
  <c r="AB186" i="20"/>
  <c r="AC186" i="20"/>
  <c r="AD186" i="20"/>
  <c r="AE186" i="20"/>
  <c r="AF186" i="20"/>
  <c r="AG186" i="20"/>
  <c r="AH186" i="20"/>
  <c r="AI186" i="20"/>
  <c r="AJ186" i="20"/>
  <c r="AK186" i="20"/>
  <c r="C139" i="20"/>
  <c r="D139" i="20"/>
  <c r="E139" i="20"/>
  <c r="F139" i="20"/>
  <c r="G139" i="20"/>
  <c r="H139" i="20"/>
  <c r="I139" i="20"/>
  <c r="J139" i="20"/>
  <c r="K139" i="20"/>
  <c r="L139" i="20"/>
  <c r="M139" i="20"/>
  <c r="C141" i="20"/>
  <c r="D141" i="20"/>
  <c r="E141" i="20"/>
  <c r="F141" i="20"/>
  <c r="G141" i="20"/>
  <c r="H141" i="20"/>
  <c r="I141" i="20"/>
  <c r="J141" i="20"/>
  <c r="K141" i="20"/>
  <c r="L141" i="20"/>
  <c r="M141" i="20"/>
  <c r="C142" i="20"/>
  <c r="D142" i="20"/>
  <c r="E142" i="20"/>
  <c r="F142" i="20"/>
  <c r="G142" i="20"/>
  <c r="H142" i="20"/>
  <c r="I142" i="20"/>
  <c r="J142" i="20"/>
  <c r="K142" i="20"/>
  <c r="L142" i="20"/>
  <c r="M142" i="20"/>
  <c r="C143" i="20"/>
  <c r="D143" i="20"/>
  <c r="E143" i="20"/>
  <c r="F143" i="20"/>
  <c r="G143" i="20"/>
  <c r="H143" i="20"/>
  <c r="I143" i="20"/>
  <c r="J143" i="20"/>
  <c r="K143" i="20"/>
  <c r="L143" i="20"/>
  <c r="M143" i="20"/>
  <c r="C145" i="20"/>
  <c r="D145" i="20"/>
  <c r="E145" i="20"/>
  <c r="F145" i="20"/>
  <c r="G145" i="20"/>
  <c r="H145" i="20"/>
  <c r="I145" i="20"/>
  <c r="J145" i="20"/>
  <c r="K145" i="20"/>
  <c r="L145" i="20"/>
  <c r="M145" i="20"/>
  <c r="C146" i="20"/>
  <c r="D146" i="20"/>
  <c r="E146" i="20"/>
  <c r="F146" i="20"/>
  <c r="G146" i="20"/>
  <c r="H146" i="20"/>
  <c r="I146" i="20"/>
  <c r="J146" i="20"/>
  <c r="K146" i="20"/>
  <c r="L146" i="20"/>
  <c r="M146" i="20"/>
  <c r="D181" i="20"/>
  <c r="E181" i="20"/>
  <c r="E232" i="20" s="1"/>
  <c r="F181" i="20"/>
  <c r="F232" i="20" s="1"/>
  <c r="G181" i="20"/>
  <c r="G232" i="20" s="1"/>
  <c r="H181" i="20"/>
  <c r="H232" i="20" s="1"/>
  <c r="I181" i="20"/>
  <c r="I232" i="20" s="1"/>
  <c r="J181" i="20"/>
  <c r="J232" i="20" s="1"/>
  <c r="K181" i="20"/>
  <c r="K232" i="20" s="1"/>
  <c r="L181" i="20"/>
  <c r="L232" i="20" s="1"/>
  <c r="M181" i="20"/>
  <c r="M232" i="20" s="1"/>
  <c r="N181" i="20"/>
  <c r="N232" i="20" s="1"/>
  <c r="O181" i="20"/>
  <c r="O232" i="20" s="1"/>
  <c r="P181" i="20"/>
  <c r="P232" i="20" s="1"/>
  <c r="Q181" i="20"/>
  <c r="Q232" i="20" s="1"/>
  <c r="R181" i="20"/>
  <c r="R232" i="20" s="1"/>
  <c r="S181" i="20"/>
  <c r="S232" i="20" s="1"/>
  <c r="T181" i="20"/>
  <c r="T232" i="20" s="1"/>
  <c r="U181" i="20"/>
  <c r="U232" i="20" s="1"/>
  <c r="V181" i="20"/>
  <c r="V232" i="20" s="1"/>
  <c r="W181" i="20"/>
  <c r="W232" i="20" s="1"/>
  <c r="X181" i="20"/>
  <c r="X232" i="20" s="1"/>
  <c r="Y181" i="20"/>
  <c r="Y232" i="20" s="1"/>
  <c r="Z181" i="20"/>
  <c r="Z232" i="20" s="1"/>
  <c r="AA181" i="20"/>
  <c r="AA232" i="20" s="1"/>
  <c r="AB181" i="20"/>
  <c r="AB232" i="20" s="1"/>
  <c r="AC181" i="20"/>
  <c r="AC232" i="20" s="1"/>
  <c r="AD181" i="20"/>
  <c r="AD232" i="20" s="1"/>
  <c r="AE181" i="20"/>
  <c r="AE232" i="20" s="1"/>
  <c r="AF181" i="20"/>
  <c r="AF232" i="20" s="1"/>
  <c r="AG181" i="20"/>
  <c r="AG232" i="20" s="1"/>
  <c r="AH181" i="20"/>
  <c r="AH232" i="20" s="1"/>
  <c r="AI181" i="20"/>
  <c r="AI232" i="20" s="1"/>
  <c r="AJ181" i="20"/>
  <c r="AJ232" i="20" s="1"/>
  <c r="AK181" i="20"/>
  <c r="AK232" i="20" s="1"/>
  <c r="L182" i="20"/>
  <c r="L183" i="20"/>
  <c r="L184" i="20"/>
  <c r="M184" i="20"/>
  <c r="N184" i="20"/>
  <c r="O184" i="20"/>
  <c r="P184" i="20"/>
  <c r="Q184" i="20"/>
  <c r="R184" i="20"/>
  <c r="S184" i="20"/>
  <c r="T184" i="20"/>
  <c r="U184" i="20"/>
  <c r="V184" i="20"/>
  <c r="W184" i="20"/>
  <c r="X184" i="20"/>
  <c r="Y184" i="20"/>
  <c r="Z184" i="20"/>
  <c r="AA184" i="20"/>
  <c r="AB184" i="20"/>
  <c r="AC184" i="20"/>
  <c r="AD184" i="20"/>
  <c r="AE184" i="20"/>
  <c r="AF184" i="20"/>
  <c r="AG184" i="20"/>
  <c r="AH184" i="20"/>
  <c r="AI184" i="20"/>
  <c r="AJ184" i="20"/>
  <c r="AK184" i="20"/>
  <c r="L185" i="20"/>
  <c r="M185" i="20"/>
  <c r="N185" i="20"/>
  <c r="O185" i="20"/>
  <c r="P185" i="20"/>
  <c r="Q185" i="20"/>
  <c r="R185" i="20"/>
  <c r="S185" i="20"/>
  <c r="T185" i="20"/>
  <c r="U185" i="20"/>
  <c r="V185" i="20"/>
  <c r="W185" i="20"/>
  <c r="X185" i="20"/>
  <c r="Y185" i="20"/>
  <c r="Z185" i="20"/>
  <c r="AA185" i="20"/>
  <c r="AB185" i="20"/>
  <c r="AC185" i="20"/>
  <c r="AD185" i="20"/>
  <c r="AE185" i="20"/>
  <c r="AF185" i="20"/>
  <c r="AG185" i="20"/>
  <c r="AH185" i="20"/>
  <c r="AI185" i="20"/>
  <c r="AJ185" i="20"/>
  <c r="AK185" i="20"/>
  <c r="E223" i="20"/>
  <c r="F223" i="20"/>
  <c r="G223" i="20"/>
  <c r="H223" i="20"/>
  <c r="I223" i="20"/>
  <c r="J223" i="20"/>
  <c r="K223" i="20"/>
  <c r="L223" i="20"/>
  <c r="M223" i="20"/>
  <c r="N223" i="20"/>
  <c r="O223" i="20"/>
  <c r="P223" i="20"/>
  <c r="Q223" i="20"/>
  <c r="R223" i="20"/>
  <c r="S223" i="20"/>
  <c r="T223" i="20"/>
  <c r="U223" i="20"/>
  <c r="V223" i="20"/>
  <c r="W223" i="20"/>
  <c r="X223" i="20"/>
  <c r="Y223" i="20"/>
  <c r="Z223" i="20"/>
  <c r="AA223" i="20"/>
  <c r="AB223" i="20"/>
  <c r="AC223" i="20"/>
  <c r="AD223" i="20"/>
  <c r="AE223" i="20"/>
  <c r="AF223" i="20"/>
  <c r="AG223" i="20"/>
  <c r="AH223" i="20"/>
  <c r="AI223" i="20"/>
  <c r="AJ223" i="20"/>
  <c r="AK223" i="20"/>
  <c r="K233" i="20"/>
  <c r="M242" i="20"/>
  <c r="O242" i="20"/>
  <c r="P242" i="20"/>
  <c r="Q242" i="20"/>
  <c r="R242" i="20"/>
  <c r="S242" i="20"/>
  <c r="H8" i="5"/>
  <c r="I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C14" i="5"/>
  <c r="E14" i="5"/>
  <c r="G14" i="5"/>
  <c r="H14" i="5"/>
  <c r="I14" i="5"/>
  <c r="J14" i="5"/>
  <c r="L14" i="5"/>
  <c r="M14" i="5"/>
  <c r="O14" i="5"/>
  <c r="P14" i="5"/>
  <c r="Q14" i="5"/>
  <c r="S14" i="5"/>
  <c r="U14" i="5"/>
  <c r="W14" i="5"/>
  <c r="X14" i="5"/>
  <c r="AB14" i="5"/>
  <c r="AC14" i="5"/>
  <c r="AE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B19" i="5"/>
  <c r="C19" i="5"/>
  <c r="D19" i="5"/>
  <c r="E19" i="5"/>
  <c r="F19" i="5"/>
  <c r="G19" i="5"/>
  <c r="H19" i="5"/>
  <c r="I19" i="5"/>
  <c r="L19" i="5"/>
  <c r="M19" i="5"/>
  <c r="N19" i="5"/>
  <c r="O19" i="5"/>
  <c r="B20" i="5"/>
  <c r="C20" i="5"/>
  <c r="D20" i="5"/>
  <c r="E20" i="5"/>
  <c r="F20" i="5"/>
  <c r="G20" i="5"/>
  <c r="H20" i="5"/>
  <c r="I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L21" i="5"/>
  <c r="M21" i="5"/>
  <c r="N21" i="5"/>
  <c r="O21" i="5"/>
  <c r="F355" i="1"/>
  <c r="F360" i="1" s="1"/>
  <c r="B43" i="5" s="1"/>
  <c r="G355" i="1"/>
  <c r="G360" i="1" s="1"/>
  <c r="C43" i="5" s="1"/>
  <c r="H355" i="1"/>
  <c r="H360" i="1" s="1"/>
  <c r="D43" i="5" s="1"/>
  <c r="I355" i="1"/>
  <c r="I360" i="1" s="1"/>
  <c r="E43" i="5" s="1"/>
  <c r="J355" i="1"/>
  <c r="J360" i="1" s="1"/>
  <c r="F43" i="5" s="1"/>
  <c r="B56" i="1"/>
  <c r="C56" i="1"/>
  <c r="D56" i="1"/>
  <c r="E56" i="1"/>
  <c r="F56" i="1"/>
  <c r="G56" i="1"/>
  <c r="H56" i="1"/>
  <c r="I56" i="1"/>
  <c r="U56" i="1"/>
  <c r="AA72" i="1"/>
  <c r="AB72" i="1"/>
  <c r="AC72" i="1"/>
  <c r="AD72" i="1"/>
  <c r="AE72" i="1"/>
  <c r="AF72" i="1"/>
  <c r="AG72" i="1"/>
  <c r="AH72" i="1"/>
  <c r="AI72" i="1"/>
  <c r="AA73" i="1"/>
  <c r="AB73" i="1"/>
  <c r="AC73" i="1"/>
  <c r="AD73" i="1"/>
  <c r="AE73" i="1"/>
  <c r="AF73" i="1"/>
  <c r="AG73" i="1"/>
  <c r="AH73" i="1"/>
  <c r="AI73" i="1"/>
  <c r="AA74" i="1"/>
  <c r="AB74" i="1"/>
  <c r="AC74" i="1"/>
  <c r="AD74" i="1"/>
  <c r="AE74" i="1"/>
  <c r="AF74" i="1"/>
  <c r="AG74" i="1"/>
  <c r="AH74" i="1"/>
  <c r="AI74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C176" i="1"/>
  <c r="D176" i="1"/>
  <c r="F176" i="1"/>
  <c r="H176" i="1"/>
  <c r="J176" i="1"/>
  <c r="L176" i="1"/>
  <c r="N176" i="1"/>
  <c r="T176" i="1"/>
  <c r="AB176" i="1"/>
  <c r="J351" i="1"/>
  <c r="K351" i="1"/>
  <c r="L351" i="1"/>
  <c r="C354" i="1"/>
  <c r="C359" i="1" s="1"/>
  <c r="D354" i="1"/>
  <c r="D359" i="1" s="1"/>
  <c r="E354" i="1"/>
  <c r="E359" i="1" s="1"/>
  <c r="C355" i="1"/>
  <c r="C360" i="1" s="1"/>
  <c r="D355" i="1"/>
  <c r="D360" i="1" s="1"/>
  <c r="E355" i="1"/>
  <c r="E360" i="1" s="1"/>
  <c r="C356" i="1"/>
  <c r="D356" i="1"/>
  <c r="E356" i="1"/>
  <c r="C364" i="1"/>
  <c r="D364" i="1"/>
  <c r="E364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A372" i="1"/>
  <c r="A373" i="1"/>
  <c r="G373" i="1"/>
  <c r="A374" i="1"/>
  <c r="A375" i="1"/>
  <c r="A376" i="1"/>
  <c r="B376" i="1"/>
  <c r="C376" i="1"/>
  <c r="D376" i="1"/>
  <c r="E376" i="1"/>
  <c r="F376" i="1"/>
  <c r="G376" i="1"/>
  <c r="I376" i="1"/>
  <c r="J376" i="1"/>
  <c r="K376" i="1"/>
  <c r="L376" i="1"/>
  <c r="M376" i="1"/>
  <c r="N376" i="1"/>
  <c r="Q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B392" i="1"/>
  <c r="B396" i="1" s="1"/>
  <c r="C392" i="1"/>
  <c r="C396" i="1" s="1"/>
  <c r="D392" i="1"/>
  <c r="E392" i="1"/>
  <c r="F392" i="1"/>
  <c r="G392" i="1"/>
  <c r="G396" i="1" s="1"/>
  <c r="H392" i="1"/>
  <c r="I392" i="1"/>
  <c r="I396" i="1" s="1"/>
  <c r="J392" i="1"/>
  <c r="J396" i="1" s="1"/>
  <c r="K392" i="1"/>
  <c r="K396" i="1" s="1"/>
  <c r="L392" i="1"/>
  <c r="M392" i="1"/>
  <c r="M396" i="1" s="1"/>
  <c r="N392" i="1"/>
  <c r="O392" i="1"/>
  <c r="O396" i="1" s="1"/>
  <c r="P392" i="1"/>
  <c r="Q392" i="1"/>
  <c r="Q396" i="1" s="1"/>
  <c r="R392" i="1"/>
  <c r="R396" i="1" s="1"/>
  <c r="S392" i="1"/>
  <c r="S396" i="1" s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D404" i="1"/>
  <c r="G404" i="1"/>
  <c r="I404" i="1"/>
  <c r="K404" i="1"/>
  <c r="L404" i="1"/>
  <c r="N404" i="1"/>
  <c r="AE404" i="1"/>
  <c r="K409" i="1"/>
  <c r="L409" i="1"/>
  <c r="M409" i="1"/>
  <c r="N409" i="1"/>
  <c r="O409" i="1"/>
  <c r="P409" i="1"/>
  <c r="Q409" i="1"/>
  <c r="B426" i="1"/>
  <c r="C426" i="1"/>
  <c r="E426" i="1"/>
  <c r="G426" i="1"/>
  <c r="I426" i="1"/>
  <c r="K426" i="1"/>
  <c r="L426" i="1"/>
  <c r="M426" i="1"/>
  <c r="N426" i="1"/>
  <c r="P426" i="1"/>
  <c r="S426" i="1"/>
  <c r="T426" i="1"/>
  <c r="V426" i="1"/>
  <c r="W426" i="1"/>
  <c r="AA426" i="1"/>
  <c r="AB426" i="1"/>
  <c r="AD426" i="1"/>
  <c r="AF426" i="1"/>
  <c r="AI426" i="1"/>
  <c r="B429" i="1"/>
  <c r="C429" i="1"/>
  <c r="D429" i="1"/>
  <c r="E429" i="1"/>
  <c r="N429" i="1"/>
  <c r="N432" i="1" s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J31" i="6"/>
  <c r="J32" i="6"/>
  <c r="J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I14" i="3"/>
  <c r="I15" i="3" s="1"/>
  <c r="BD96" i="3"/>
  <c r="BE96" i="3"/>
  <c r="BF96" i="3"/>
  <c r="BG96" i="3"/>
  <c r="BH96" i="3"/>
  <c r="BI96" i="3"/>
  <c r="BJ96" i="3"/>
  <c r="BK96" i="3"/>
  <c r="BL96" i="3"/>
  <c r="BM96" i="3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C15" i="7"/>
  <c r="D15" i="7"/>
  <c r="E15" i="7"/>
  <c r="F15" i="7"/>
  <c r="G15" i="7"/>
  <c r="H15" i="7"/>
  <c r="I15" i="7"/>
  <c r="J15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G29" i="7"/>
  <c r="G30" i="7" s="1"/>
  <c r="C30" i="7"/>
  <c r="D30" i="7"/>
  <c r="E30" i="7"/>
  <c r="F30" i="7"/>
  <c r="H30" i="7"/>
  <c r="I30" i="7"/>
  <c r="J30" i="7"/>
  <c r="K30" i="7"/>
  <c r="L30" i="7"/>
  <c r="M30" i="7"/>
  <c r="N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J53" i="7" s="1"/>
  <c r="C39" i="7"/>
  <c r="D39" i="7"/>
  <c r="E39" i="7"/>
  <c r="F39" i="7"/>
  <c r="G39" i="7"/>
  <c r="H39" i="7"/>
  <c r="I39" i="7"/>
  <c r="J39" i="7"/>
  <c r="K39" i="7"/>
  <c r="L39" i="7"/>
  <c r="M39" i="7"/>
  <c r="Q39" i="7"/>
  <c r="X39" i="7"/>
  <c r="Y39" i="7"/>
  <c r="AA39" i="7"/>
  <c r="AB39" i="7"/>
  <c r="AC39" i="7"/>
  <c r="AD39" i="7"/>
  <c r="AE39" i="7"/>
  <c r="AF39" i="7"/>
  <c r="AG39" i="7"/>
  <c r="AH39" i="7"/>
  <c r="AI39" i="7"/>
  <c r="C40" i="7"/>
  <c r="D40" i="7"/>
  <c r="E40" i="7"/>
  <c r="F40" i="7"/>
  <c r="G40" i="7"/>
  <c r="H40" i="7"/>
  <c r="I40" i="7"/>
  <c r="J40" i="7"/>
  <c r="K40" i="7"/>
  <c r="K48" i="7" s="1"/>
  <c r="L40" i="7"/>
  <c r="M40" i="7"/>
  <c r="N40" i="7"/>
  <c r="Q40" i="7"/>
  <c r="R40" i="7"/>
  <c r="R48" i="7" s="1"/>
  <c r="T40" i="7"/>
  <c r="T48" i="7" s="1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G41" i="7"/>
  <c r="C43" i="7"/>
  <c r="C48" i="7" s="1"/>
  <c r="D43" i="7"/>
  <c r="E43" i="7"/>
  <c r="F43" i="7"/>
  <c r="G43" i="7"/>
  <c r="H43" i="7"/>
  <c r="G45" i="7"/>
  <c r="G50" i="7" s="1"/>
  <c r="E52" i="7"/>
  <c r="F52" i="7"/>
  <c r="H52" i="7"/>
  <c r="J52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Q55" i="7"/>
  <c r="R55" i="7"/>
  <c r="S55" i="7"/>
  <c r="T55" i="7"/>
  <c r="V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C62" i="7"/>
  <c r="C63" i="7" s="1"/>
  <c r="D62" i="7"/>
  <c r="D63" i="7" s="1"/>
  <c r="E62" i="7"/>
  <c r="E63" i="7" s="1"/>
  <c r="F62" i="7"/>
  <c r="F63" i="7" s="1"/>
  <c r="G62" i="7"/>
  <c r="G63" i="7" s="1"/>
  <c r="H62" i="7"/>
  <c r="H63" i="7" s="1"/>
  <c r="I62" i="7"/>
  <c r="I63" i="7" s="1"/>
  <c r="J62" i="7"/>
  <c r="J63" i="7" s="1"/>
  <c r="K62" i="7"/>
  <c r="K63" i="7" s="1"/>
  <c r="L62" i="7"/>
  <c r="L63" i="7" s="1"/>
  <c r="M62" i="7"/>
  <c r="M63" i="7" s="1"/>
  <c r="R63" i="7"/>
  <c r="S62" i="7"/>
  <c r="S63" i="7" s="1"/>
  <c r="T62" i="7"/>
  <c r="T63" i="7" s="1"/>
  <c r="U62" i="7"/>
  <c r="U63" i="7" s="1"/>
  <c r="V62" i="7"/>
  <c r="V63" i="7" s="1"/>
  <c r="W62" i="7"/>
  <c r="W63" i="7" s="1"/>
  <c r="X62" i="7"/>
  <c r="X63" i="7"/>
  <c r="Y62" i="7"/>
  <c r="Y63" i="7" s="1"/>
  <c r="Z62" i="7"/>
  <c r="Z63" i="7" s="1"/>
  <c r="AA62" i="7"/>
  <c r="AA63" i="7" s="1"/>
  <c r="AB62" i="7"/>
  <c r="AB63" i="7" s="1"/>
  <c r="AC62" i="7"/>
  <c r="AC63" i="7" s="1"/>
  <c r="AD62" i="7"/>
  <c r="AD63" i="7" s="1"/>
  <c r="AE62" i="7"/>
  <c r="AE63" i="7" s="1"/>
  <c r="AF62" i="7"/>
  <c r="AF63" i="7" s="1"/>
  <c r="AG62" i="7"/>
  <c r="AG63" i="7" s="1"/>
  <c r="AH62" i="7"/>
  <c r="AH63" i="7" s="1"/>
  <c r="AI62" i="7"/>
  <c r="AI63" i="7" s="1"/>
  <c r="C66" i="7"/>
  <c r="D66" i="7"/>
  <c r="E66" i="7"/>
  <c r="F66" i="7"/>
  <c r="G66" i="7"/>
  <c r="H66" i="7"/>
  <c r="I66" i="7"/>
  <c r="J66" i="7"/>
  <c r="K66" i="7"/>
  <c r="L66" i="7"/>
  <c r="M66" i="7"/>
  <c r="M68" i="7" s="1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C67" i="7"/>
  <c r="D67" i="7"/>
  <c r="E67" i="7"/>
  <c r="F67" i="7"/>
  <c r="G67" i="7"/>
  <c r="H67" i="7"/>
  <c r="I67" i="7"/>
  <c r="J67" i="7"/>
  <c r="K67" i="7"/>
  <c r="L67" i="7"/>
  <c r="S67" i="7"/>
  <c r="T67" i="7"/>
  <c r="U67" i="7"/>
  <c r="V67" i="7"/>
  <c r="W67" i="7"/>
  <c r="W68" i="7" s="1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C75" i="7"/>
  <c r="C76" i="7" s="1"/>
  <c r="D75" i="7"/>
  <c r="D76" i="7" s="1"/>
  <c r="E75" i="7"/>
  <c r="E76" i="7" s="1"/>
  <c r="F75" i="7"/>
  <c r="F76" i="7" s="1"/>
  <c r="G75" i="7"/>
  <c r="G76" i="7" s="1"/>
  <c r="H75" i="7"/>
  <c r="H76" i="7" s="1"/>
  <c r="I75" i="7"/>
  <c r="I76" i="7" s="1"/>
  <c r="J75" i="7"/>
  <c r="J76" i="7" s="1"/>
  <c r="K75" i="7"/>
  <c r="K76" i="7" s="1"/>
  <c r="L75" i="7"/>
  <c r="L76" i="7" s="1"/>
  <c r="M75" i="7"/>
  <c r="M76" i="7" s="1"/>
  <c r="S75" i="7"/>
  <c r="S76" i="7" s="1"/>
  <c r="T75" i="7"/>
  <c r="T76" i="7" s="1"/>
  <c r="U75" i="7"/>
  <c r="U76" i="7" s="1"/>
  <c r="V75" i="7"/>
  <c r="V76" i="7" s="1"/>
  <c r="W75" i="7"/>
  <c r="W76" i="7" s="1"/>
  <c r="X75" i="7"/>
  <c r="X76" i="7" s="1"/>
  <c r="Y75" i="7"/>
  <c r="Y76" i="7" s="1"/>
  <c r="Z75" i="7"/>
  <c r="Z76" i="7" s="1"/>
  <c r="AA75" i="7"/>
  <c r="AA76" i="7" s="1"/>
  <c r="AB75" i="7"/>
  <c r="AB76" i="7" s="1"/>
  <c r="AC75" i="7"/>
  <c r="AC76" i="7" s="1"/>
  <c r="AD75" i="7"/>
  <c r="AD76" i="7" s="1"/>
  <c r="AE75" i="7"/>
  <c r="AE76" i="7" s="1"/>
  <c r="AF75" i="7"/>
  <c r="AF76" i="7" s="1"/>
  <c r="AG75" i="7"/>
  <c r="AG76" i="7" s="1"/>
  <c r="AH75" i="7"/>
  <c r="AH76" i="7" s="1"/>
  <c r="AI75" i="7"/>
  <c r="AI76" i="7" s="1"/>
  <c r="AJ75" i="7"/>
  <c r="AJ76" i="7" s="1"/>
  <c r="R76" i="7"/>
  <c r="C96" i="7"/>
  <c r="J96" i="7"/>
  <c r="M96" i="7"/>
  <c r="D96" i="7"/>
  <c r="E96" i="7"/>
  <c r="F96" i="7"/>
  <c r="G96" i="7"/>
  <c r="H96" i="7"/>
  <c r="I96" i="7"/>
  <c r="K96" i="7"/>
  <c r="L96" i="7"/>
  <c r="N96" i="7"/>
  <c r="H376" i="1"/>
  <c r="P371" i="1"/>
  <c r="M2" i="5"/>
  <c r="M4" i="5" s="1"/>
  <c r="M25" i="5" s="1"/>
  <c r="N40" i="6" s="1"/>
  <c r="O371" i="1"/>
  <c r="O373" i="1"/>
  <c r="U392" i="1"/>
  <c r="U396" i="1" s="1"/>
  <c r="P19" i="5"/>
  <c r="T392" i="1"/>
  <c r="T396" i="1" s="1"/>
  <c r="U90" i="7"/>
  <c r="T395" i="1" s="1"/>
  <c r="K2" i="5"/>
  <c r="K4" i="5" s="1"/>
  <c r="K25" i="5" s="1"/>
  <c r="O376" i="1"/>
  <c r="O34" i="1"/>
  <c r="K5" i="5"/>
  <c r="O33" i="1"/>
  <c r="O80" i="1" s="1"/>
  <c r="N36" i="1"/>
  <c r="N82" i="1" s="1"/>
  <c r="N377" i="1"/>
  <c r="F90" i="3"/>
  <c r="G90" i="3"/>
  <c r="Q416" i="1"/>
  <c r="N72" i="6"/>
  <c r="T394" i="1"/>
  <c r="P21" i="5"/>
  <c r="V392" i="1"/>
  <c r="V396" i="1" s="1"/>
  <c r="Q19" i="5"/>
  <c r="R19" i="5"/>
  <c r="T381" i="1"/>
  <c r="M5" i="5"/>
  <c r="U393" i="1"/>
  <c r="Q20" i="5"/>
  <c r="V393" i="1"/>
  <c r="V90" i="7"/>
  <c r="U395" i="1" s="1"/>
  <c r="U394" i="1"/>
  <c r="Q21" i="5"/>
  <c r="V394" i="1"/>
  <c r="R21" i="5"/>
  <c r="W90" i="7"/>
  <c r="V395" i="1" s="1"/>
  <c r="O96" i="7"/>
  <c r="J6" i="5"/>
  <c r="T35" i="1"/>
  <c r="T154" i="1" s="1"/>
  <c r="U35" i="1"/>
  <c r="U154" i="1" s="1"/>
  <c r="U156" i="1" s="1"/>
  <c r="V35" i="1"/>
  <c r="V154" i="1" s="1"/>
  <c r="W35" i="1"/>
  <c r="W154" i="1" s="1"/>
  <c r="X35" i="1"/>
  <c r="X154" i="1" s="1"/>
  <c r="Y35" i="1"/>
  <c r="Y154" i="1" s="1"/>
  <c r="Y156" i="1" s="1"/>
  <c r="Z35" i="1"/>
  <c r="Z154" i="1" s="1"/>
  <c r="Z156" i="1" s="1"/>
  <c r="AA35" i="1"/>
  <c r="AA154" i="1" s="1"/>
  <c r="AA156" i="1" s="1"/>
  <c r="AB154" i="1"/>
  <c r="AC154" i="1"/>
  <c r="AD35" i="1"/>
  <c r="AD154" i="1" s="1"/>
  <c r="AE35" i="1"/>
  <c r="AE154" i="1" s="1"/>
  <c r="AF35" i="1"/>
  <c r="AF154" i="1" s="1"/>
  <c r="AG35" i="1"/>
  <c r="AG154" i="1" s="1"/>
  <c r="AG156" i="1" s="1"/>
  <c r="AH35" i="1"/>
  <c r="AH154" i="1" s="1"/>
  <c r="AH156" i="1" s="1"/>
  <c r="AI35" i="1"/>
  <c r="AI154" i="1" s="1"/>
  <c r="AI156" i="1" s="1"/>
  <c r="T379" i="1"/>
  <c r="R38" i="20"/>
  <c r="R36" i="20"/>
  <c r="R39" i="20"/>
  <c r="R43" i="20"/>
  <c r="R41" i="20"/>
  <c r="R37" i="20"/>
  <c r="R40" i="20"/>
  <c r="S41" i="20"/>
  <c r="S38" i="20"/>
  <c r="P35" i="1"/>
  <c r="P154" i="1" s="1"/>
  <c r="F91" i="3"/>
  <c r="L2" i="5"/>
  <c r="L4" i="5" s="1"/>
  <c r="L25" i="5" s="1"/>
  <c r="P373" i="1"/>
  <c r="R416" i="1"/>
  <c r="H90" i="3"/>
  <c r="O72" i="6"/>
  <c r="O377" i="1"/>
  <c r="O36" i="1"/>
  <c r="O82" i="1" s="1"/>
  <c r="P96" i="7"/>
  <c r="K6" i="5"/>
  <c r="R20" i="5"/>
  <c r="P359" i="1"/>
  <c r="AK176" i="1"/>
  <c r="AM176" i="1"/>
  <c r="AO176" i="1"/>
  <c r="AQ176" i="1"/>
  <c r="AS176" i="1"/>
  <c r="AU176" i="1"/>
  <c r="AW176" i="1"/>
  <c r="AY176" i="1"/>
  <c r="BA176" i="1"/>
  <c r="BC176" i="1"/>
  <c r="AL176" i="1"/>
  <c r="AN176" i="1"/>
  <c r="AP176" i="1"/>
  <c r="AR176" i="1"/>
  <c r="AT176" i="1"/>
  <c r="AV176" i="1"/>
  <c r="AX176" i="1"/>
  <c r="AZ176" i="1"/>
  <c r="BB176" i="1"/>
  <c r="P34" i="1"/>
  <c r="P376" i="1"/>
  <c r="L5" i="5"/>
  <c r="AK426" i="1"/>
  <c r="AM426" i="1"/>
  <c r="AO426" i="1"/>
  <c r="AQ426" i="1"/>
  <c r="AS426" i="1"/>
  <c r="AU426" i="1"/>
  <c r="AW426" i="1"/>
  <c r="AY426" i="1"/>
  <c r="BA426" i="1"/>
  <c r="BC426" i="1"/>
  <c r="AJ426" i="1"/>
  <c r="AL426" i="1"/>
  <c r="AN426" i="1"/>
  <c r="AP426" i="1"/>
  <c r="AR426" i="1"/>
  <c r="AT426" i="1"/>
  <c r="AV426" i="1"/>
  <c r="AX426" i="1"/>
  <c r="AZ426" i="1"/>
  <c r="BB426" i="1"/>
  <c r="R45" i="20"/>
  <c r="AI421" i="1"/>
  <c r="AI403" i="1" s="1"/>
  <c r="W393" i="1"/>
  <c r="S20" i="5"/>
  <c r="T20" i="5"/>
  <c r="X393" i="1"/>
  <c r="U20" i="5"/>
  <c r="Y393" i="1"/>
  <c r="V20" i="5"/>
  <c r="Z393" i="1"/>
  <c r="W20" i="5"/>
  <c r="AA393" i="1"/>
  <c r="X20" i="5"/>
  <c r="J429" i="1"/>
  <c r="J432" i="1" s="1"/>
  <c r="Q371" i="1"/>
  <c r="W394" i="1"/>
  <c r="S21" i="5"/>
  <c r="S19" i="5"/>
  <c r="X90" i="7"/>
  <c r="W395" i="1" s="1"/>
  <c r="W392" i="1"/>
  <c r="AB393" i="1"/>
  <c r="T21" i="5"/>
  <c r="X394" i="1"/>
  <c r="AC393" i="1"/>
  <c r="Y20" i="5"/>
  <c r="X392" i="1"/>
  <c r="T19" i="5"/>
  <c r="Y90" i="7"/>
  <c r="X395" i="1" s="1"/>
  <c r="Z90" i="7"/>
  <c r="Y395" i="1" s="1"/>
  <c r="U19" i="5"/>
  <c r="Y392" i="1"/>
  <c r="Y396" i="1" s="1"/>
  <c r="U21" i="5"/>
  <c r="Y394" i="1"/>
  <c r="AD393" i="1"/>
  <c r="Z20" i="5"/>
  <c r="AE393" i="1"/>
  <c r="AA20" i="5"/>
  <c r="V21" i="5"/>
  <c r="Z394" i="1"/>
  <c r="V19" i="5"/>
  <c r="Z392" i="1"/>
  <c r="AA90" i="7"/>
  <c r="Z395" i="1" s="1"/>
  <c r="AB90" i="7"/>
  <c r="AA395" i="1" s="1"/>
  <c r="W19" i="5"/>
  <c r="AA392" i="1"/>
  <c r="AA396" i="1" s="1"/>
  <c r="AA394" i="1"/>
  <c r="W21" i="5"/>
  <c r="AB20" i="5"/>
  <c r="AF393" i="1"/>
  <c r="AG393" i="1"/>
  <c r="AC20" i="5"/>
  <c r="AB394" i="1"/>
  <c r="X21" i="5"/>
  <c r="X19" i="5"/>
  <c r="AB392" i="1"/>
  <c r="AB396" i="1" s="1"/>
  <c r="AC90" i="7"/>
  <c r="AB395" i="1" s="1"/>
  <c r="AC394" i="1"/>
  <c r="Y21" i="5"/>
  <c r="AD90" i="7"/>
  <c r="AC395" i="1" s="1"/>
  <c r="Y19" i="5"/>
  <c r="AC392" i="1"/>
  <c r="AC396" i="1" s="1"/>
  <c r="AD20" i="5"/>
  <c r="AH393" i="1"/>
  <c r="AE20" i="5"/>
  <c r="AI393" i="1"/>
  <c r="AD392" i="1"/>
  <c r="Z19" i="5"/>
  <c r="AE90" i="7"/>
  <c r="AD395" i="1" s="1"/>
  <c r="AD394" i="1"/>
  <c r="Z21" i="5"/>
  <c r="AA19" i="5"/>
  <c r="AF90" i="7"/>
  <c r="AE395" i="1" s="1"/>
  <c r="AE392" i="1"/>
  <c r="AE396" i="1" s="1"/>
  <c r="AE394" i="1"/>
  <c r="AA21" i="5"/>
  <c r="AJ393" i="1"/>
  <c r="AF20" i="5"/>
  <c r="AF394" i="1"/>
  <c r="AB21" i="5"/>
  <c r="AG90" i="7"/>
  <c r="AF395" i="1" s="1"/>
  <c r="AB19" i="5"/>
  <c r="AF392" i="1"/>
  <c r="AF396" i="1" s="1"/>
  <c r="AG20" i="5"/>
  <c r="AK393" i="1"/>
  <c r="AL393" i="1"/>
  <c r="AH20" i="5"/>
  <c r="AH90" i="7"/>
  <c r="AG395" i="1" s="1"/>
  <c r="AC19" i="5"/>
  <c r="AG392" i="1"/>
  <c r="AC21" i="5"/>
  <c r="AG394" i="1"/>
  <c r="AM393" i="1"/>
  <c r="AI20" i="5"/>
  <c r="AD21" i="5"/>
  <c r="AH394" i="1"/>
  <c r="AD19" i="5"/>
  <c r="AH392" i="1"/>
  <c r="AI90" i="7"/>
  <c r="AH395" i="1" s="1"/>
  <c r="AE19" i="5"/>
  <c r="AJ90" i="7"/>
  <c r="AI395" i="1" s="1"/>
  <c r="AI392" i="1"/>
  <c r="AI396" i="1" s="1"/>
  <c r="AE21" i="5"/>
  <c r="AI394" i="1"/>
  <c r="AN393" i="1"/>
  <c r="AJ20" i="5"/>
  <c r="AK20" i="5"/>
  <c r="AO393" i="1"/>
  <c r="AF21" i="5"/>
  <c r="AJ394" i="1"/>
  <c r="AF19" i="5"/>
  <c r="AJ392" i="1"/>
  <c r="AJ396" i="1" s="1"/>
  <c r="AK90" i="7"/>
  <c r="AJ395" i="1" s="1"/>
  <c r="AL90" i="7"/>
  <c r="AK395" i="1" s="1"/>
  <c r="AG19" i="5"/>
  <c r="AK392" i="1"/>
  <c r="AP393" i="1"/>
  <c r="AL20" i="5"/>
  <c r="AG21" i="5"/>
  <c r="AK394" i="1"/>
  <c r="AM20" i="5"/>
  <c r="AQ393" i="1"/>
  <c r="AL392" i="1"/>
  <c r="AH19" i="5"/>
  <c r="AM90" i="7"/>
  <c r="AL395" i="1" s="1"/>
  <c r="AH21" i="5"/>
  <c r="AL394" i="1"/>
  <c r="AI21" i="5"/>
  <c r="AM394" i="1"/>
  <c r="AI19" i="5"/>
  <c r="AN90" i="7"/>
  <c r="AM395" i="1" s="1"/>
  <c r="AM392" i="1"/>
  <c r="AR393" i="1"/>
  <c r="AN20" i="5"/>
  <c r="AS393" i="1"/>
  <c r="AO20" i="5"/>
  <c r="AJ19" i="5"/>
  <c r="AN392" i="1"/>
  <c r="AO90" i="7"/>
  <c r="AN395" i="1" s="1"/>
  <c r="AJ21" i="5"/>
  <c r="AN394" i="1"/>
  <c r="AK21" i="5"/>
  <c r="AO394" i="1"/>
  <c r="AK19" i="5"/>
  <c r="AO392" i="1"/>
  <c r="AO396" i="1" s="1"/>
  <c r="AP90" i="7"/>
  <c r="AO395" i="1" s="1"/>
  <c r="AT393" i="1"/>
  <c r="AP20" i="5"/>
  <c r="AL21" i="5"/>
  <c r="AP394" i="1"/>
  <c r="AQ20" i="5"/>
  <c r="AU393" i="1"/>
  <c r="AQ90" i="7"/>
  <c r="AP395" i="1" s="1"/>
  <c r="AL19" i="5"/>
  <c r="AP392" i="1"/>
  <c r="AP396" i="1" s="1"/>
  <c r="AM21" i="5"/>
  <c r="AQ394" i="1"/>
  <c r="AM19" i="5"/>
  <c r="AQ392" i="1"/>
  <c r="AQ396" i="1" s="1"/>
  <c r="AR90" i="7"/>
  <c r="AQ395" i="1" s="1"/>
  <c r="AV393" i="1"/>
  <c r="AR20" i="5"/>
  <c r="AR392" i="1"/>
  <c r="AN19" i="5"/>
  <c r="AS90" i="7"/>
  <c r="AR395" i="1" s="1"/>
  <c r="AS20" i="5"/>
  <c r="AW393" i="1"/>
  <c r="AR394" i="1"/>
  <c r="AN21" i="5"/>
  <c r="AS394" i="1"/>
  <c r="AO21" i="5"/>
  <c r="AT20" i="5"/>
  <c r="AX393" i="1"/>
  <c r="AS392" i="1"/>
  <c r="AS396" i="1" s="1"/>
  <c r="AO19" i="5"/>
  <c r="AT90" i="7"/>
  <c r="AS395" i="1" s="1"/>
  <c r="AP19" i="5"/>
  <c r="AT392" i="1"/>
  <c r="AT396" i="1" s="1"/>
  <c r="AU90" i="7"/>
  <c r="AT395" i="1" s="1"/>
  <c r="AU20" i="5"/>
  <c r="AY393" i="1"/>
  <c r="AT394" i="1"/>
  <c r="AP21" i="5"/>
  <c r="AU394" i="1"/>
  <c r="AQ21" i="5"/>
  <c r="AV20" i="5"/>
  <c r="AZ393" i="1"/>
  <c r="AQ19" i="5"/>
  <c r="AU392" i="1"/>
  <c r="AU396" i="1" s="1"/>
  <c r="AV90" i="7"/>
  <c r="AU395" i="1" s="1"/>
  <c r="BA393" i="1"/>
  <c r="AW20" i="5"/>
  <c r="AV394" i="1"/>
  <c r="AR21" i="5"/>
  <c r="AW90" i="7"/>
  <c r="AV395" i="1" s="1"/>
  <c r="AR19" i="5"/>
  <c r="AV392" i="1"/>
  <c r="AV396" i="1" s="1"/>
  <c r="AS19" i="5"/>
  <c r="AW392" i="1"/>
  <c r="AW396" i="1" s="1"/>
  <c r="AX90" i="7"/>
  <c r="AW395" i="1" s="1"/>
  <c r="AS21" i="5"/>
  <c r="AW394" i="1"/>
  <c r="AX20" i="5"/>
  <c r="BB393" i="1"/>
  <c r="AX394" i="1"/>
  <c r="AT21" i="5"/>
  <c r="BC393" i="1"/>
  <c r="AY20" i="5"/>
  <c r="AY90" i="7"/>
  <c r="AX395" i="1" s="1"/>
  <c r="AT19" i="5"/>
  <c r="AX392" i="1"/>
  <c r="AX396" i="1" s="1"/>
  <c r="AY392" i="1"/>
  <c r="AY396" i="1" s="1"/>
  <c r="AZ90" i="7"/>
  <c r="AY395" i="1" s="1"/>
  <c r="AU19" i="5"/>
  <c r="AY394" i="1"/>
  <c r="AU21" i="5"/>
  <c r="AZ394" i="1"/>
  <c r="AV21" i="5"/>
  <c r="AZ392" i="1"/>
  <c r="AZ396" i="1" s="1"/>
  <c r="BA90" i="7"/>
  <c r="AZ395" i="1" s="1"/>
  <c r="AV19" i="5"/>
  <c r="BA392" i="1"/>
  <c r="AW19" i="5"/>
  <c r="BB90" i="7"/>
  <c r="BA395" i="1" s="1"/>
  <c r="BA394" i="1"/>
  <c r="AW21" i="5"/>
  <c r="BB394" i="1"/>
  <c r="AX21" i="5"/>
  <c r="BB392" i="1"/>
  <c r="BB396" i="1" s="1"/>
  <c r="AX19" i="5"/>
  <c r="BC90" i="7"/>
  <c r="BB395" i="1" s="1"/>
  <c r="AY21" i="5"/>
  <c r="BC394" i="1"/>
  <c r="BC392" i="1"/>
  <c r="BC396" i="1" s="1"/>
  <c r="AY19" i="5"/>
  <c r="BD90" i="7"/>
  <c r="BC395" i="1" s="1"/>
  <c r="G91" i="3"/>
  <c r="Q373" i="1"/>
  <c r="Q33" i="1"/>
  <c r="Q80" i="1" s="1"/>
  <c r="S39" i="20"/>
  <c r="AH404" i="1"/>
  <c r="T425" i="1"/>
  <c r="P13" i="5"/>
  <c r="L12" i="5"/>
  <c r="P424" i="1"/>
  <c r="R153" i="1"/>
  <c r="AJ176" i="1"/>
  <c r="E176" i="1"/>
  <c r="D426" i="1"/>
  <c r="B14" i="5"/>
  <c r="G176" i="1"/>
  <c r="F426" i="1"/>
  <c r="D14" i="5"/>
  <c r="I176" i="1"/>
  <c r="H426" i="1"/>
  <c r="F14" i="5"/>
  <c r="K176" i="1"/>
  <c r="J426" i="1"/>
  <c r="M176" i="1"/>
  <c r="O52" i="7"/>
  <c r="K71" i="6" s="1"/>
  <c r="U379" i="1"/>
  <c r="J72" i="3"/>
  <c r="AE56" i="3"/>
  <c r="S416" i="1"/>
  <c r="I90" i="3"/>
  <c r="L6" i="5"/>
  <c r="Q96" i="7"/>
  <c r="P36" i="1"/>
  <c r="P82" i="1" s="1"/>
  <c r="P377" i="1"/>
  <c r="S43" i="20"/>
  <c r="S40" i="20"/>
  <c r="H429" i="1"/>
  <c r="H432" i="1" s="1"/>
  <c r="H424" i="1"/>
  <c r="D12" i="5"/>
  <c r="S45" i="20"/>
  <c r="T421" i="1"/>
  <c r="T403" i="1" s="1"/>
  <c r="Q421" i="1"/>
  <c r="Q403" i="1" s="1"/>
  <c r="AG421" i="1"/>
  <c r="AG403" i="1" s="1"/>
  <c r="AE421" i="1"/>
  <c r="AE403" i="1" s="1"/>
  <c r="R421" i="1"/>
  <c r="R403" i="1" s="1"/>
  <c r="T144" i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S37" i="20"/>
  <c r="R96" i="7"/>
  <c r="R95" i="7"/>
  <c r="AD421" i="1"/>
  <c r="AD403" i="1" s="1"/>
  <c r="AB421" i="1"/>
  <c r="AB403" i="1" s="1"/>
  <c r="Z421" i="1"/>
  <c r="Z403" i="1" s="1"/>
  <c r="P421" i="1"/>
  <c r="P403" i="1" s="1"/>
  <c r="AX421" i="1"/>
  <c r="AX403" i="1" s="1"/>
  <c r="BC421" i="1"/>
  <c r="BC403" i="1" s="1"/>
  <c r="E421" i="1"/>
  <c r="E403" i="1" s="1"/>
  <c r="W404" i="1"/>
  <c r="S421" i="1"/>
  <c r="S403" i="1" s="1"/>
  <c r="AM421" i="1"/>
  <c r="AM403" i="1" s="1"/>
  <c r="O404" i="1"/>
  <c r="J404" i="1"/>
  <c r="F421" i="1"/>
  <c r="F403" i="1" s="1"/>
  <c r="AK421" i="1"/>
  <c r="AK403" i="1" s="1"/>
  <c r="AW421" i="1"/>
  <c r="AW403" i="1" s="1"/>
  <c r="Q377" i="1"/>
  <c r="M6" i="5"/>
  <c r="Q36" i="1"/>
  <c r="Q82" i="1" s="1"/>
  <c r="J421" i="1"/>
  <c r="J403" i="1" s="1"/>
  <c r="U293" i="1"/>
  <c r="Q429" i="1"/>
  <c r="Q432" i="1" s="1"/>
  <c r="T318" i="1"/>
  <c r="H404" i="1"/>
  <c r="E404" i="1"/>
  <c r="B404" i="1"/>
  <c r="L429" i="1"/>
  <c r="L432" i="1" s="1"/>
  <c r="Z404" i="1"/>
  <c r="R404" i="1"/>
  <c r="W421" i="1"/>
  <c r="W403" i="1" s="1"/>
  <c r="G421" i="1"/>
  <c r="G403" i="1" s="1"/>
  <c r="AD14" i="5"/>
  <c r="AH176" i="1"/>
  <c r="AH426" i="1"/>
  <c r="AI176" i="1"/>
  <c r="U176" i="1"/>
  <c r="U426" i="1"/>
  <c r="N14" i="5"/>
  <c r="R176" i="1"/>
  <c r="R426" i="1"/>
  <c r="M429" i="1"/>
  <c r="M432" i="1" s="1"/>
  <c r="O81" i="3"/>
  <c r="AL421" i="1"/>
  <c r="AL403" i="1" s="1"/>
  <c r="AG176" i="1"/>
  <c r="AG426" i="1"/>
  <c r="Z14" i="5"/>
  <c r="AD176" i="1"/>
  <c r="Y426" i="1"/>
  <c r="R14" i="5"/>
  <c r="V176" i="1"/>
  <c r="Q176" i="1"/>
  <c r="Q426" i="1"/>
  <c r="J90" i="3"/>
  <c r="T416" i="1"/>
  <c r="Q72" i="6"/>
  <c r="Q174" i="1"/>
  <c r="I12" i="5"/>
  <c r="R360" i="1"/>
  <c r="N43" i="5" s="1"/>
  <c r="AH421" i="1"/>
  <c r="AH403" i="1" s="1"/>
  <c r="AN421" i="1"/>
  <c r="AN403" i="1" s="1"/>
  <c r="AT421" i="1"/>
  <c r="AT403" i="1" s="1"/>
  <c r="AV421" i="1"/>
  <c r="AV403" i="1" s="1"/>
  <c r="AJ421" i="1"/>
  <c r="AJ403" i="1" s="1"/>
  <c r="AP421" i="1"/>
  <c r="AP403" i="1" s="1"/>
  <c r="AS421" i="1"/>
  <c r="AS403" i="1" s="1"/>
  <c r="AU421" i="1"/>
  <c r="AU403" i="1" s="1"/>
  <c r="BB421" i="1"/>
  <c r="BB403" i="1" s="1"/>
  <c r="R429" i="1"/>
  <c r="N12" i="5"/>
  <c r="R339" i="1"/>
  <c r="R36" i="1"/>
  <c r="R82" i="1" s="1"/>
  <c r="T198" i="20"/>
  <c r="T208" i="20" s="1"/>
  <c r="T217" i="20" s="1"/>
  <c r="V379" i="1"/>
  <c r="W379" i="1"/>
  <c r="R377" i="1"/>
  <c r="S233" i="20"/>
  <c r="T233" i="20"/>
  <c r="M424" i="1"/>
  <c r="R376" i="1"/>
  <c r="N5" i="5"/>
  <c r="R34" i="1"/>
  <c r="T320" i="1"/>
  <c r="U143" i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I421" i="1"/>
  <c r="I403" i="1" s="1"/>
  <c r="R389" i="1"/>
  <c r="AE176" i="1"/>
  <c r="AA14" i="5"/>
  <c r="AF176" i="1"/>
  <c r="AE426" i="1"/>
  <c r="Y14" i="5"/>
  <c r="AC176" i="1"/>
  <c r="V14" i="5"/>
  <c r="Z426" i="1"/>
  <c r="Z176" i="1"/>
  <c r="T14" i="5"/>
  <c r="Y176" i="1"/>
  <c r="X176" i="1"/>
  <c r="X426" i="1"/>
  <c r="O426" i="1"/>
  <c r="K14" i="5"/>
  <c r="P176" i="1"/>
  <c r="O176" i="1"/>
  <c r="R13" i="5"/>
  <c r="V425" i="1"/>
  <c r="F12" i="5"/>
  <c r="J424" i="1"/>
  <c r="I429" i="1"/>
  <c r="I432" i="1" s="1"/>
  <c r="G429" i="1"/>
  <c r="G432" i="1" s="1"/>
  <c r="K429" i="1"/>
  <c r="K432" i="1" s="1"/>
  <c r="S52" i="7"/>
  <c r="O71" i="6" s="1"/>
  <c r="O421" i="1"/>
  <c r="O403" i="1" s="1"/>
  <c r="M404" i="1"/>
  <c r="N421" i="1"/>
  <c r="N403" i="1" s="1"/>
  <c r="L421" i="1"/>
  <c r="L403" i="1" s="1"/>
  <c r="O429" i="1"/>
  <c r="O432" i="1" s="1"/>
  <c r="AC426" i="1"/>
  <c r="M174" i="1"/>
  <c r="Q424" i="1"/>
  <c r="Q177" i="1"/>
  <c r="K68" i="7"/>
  <c r="F429" i="1"/>
  <c r="F432" i="1" s="1"/>
  <c r="F424" i="1"/>
  <c r="U421" i="1"/>
  <c r="U403" i="1" s="1"/>
  <c r="AE68" i="7"/>
  <c r="H421" i="1"/>
  <c r="H403" i="1" s="1"/>
  <c r="AF421" i="1"/>
  <c r="AF403" i="1" s="1"/>
  <c r="D421" i="1"/>
  <c r="D403" i="1" s="1"/>
  <c r="AC421" i="1"/>
  <c r="AC403" i="1" s="1"/>
  <c r="V421" i="1"/>
  <c r="V403" i="1" s="1"/>
  <c r="S376" i="1"/>
  <c r="P177" i="1"/>
  <c r="P174" i="1"/>
  <c r="G12" i="5"/>
  <c r="K174" i="1"/>
  <c r="L177" i="1"/>
  <c r="K424" i="1"/>
  <c r="K177" i="1"/>
  <c r="L174" i="1"/>
  <c r="G177" i="1"/>
  <c r="H177" i="1"/>
  <c r="E12" i="5"/>
  <c r="T429" i="1"/>
  <c r="S174" i="1"/>
  <c r="S424" i="1"/>
  <c r="U95" i="7"/>
  <c r="T177" i="1"/>
  <c r="U429" i="1"/>
  <c r="U168" i="1"/>
  <c r="U177" i="1" s="1"/>
  <c r="T174" i="1"/>
  <c r="T424" i="1"/>
  <c r="O12" i="5"/>
  <c r="S177" i="1"/>
  <c r="O174" i="1"/>
  <c r="N177" i="1"/>
  <c r="U35" i="3" l="1"/>
  <c r="T35" i="3"/>
  <c r="U58" i="3"/>
  <c r="V35" i="3"/>
  <c r="W58" i="3"/>
  <c r="X35" i="3"/>
  <c r="T57" i="7"/>
  <c r="J57" i="7"/>
  <c r="F57" i="7"/>
  <c r="AK68" i="7"/>
  <c r="AO68" i="7"/>
  <c r="AS68" i="7"/>
  <c r="AK57" i="7"/>
  <c r="O68" i="7"/>
  <c r="BB28" i="5"/>
  <c r="BF28" i="5"/>
  <c r="BH28" i="5"/>
  <c r="BI28" i="5"/>
  <c r="BG28" i="5"/>
  <c r="BD28" i="5"/>
  <c r="BE28" i="5"/>
  <c r="BC28" i="5"/>
  <c r="BA28" i="5"/>
  <c r="AZ28" i="5"/>
  <c r="AS59" i="3"/>
  <c r="AT36" i="3"/>
  <c r="AT72" i="3" s="1"/>
  <c r="AS58" i="3"/>
  <c r="AT35" i="3"/>
  <c r="BC68" i="1"/>
  <c r="BD75" i="1"/>
  <c r="Q83" i="1"/>
  <c r="Q79" i="1" s="1"/>
  <c r="P41" i="1"/>
  <c r="P81" i="1"/>
  <c r="F82" i="1"/>
  <c r="F123" i="1" s="1"/>
  <c r="F162" i="1" s="1"/>
  <c r="F183" i="1" s="1"/>
  <c r="L41" i="1"/>
  <c r="L81" i="1"/>
  <c r="L83" i="1" s="1"/>
  <c r="J41" i="1"/>
  <c r="J81" i="1"/>
  <c r="J83" i="1" s="1"/>
  <c r="H94" i="7"/>
  <c r="G80" i="1"/>
  <c r="E82" i="1"/>
  <c r="E123" i="1" s="1"/>
  <c r="E162" i="1" s="1"/>
  <c r="E183" i="1" s="1"/>
  <c r="O41" i="1"/>
  <c r="O81" i="1"/>
  <c r="O83" i="1" s="1"/>
  <c r="D82" i="1"/>
  <c r="D123" i="1" s="1"/>
  <c r="D162" i="1" s="1"/>
  <c r="D183" i="1" s="1"/>
  <c r="C82" i="1"/>
  <c r="D375" i="1"/>
  <c r="D80" i="1"/>
  <c r="I41" i="1"/>
  <c r="I81" i="1"/>
  <c r="F375" i="1"/>
  <c r="F80" i="1"/>
  <c r="E81" i="1"/>
  <c r="E122" i="1" s="1"/>
  <c r="E161" i="1" s="1"/>
  <c r="E182" i="1" s="1"/>
  <c r="K41" i="1"/>
  <c r="K81" i="1"/>
  <c r="K83" i="1" s="1"/>
  <c r="N375" i="1"/>
  <c r="N80" i="1"/>
  <c r="R41" i="1"/>
  <c r="I87" i="1"/>
  <c r="M87" i="1"/>
  <c r="Q87" i="1"/>
  <c r="U87" i="1"/>
  <c r="Y87" i="1"/>
  <c r="L87" i="1"/>
  <c r="X87" i="1"/>
  <c r="F87" i="1"/>
  <c r="J87" i="1"/>
  <c r="N87" i="1"/>
  <c r="R87" i="1"/>
  <c r="V87" i="1"/>
  <c r="Z87" i="1"/>
  <c r="R81" i="1"/>
  <c r="R122" i="1" s="1"/>
  <c r="H87" i="1"/>
  <c r="T87" i="1"/>
  <c r="G87" i="1"/>
  <c r="K87" i="1"/>
  <c r="O87" i="1"/>
  <c r="S87" i="1"/>
  <c r="W87" i="1"/>
  <c r="P87" i="1"/>
  <c r="C375" i="1"/>
  <c r="C80" i="1"/>
  <c r="N41" i="1"/>
  <c r="N81" i="1"/>
  <c r="N122" i="1" s="1"/>
  <c r="N161" i="1" s="1"/>
  <c r="N182" i="1" s="1"/>
  <c r="I83" i="1"/>
  <c r="H83" i="1"/>
  <c r="G83" i="1"/>
  <c r="E83" i="1"/>
  <c r="M41" i="1"/>
  <c r="M81" i="1"/>
  <c r="M83" i="1" s="1"/>
  <c r="Q94" i="7"/>
  <c r="P80" i="1"/>
  <c r="AA8" i="1"/>
  <c r="W6" i="5" s="1"/>
  <c r="W32" i="5" s="1"/>
  <c r="P61" i="3"/>
  <c r="P62" i="3" s="1"/>
  <c r="O15" i="1"/>
  <c r="Q86" i="20"/>
  <c r="R57" i="7"/>
  <c r="Y33" i="3"/>
  <c r="Y69" i="3" s="1"/>
  <c r="N68" i="7"/>
  <c r="M48" i="7"/>
  <c r="AN68" i="7"/>
  <c r="AV68" i="7"/>
  <c r="AI68" i="7"/>
  <c r="AA68" i="7"/>
  <c r="C52" i="7"/>
  <c r="X56" i="3"/>
  <c r="E222" i="23"/>
  <c r="E225" i="23" s="1"/>
  <c r="C179" i="23"/>
  <c r="K222" i="23"/>
  <c r="K225" i="23" s="1"/>
  <c r="N179" i="23"/>
  <c r="AB179" i="23"/>
  <c r="U222" i="23"/>
  <c r="U225" i="23" s="1"/>
  <c r="D222" i="23"/>
  <c r="D225" i="23" s="1"/>
  <c r="B179" i="23"/>
  <c r="N222" i="23"/>
  <c r="N225" i="23" s="1"/>
  <c r="AC179" i="23"/>
  <c r="V222" i="23"/>
  <c r="V225" i="23" s="1"/>
  <c r="AB222" i="23"/>
  <c r="AB225" i="23" s="1"/>
  <c r="C222" i="23"/>
  <c r="C225" i="23" s="1"/>
  <c r="I179" i="23"/>
  <c r="L179" i="23"/>
  <c r="V179" i="23"/>
  <c r="W222" i="23"/>
  <c r="W225" i="23" s="1"/>
  <c r="CK43" i="6"/>
  <c r="CL43" i="6" s="1"/>
  <c r="CM43" i="6" s="1"/>
  <c r="CN43" i="6" s="1"/>
  <c r="B222" i="23"/>
  <c r="B225" i="23" s="1"/>
  <c r="H179" i="23"/>
  <c r="L222" i="23"/>
  <c r="L225" i="23" s="1"/>
  <c r="P222" i="23"/>
  <c r="P225" i="23" s="1"/>
  <c r="X222" i="23"/>
  <c r="X225" i="23" s="1"/>
  <c r="I222" i="23"/>
  <c r="I225" i="23" s="1"/>
  <c r="G179" i="23"/>
  <c r="P179" i="23"/>
  <c r="X179" i="23"/>
  <c r="Y222" i="23"/>
  <c r="Y225" i="23" s="1"/>
  <c r="F222" i="23"/>
  <c r="F225" i="23" s="1"/>
  <c r="T222" i="23"/>
  <c r="T225" i="23" s="1"/>
  <c r="H222" i="23"/>
  <c r="H225" i="23" s="1"/>
  <c r="J222" i="23"/>
  <c r="J225" i="23" s="1"/>
  <c r="M179" i="23"/>
  <c r="R222" i="23"/>
  <c r="R225" i="23" s="1"/>
  <c r="Z222" i="23"/>
  <c r="Z225" i="23" s="1"/>
  <c r="G222" i="23"/>
  <c r="G225" i="23" s="1"/>
  <c r="M222" i="23"/>
  <c r="M225" i="23" s="1"/>
  <c r="S222" i="23"/>
  <c r="S225" i="23" s="1"/>
  <c r="AA222" i="23"/>
  <c r="AA225" i="23" s="1"/>
  <c r="AU400" i="1"/>
  <c r="U71" i="3"/>
  <c r="M122" i="1"/>
  <c r="M161" i="1" s="1"/>
  <c r="M182" i="1" s="1"/>
  <c r="N33" i="6"/>
  <c r="T400" i="1"/>
  <c r="Q83" i="20"/>
  <c r="R83" i="20"/>
  <c r="S159" i="20"/>
  <c r="S57" i="20"/>
  <c r="P83" i="20"/>
  <c r="I83" i="20"/>
  <c r="N83" i="20"/>
  <c r="J83" i="20"/>
  <c r="D83" i="20"/>
  <c r="L83" i="20"/>
  <c r="S52" i="20"/>
  <c r="S60" i="20"/>
  <c r="S71" i="20" s="1"/>
  <c r="R52" i="20"/>
  <c r="K83" i="20"/>
  <c r="F83" i="20"/>
  <c r="S83" i="20"/>
  <c r="S54" i="20"/>
  <c r="S62" i="20"/>
  <c r="S73" i="20" s="1"/>
  <c r="C83" i="20"/>
  <c r="G83" i="20"/>
  <c r="O83" i="20"/>
  <c r="R54" i="20"/>
  <c r="R53" i="20"/>
  <c r="H83" i="20"/>
  <c r="E83" i="20"/>
  <c r="M83" i="20"/>
  <c r="S65" i="20"/>
  <c r="S53" i="20"/>
  <c r="S61" i="20"/>
  <c r="S72" i="20" s="1"/>
  <c r="R57" i="20"/>
  <c r="J157" i="20"/>
  <c r="H155" i="20"/>
  <c r="S157" i="20"/>
  <c r="G157" i="20"/>
  <c r="J155" i="20"/>
  <c r="U64" i="20"/>
  <c r="U75" i="20" s="1"/>
  <c r="P198" i="20"/>
  <c r="P208" i="20" s="1"/>
  <c r="L200" i="20"/>
  <c r="L210" i="20" s="1"/>
  <c r="L219" i="20" s="1"/>
  <c r="F198" i="20"/>
  <c r="F208" i="20" s="1"/>
  <c r="F217" i="20" s="1"/>
  <c r="Q198" i="20"/>
  <c r="Q208" i="20" s="1"/>
  <c r="Q217" i="20" s="1"/>
  <c r="I200" i="20"/>
  <c r="I210" i="20" s="1"/>
  <c r="I219" i="20" s="1"/>
  <c r="D200" i="20"/>
  <c r="D210" i="20" s="1"/>
  <c r="D219" i="20" s="1"/>
  <c r="M198" i="20"/>
  <c r="M208" i="20" s="1"/>
  <c r="M217" i="20" s="1"/>
  <c r="Q200" i="20"/>
  <c r="Q210" i="20" s="1"/>
  <c r="Q219" i="20" s="1"/>
  <c r="M159" i="20"/>
  <c r="R48" i="20"/>
  <c r="Q42" i="20"/>
  <c r="Q27" i="20"/>
  <c r="F200" i="20"/>
  <c r="F210" i="20" s="1"/>
  <c r="F219" i="20" s="1"/>
  <c r="E21" i="20"/>
  <c r="C404" i="1" s="1"/>
  <c r="E22" i="20"/>
  <c r="O157" i="20"/>
  <c r="Q148" i="20"/>
  <c r="O148" i="20"/>
  <c r="S148" i="20"/>
  <c r="P148" i="20"/>
  <c r="M148" i="20"/>
  <c r="L148" i="20"/>
  <c r="K154" i="20"/>
  <c r="K148" i="20"/>
  <c r="K149" i="20" s="1"/>
  <c r="J148" i="20"/>
  <c r="J149" i="20" s="1"/>
  <c r="I154" i="20"/>
  <c r="I148" i="20"/>
  <c r="H148" i="20"/>
  <c r="G148" i="20"/>
  <c r="G149" i="20" s="1"/>
  <c r="F148" i="20"/>
  <c r="D148" i="20"/>
  <c r="E148" i="20"/>
  <c r="N148" i="20"/>
  <c r="N149" i="20" s="1"/>
  <c r="R148" i="20"/>
  <c r="T148" i="20"/>
  <c r="C148" i="20"/>
  <c r="C149" i="20" s="1"/>
  <c r="J159" i="20"/>
  <c r="F159" i="20"/>
  <c r="I158" i="20"/>
  <c r="E158" i="20"/>
  <c r="F163" i="20"/>
  <c r="J160" i="20"/>
  <c r="F160" i="20"/>
  <c r="L157" i="20"/>
  <c r="L156" i="20"/>
  <c r="G156" i="20"/>
  <c r="D156" i="20"/>
  <c r="O155" i="20"/>
  <c r="Q39" i="20"/>
  <c r="Q41" i="20"/>
  <c r="L61" i="3"/>
  <c r="L62" i="3" s="1"/>
  <c r="T154" i="20"/>
  <c r="N233" i="20"/>
  <c r="S154" i="20"/>
  <c r="Q46" i="20"/>
  <c r="Q40" i="20"/>
  <c r="R62" i="20" s="1"/>
  <c r="R73" i="20" s="1"/>
  <c r="Q38" i="20"/>
  <c r="Q36" i="20"/>
  <c r="Q45" i="20"/>
  <c r="Q43" i="20"/>
  <c r="Q37" i="20"/>
  <c r="AW39" i="5"/>
  <c r="I389" i="1"/>
  <c r="BA400" i="1"/>
  <c r="E94" i="7"/>
  <c r="AR68" i="1"/>
  <c r="AW400" i="1"/>
  <c r="AS400" i="1"/>
  <c r="N155" i="20"/>
  <c r="L57" i="7"/>
  <c r="AB68" i="7"/>
  <c r="T68" i="7"/>
  <c r="H48" i="7"/>
  <c r="I157" i="20"/>
  <c r="Q48" i="7"/>
  <c r="N389" i="1"/>
  <c r="H157" i="20"/>
  <c r="F157" i="20"/>
  <c r="J163" i="20"/>
  <c r="M162" i="20"/>
  <c r="I162" i="20"/>
  <c r="E162" i="20"/>
  <c r="I159" i="20"/>
  <c r="E159" i="20"/>
  <c r="L158" i="20"/>
  <c r="H158" i="20"/>
  <c r="P159" i="20"/>
  <c r="P156" i="20"/>
  <c r="Q156" i="20"/>
  <c r="Q163" i="20"/>
  <c r="M52" i="7"/>
  <c r="L415" i="1" s="1"/>
  <c r="R162" i="20"/>
  <c r="AN57" i="7"/>
  <c r="Q52" i="7"/>
  <c r="P415" i="1" s="1"/>
  <c r="Q389" i="1"/>
  <c r="AJ68" i="7"/>
  <c r="AF68" i="7"/>
  <c r="C68" i="7"/>
  <c r="AC68" i="7"/>
  <c r="Y68" i="7"/>
  <c r="S57" i="7"/>
  <c r="L162" i="20"/>
  <c r="D162" i="20"/>
  <c r="L159" i="20"/>
  <c r="H159" i="20"/>
  <c r="D159" i="20"/>
  <c r="F156" i="20"/>
  <c r="E171" i="1"/>
  <c r="F178" i="1" s="1"/>
  <c r="H57" i="7"/>
  <c r="D57" i="7"/>
  <c r="E156" i="20"/>
  <c r="D155" i="20"/>
  <c r="O158" i="20"/>
  <c r="O33" i="3"/>
  <c r="O69" i="3" s="1"/>
  <c r="I178" i="1"/>
  <c r="W33" i="3"/>
  <c r="W69" i="3" s="1"/>
  <c r="N154" i="20"/>
  <c r="G48" i="7"/>
  <c r="D48" i="7"/>
  <c r="N159" i="20"/>
  <c r="O156" i="20"/>
  <c r="K52" i="7"/>
  <c r="Q68" i="7"/>
  <c r="M425" i="1"/>
  <c r="M427" i="1" s="1"/>
  <c r="AH33" i="3"/>
  <c r="AH69" i="3" s="1"/>
  <c r="O389" i="1"/>
  <c r="H154" i="20"/>
  <c r="V36" i="3"/>
  <c r="V72" i="3" s="1"/>
  <c r="L68" i="7"/>
  <c r="H68" i="7"/>
  <c r="H79" i="7" s="1"/>
  <c r="D68" i="7"/>
  <c r="E68" i="7"/>
  <c r="E79" i="7" s="1"/>
  <c r="J33" i="3"/>
  <c r="J69" i="3" s="1"/>
  <c r="J74" i="3" s="1"/>
  <c r="P48" i="7"/>
  <c r="Q155" i="20"/>
  <c r="S158" i="20"/>
  <c r="P68" i="7"/>
  <c r="L198" i="20"/>
  <c r="L208" i="20" s="1"/>
  <c r="L217" i="20" s="1"/>
  <c r="M155" i="20"/>
  <c r="H53" i="7"/>
  <c r="L122" i="1"/>
  <c r="L161" i="1" s="1"/>
  <c r="L182" i="1" s="1"/>
  <c r="U68" i="7"/>
  <c r="G52" i="7"/>
  <c r="G160" i="20"/>
  <c r="H156" i="20"/>
  <c r="Z33" i="3"/>
  <c r="Z69" i="3" s="1"/>
  <c r="P158" i="20"/>
  <c r="AE33" i="3"/>
  <c r="AE69" i="3" s="1"/>
  <c r="AO57" i="7"/>
  <c r="AP68" i="7"/>
  <c r="AX68" i="7"/>
  <c r="I155" i="20"/>
  <c r="L155" i="20"/>
  <c r="T52" i="7"/>
  <c r="I81" i="3" s="1"/>
  <c r="S415" i="1" s="1"/>
  <c r="V33" i="3"/>
  <c r="V69" i="3" s="1"/>
  <c r="K155" i="20"/>
  <c r="AG68" i="7"/>
  <c r="G68" i="7"/>
  <c r="G79" i="7" s="1"/>
  <c r="I48" i="7"/>
  <c r="AI48" i="7"/>
  <c r="AE48" i="7"/>
  <c r="AA48" i="7"/>
  <c r="L39" i="5"/>
  <c r="AP57" i="7"/>
  <c r="S48" i="7"/>
  <c r="S53" i="7" s="1"/>
  <c r="L33" i="6"/>
  <c r="N52" i="7"/>
  <c r="M415" i="1" s="1"/>
  <c r="R155" i="20"/>
  <c r="Q157" i="20"/>
  <c r="R52" i="7"/>
  <c r="Q415" i="1" s="1"/>
  <c r="H13" i="5"/>
  <c r="F155" i="20"/>
  <c r="Z68" i="7"/>
  <c r="S68" i="7"/>
  <c r="O57" i="7"/>
  <c r="K57" i="7"/>
  <c r="G57" i="7"/>
  <c r="C57" i="7"/>
  <c r="J48" i="7"/>
  <c r="J53" i="7" s="1"/>
  <c r="F48" i="7"/>
  <c r="F53" i="7" s="1"/>
  <c r="D160" i="20"/>
  <c r="F158" i="20"/>
  <c r="M156" i="20"/>
  <c r="I156" i="20"/>
  <c r="AL33" i="3"/>
  <c r="AL69" i="3" s="1"/>
  <c r="AR68" i="7"/>
  <c r="L154" i="20"/>
  <c r="J154" i="20"/>
  <c r="K159" i="20"/>
  <c r="AB37" i="5"/>
  <c r="AH68" i="7"/>
  <c r="V68" i="7"/>
  <c r="C53" i="7"/>
  <c r="K389" i="1"/>
  <c r="H38" i="5"/>
  <c r="I95" i="7"/>
  <c r="H41" i="1"/>
  <c r="H122" i="1"/>
  <c r="H161" i="1" s="1"/>
  <c r="H182" i="1" s="1"/>
  <c r="BC154" i="1"/>
  <c r="BC156" i="1" s="1"/>
  <c r="BN35" i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AC56" i="3"/>
  <c r="AC61" i="3" s="1"/>
  <c r="AD33" i="3"/>
  <c r="AD69" i="3" s="1"/>
  <c r="AG56" i="3"/>
  <c r="AG33" i="3"/>
  <c r="AG69" i="3" s="1"/>
  <c r="AM57" i="7"/>
  <c r="N123" i="1"/>
  <c r="K71" i="7"/>
  <c r="K72" i="7" s="1"/>
  <c r="K79" i="7" s="1"/>
  <c r="K15" i="7"/>
  <c r="R415" i="1"/>
  <c r="O233" i="20"/>
  <c r="D154" i="20"/>
  <c r="Q33" i="3"/>
  <c r="N34" i="5"/>
  <c r="C79" i="7"/>
  <c r="AF57" i="7"/>
  <c r="AB57" i="7"/>
  <c r="M57" i="7"/>
  <c r="I57" i="7"/>
  <c r="L48" i="7"/>
  <c r="N198" i="20"/>
  <c r="N208" i="20" s="1"/>
  <c r="N217" i="20" s="1"/>
  <c r="N38" i="5"/>
  <c r="M157" i="20"/>
  <c r="G375" i="1"/>
  <c r="Z33" i="6"/>
  <c r="V33" i="6"/>
  <c r="P375" i="1"/>
  <c r="I52" i="7"/>
  <c r="L52" i="7"/>
  <c r="AM33" i="3"/>
  <c r="AM69" i="3" s="1"/>
  <c r="AM56" i="3"/>
  <c r="AL68" i="7"/>
  <c r="AN48" i="7"/>
  <c r="AR48" i="7"/>
  <c r="AV48" i="7"/>
  <c r="AZ48" i="7"/>
  <c r="BD48" i="7"/>
  <c r="AE39" i="5"/>
  <c r="O123" i="1"/>
  <c r="O162" i="1" s="1"/>
  <c r="O183" i="1" s="1"/>
  <c r="U57" i="7"/>
  <c r="AG57" i="7"/>
  <c r="AC57" i="7"/>
  <c r="N57" i="7"/>
  <c r="M163" i="20"/>
  <c r="L123" i="1"/>
  <c r="L375" i="1"/>
  <c r="J123" i="1"/>
  <c r="J162" i="1" s="1"/>
  <c r="J183" i="1" s="1"/>
  <c r="I94" i="7"/>
  <c r="H95" i="7"/>
  <c r="H97" i="7" s="1"/>
  <c r="G41" i="1"/>
  <c r="X33" i="3"/>
  <c r="X69" i="3" s="1"/>
  <c r="P163" i="20"/>
  <c r="M175" i="1"/>
  <c r="AC33" i="3"/>
  <c r="AC69" i="3" s="1"/>
  <c r="AS57" i="7"/>
  <c r="AW57" i="7"/>
  <c r="BA57" i="7"/>
  <c r="L32" i="5"/>
  <c r="L56" i="5" s="1"/>
  <c r="AD68" i="7"/>
  <c r="J68" i="7"/>
  <c r="J79" i="7" s="1"/>
  <c r="F68" i="7"/>
  <c r="F79" i="7" s="1"/>
  <c r="D79" i="7"/>
  <c r="Q57" i="7"/>
  <c r="AF48" i="7"/>
  <c r="AB48" i="7"/>
  <c r="J375" i="1"/>
  <c r="H123" i="1"/>
  <c r="D37" i="5"/>
  <c r="P33" i="3"/>
  <c r="P69" i="3" s="1"/>
  <c r="P74" i="3" s="1"/>
  <c r="P75" i="3" s="1"/>
  <c r="J38" i="5"/>
  <c r="K37" i="5"/>
  <c r="P57" i="7"/>
  <c r="Q159" i="20"/>
  <c r="M72" i="3"/>
  <c r="AQ57" i="7"/>
  <c r="AU57" i="7"/>
  <c r="AY57" i="7"/>
  <c r="BC57" i="7"/>
  <c r="AW68" i="7"/>
  <c r="I33" i="3"/>
  <c r="I69" i="3" s="1"/>
  <c r="I74" i="3" s="1"/>
  <c r="Y56" i="3"/>
  <c r="AS36" i="3"/>
  <c r="AS72" i="3" s="1"/>
  <c r="Y36" i="3"/>
  <c r="Y72" i="3" s="1"/>
  <c r="AS34" i="3"/>
  <c r="AS70" i="3" s="1"/>
  <c r="AP33" i="3"/>
  <c r="AP69" i="3" s="1"/>
  <c r="AQ33" i="3"/>
  <c r="AQ69" i="3" s="1"/>
  <c r="AI33" i="3"/>
  <c r="AI69" i="3" s="1"/>
  <c r="AF33" i="3"/>
  <c r="AF69" i="3" s="1"/>
  <c r="AA33" i="3"/>
  <c r="AA69" i="3" s="1"/>
  <c r="AJ35" i="3"/>
  <c r="AJ71" i="3" s="1"/>
  <c r="AI57" i="7"/>
  <c r="AE57" i="7"/>
  <c r="AA57" i="7"/>
  <c r="AN56" i="3"/>
  <c r="AO33" i="3"/>
  <c r="AO69" i="3" s="1"/>
  <c r="AN33" i="3"/>
  <c r="AN69" i="3" s="1"/>
  <c r="T155" i="20"/>
  <c r="AF56" i="3"/>
  <c r="O200" i="20"/>
  <c r="E48" i="7"/>
  <c r="E53" i="7" s="1"/>
  <c r="P52" i="7"/>
  <c r="L71" i="6" s="1"/>
  <c r="AZ68" i="1"/>
  <c r="AZ389" i="1"/>
  <c r="AK77" i="1"/>
  <c r="P155" i="20"/>
  <c r="T56" i="3"/>
  <c r="T33" i="3"/>
  <c r="T69" i="3" s="1"/>
  <c r="L33" i="3"/>
  <c r="L69" i="3" s="1"/>
  <c r="L74" i="3" s="1"/>
  <c r="L75" i="3" s="1"/>
  <c r="J56" i="3"/>
  <c r="J61" i="3" s="1"/>
  <c r="K33" i="3"/>
  <c r="K69" i="3" s="1"/>
  <c r="K74" i="3" s="1"/>
  <c r="K75" i="3" s="1"/>
  <c r="D13" i="5"/>
  <c r="H425" i="1"/>
  <c r="H427" i="1" s="1"/>
  <c r="M37" i="5"/>
  <c r="L38" i="5"/>
  <c r="T53" i="7"/>
  <c r="AK33" i="3"/>
  <c r="AK69" i="3" s="1"/>
  <c r="I198" i="20"/>
  <c r="I208" i="20" s="1"/>
  <c r="I217" i="20" s="1"/>
  <c r="AJ33" i="3"/>
  <c r="AJ69" i="3" s="1"/>
  <c r="N415" i="1"/>
  <c r="X68" i="7"/>
  <c r="K53" i="7"/>
  <c r="N157" i="20"/>
  <c r="M171" i="1"/>
  <c r="E155" i="20"/>
  <c r="AB33" i="3"/>
  <c r="AB69" i="3" s="1"/>
  <c r="AB56" i="3"/>
  <c r="M33" i="3"/>
  <c r="M69" i="3" s="1"/>
  <c r="U33" i="3"/>
  <c r="U69" i="3" s="1"/>
  <c r="AN389" i="1"/>
  <c r="AN66" i="1"/>
  <c r="AN387" i="1" s="1"/>
  <c r="AN401" i="1" s="1"/>
  <c r="I68" i="7"/>
  <c r="I79" i="7" s="1"/>
  <c r="E57" i="7"/>
  <c r="AQ56" i="3"/>
  <c r="AR33" i="3"/>
  <c r="AR69" i="3" s="1"/>
  <c r="E39" i="5"/>
  <c r="C38" i="5"/>
  <c r="O48" i="7"/>
  <c r="O53" i="7" s="1"/>
  <c r="D52" i="7"/>
  <c r="AX217" i="1"/>
  <c r="P156" i="1"/>
  <c r="E157" i="20"/>
  <c r="Y57" i="7"/>
  <c r="AH57" i="7"/>
  <c r="AD57" i="7"/>
  <c r="AH48" i="7"/>
  <c r="AD48" i="7"/>
  <c r="K163" i="20"/>
  <c r="G163" i="20"/>
  <c r="F162" i="20"/>
  <c r="K160" i="20"/>
  <c r="M158" i="20"/>
  <c r="E154" i="20"/>
  <c r="D39" i="5"/>
  <c r="C37" i="5"/>
  <c r="B38" i="5"/>
  <c r="J39" i="5"/>
  <c r="N39" i="5"/>
  <c r="M38" i="5"/>
  <c r="L37" i="5"/>
  <c r="K39" i="5"/>
  <c r="AL48" i="7"/>
  <c r="AP48" i="7"/>
  <c r="AT48" i="7"/>
  <c r="AX48" i="7"/>
  <c r="BB48" i="7"/>
  <c r="W48" i="7"/>
  <c r="AO39" i="5"/>
  <c r="X57" i="7"/>
  <c r="AG48" i="7"/>
  <c r="AC48" i="7"/>
  <c r="F400" i="1"/>
  <c r="B400" i="1"/>
  <c r="M154" i="20"/>
  <c r="H37" i="5"/>
  <c r="E38" i="5"/>
  <c r="C39" i="5"/>
  <c r="I39" i="5"/>
  <c r="J37" i="5"/>
  <c r="N37" i="5"/>
  <c r="M39" i="5"/>
  <c r="R156" i="20"/>
  <c r="R163" i="20"/>
  <c r="AK48" i="7"/>
  <c r="AM48" i="7"/>
  <c r="AQ48" i="7"/>
  <c r="AU48" i="7"/>
  <c r="AY48" i="7"/>
  <c r="BC48" i="7"/>
  <c r="AT57" i="7"/>
  <c r="AX57" i="7"/>
  <c r="BB57" i="7"/>
  <c r="T159" i="20"/>
  <c r="I163" i="20"/>
  <c r="E163" i="20"/>
  <c r="H162" i="20"/>
  <c r="G158" i="20"/>
  <c r="G38" i="5"/>
  <c r="D38" i="5"/>
  <c r="B39" i="5"/>
  <c r="I38" i="5"/>
  <c r="I37" i="5"/>
  <c r="R157" i="20"/>
  <c r="AS33" i="3"/>
  <c r="AS69" i="3" s="1"/>
  <c r="AK35" i="3"/>
  <c r="AK71" i="3" s="1"/>
  <c r="AO48" i="7"/>
  <c r="AS48" i="7"/>
  <c r="AW48" i="7"/>
  <c r="BA48" i="7"/>
  <c r="AL57" i="7"/>
  <c r="AR57" i="7"/>
  <c r="AV57" i="7"/>
  <c r="AZ57" i="7"/>
  <c r="BD57" i="7"/>
  <c r="U48" i="7"/>
  <c r="BA399" i="1"/>
  <c r="AW399" i="1"/>
  <c r="AK38" i="5"/>
  <c r="AG37" i="5"/>
  <c r="AV68" i="1"/>
  <c r="AZ66" i="1"/>
  <c r="AZ387" i="1" s="1"/>
  <c r="AZ401" i="1" s="1"/>
  <c r="BA398" i="1"/>
  <c r="AV389" i="1"/>
  <c r="AR389" i="1"/>
  <c r="AJ77" i="1"/>
  <c r="L14" i="7"/>
  <c r="L71" i="7" s="1"/>
  <c r="L72" i="7" s="1"/>
  <c r="L79" i="7" s="1"/>
  <c r="J71" i="6"/>
  <c r="U36" i="1"/>
  <c r="U26" i="1"/>
  <c r="AJ218" i="1"/>
  <c r="AJ220" i="1" s="1"/>
  <c r="AD389" i="1"/>
  <c r="W71" i="3"/>
  <c r="V57" i="3"/>
  <c r="S38" i="5"/>
  <c r="AD38" i="5"/>
  <c r="AC52" i="7"/>
  <c r="R81" i="3" s="1"/>
  <c r="AE52" i="7"/>
  <c r="T81" i="3" s="1"/>
  <c r="W52" i="7"/>
  <c r="L81" i="3" s="1"/>
  <c r="V415" i="1" s="1"/>
  <c r="Z57" i="7"/>
  <c r="V57" i="7"/>
  <c r="AR36" i="3"/>
  <c r="AR72" i="3" s="1"/>
  <c r="AM389" i="1"/>
  <c r="W39" i="5"/>
  <c r="Z400" i="1"/>
  <c r="AH68" i="1"/>
  <c r="AD66" i="1"/>
  <c r="AD70" i="1" s="1"/>
  <c r="AP66" i="1"/>
  <c r="AP387" i="1" s="1"/>
  <c r="AP401" i="1" s="1"/>
  <c r="AX389" i="1"/>
  <c r="BB389" i="1"/>
  <c r="AL389" i="1"/>
  <c r="AL66" i="1"/>
  <c r="AL387" i="1" s="1"/>
  <c r="AL401" i="1" s="1"/>
  <c r="D198" i="20"/>
  <c r="P154" i="20"/>
  <c r="O154" i="20"/>
  <c r="K162" i="20"/>
  <c r="J162" i="20"/>
  <c r="R233" i="20"/>
  <c r="K157" i="20"/>
  <c r="E198" i="20"/>
  <c r="O163" i="20"/>
  <c r="N163" i="20"/>
  <c r="O160" i="20"/>
  <c r="N160" i="20"/>
  <c r="M233" i="20"/>
  <c r="L233" i="20"/>
  <c r="Q154" i="20"/>
  <c r="R154" i="20"/>
  <c r="R158" i="20"/>
  <c r="Q158" i="20"/>
  <c r="S160" i="20"/>
  <c r="R160" i="20"/>
  <c r="T162" i="20"/>
  <c r="S162" i="20"/>
  <c r="H160" i="20"/>
  <c r="I160" i="20"/>
  <c r="Q233" i="20"/>
  <c r="G154" i="20"/>
  <c r="F154" i="20"/>
  <c r="L160" i="20"/>
  <c r="J158" i="20"/>
  <c r="K158" i="20"/>
  <c r="P233" i="20"/>
  <c r="G159" i="20"/>
  <c r="E160" i="20"/>
  <c r="D157" i="20"/>
  <c r="K156" i="20"/>
  <c r="J156" i="20"/>
  <c r="G155" i="20"/>
  <c r="E200" i="20"/>
  <c r="E210" i="20" s="1"/>
  <c r="E219" i="20" s="1"/>
  <c r="L163" i="20"/>
  <c r="H163" i="20"/>
  <c r="D163" i="20"/>
  <c r="G162" i="20"/>
  <c r="D158" i="20"/>
  <c r="P160" i="20"/>
  <c r="P162" i="20"/>
  <c r="R159" i="20"/>
  <c r="O162" i="20"/>
  <c r="O159" i="20"/>
  <c r="N158" i="20"/>
  <c r="AY66" i="1"/>
  <c r="AB400" i="1"/>
  <c r="AC66" i="1"/>
  <c r="AC70" i="1" s="1"/>
  <c r="AH398" i="1"/>
  <c r="R79" i="3"/>
  <c r="T79" i="3"/>
  <c r="AI400" i="1"/>
  <c r="Y400" i="1"/>
  <c r="E375" i="1"/>
  <c r="M400" i="1"/>
  <c r="I400" i="1"/>
  <c r="E400" i="1"/>
  <c r="P171" i="1"/>
  <c r="I398" i="1"/>
  <c r="F399" i="1"/>
  <c r="B399" i="1"/>
  <c r="L398" i="1"/>
  <c r="S387" i="1"/>
  <c r="S401" i="1" s="1"/>
  <c r="Q26" i="1"/>
  <c r="Q25" i="1"/>
  <c r="Q27" i="1" s="1"/>
  <c r="R387" i="1"/>
  <c r="R401" i="1" s="1"/>
  <c r="AG77" i="1"/>
  <c r="AB33" i="6"/>
  <c r="Z425" i="1"/>
  <c r="AH425" i="1"/>
  <c r="AI69" i="1"/>
  <c r="AI70" i="1"/>
  <c r="AH387" i="1"/>
  <c r="AH401" i="1" s="1"/>
  <c r="AH70" i="1"/>
  <c r="AH69" i="1"/>
  <c r="Z387" i="1"/>
  <c r="Z401" i="1" s="1"/>
  <c r="AB39" i="5"/>
  <c r="T39" i="5"/>
  <c r="AJ39" i="5"/>
  <c r="AL39" i="5"/>
  <c r="AV39" i="5"/>
  <c r="P39" i="5"/>
  <c r="V39" i="5"/>
  <c r="AA38" i="5"/>
  <c r="Q37" i="5"/>
  <c r="AG52" i="7"/>
  <c r="V81" i="3" s="1"/>
  <c r="AC71" i="6" s="1"/>
  <c r="AN52" i="7"/>
  <c r="AC81" i="3" s="1"/>
  <c r="AM415" i="1" s="1"/>
  <c r="Q82" i="6"/>
  <c r="AA52" i="7"/>
  <c r="P81" i="3" s="1"/>
  <c r="Y60" i="3"/>
  <c r="Z96" i="7"/>
  <c r="AB96" i="7"/>
  <c r="N34" i="6"/>
  <c r="T34" i="6"/>
  <c r="R37" i="5"/>
  <c r="AE33" i="6"/>
  <c r="W34" i="6"/>
  <c r="O33" i="6"/>
  <c r="L34" i="6"/>
  <c r="P34" i="6"/>
  <c r="M32" i="5"/>
  <c r="M56" i="5" s="1"/>
  <c r="K401" i="1"/>
  <c r="AA400" i="1"/>
  <c r="AE398" i="1"/>
  <c r="Y37" i="5"/>
  <c r="W400" i="1"/>
  <c r="AO389" i="1"/>
  <c r="O400" i="1"/>
  <c r="K400" i="1"/>
  <c r="G400" i="1"/>
  <c r="C400" i="1"/>
  <c r="D389" i="1"/>
  <c r="AE400" i="1"/>
  <c r="AG399" i="1"/>
  <c r="AO75" i="1"/>
  <c r="L156" i="1"/>
  <c r="AH39" i="5"/>
  <c r="S432" i="1"/>
  <c r="D156" i="1"/>
  <c r="C156" i="1"/>
  <c r="B156" i="1"/>
  <c r="I34" i="5"/>
  <c r="AH75" i="1"/>
  <c r="AE75" i="1"/>
  <c r="AN77" i="1"/>
  <c r="R400" i="1"/>
  <c r="C399" i="1"/>
  <c r="M398" i="1"/>
  <c r="G401" i="1"/>
  <c r="M34" i="6"/>
  <c r="AW398" i="1"/>
  <c r="H375" i="1"/>
  <c r="AD75" i="1"/>
  <c r="C94" i="7"/>
  <c r="E175" i="1"/>
  <c r="AH389" i="1"/>
  <c r="AJ389" i="1"/>
  <c r="AK75" i="1"/>
  <c r="AR39" i="5"/>
  <c r="AC399" i="1"/>
  <c r="L34" i="5"/>
  <c r="AY33" i="6"/>
  <c r="U399" i="1"/>
  <c r="D124" i="1"/>
  <c r="D163" i="1" s="1"/>
  <c r="D184" i="1" s="1"/>
  <c r="F95" i="7"/>
  <c r="G389" i="1"/>
  <c r="C34" i="5"/>
  <c r="AA398" i="1"/>
  <c r="N175" i="1"/>
  <c r="P121" i="1"/>
  <c r="P160" i="1" s="1"/>
  <c r="P181" i="1" s="1"/>
  <c r="AB68" i="1"/>
  <c r="Z389" i="1"/>
  <c r="AN75" i="1"/>
  <c r="AC37" i="5"/>
  <c r="Y399" i="1"/>
  <c r="AU68" i="1"/>
  <c r="N425" i="1"/>
  <c r="Q399" i="1"/>
  <c r="M399" i="1"/>
  <c r="I399" i="1"/>
  <c r="E399" i="1"/>
  <c r="O398" i="1"/>
  <c r="K398" i="1"/>
  <c r="G398" i="1"/>
  <c r="AH77" i="1"/>
  <c r="AA75" i="1"/>
  <c r="J156" i="1"/>
  <c r="R398" i="1"/>
  <c r="J398" i="1"/>
  <c r="M401" i="1"/>
  <c r="H28" i="5"/>
  <c r="H31" i="5" s="1"/>
  <c r="H55" i="5" s="1"/>
  <c r="D174" i="1"/>
  <c r="S28" i="5"/>
  <c r="AW75" i="1"/>
  <c r="BA75" i="1"/>
  <c r="AL77" i="1"/>
  <c r="AP77" i="1"/>
  <c r="AX398" i="1"/>
  <c r="AK34" i="6"/>
  <c r="N260" i="23" s="1"/>
  <c r="N263" i="23" s="1"/>
  <c r="AU217" i="1"/>
  <c r="BC217" i="1"/>
  <c r="BA396" i="1"/>
  <c r="AC400" i="1"/>
  <c r="O399" i="1"/>
  <c r="K399" i="1"/>
  <c r="G399" i="1"/>
  <c r="Q398" i="1"/>
  <c r="Q28" i="5"/>
  <c r="AH396" i="1"/>
  <c r="P425" i="1"/>
  <c r="P427" i="1" s="1"/>
  <c r="AG400" i="1"/>
  <c r="X33" i="6"/>
  <c r="T33" i="6"/>
  <c r="P33" i="6"/>
  <c r="G175" i="1"/>
  <c r="B389" i="1"/>
  <c r="L121" i="1"/>
  <c r="L160" i="1" s="1"/>
  <c r="L175" i="1"/>
  <c r="Q175" i="1"/>
  <c r="BA68" i="1"/>
  <c r="AW68" i="1"/>
  <c r="AX39" i="5"/>
  <c r="AD400" i="1"/>
  <c r="AK389" i="1"/>
  <c r="AS68" i="1"/>
  <c r="E174" i="1"/>
  <c r="AS66" i="1"/>
  <c r="AS76" i="1" s="1"/>
  <c r="AO217" i="1"/>
  <c r="L399" i="1"/>
  <c r="H399" i="1"/>
  <c r="D399" i="1"/>
  <c r="I156" i="1"/>
  <c r="I361" i="1"/>
  <c r="I362" i="1" s="1"/>
  <c r="AL218" i="1"/>
  <c r="AL220" i="1" s="1"/>
  <c r="B387" i="1"/>
  <c r="B401" i="1" s="1"/>
  <c r="H121" i="1"/>
  <c r="H160" i="1" s="1"/>
  <c r="AI389" i="1"/>
  <c r="D171" i="1"/>
  <c r="BA66" i="1"/>
  <c r="BA387" i="1" s="1"/>
  <c r="BA401" i="1" s="1"/>
  <c r="AW66" i="1"/>
  <c r="AW387" i="1" s="1"/>
  <c r="AW401" i="1" s="1"/>
  <c r="AP39" i="5"/>
  <c r="AH400" i="1"/>
  <c r="BA389" i="1"/>
  <c r="AT75" i="1"/>
  <c r="AS75" i="1"/>
  <c r="AK66" i="1"/>
  <c r="AJ217" i="1"/>
  <c r="AO77" i="1"/>
  <c r="AI33" i="6"/>
  <c r="AQ33" i="6"/>
  <c r="AU33" i="6"/>
  <c r="S398" i="1"/>
  <c r="AT39" i="5"/>
  <c r="AM77" i="1"/>
  <c r="AO68" i="1"/>
  <c r="V400" i="1"/>
  <c r="Q425" i="1"/>
  <c r="Q427" i="1" s="1"/>
  <c r="AC34" i="6"/>
  <c r="F260" i="23" s="1"/>
  <c r="F263" i="23" s="1"/>
  <c r="F401" i="1"/>
  <c r="K361" i="1"/>
  <c r="K362" i="1" s="1"/>
  <c r="N361" i="1"/>
  <c r="N362" i="1" s="1"/>
  <c r="R34" i="6"/>
  <c r="C361" i="1"/>
  <c r="C362" i="1" s="1"/>
  <c r="I34" i="6"/>
  <c r="AR28" i="5"/>
  <c r="AO33" i="6"/>
  <c r="AV217" i="1"/>
  <c r="AB398" i="1"/>
  <c r="J361" i="1"/>
  <c r="F42" i="5" s="1"/>
  <c r="F50" i="5" s="1"/>
  <c r="AB52" i="7"/>
  <c r="Q81" i="3" s="1"/>
  <c r="AS52" i="7"/>
  <c r="AH81" i="3" s="1"/>
  <c r="AO71" i="6" s="1"/>
  <c r="AD52" i="7"/>
  <c r="S81" i="3" s="1"/>
  <c r="S99" i="3" s="1"/>
  <c r="BD52" i="7"/>
  <c r="AS81" i="3" s="1"/>
  <c r="AZ71" i="6" s="1"/>
  <c r="V80" i="3"/>
  <c r="AQ52" i="7"/>
  <c r="AF81" i="3" s="1"/>
  <c r="AM71" i="6" s="1"/>
  <c r="P80" i="3"/>
  <c r="AR52" i="7"/>
  <c r="AG81" i="3" s="1"/>
  <c r="AN71" i="6" s="1"/>
  <c r="AZ52" i="7"/>
  <c r="AO81" i="3" s="1"/>
  <c r="AY415" i="1" s="1"/>
  <c r="Z48" i="7"/>
  <c r="Z53" i="7" s="1"/>
  <c r="Y52" i="7"/>
  <c r="N81" i="3" s="1"/>
  <c r="Y48" i="7"/>
  <c r="V48" i="7"/>
  <c r="W57" i="7"/>
  <c r="X52" i="7"/>
  <c r="M81" i="3" s="1"/>
  <c r="V52" i="7"/>
  <c r="K81" i="3" s="1"/>
  <c r="AP57" i="3"/>
  <c r="AP61" i="3" s="1"/>
  <c r="AF57" i="3"/>
  <c r="AG35" i="3"/>
  <c r="AG71" i="3" s="1"/>
  <c r="X59" i="3"/>
  <c r="AF36" i="3"/>
  <c r="AF72" i="3" s="1"/>
  <c r="AO34" i="3"/>
  <c r="AO70" i="3" s="1"/>
  <c r="AI36" i="3"/>
  <c r="AI72" i="3" s="1"/>
  <c r="AQ59" i="3"/>
  <c r="Q72" i="3"/>
  <c r="O72" i="3"/>
  <c r="AI35" i="3"/>
  <c r="AI71" i="3" s="1"/>
  <c r="AD36" i="3"/>
  <c r="AD72" i="3" s="1"/>
  <c r="AA35" i="3"/>
  <c r="AA71" i="3" s="1"/>
  <c r="V58" i="3"/>
  <c r="AL35" i="3"/>
  <c r="AL71" i="3" s="1"/>
  <c r="AH36" i="3"/>
  <c r="AH72" i="3" s="1"/>
  <c r="U72" i="3"/>
  <c r="T57" i="3"/>
  <c r="AB35" i="3"/>
  <c r="AB71" i="3" s="1"/>
  <c r="AP36" i="3"/>
  <c r="AP72" i="3" s="1"/>
  <c r="M61" i="3"/>
  <c r="AI58" i="3"/>
  <c r="AI61" i="3" s="1"/>
  <c r="AE36" i="3"/>
  <c r="AE72" i="3" s="1"/>
  <c r="AO35" i="3"/>
  <c r="AO71" i="3" s="1"/>
  <c r="AH34" i="3"/>
  <c r="AH70" i="3" s="1"/>
  <c r="AN57" i="3"/>
  <c r="AN61" i="3" s="1"/>
  <c r="AP35" i="3"/>
  <c r="AP71" i="3" s="1"/>
  <c r="AM36" i="3"/>
  <c r="AM72" i="3" s="1"/>
  <c r="AD59" i="3"/>
  <c r="AD61" i="3" s="1"/>
  <c r="AS35" i="3"/>
  <c r="AL36" i="3"/>
  <c r="AL72" i="3" s="1"/>
  <c r="AJ58" i="3"/>
  <c r="AJ61" i="3" s="1"/>
  <c r="AR35" i="3"/>
  <c r="AR71" i="3" s="1"/>
  <c r="AQ34" i="3"/>
  <c r="AQ70" i="3" s="1"/>
  <c r="Z36" i="3"/>
  <c r="Z72" i="3" s="1"/>
  <c r="AH59" i="3"/>
  <c r="W36" i="3"/>
  <c r="W72" i="3" s="1"/>
  <c r="AC35" i="3"/>
  <c r="AC71" i="3" s="1"/>
  <c r="T72" i="3"/>
  <c r="S72" i="3"/>
  <c r="R61" i="3"/>
  <c r="AN35" i="3"/>
  <c r="AN71" i="3" s="1"/>
  <c r="AH58" i="3"/>
  <c r="U34" i="3"/>
  <c r="U70" i="3" s="1"/>
  <c r="AK36" i="3"/>
  <c r="AK72" i="3" s="1"/>
  <c r="X34" i="3"/>
  <c r="X70" i="3" s="1"/>
  <c r="Z34" i="3"/>
  <c r="Z70" i="3" s="1"/>
  <c r="AM57" i="3"/>
  <c r="T58" i="3"/>
  <c r="T71" i="3"/>
  <c r="Q61" i="3"/>
  <c r="AC36" i="3"/>
  <c r="AC72" i="3" s="1"/>
  <c r="AJ36" i="3"/>
  <c r="AJ72" i="3" s="1"/>
  <c r="AE34" i="3"/>
  <c r="AE70" i="3" s="1"/>
  <c r="X36" i="3"/>
  <c r="X72" i="3" s="1"/>
  <c r="N72" i="3"/>
  <c r="AQ35" i="3"/>
  <c r="AQ71" i="3" s="1"/>
  <c r="AG34" i="3"/>
  <c r="AG70" i="3" s="1"/>
  <c r="Z35" i="3"/>
  <c r="Z71" i="3" s="1"/>
  <c r="AH35" i="3"/>
  <c r="AH71" i="3" s="1"/>
  <c r="AA61" i="3"/>
  <c r="AB36" i="3"/>
  <c r="AB72" i="3" s="1"/>
  <c r="AA36" i="3"/>
  <c r="AA72" i="3" s="1"/>
  <c r="Y35" i="3"/>
  <c r="Y71" i="3" s="1"/>
  <c r="AJ34" i="3"/>
  <c r="Y58" i="3"/>
  <c r="AM35" i="3"/>
  <c r="AM71" i="3" s="1"/>
  <c r="AB59" i="3"/>
  <c r="W34" i="3"/>
  <c r="AG58" i="3"/>
  <c r="AC34" i="3"/>
  <c r="AO61" i="3"/>
  <c r="AF70" i="3"/>
  <c r="AF35" i="3"/>
  <c r="AF71" i="3" s="1"/>
  <c r="O61" i="3"/>
  <c r="AE61" i="3"/>
  <c r="AA34" i="3"/>
  <c r="Z59" i="3"/>
  <c r="Z61" i="3" s="1"/>
  <c r="T70" i="3"/>
  <c r="AD35" i="3"/>
  <c r="AD71" i="3" s="1"/>
  <c r="AE35" i="3"/>
  <c r="AE71" i="3" s="1"/>
  <c r="AO36" i="3"/>
  <c r="AO72" i="3" s="1"/>
  <c r="Y57" i="3"/>
  <c r="AG36" i="3"/>
  <c r="AG72" i="3" s="1"/>
  <c r="AD34" i="3"/>
  <c r="AI34" i="3"/>
  <c r="AR34" i="3"/>
  <c r="AN36" i="3"/>
  <c r="AN72" i="3" s="1"/>
  <c r="AG59" i="3"/>
  <c r="V71" i="3"/>
  <c r="AQ36" i="3"/>
  <c r="AQ72" i="3" s="1"/>
  <c r="AL34" i="3"/>
  <c r="AK34" i="3"/>
  <c r="AB34" i="3"/>
  <c r="AN60" i="3"/>
  <c r="AS60" i="3"/>
  <c r="AE60" i="3"/>
  <c r="I40" i="6"/>
  <c r="I26" i="5"/>
  <c r="I51" i="5" s="1"/>
  <c r="I38" i="6"/>
  <c r="U432" i="1"/>
  <c r="K171" i="1"/>
  <c r="K178" i="1" s="1"/>
  <c r="T179" i="23"/>
  <c r="M95" i="7"/>
  <c r="G121" i="1"/>
  <c r="H175" i="1"/>
  <c r="N387" i="1"/>
  <c r="N401" i="1" s="1"/>
  <c r="V398" i="1"/>
  <c r="V88" i="1"/>
  <c r="Z88" i="1"/>
  <c r="AD88" i="1"/>
  <c r="AH88" i="1"/>
  <c r="AL88" i="1"/>
  <c r="AP88" i="1"/>
  <c r="AT88" i="1"/>
  <c r="AX88" i="1"/>
  <c r="BB88" i="1"/>
  <c r="S88" i="1"/>
  <c r="R123" i="1"/>
  <c r="G88" i="1"/>
  <c r="K88" i="1"/>
  <c r="T88" i="1"/>
  <c r="X88" i="1"/>
  <c r="AB88" i="1"/>
  <c r="AF88" i="1"/>
  <c r="AJ88" i="1"/>
  <c r="AN88" i="1"/>
  <c r="AR88" i="1"/>
  <c r="AV88" i="1"/>
  <c r="AZ88" i="1"/>
  <c r="I88" i="1"/>
  <c r="M88" i="1"/>
  <c r="Y88" i="1"/>
  <c r="AG88" i="1"/>
  <c r="AO88" i="1"/>
  <c r="AW88" i="1"/>
  <c r="F88" i="1"/>
  <c r="N88" i="1"/>
  <c r="W88" i="1"/>
  <c r="AE88" i="1"/>
  <c r="AM88" i="1"/>
  <c r="AU88" i="1"/>
  <c r="BC88" i="1"/>
  <c r="BD94" i="1" s="1"/>
  <c r="L88" i="1"/>
  <c r="Q88" i="1"/>
  <c r="U88" i="1"/>
  <c r="AK88" i="1"/>
  <c r="BA88" i="1"/>
  <c r="J88" i="1"/>
  <c r="AC88" i="1"/>
  <c r="AA88" i="1"/>
  <c r="AQ88" i="1"/>
  <c r="R88" i="1"/>
  <c r="R94" i="1" s="1"/>
  <c r="O88" i="1"/>
  <c r="AS88" i="1"/>
  <c r="P88" i="1"/>
  <c r="H88" i="1"/>
  <c r="AI88" i="1"/>
  <c r="AY88" i="1"/>
  <c r="M33" i="6"/>
  <c r="G13" i="5"/>
  <c r="AJ66" i="1"/>
  <c r="BC66" i="1"/>
  <c r="AY68" i="1"/>
  <c r="AF39" i="5"/>
  <c r="X400" i="1"/>
  <c r="AQ389" i="1"/>
  <c r="AQ68" i="1"/>
  <c r="D424" i="1"/>
  <c r="D427" i="1" s="1"/>
  <c r="P400" i="1"/>
  <c r="H400" i="1"/>
  <c r="D400" i="1"/>
  <c r="O156" i="1"/>
  <c r="C387" i="1"/>
  <c r="C401" i="1" s="1"/>
  <c r="G122" i="1"/>
  <c r="Q182" i="1"/>
  <c r="K123" i="1"/>
  <c r="K162" i="1" s="1"/>
  <c r="K183" i="1" s="1"/>
  <c r="N95" i="7"/>
  <c r="AY75" i="1"/>
  <c r="AO218" i="1"/>
  <c r="AO220" i="1" s="1"/>
  <c r="K427" i="1"/>
  <c r="S34" i="6"/>
  <c r="C13" i="5"/>
  <c r="AD87" i="1"/>
  <c r="AH87" i="1"/>
  <c r="AL87" i="1"/>
  <c r="AP87" i="1"/>
  <c r="AT87" i="1"/>
  <c r="AX87" i="1"/>
  <c r="BB87" i="1"/>
  <c r="AB87" i="1"/>
  <c r="AF87" i="1"/>
  <c r="AJ87" i="1"/>
  <c r="AN87" i="1"/>
  <c r="AR87" i="1"/>
  <c r="AV87" i="1"/>
  <c r="AZ87" i="1"/>
  <c r="AC87" i="1"/>
  <c r="AK87" i="1"/>
  <c r="AS87" i="1"/>
  <c r="BA87" i="1"/>
  <c r="AA87" i="1"/>
  <c r="AI87" i="1"/>
  <c r="AQ87" i="1"/>
  <c r="AY87" i="1"/>
  <c r="AO87" i="1"/>
  <c r="AG87" i="1"/>
  <c r="AE87" i="1"/>
  <c r="AU87" i="1"/>
  <c r="AW87" i="1"/>
  <c r="BC87" i="1"/>
  <c r="BD93" i="1" s="1"/>
  <c r="AM87" i="1"/>
  <c r="Q129" i="1"/>
  <c r="T48" i="1"/>
  <c r="R94" i="7"/>
  <c r="R97" i="7" s="1"/>
  <c r="F179" i="23"/>
  <c r="J33" i="6"/>
  <c r="B375" i="1"/>
  <c r="AV75" i="1"/>
  <c r="J34" i="6"/>
  <c r="D177" i="1"/>
  <c r="AM68" i="1"/>
  <c r="AK33" i="6"/>
  <c r="AR75" i="1"/>
  <c r="AN39" i="5"/>
  <c r="AF398" i="1"/>
  <c r="AC38" i="5"/>
  <c r="S37" i="5"/>
  <c r="BC389" i="1"/>
  <c r="R39" i="5"/>
  <c r="M34" i="5"/>
  <c r="E361" i="1"/>
  <c r="E362" i="1" s="1"/>
  <c r="N156" i="1"/>
  <c r="I123" i="1"/>
  <c r="I162" i="1" s="1"/>
  <c r="I183" i="1" s="1"/>
  <c r="T398" i="1"/>
  <c r="AJ75" i="1"/>
  <c r="Q375" i="1"/>
  <c r="AZ75" i="1"/>
  <c r="N38" i="6"/>
  <c r="AF400" i="1"/>
  <c r="Z39" i="5"/>
  <c r="AU389" i="1"/>
  <c r="K32" i="5"/>
  <c r="K56" i="5" s="1"/>
  <c r="O122" i="1"/>
  <c r="O161" i="1" s="1"/>
  <c r="O182" i="1" s="1"/>
  <c r="C389" i="1"/>
  <c r="H19" i="1"/>
  <c r="I110" i="1"/>
  <c r="I111" i="1"/>
  <c r="G123" i="1"/>
  <c r="G162" i="1" s="1"/>
  <c r="G183" i="1" s="1"/>
  <c r="AQ77" i="1"/>
  <c r="U52" i="7"/>
  <c r="J81" i="3" s="1"/>
  <c r="Q71" i="6" s="1"/>
  <c r="Q81" i="6" s="1"/>
  <c r="J79" i="3"/>
  <c r="AC398" i="1"/>
  <c r="AQ398" i="1"/>
  <c r="AI52" i="7"/>
  <c r="X81" i="3" s="1"/>
  <c r="AE71" i="6" s="1"/>
  <c r="AL52" i="7"/>
  <c r="AA81" i="3" s="1"/>
  <c r="AH71" i="6" s="1"/>
  <c r="AT52" i="7"/>
  <c r="AI81" i="3" s="1"/>
  <c r="AP71" i="6" s="1"/>
  <c r="AX52" i="7"/>
  <c r="AM81" i="3" s="1"/>
  <c r="AW415" i="1" s="1"/>
  <c r="BB52" i="7"/>
  <c r="AQ81" i="3" s="1"/>
  <c r="AX71" i="6" s="1"/>
  <c r="AP52" i="7"/>
  <c r="AE81" i="3" s="1"/>
  <c r="AL71" i="6" s="1"/>
  <c r="R175" i="1"/>
  <c r="N13" i="5"/>
  <c r="Y38" i="5"/>
  <c r="AE34" i="6"/>
  <c r="H260" i="23" s="1"/>
  <c r="H263" i="23" s="1"/>
  <c r="AA34" i="6"/>
  <c r="D260" i="23" s="1"/>
  <c r="D263" i="23" s="1"/>
  <c r="AI399" i="1"/>
  <c r="AI76" i="1"/>
  <c r="AY399" i="1"/>
  <c r="AA399" i="1"/>
  <c r="AF66" i="1"/>
  <c r="AB75" i="1"/>
  <c r="X389" i="1"/>
  <c r="AU37" i="5"/>
  <c r="AL75" i="1"/>
  <c r="AP389" i="1"/>
  <c r="BC75" i="1"/>
  <c r="AM75" i="1"/>
  <c r="U33" i="6"/>
  <c r="AB66" i="1"/>
  <c r="AF68" i="1"/>
  <c r="AT68" i="1"/>
  <c r="AP75" i="1"/>
  <c r="AF75" i="1"/>
  <c r="AU75" i="1"/>
  <c r="AQ75" i="1"/>
  <c r="BB66" i="1"/>
  <c r="AC33" i="6"/>
  <c r="AX75" i="1"/>
  <c r="AT66" i="1"/>
  <c r="AT387" i="1" s="1"/>
  <c r="AT401" i="1" s="1"/>
  <c r="AG398" i="1"/>
  <c r="AA37" i="5"/>
  <c r="BB75" i="1"/>
  <c r="AX68" i="1"/>
  <c r="Q60" i="3"/>
  <c r="S96" i="7"/>
  <c r="N6" i="5"/>
  <c r="N32" i="5" s="1"/>
  <c r="S36" i="1"/>
  <c r="S377" i="1"/>
  <c r="T376" i="1"/>
  <c r="P5" i="5"/>
  <c r="P34" i="5" s="1"/>
  <c r="T427" i="1"/>
  <c r="T432" i="1"/>
  <c r="R432" i="1"/>
  <c r="BB217" i="1"/>
  <c r="S400" i="1"/>
  <c r="AK60" i="3"/>
  <c r="Z60" i="3"/>
  <c r="J60" i="3"/>
  <c r="U60" i="3"/>
  <c r="O60" i="3"/>
  <c r="AO60" i="3"/>
  <c r="K60" i="3"/>
  <c r="AI60" i="3"/>
  <c r="R425" i="1"/>
  <c r="P32" i="20"/>
  <c r="S95" i="7"/>
  <c r="AH175" i="1"/>
  <c r="BC425" i="1"/>
  <c r="AF425" i="1"/>
  <c r="AB425" i="1"/>
  <c r="T13" i="5"/>
  <c r="AH13" i="5"/>
  <c r="AX13" i="5"/>
  <c r="AP13" i="5"/>
  <c r="AL13" i="5"/>
  <c r="Z34" i="6"/>
  <c r="C260" i="23" s="1"/>
  <c r="C263" i="23" s="1"/>
  <c r="AR76" i="1"/>
  <c r="AP425" i="1"/>
  <c r="U171" i="1"/>
  <c r="U178" i="1" s="1"/>
  <c r="Z13" i="5"/>
  <c r="AQ175" i="1"/>
  <c r="AZ425" i="1"/>
  <c r="AR13" i="5"/>
  <c r="AN13" i="5"/>
  <c r="Q12" i="5"/>
  <c r="AR60" i="3"/>
  <c r="AQ60" i="3"/>
  <c r="AA60" i="3"/>
  <c r="AC60" i="3"/>
  <c r="AM60" i="3"/>
  <c r="W60" i="3"/>
  <c r="T60" i="3"/>
  <c r="R60" i="3"/>
  <c r="V60" i="3"/>
  <c r="M60" i="3"/>
  <c r="AB60" i="3"/>
  <c r="AD60" i="3"/>
  <c r="AF60" i="3"/>
  <c r="AH60" i="3"/>
  <c r="AJ60" i="3"/>
  <c r="AP60" i="3"/>
  <c r="X60" i="3"/>
  <c r="AO52" i="7"/>
  <c r="AD81" i="3" s="1"/>
  <c r="AN415" i="1" s="1"/>
  <c r="AF52" i="7"/>
  <c r="U81" i="3" s="1"/>
  <c r="AU52" i="7"/>
  <c r="AJ81" i="3" s="1"/>
  <c r="AQ71" i="6" s="1"/>
  <c r="AH52" i="7"/>
  <c r="W81" i="3" s="1"/>
  <c r="AG415" i="1" s="1"/>
  <c r="P200" i="20"/>
  <c r="S200" i="20"/>
  <c r="S210" i="20" s="1"/>
  <c r="S219" i="20" s="1"/>
  <c r="Q160" i="20"/>
  <c r="N162" i="20"/>
  <c r="P157" i="20"/>
  <c r="S163" i="20"/>
  <c r="T158" i="20"/>
  <c r="Q162" i="20"/>
  <c r="S155" i="20"/>
  <c r="N156" i="20"/>
  <c r="T160" i="20"/>
  <c r="S156" i="20"/>
  <c r="M160" i="20"/>
  <c r="W61" i="3"/>
  <c r="U61" i="3"/>
  <c r="AL61" i="3"/>
  <c r="AK61" i="3"/>
  <c r="AR61" i="3"/>
  <c r="AM70" i="3"/>
  <c r="N60" i="3"/>
  <c r="AG60" i="3"/>
  <c r="S60" i="3"/>
  <c r="S80" i="3"/>
  <c r="BC52" i="7"/>
  <c r="AR81" i="3" s="1"/>
  <c r="AY71" i="6" s="1"/>
  <c r="AY52" i="7"/>
  <c r="AN81" i="3" s="1"/>
  <c r="AU71" i="6" s="1"/>
  <c r="AW52" i="7"/>
  <c r="AL81" i="3" s="1"/>
  <c r="AV415" i="1" s="1"/>
  <c r="BA52" i="7"/>
  <c r="AP81" i="3" s="1"/>
  <c r="AW71" i="6" s="1"/>
  <c r="AM52" i="7"/>
  <c r="AB81" i="3" s="1"/>
  <c r="AI71" i="6" s="1"/>
  <c r="Y81" i="3"/>
  <c r="AI415" i="1" s="1"/>
  <c r="AK52" i="7"/>
  <c r="Z81" i="3" s="1"/>
  <c r="AG71" i="6" s="1"/>
  <c r="AV52" i="7"/>
  <c r="Y415" i="1"/>
  <c r="V71" i="6"/>
  <c r="X39" i="5"/>
  <c r="AC39" i="5"/>
  <c r="AA39" i="5"/>
  <c r="Y39" i="5"/>
  <c r="U39" i="5"/>
  <c r="S39" i="5"/>
  <c r="Q39" i="5"/>
  <c r="O39" i="5"/>
  <c r="AG39" i="5"/>
  <c r="AI39" i="5"/>
  <c r="AK39" i="5"/>
  <c r="AM39" i="5"/>
  <c r="AQ39" i="5"/>
  <c r="AS39" i="5"/>
  <c r="AU39" i="5"/>
  <c r="W38" i="5"/>
  <c r="U38" i="5"/>
  <c r="Q38" i="5"/>
  <c r="O38" i="5"/>
  <c r="AF38" i="5"/>
  <c r="AH38" i="5"/>
  <c r="AJ38" i="5"/>
  <c r="AL38" i="5"/>
  <c r="AN38" i="5"/>
  <c r="AP38" i="5"/>
  <c r="AR38" i="5"/>
  <c r="AT38" i="5"/>
  <c r="AV38" i="5"/>
  <c r="AX38" i="5"/>
  <c r="AE38" i="5"/>
  <c r="AB38" i="5"/>
  <c r="Z38" i="5"/>
  <c r="X38" i="5"/>
  <c r="V38" i="5"/>
  <c r="T38" i="5"/>
  <c r="R38" i="5"/>
  <c r="P38" i="5"/>
  <c r="AG38" i="5"/>
  <c r="AI38" i="5"/>
  <c r="AM38" i="5"/>
  <c r="AO38" i="5"/>
  <c r="AQ38" i="5"/>
  <c r="AS38" i="5"/>
  <c r="AU38" i="5"/>
  <c r="AW38" i="5"/>
  <c r="AD37" i="5"/>
  <c r="Z37" i="5"/>
  <c r="X37" i="5"/>
  <c r="AJ37" i="5"/>
  <c r="AR37" i="5"/>
  <c r="O37" i="5"/>
  <c r="AI37" i="5"/>
  <c r="AK37" i="5"/>
  <c r="AM37" i="5"/>
  <c r="AO37" i="5"/>
  <c r="AQ37" i="5"/>
  <c r="AS37" i="5"/>
  <c r="AW37" i="5"/>
  <c r="AY37" i="5"/>
  <c r="X48" i="7"/>
  <c r="T6" i="5"/>
  <c r="T32" i="5" s="1"/>
  <c r="X377" i="1"/>
  <c r="Y96" i="7"/>
  <c r="X36" i="1"/>
  <c r="AC96" i="7"/>
  <c r="AF377" i="1"/>
  <c r="AF36" i="1"/>
  <c r="AF42" i="1" s="1"/>
  <c r="AG96" i="7"/>
  <c r="AB6" i="5"/>
  <c r="AB32" i="5" s="1"/>
  <c r="AK96" i="7"/>
  <c r="AF6" i="5"/>
  <c r="AF32" i="5" s="1"/>
  <c r="AJ36" i="1"/>
  <c r="AJ377" i="1"/>
  <c r="AN36" i="1"/>
  <c r="AO96" i="7"/>
  <c r="AJ6" i="5"/>
  <c r="AJ32" i="5" s="1"/>
  <c r="AN377" i="1"/>
  <c r="AR377" i="1"/>
  <c r="AN6" i="5"/>
  <c r="AN32" i="5" s="1"/>
  <c r="AS96" i="7"/>
  <c r="AR36" i="1"/>
  <c r="AV36" i="1"/>
  <c r="AV377" i="1"/>
  <c r="AW96" i="7"/>
  <c r="AR6" i="5"/>
  <c r="AR32" i="5" s="1"/>
  <c r="AV6" i="5"/>
  <c r="AV32" i="5" s="1"/>
  <c r="AZ377" i="1"/>
  <c r="AZ36" i="1"/>
  <c r="BA96" i="7"/>
  <c r="V96" i="7"/>
  <c r="Q6" i="5"/>
  <c r="Q32" i="5" s="1"/>
  <c r="U377" i="1"/>
  <c r="Y6" i="5"/>
  <c r="Y32" i="5" s="1"/>
  <c r="AG36" i="1"/>
  <c r="AG42" i="1" s="1"/>
  <c r="AC6" i="5"/>
  <c r="AC32" i="5" s="1"/>
  <c r="AG377" i="1"/>
  <c r="AK377" i="1"/>
  <c r="AL96" i="7"/>
  <c r="AG6" i="5"/>
  <c r="AG32" i="5" s="1"/>
  <c r="AK36" i="1"/>
  <c r="AK6" i="5"/>
  <c r="AK32" i="5" s="1"/>
  <c r="AP96" i="7"/>
  <c r="AO36" i="1"/>
  <c r="AO377" i="1"/>
  <c r="AS6" i="5"/>
  <c r="AS32" i="5" s="1"/>
  <c r="AW377" i="1"/>
  <c r="AX96" i="7"/>
  <c r="AW36" i="1"/>
  <c r="BA377" i="1"/>
  <c r="AW6" i="5"/>
  <c r="AW32" i="5" s="1"/>
  <c r="BB96" i="7"/>
  <c r="BA36" i="1"/>
  <c r="V36" i="1"/>
  <c r="V82" i="1" s="1"/>
  <c r="W96" i="7"/>
  <c r="R6" i="5"/>
  <c r="R32" i="5" s="1"/>
  <c r="V377" i="1"/>
  <c r="V6" i="5"/>
  <c r="V32" i="5" s="1"/>
  <c r="AA96" i="7"/>
  <c r="Z36" i="1"/>
  <c r="Z82" i="1" s="1"/>
  <c r="Z6" i="5"/>
  <c r="Z32" i="5" s="1"/>
  <c r="AD36" i="1"/>
  <c r="AD6" i="5"/>
  <c r="AD32" i="5" s="1"/>
  <c r="AH377" i="1"/>
  <c r="AH36" i="1"/>
  <c r="AH6" i="5"/>
  <c r="AH32" i="5" s="1"/>
  <c r="AL36" i="1"/>
  <c r="AL42" i="1" s="1"/>
  <c r="AM96" i="7"/>
  <c r="AL377" i="1"/>
  <c r="AP36" i="1"/>
  <c r="AQ96" i="7"/>
  <c r="AP377" i="1"/>
  <c r="AL6" i="5"/>
  <c r="AL32" i="5" s="1"/>
  <c r="AX36" i="1"/>
  <c r="AY96" i="7"/>
  <c r="AT6" i="5"/>
  <c r="AT32" i="5" s="1"/>
  <c r="AX377" i="1"/>
  <c r="W377" i="1"/>
  <c r="X96" i="7"/>
  <c r="S6" i="5"/>
  <c r="S32" i="5" s="1"/>
  <c r="W36" i="1"/>
  <c r="W82" i="1" s="1"/>
  <c r="AE377" i="1"/>
  <c r="AE36" i="1"/>
  <c r="AE42" i="1" s="1"/>
  <c r="AA6" i="5"/>
  <c r="AA32" i="5" s="1"/>
  <c r="AI377" i="1"/>
  <c r="AE6" i="5"/>
  <c r="AE32" i="5" s="1"/>
  <c r="AJ96" i="7"/>
  <c r="AI36" i="1"/>
  <c r="AM377" i="1"/>
  <c r="AN96" i="7"/>
  <c r="AM36" i="1"/>
  <c r="AM42" i="1" s="1"/>
  <c r="AI6" i="5"/>
  <c r="AI32" i="5" s="1"/>
  <c r="AQ36" i="1"/>
  <c r="AR96" i="7"/>
  <c r="AQ377" i="1"/>
  <c r="AM6" i="5"/>
  <c r="AM32" i="5" s="1"/>
  <c r="AZ96" i="7"/>
  <c r="AY36" i="1"/>
  <c r="AY377" i="1"/>
  <c r="AU6" i="5"/>
  <c r="AU32" i="5" s="1"/>
  <c r="T122" i="1"/>
  <c r="T161" i="1" s="1"/>
  <c r="T95" i="7"/>
  <c r="T157" i="20"/>
  <c r="H200" i="20"/>
  <c r="K198" i="20"/>
  <c r="R198" i="20"/>
  <c r="S175" i="1"/>
  <c r="S171" i="1"/>
  <c r="AV76" i="1"/>
  <c r="AM387" i="1"/>
  <c r="AM401" i="1" s="1"/>
  <c r="R341" i="1"/>
  <c r="AU401" i="1"/>
  <c r="V34" i="6"/>
  <c r="AE399" i="1"/>
  <c r="T175" i="1"/>
  <c r="AO401" i="1"/>
  <c r="W399" i="1"/>
  <c r="S425" i="1"/>
  <c r="S427" i="1" s="1"/>
  <c r="S399" i="1"/>
  <c r="O13" i="5"/>
  <c r="S122" i="1"/>
  <c r="S161" i="1" s="1"/>
  <c r="S182" i="1" s="1"/>
  <c r="AR401" i="1"/>
  <c r="AS398" i="1"/>
  <c r="AU398" i="1"/>
  <c r="BE217" i="1"/>
  <c r="BD217" i="1"/>
  <c r="M40" i="6"/>
  <c r="M38" i="6"/>
  <c r="M26" i="5"/>
  <c r="M51" i="5" s="1"/>
  <c r="AH34" i="6"/>
  <c r="K260" i="23" s="1"/>
  <c r="K263" i="23" s="1"/>
  <c r="AM217" i="1"/>
  <c r="AP218" i="1"/>
  <c r="AP220" i="1" s="1"/>
  <c r="AR217" i="1"/>
  <c r="AZ217" i="1"/>
  <c r="H26" i="5"/>
  <c r="I39" i="6" s="1"/>
  <c r="AU218" i="1"/>
  <c r="AU220" i="1" s="1"/>
  <c r="AW217" i="1"/>
  <c r="P6" i="5"/>
  <c r="P32" i="5" s="1"/>
  <c r="U96" i="7"/>
  <c r="T377" i="1"/>
  <c r="T96" i="7"/>
  <c r="O6" i="5"/>
  <c r="O32" i="5" s="1"/>
  <c r="E121" i="1"/>
  <c r="V293" i="1"/>
  <c r="U320" i="1"/>
  <c r="D26" i="5"/>
  <c r="D51" i="5" s="1"/>
  <c r="AM396" i="1"/>
  <c r="AM398" i="1"/>
  <c r="O95" i="7"/>
  <c r="M94" i="7"/>
  <c r="G39" i="5"/>
  <c r="G32" i="5"/>
  <c r="G56" i="5" s="1"/>
  <c r="F28" i="5"/>
  <c r="F31" i="5" s="1"/>
  <c r="F55" i="5" s="1"/>
  <c r="F37" i="5"/>
  <c r="I122" i="1"/>
  <c r="I161" i="1" s="1"/>
  <c r="I182" i="1" s="1"/>
  <c r="J95" i="7"/>
  <c r="F122" i="1"/>
  <c r="F161" i="1" s="1"/>
  <c r="F182" i="1" s="1"/>
  <c r="G95" i="7"/>
  <c r="L95" i="7"/>
  <c r="K122" i="1"/>
  <c r="K161" i="1" s="1"/>
  <c r="K182" i="1" s="1"/>
  <c r="L94" i="7"/>
  <c r="AE37" i="5"/>
  <c r="AE28" i="5"/>
  <c r="Y377" i="1"/>
  <c r="Y36" i="1"/>
  <c r="Y82" i="1" s="1"/>
  <c r="J12" i="5"/>
  <c r="N174" i="1"/>
  <c r="BB77" i="1"/>
  <c r="BA77" i="1"/>
  <c r="AK13" i="5"/>
  <c r="AO425" i="1"/>
  <c r="AP175" i="1"/>
  <c r="AM175" i="1"/>
  <c r="AM425" i="1"/>
  <c r="AT13" i="5"/>
  <c r="AX425" i="1"/>
  <c r="AY38" i="5"/>
  <c r="AL217" i="1"/>
  <c r="AK217" i="1"/>
  <c r="AM218" i="1"/>
  <c r="AM220" i="1" s="1"/>
  <c r="AJ33" i="6"/>
  <c r="AQ218" i="1"/>
  <c r="AQ220" i="1" s="1"/>
  <c r="AR218" i="1"/>
  <c r="AR220" i="1" s="1"/>
  <c r="AN33" i="6"/>
  <c r="AS218" i="1"/>
  <c r="AS220" i="1" s="1"/>
  <c r="AT218" i="1"/>
  <c r="AT220" i="1" s="1"/>
  <c r="BC218" i="1"/>
  <c r="BC220" i="1" s="1"/>
  <c r="AZ33" i="6"/>
  <c r="AT217" i="1"/>
  <c r="AS217" i="1"/>
  <c r="R381" i="1"/>
  <c r="S381" i="1"/>
  <c r="N424" i="1"/>
  <c r="O177" i="1"/>
  <c r="O5" i="5"/>
  <c r="O34" i="5" s="1"/>
  <c r="G174" i="1"/>
  <c r="B12" i="5"/>
  <c r="F94" i="7"/>
  <c r="AB377" i="1"/>
  <c r="AH96" i="7"/>
  <c r="Z377" i="1"/>
  <c r="AD377" i="1"/>
  <c r="AI96" i="7"/>
  <c r="AF96" i="7"/>
  <c r="AE96" i="7"/>
  <c r="X6" i="5"/>
  <c r="X32" i="5" s="1"/>
  <c r="Q381" i="1"/>
  <c r="AO398" i="1"/>
  <c r="AY398" i="1"/>
  <c r="AI398" i="1"/>
  <c r="N171" i="1"/>
  <c r="AC377" i="1"/>
  <c r="AD96" i="7"/>
  <c r="U6" i="5"/>
  <c r="U32" i="5" s="1"/>
  <c r="O179" i="23"/>
  <c r="AH33" i="6"/>
  <c r="AN217" i="1"/>
  <c r="P95" i="7"/>
  <c r="AR175" i="1"/>
  <c r="AV13" i="5"/>
  <c r="AM13" i="5"/>
  <c r="T322" i="1"/>
  <c r="P94" i="7"/>
  <c r="BA217" i="1"/>
  <c r="AL33" i="6"/>
  <c r="BB425" i="1"/>
  <c r="Q121" i="1"/>
  <c r="BC398" i="1"/>
  <c r="AY39" i="5"/>
  <c r="AQ400" i="1"/>
  <c r="AU399" i="1"/>
  <c r="AK400" i="1"/>
  <c r="AK399" i="1"/>
  <c r="AD396" i="1"/>
  <c r="AD398" i="1"/>
  <c r="K179" i="23"/>
  <c r="W398" i="1"/>
  <c r="W396" i="1"/>
  <c r="Q179" i="23"/>
  <c r="AQ425" i="1"/>
  <c r="AR425" i="1"/>
  <c r="AY217" i="1"/>
  <c r="AN218" i="1"/>
  <c r="AN220" i="1" s="1"/>
  <c r="O375" i="1"/>
  <c r="P398" i="1"/>
  <c r="P396" i="1"/>
  <c r="N398" i="1"/>
  <c r="N396" i="1"/>
  <c r="AC77" i="1"/>
  <c r="AB77" i="1"/>
  <c r="AI68" i="1"/>
  <c r="AI75" i="1"/>
  <c r="AG68" i="1"/>
  <c r="AG66" i="1"/>
  <c r="AE68" i="1"/>
  <c r="AE66" i="1"/>
  <c r="AC68" i="1"/>
  <c r="AC75" i="1"/>
  <c r="AA66" i="1"/>
  <c r="AA68" i="1"/>
  <c r="AA389" i="1"/>
  <c r="U389" i="1"/>
  <c r="S389" i="1"/>
  <c r="J389" i="1"/>
  <c r="F389" i="1"/>
  <c r="BC400" i="1"/>
  <c r="AY400" i="1"/>
  <c r="AX401" i="1"/>
  <c r="BC399" i="1"/>
  <c r="AQ401" i="1"/>
  <c r="AO400" i="1"/>
  <c r="AS399" i="1"/>
  <c r="AM400" i="1"/>
  <c r="AQ399" i="1"/>
  <c r="AO399" i="1"/>
  <c r="AM399" i="1"/>
  <c r="E387" i="1"/>
  <c r="E401" i="1" s="1"/>
  <c r="M156" i="1"/>
  <c r="D361" i="1"/>
  <c r="D362" i="1" s="1"/>
  <c r="H361" i="1"/>
  <c r="H362" i="1" s="1"/>
  <c r="G361" i="1"/>
  <c r="G362" i="1" s="1"/>
  <c r="E34" i="5"/>
  <c r="D32" i="5"/>
  <c r="D56" i="5" s="1"/>
  <c r="B34" i="5"/>
  <c r="M361" i="1"/>
  <c r="M362" i="1" s="1"/>
  <c r="E177" i="1"/>
  <c r="BC77" i="1"/>
  <c r="AO34" i="6"/>
  <c r="R260" i="23" s="1"/>
  <c r="R263" i="23" s="1"/>
  <c r="AQ34" i="6"/>
  <c r="T260" i="23" s="1"/>
  <c r="T263" i="23" s="1"/>
  <c r="AU34" i="6"/>
  <c r="X260" i="23" s="1"/>
  <c r="X263" i="23" s="1"/>
  <c r="AY34" i="6"/>
  <c r="AB260" i="23" s="1"/>
  <c r="AB263" i="23" s="1"/>
  <c r="AJ34" i="6"/>
  <c r="M260" i="23" s="1"/>
  <c r="M263" i="23" s="1"/>
  <c r="E26" i="5"/>
  <c r="E51" i="5" s="1"/>
  <c r="I32" i="5"/>
  <c r="I56" i="5" s="1"/>
  <c r="J34" i="5"/>
  <c r="U424" i="1"/>
  <c r="U174" i="1"/>
  <c r="L26" i="5"/>
  <c r="L51" i="5" s="1"/>
  <c r="L40" i="6"/>
  <c r="L38" i="6"/>
  <c r="K26" i="5"/>
  <c r="L39" i="6" s="1"/>
  <c r="AG396" i="1"/>
  <c r="E432" i="1"/>
  <c r="C432" i="1"/>
  <c r="L396" i="1"/>
  <c r="U400" i="1"/>
  <c r="U398" i="1"/>
  <c r="Q156" i="1"/>
  <c r="AI77" i="1"/>
  <c r="AG75" i="1"/>
  <c r="F361" i="1"/>
  <c r="G34" i="5"/>
  <c r="D34" i="5"/>
  <c r="C32" i="5"/>
  <c r="C56" i="5" s="1"/>
  <c r="B32" i="5"/>
  <c r="B56" i="5" s="1"/>
  <c r="U34" i="6"/>
  <c r="O34" i="6"/>
  <c r="O361" i="1"/>
  <c r="K42" i="5" s="1"/>
  <c r="K50" i="5" s="1"/>
  <c r="AJ398" i="1"/>
  <c r="AP398" i="1"/>
  <c r="AT398" i="1"/>
  <c r="AV398" i="1"/>
  <c r="AZ398" i="1"/>
  <c r="BB398" i="1"/>
  <c r="AL399" i="1"/>
  <c r="AN399" i="1"/>
  <c r="AT399" i="1"/>
  <c r="AZ399" i="1"/>
  <c r="BB399" i="1"/>
  <c r="AJ400" i="1"/>
  <c r="AP400" i="1"/>
  <c r="AT400" i="1"/>
  <c r="AV400" i="1"/>
  <c r="AX400" i="1"/>
  <c r="AZ400" i="1"/>
  <c r="BB400" i="1"/>
  <c r="R179" i="23"/>
  <c r="Q361" i="1"/>
  <c r="M42" i="5" s="1"/>
  <c r="M50" i="5" s="1"/>
  <c r="N400" i="1"/>
  <c r="J400" i="1"/>
  <c r="AD399" i="1"/>
  <c r="AB399" i="1"/>
  <c r="Z399" i="1"/>
  <c r="X399" i="1"/>
  <c r="V399" i="1"/>
  <c r="T399" i="1"/>
  <c r="R399" i="1"/>
  <c r="P399" i="1"/>
  <c r="N399" i="1"/>
  <c r="C398" i="1"/>
  <c r="G26" i="5"/>
  <c r="G51" i="5" s="1"/>
  <c r="K156" i="1"/>
  <c r="Q33" i="6"/>
  <c r="P432" i="1"/>
  <c r="D387" i="1"/>
  <c r="D401" i="1" s="1"/>
  <c r="Q95" i="7"/>
  <c r="P362" i="1"/>
  <c r="L42" i="5"/>
  <c r="L50" i="5" s="1"/>
  <c r="H398" i="1"/>
  <c r="H396" i="1"/>
  <c r="F396" i="1"/>
  <c r="F398" i="1"/>
  <c r="D398" i="1"/>
  <c r="D396" i="1"/>
  <c r="H156" i="1"/>
  <c r="G156" i="1"/>
  <c r="E156" i="1"/>
  <c r="D122" i="1"/>
  <c r="D95" i="7"/>
  <c r="C122" i="1"/>
  <c r="C161" i="1" s="1"/>
  <c r="C182" i="1" s="1"/>
  <c r="B122" i="1"/>
  <c r="B161" i="1" s="1"/>
  <c r="B182" i="1" s="1"/>
  <c r="C95" i="7"/>
  <c r="AD77" i="1"/>
  <c r="AE77" i="1"/>
  <c r="V389" i="1"/>
  <c r="T389" i="1"/>
  <c r="I387" i="1"/>
  <c r="I401" i="1" s="1"/>
  <c r="AI425" i="1"/>
  <c r="AI175" i="1"/>
  <c r="AE13" i="5"/>
  <c r="AG425" i="1"/>
  <c r="AC13" i="5"/>
  <c r="AG175" i="1"/>
  <c r="AE425" i="1"/>
  <c r="AF175" i="1"/>
  <c r="AA13" i="5"/>
  <c r="AD175" i="1"/>
  <c r="Y13" i="5"/>
  <c r="AC175" i="1"/>
  <c r="AC425" i="1"/>
  <c r="AA425" i="1"/>
  <c r="W13" i="5"/>
  <c r="AB175" i="1"/>
  <c r="Z175" i="1"/>
  <c r="Y175" i="1"/>
  <c r="U13" i="5"/>
  <c r="Y425" i="1"/>
  <c r="S13" i="5"/>
  <c r="W425" i="1"/>
  <c r="Q13" i="5"/>
  <c r="U425" i="1"/>
  <c r="U175" i="1"/>
  <c r="V175" i="1"/>
  <c r="P175" i="1"/>
  <c r="O175" i="1"/>
  <c r="O425" i="1"/>
  <c r="K13" i="5"/>
  <c r="C425" i="1"/>
  <c r="C427" i="1" s="1"/>
  <c r="C175" i="1"/>
  <c r="D175" i="1"/>
  <c r="C171" i="1"/>
  <c r="M389" i="1"/>
  <c r="T297" i="1"/>
  <c r="AT96" i="7"/>
  <c r="AS377" i="1"/>
  <c r="AS36" i="1"/>
  <c r="AO6" i="5"/>
  <c r="AO32" i="5" s="1"/>
  <c r="AU96" i="7"/>
  <c r="AT36" i="1"/>
  <c r="AT377" i="1"/>
  <c r="AP6" i="5"/>
  <c r="AP32" i="5" s="1"/>
  <c r="AQ6" i="5"/>
  <c r="AQ32" i="5" s="1"/>
  <c r="AV96" i="7"/>
  <c r="AU36" i="1"/>
  <c r="AU377" i="1"/>
  <c r="AX6" i="5"/>
  <c r="AX32" i="5" s="1"/>
  <c r="BC96" i="7"/>
  <c r="BB36" i="1"/>
  <c r="BB377" i="1"/>
  <c r="BC377" i="1"/>
  <c r="BC36" i="1"/>
  <c r="BD96" i="7"/>
  <c r="AT77" i="1"/>
  <c r="AS77" i="1"/>
  <c r="AV77" i="1"/>
  <c r="AU77" i="1"/>
  <c r="AX77" i="1"/>
  <c r="AW77" i="1"/>
  <c r="AY77" i="1"/>
  <c r="AZ77" i="1"/>
  <c r="AJ425" i="1"/>
  <c r="AF13" i="5"/>
  <c r="AJ175" i="1"/>
  <c r="AG13" i="5"/>
  <c r="AK175" i="1"/>
  <c r="AL175" i="1"/>
  <c r="AN175" i="1"/>
  <c r="AJ13" i="5"/>
  <c r="AN425" i="1"/>
  <c r="AO175" i="1"/>
  <c r="BC175" i="1"/>
  <c r="AY13" i="5"/>
  <c r="AW13" i="5"/>
  <c r="BA175" i="1"/>
  <c r="BB175" i="1"/>
  <c r="BA425" i="1"/>
  <c r="AY425" i="1"/>
  <c r="AZ175" i="1"/>
  <c r="AU13" i="5"/>
  <c r="AY175" i="1"/>
  <c r="AS13" i="5"/>
  <c r="AW425" i="1"/>
  <c r="AW175" i="1"/>
  <c r="AX175" i="1"/>
  <c r="AQ13" i="5"/>
  <c r="AU175" i="1"/>
  <c r="AV175" i="1"/>
  <c r="AU425" i="1"/>
  <c r="AO13" i="5"/>
  <c r="AS175" i="1"/>
  <c r="AT175" i="1"/>
  <c r="AF28" i="5"/>
  <c r="AF37" i="5"/>
  <c r="AH37" i="5"/>
  <c r="AH28" i="5"/>
  <c r="AL28" i="5"/>
  <c r="AL37" i="5"/>
  <c r="AN37" i="5"/>
  <c r="AN28" i="5"/>
  <c r="AP28" i="5"/>
  <c r="AP37" i="5"/>
  <c r="AT37" i="5"/>
  <c r="AT28" i="5"/>
  <c r="AV37" i="5"/>
  <c r="AV28" i="5"/>
  <c r="AX28" i="5"/>
  <c r="AX37" i="5"/>
  <c r="AG34" i="6"/>
  <c r="J260" i="23" s="1"/>
  <c r="J263" i="23" s="1"/>
  <c r="AK218" i="1"/>
  <c r="AK220" i="1" s="1"/>
  <c r="AG33" i="6"/>
  <c r="J179" i="23"/>
  <c r="AP34" i="6"/>
  <c r="S260" i="23" s="1"/>
  <c r="S263" i="23" s="1"/>
  <c r="S179" i="23"/>
  <c r="AP33" i="6"/>
  <c r="AR34" i="6"/>
  <c r="U260" i="23" s="1"/>
  <c r="U263" i="23" s="1"/>
  <c r="AV218" i="1"/>
  <c r="AV220" i="1" s="1"/>
  <c r="U179" i="23"/>
  <c r="AR33" i="6"/>
  <c r="AT34" i="6"/>
  <c r="W260" i="23" s="1"/>
  <c r="W263" i="23" s="1"/>
  <c r="AX218" i="1"/>
  <c r="AX220" i="1" s="1"/>
  <c r="AT33" i="6"/>
  <c r="AW218" i="1"/>
  <c r="AW220" i="1" s="1"/>
  <c r="W179" i="23"/>
  <c r="AV34" i="6"/>
  <c r="Y260" i="23" s="1"/>
  <c r="Y263" i="23" s="1"/>
  <c r="AZ218" i="1"/>
  <c r="AZ220" i="1" s="1"/>
  <c r="Y179" i="23"/>
  <c r="AY218" i="1"/>
  <c r="AY220" i="1" s="1"/>
  <c r="AV33" i="6"/>
  <c r="AX34" i="6"/>
  <c r="AA260" i="23" s="1"/>
  <c r="AA263" i="23" s="1"/>
  <c r="BB218" i="1"/>
  <c r="BB220" i="1" s="1"/>
  <c r="AX33" i="6"/>
  <c r="BA218" i="1"/>
  <c r="BA220" i="1" s="1"/>
  <c r="AA179" i="23"/>
  <c r="O222" i="23"/>
  <c r="O225" i="23" s="1"/>
  <c r="AL34" i="6"/>
  <c r="O260" i="23" s="1"/>
  <c r="O263" i="23" s="1"/>
  <c r="AN34" i="6"/>
  <c r="Q260" i="23" s="1"/>
  <c r="Q263" i="23" s="1"/>
  <c r="Q222" i="23"/>
  <c r="Q225" i="23" s="1"/>
  <c r="AC222" i="23"/>
  <c r="AC225" i="23" s="1"/>
  <c r="AM34" i="6"/>
  <c r="P260" i="23" s="1"/>
  <c r="P263" i="23" s="1"/>
  <c r="AM33" i="6"/>
  <c r="AQ217" i="1"/>
  <c r="AP217" i="1"/>
  <c r="L389" i="1"/>
  <c r="N94" i="7"/>
  <c r="M375" i="1"/>
  <c r="J38" i="6"/>
  <c r="R361" i="1"/>
  <c r="N42" i="5" s="1"/>
  <c r="U381" i="1"/>
  <c r="B26" i="5"/>
  <c r="C26" i="5"/>
  <c r="AY6" i="5"/>
  <c r="O171" i="1"/>
  <c r="O424" i="1"/>
  <c r="K12" i="5"/>
  <c r="W175" i="1"/>
  <c r="AE175" i="1"/>
  <c r="U19" i="1"/>
  <c r="P389" i="1"/>
  <c r="Z372" i="1"/>
  <c r="W41" i="6"/>
  <c r="X379" i="1"/>
  <c r="V41" i="6"/>
  <c r="Y372" i="1"/>
  <c r="T373" i="1"/>
  <c r="P2" i="5"/>
  <c r="T371" i="1"/>
  <c r="E95" i="7"/>
  <c r="AA175" i="1"/>
  <c r="AK425" i="1"/>
  <c r="AS425" i="1"/>
  <c r="AJ28" i="5"/>
  <c r="Y33" i="6"/>
  <c r="Y34" i="6"/>
  <c r="B260" i="23" s="1"/>
  <c r="B263" i="23" s="1"/>
  <c r="O94" i="7"/>
  <c r="K38" i="6"/>
  <c r="C177" i="1"/>
  <c r="B424" i="1"/>
  <c r="B427" i="1" s="1"/>
  <c r="C174" i="1"/>
  <c r="B171" i="1"/>
  <c r="B13" i="5"/>
  <c r="F425" i="1"/>
  <c r="F427" i="1" s="1"/>
  <c r="F175" i="1"/>
  <c r="E13" i="5"/>
  <c r="I425" i="1"/>
  <c r="I175" i="1"/>
  <c r="J175" i="1"/>
  <c r="E124" i="1"/>
  <c r="E163" i="1" s="1"/>
  <c r="E184" i="1" s="1"/>
  <c r="E37" i="1"/>
  <c r="F174" i="1"/>
  <c r="F177" i="1"/>
  <c r="C12" i="5"/>
  <c r="H174" i="1"/>
  <c r="G424" i="1"/>
  <c r="G427" i="1" s="1"/>
  <c r="G171" i="1"/>
  <c r="J174" i="1"/>
  <c r="I424" i="1"/>
  <c r="I177" i="1"/>
  <c r="I174" i="1"/>
  <c r="J177" i="1"/>
  <c r="B124" i="1"/>
  <c r="B163" i="1" s="1"/>
  <c r="B184" i="1" s="1"/>
  <c r="B121" i="1"/>
  <c r="Q171" i="1"/>
  <c r="R174" i="1"/>
  <c r="M12" i="5"/>
  <c r="E427" i="1"/>
  <c r="R156" i="1"/>
  <c r="AR400" i="1"/>
  <c r="AN396" i="1"/>
  <c r="AN398" i="1"/>
  <c r="AR399" i="1"/>
  <c r="AK396" i="1"/>
  <c r="AK398" i="1"/>
  <c r="Z396" i="1"/>
  <c r="Z398" i="1"/>
  <c r="K40" i="6"/>
  <c r="J26" i="5"/>
  <c r="J51" i="5" s="1"/>
  <c r="L171" i="1"/>
  <c r="L424" i="1"/>
  <c r="L427" i="1" s="1"/>
  <c r="H12" i="5"/>
  <c r="M177" i="1"/>
  <c r="F156" i="1"/>
  <c r="H32" i="5"/>
  <c r="H56" i="5" s="1"/>
  <c r="H39" i="5"/>
  <c r="I33" i="6"/>
  <c r="K95" i="7"/>
  <c r="F34" i="5"/>
  <c r="F38" i="5"/>
  <c r="F32" i="5"/>
  <c r="F56" i="5" s="1"/>
  <c r="F39" i="5"/>
  <c r="I375" i="1"/>
  <c r="J94" i="7"/>
  <c r="AD39" i="5"/>
  <c r="W28" i="5"/>
  <c r="W37" i="5"/>
  <c r="V37" i="5"/>
  <c r="V28" i="5"/>
  <c r="U28" i="5"/>
  <c r="U37" i="5"/>
  <c r="T28" i="5"/>
  <c r="T37" i="5"/>
  <c r="P37" i="5"/>
  <c r="P28" i="5"/>
  <c r="K38" i="5"/>
  <c r="K34" i="5"/>
  <c r="Y28" i="5"/>
  <c r="O28" i="5"/>
  <c r="M28" i="5"/>
  <c r="M31" i="5" s="1"/>
  <c r="J28" i="5"/>
  <c r="J31" i="5" s="1"/>
  <c r="AC28" i="5"/>
  <c r="X28" i="5"/>
  <c r="L28" i="5"/>
  <c r="L31" i="5" s="1"/>
  <c r="AY28" i="5"/>
  <c r="AW28" i="5"/>
  <c r="AU28" i="5"/>
  <c r="AS28" i="5"/>
  <c r="AQ28" i="5"/>
  <c r="AO28" i="5"/>
  <c r="AM28" i="5"/>
  <c r="AK28" i="5"/>
  <c r="AI28" i="5"/>
  <c r="AG28" i="5"/>
  <c r="I28" i="5"/>
  <c r="I31" i="5" s="1"/>
  <c r="C28" i="5"/>
  <c r="C31" i="5" s="1"/>
  <c r="D28" i="5"/>
  <c r="D31" i="5" s="1"/>
  <c r="N28" i="5"/>
  <c r="K28" i="5"/>
  <c r="K31" i="5" s="1"/>
  <c r="X34" i="6"/>
  <c r="Q34" i="6"/>
  <c r="AF33" i="6"/>
  <c r="AF34" i="6"/>
  <c r="I260" i="23" s="1"/>
  <c r="I263" i="23" s="1"/>
  <c r="AD34" i="6"/>
  <c r="G260" i="23" s="1"/>
  <c r="G263" i="23" s="1"/>
  <c r="AD33" i="6"/>
  <c r="E179" i="23"/>
  <c r="AB34" i="6"/>
  <c r="E260" i="23" s="1"/>
  <c r="E263" i="23" s="1"/>
  <c r="K33" i="6"/>
  <c r="K34" i="6"/>
  <c r="AV401" i="1"/>
  <c r="AI387" i="1"/>
  <c r="AI401" i="1" s="1"/>
  <c r="AX399" i="1"/>
  <c r="AR396" i="1"/>
  <c r="AR398" i="1"/>
  <c r="AV399" i="1"/>
  <c r="AN400" i="1"/>
  <c r="AL400" i="1"/>
  <c r="AL396" i="1"/>
  <c r="AL398" i="1"/>
  <c r="AP399" i="1"/>
  <c r="AJ399" i="1"/>
  <c r="AF399" i="1"/>
  <c r="X398" i="1"/>
  <c r="X396" i="1"/>
  <c r="F26" i="5"/>
  <c r="F51" i="5" s="1"/>
  <c r="D94" i="7"/>
  <c r="E28" i="5"/>
  <c r="E31" i="5" s="1"/>
  <c r="E37" i="5"/>
  <c r="G94" i="7"/>
  <c r="B28" i="5"/>
  <c r="B31" i="5" s="1"/>
  <c r="B37" i="5"/>
  <c r="R177" i="1"/>
  <c r="J32" i="5"/>
  <c r="J56" i="5" s="1"/>
  <c r="D432" i="1"/>
  <c r="B432" i="1"/>
  <c r="Q400" i="1"/>
  <c r="L400" i="1"/>
  <c r="J399" i="1"/>
  <c r="E398" i="1"/>
  <c r="E396" i="1"/>
  <c r="B398" i="1"/>
  <c r="AA77" i="1"/>
  <c r="Y389" i="1"/>
  <c r="W389" i="1"/>
  <c r="H389" i="1"/>
  <c r="H34" i="5"/>
  <c r="G28" i="5"/>
  <c r="G31" i="5" s="1"/>
  <c r="G37" i="5"/>
  <c r="K94" i="7"/>
  <c r="E32" i="5"/>
  <c r="E56" i="5" s="1"/>
  <c r="K375" i="1"/>
  <c r="L361" i="1"/>
  <c r="K175" i="1"/>
  <c r="F13" i="5"/>
  <c r="J425" i="1"/>
  <c r="J427" i="1" s="1"/>
  <c r="AB28" i="5"/>
  <c r="AA28" i="5"/>
  <c r="D179" i="23"/>
  <c r="AA33" i="6"/>
  <c r="W33" i="6"/>
  <c r="AS34" i="6"/>
  <c r="V260" i="23" s="1"/>
  <c r="V263" i="23" s="1"/>
  <c r="AS33" i="6"/>
  <c r="AW34" i="6"/>
  <c r="Z260" i="23" s="1"/>
  <c r="Z263" i="23" s="1"/>
  <c r="Z179" i="23"/>
  <c r="AW33" i="6"/>
  <c r="AH399" i="1"/>
  <c r="Y398" i="1"/>
  <c r="AF77" i="1"/>
  <c r="X175" i="1"/>
  <c r="AD28" i="5"/>
  <c r="AR77" i="1"/>
  <c r="AI34" i="6"/>
  <c r="L260" i="23" s="1"/>
  <c r="L263" i="23" s="1"/>
  <c r="AZ34" i="6"/>
  <c r="I61" i="3"/>
  <c r="R424" i="1"/>
  <c r="AF156" i="1"/>
  <c r="AD156" i="1"/>
  <c r="AB156" i="1"/>
  <c r="X156" i="1"/>
  <c r="V156" i="1"/>
  <c r="T156" i="1"/>
  <c r="AL156" i="1"/>
  <c r="AN156" i="1"/>
  <c r="AP156" i="1"/>
  <c r="AR156" i="1"/>
  <c r="AT156" i="1"/>
  <c r="AV156" i="1"/>
  <c r="AE156" i="1"/>
  <c r="AC156" i="1"/>
  <c r="W156" i="1"/>
  <c r="AM156" i="1"/>
  <c r="AQ156" i="1"/>
  <c r="AS156" i="1"/>
  <c r="AU156" i="1"/>
  <c r="AY156" i="1"/>
  <c r="BA156" i="1"/>
  <c r="J178" i="1"/>
  <c r="AS61" i="3" l="1"/>
  <c r="D83" i="1"/>
  <c r="Q53" i="7"/>
  <c r="AB71" i="6"/>
  <c r="D53" i="7"/>
  <c r="I53" i="7"/>
  <c r="Q97" i="7"/>
  <c r="F190" i="1"/>
  <c r="BI190" i="1"/>
  <c r="BM190" i="1"/>
  <c r="BL190" i="1"/>
  <c r="BJ190" i="1"/>
  <c r="BG190" i="1"/>
  <c r="BH190" i="1"/>
  <c r="BK190" i="1"/>
  <c r="BD190" i="1"/>
  <c r="BE190" i="1"/>
  <c r="BF190" i="1"/>
  <c r="AT71" i="3"/>
  <c r="AT74" i="3" s="1"/>
  <c r="AT75" i="3" s="1"/>
  <c r="AT38" i="3"/>
  <c r="AT39" i="3" s="1"/>
  <c r="BC387" i="1"/>
  <c r="BC401" i="1" s="1"/>
  <c r="BD76" i="1"/>
  <c r="L93" i="1"/>
  <c r="J122" i="1"/>
  <c r="F83" i="1"/>
  <c r="B37" i="1"/>
  <c r="AA377" i="1"/>
  <c r="AA36" i="1"/>
  <c r="G190" i="1"/>
  <c r="E125" i="1"/>
  <c r="X42" i="1"/>
  <c r="X82" i="1"/>
  <c r="K190" i="1"/>
  <c r="M79" i="1"/>
  <c r="B123" i="1"/>
  <c r="B162" i="1" s="1"/>
  <c r="B183" i="1" s="1"/>
  <c r="P83" i="1"/>
  <c r="P79" i="1" s="1"/>
  <c r="J190" i="1"/>
  <c r="O190" i="1"/>
  <c r="C83" i="1"/>
  <c r="O79" i="1"/>
  <c r="G42" i="1"/>
  <c r="G130" i="1" s="1"/>
  <c r="S82" i="1"/>
  <c r="S123" i="1" s="1"/>
  <c r="I190" i="1"/>
  <c r="U82" i="1"/>
  <c r="U83" i="1" s="1"/>
  <c r="U79" i="1" s="1"/>
  <c r="N83" i="1"/>
  <c r="N79" i="1" s="1"/>
  <c r="C123" i="1"/>
  <c r="C162" i="1" s="1"/>
  <c r="C183" i="1" s="1"/>
  <c r="X61" i="3"/>
  <c r="AH61" i="3"/>
  <c r="AH62" i="3" s="1"/>
  <c r="AR413" i="1" s="1"/>
  <c r="N15" i="1"/>
  <c r="P86" i="20"/>
  <c r="P53" i="7"/>
  <c r="P71" i="6"/>
  <c r="P81" i="6" s="1"/>
  <c r="I49" i="6"/>
  <c r="L4" i="6"/>
  <c r="AD415" i="1"/>
  <c r="AB415" i="1"/>
  <c r="AC415" i="1"/>
  <c r="J69" i="6"/>
  <c r="J38" i="3"/>
  <c r="I38" i="3"/>
  <c r="M71" i="6"/>
  <c r="AA415" i="1"/>
  <c r="AU93" i="1"/>
  <c r="J4" i="6"/>
  <c r="AC260" i="23"/>
  <c r="AC263" i="23" s="1"/>
  <c r="M64" i="20"/>
  <c r="M75" i="20" s="1"/>
  <c r="H4" i="6"/>
  <c r="Z415" i="1"/>
  <c r="R64" i="20"/>
  <c r="R75" i="20" s="1"/>
  <c r="I63" i="5"/>
  <c r="E63" i="5"/>
  <c r="AI42" i="1"/>
  <c r="Z42" i="1"/>
  <c r="AO42" i="1"/>
  <c r="AZ42" i="1"/>
  <c r="AJ42" i="1"/>
  <c r="AB42" i="1"/>
  <c r="J63" i="5"/>
  <c r="D63" i="5"/>
  <c r="O362" i="1"/>
  <c r="S56" i="20"/>
  <c r="N64" i="20"/>
  <c r="N75" i="20" s="1"/>
  <c r="R56" i="20"/>
  <c r="P64" i="20"/>
  <c r="P75" i="20" s="1"/>
  <c r="M226" i="20"/>
  <c r="N226" i="20"/>
  <c r="Q57" i="20"/>
  <c r="P27" i="20"/>
  <c r="Q63" i="20" s="1"/>
  <c r="Q74" i="20" s="1"/>
  <c r="Q52" i="20"/>
  <c r="Q55" i="20"/>
  <c r="R63" i="20"/>
  <c r="R74" i="20" s="1"/>
  <c r="R60" i="20"/>
  <c r="R71" i="20" s="1"/>
  <c r="Q54" i="20"/>
  <c r="Q53" i="20"/>
  <c r="R65" i="20"/>
  <c r="R61" i="20"/>
  <c r="R72" i="20" s="1"/>
  <c r="E64" i="20"/>
  <c r="G64" i="20"/>
  <c r="H64" i="20"/>
  <c r="S64" i="20"/>
  <c r="S75" i="20" s="1"/>
  <c r="F64" i="20"/>
  <c r="J64" i="20"/>
  <c r="L64" i="20"/>
  <c r="L75" i="20" s="1"/>
  <c r="T64" i="20"/>
  <c r="T75" i="20" s="1"/>
  <c r="K64" i="20"/>
  <c r="Q64" i="20"/>
  <c r="Q75" i="20" s="1"/>
  <c r="O64" i="20"/>
  <c r="O75" i="20" s="1"/>
  <c r="P217" i="20"/>
  <c r="Q226" i="20" s="1"/>
  <c r="N200" i="20"/>
  <c r="N210" i="20" s="1"/>
  <c r="N219" i="20" s="1"/>
  <c r="R199" i="20"/>
  <c r="R209" i="20" s="1"/>
  <c r="R218" i="20" s="1"/>
  <c r="M199" i="20"/>
  <c r="M209" i="20" s="1"/>
  <c r="M218" i="20" s="1"/>
  <c r="S199" i="20"/>
  <c r="S209" i="20" s="1"/>
  <c r="S218" i="20" s="1"/>
  <c r="Q196" i="20"/>
  <c r="G200" i="20"/>
  <c r="G210" i="20" s="1"/>
  <c r="G219" i="20" s="1"/>
  <c r="G228" i="20" s="1"/>
  <c r="D199" i="20"/>
  <c r="D209" i="20" s="1"/>
  <c r="D218" i="20" s="1"/>
  <c r="N199" i="20"/>
  <c r="N209" i="20" s="1"/>
  <c r="N218" i="20" s="1"/>
  <c r="H199" i="20"/>
  <c r="H209" i="20" s="1"/>
  <c r="J199" i="20"/>
  <c r="J209" i="20" s="1"/>
  <c r="J218" i="20" s="1"/>
  <c r="L199" i="20"/>
  <c r="L209" i="20" s="1"/>
  <c r="L218" i="20" s="1"/>
  <c r="P199" i="20"/>
  <c r="P209" i="20" s="1"/>
  <c r="P218" i="20" s="1"/>
  <c r="F199" i="20"/>
  <c r="F209" i="20" s="1"/>
  <c r="F218" i="20" s="1"/>
  <c r="K200" i="20"/>
  <c r="K210" i="20" s="1"/>
  <c r="K219" i="20" s="1"/>
  <c r="S198" i="20"/>
  <c r="S208" i="20" s="1"/>
  <c r="S217" i="20" s="1"/>
  <c r="T226" i="20" s="1"/>
  <c r="Q48" i="20"/>
  <c r="G199" i="20"/>
  <c r="G209" i="20" s="1"/>
  <c r="G218" i="20" s="1"/>
  <c r="N196" i="20"/>
  <c r="H198" i="20"/>
  <c r="H208" i="20" s="1"/>
  <c r="H217" i="20" s="1"/>
  <c r="J200" i="20"/>
  <c r="J210" i="20" s="1"/>
  <c r="J165" i="20"/>
  <c r="AM61" i="3"/>
  <c r="AM62" i="3" s="1"/>
  <c r="AT69" i="6" s="1"/>
  <c r="AB61" i="3"/>
  <c r="AB62" i="3" s="1"/>
  <c r="AL413" i="1" s="1"/>
  <c r="N71" i="6"/>
  <c r="N81" i="6" s="1"/>
  <c r="I71" i="6"/>
  <c r="F52" i="5"/>
  <c r="X415" i="1"/>
  <c r="L165" i="20"/>
  <c r="K165" i="20"/>
  <c r="F165" i="20"/>
  <c r="I199" i="20"/>
  <c r="I209" i="20" s="1"/>
  <c r="I218" i="20" s="1"/>
  <c r="E97" i="7"/>
  <c r="N97" i="7"/>
  <c r="BB42" i="1"/>
  <c r="AU42" i="1"/>
  <c r="AS42" i="1"/>
  <c r="N427" i="1"/>
  <c r="AY42" i="1"/>
  <c r="AX42" i="1"/>
  <c r="AP42" i="1"/>
  <c r="AD42" i="1"/>
  <c r="AE49" i="1" s="1"/>
  <c r="V42" i="1"/>
  <c r="AC42" i="1"/>
  <c r="AV42" i="1"/>
  <c r="AN42" i="1"/>
  <c r="E178" i="1"/>
  <c r="I97" i="7"/>
  <c r="L63" i="5"/>
  <c r="AA42" i="1"/>
  <c r="AT42" i="1"/>
  <c r="Y42" i="1"/>
  <c r="AQ42" i="1"/>
  <c r="W42" i="1"/>
  <c r="AH42" i="1"/>
  <c r="BA42" i="1"/>
  <c r="AW42" i="1"/>
  <c r="AK42" i="1"/>
  <c r="AR42" i="1"/>
  <c r="H37" i="1"/>
  <c r="M53" i="7"/>
  <c r="AO76" i="1"/>
  <c r="AN76" i="1"/>
  <c r="AY310" i="1"/>
  <c r="N178" i="1"/>
  <c r="V74" i="3"/>
  <c r="V61" i="3"/>
  <c r="V62" i="3" s="1"/>
  <c r="AC69" i="6" s="1"/>
  <c r="L70" i="6"/>
  <c r="G53" i="7"/>
  <c r="AX310" i="1"/>
  <c r="AL76" i="1"/>
  <c r="M200" i="20"/>
  <c r="M210" i="20" s="1"/>
  <c r="M63" i="5"/>
  <c r="L149" i="20"/>
  <c r="AZ76" i="1"/>
  <c r="N53" i="7"/>
  <c r="P42" i="1"/>
  <c r="O42" i="1"/>
  <c r="O130" i="1" s="1"/>
  <c r="D165" i="20"/>
  <c r="L42" i="1"/>
  <c r="L130" i="1" s="1"/>
  <c r="I42" i="1"/>
  <c r="I130" i="1" s="1"/>
  <c r="R53" i="7"/>
  <c r="AX94" i="1"/>
  <c r="M70" i="6"/>
  <c r="M80" i="6" s="1"/>
  <c r="J198" i="20"/>
  <c r="J208" i="20" s="1"/>
  <c r="J217" i="20" s="1"/>
  <c r="J226" i="20" s="1"/>
  <c r="S42" i="1"/>
  <c r="T42" i="1"/>
  <c r="T130" i="1" s="1"/>
  <c r="AD387" i="1"/>
  <c r="AD401" i="1" s="1"/>
  <c r="H42" i="1"/>
  <c r="H130" i="1" s="1"/>
  <c r="R42" i="1"/>
  <c r="R130" i="1" s="1"/>
  <c r="M42" i="1"/>
  <c r="L69" i="6"/>
  <c r="Q42" i="1"/>
  <c r="K199" i="20"/>
  <c r="N42" i="1"/>
  <c r="N130" i="1" s="1"/>
  <c r="AO310" i="1"/>
  <c r="H124" i="1"/>
  <c r="H163" i="1" s="1"/>
  <c r="H184" i="1" s="1"/>
  <c r="I69" i="6"/>
  <c r="K38" i="3"/>
  <c r="K42" i="1"/>
  <c r="K130" i="1" s="1"/>
  <c r="J42" i="1"/>
  <c r="J130" i="1" s="1"/>
  <c r="L53" i="7"/>
  <c r="AE53" i="7"/>
  <c r="W53" i="7"/>
  <c r="O415" i="1"/>
  <c r="K70" i="6"/>
  <c r="Y74" i="3"/>
  <c r="AP74" i="3"/>
  <c r="AF61" i="3"/>
  <c r="AF62" i="3" s="1"/>
  <c r="AP413" i="1" s="1"/>
  <c r="O74" i="3"/>
  <c r="O69" i="6"/>
  <c r="O79" i="6" s="1"/>
  <c r="BC42" i="1"/>
  <c r="U42" i="1"/>
  <c r="R200" i="20"/>
  <c r="R210" i="20" s="1"/>
  <c r="R219" i="20" s="1"/>
  <c r="S228" i="20" s="1"/>
  <c r="H387" i="1"/>
  <c r="H401" i="1" s="1"/>
  <c r="E199" i="20"/>
  <c r="E209" i="20" s="1"/>
  <c r="E218" i="20" s="1"/>
  <c r="L197" i="20"/>
  <c r="L207" i="20" s="1"/>
  <c r="L216" i="20" s="1"/>
  <c r="D178" i="1"/>
  <c r="B63" i="5"/>
  <c r="H189" i="1"/>
  <c r="M413" i="1"/>
  <c r="G165" i="20"/>
  <c r="O210" i="20"/>
  <c r="O219" i="20" s="1"/>
  <c r="O198" i="20"/>
  <c r="O208" i="20" s="1"/>
  <c r="O217" i="20" s="1"/>
  <c r="C63" i="5"/>
  <c r="AQ61" i="3"/>
  <c r="AQ62" i="3" s="1"/>
  <c r="AX69" i="6" s="1"/>
  <c r="N413" i="1"/>
  <c r="E228" i="20"/>
  <c r="AY387" i="1"/>
  <c r="AY401" i="1" s="1"/>
  <c r="L15" i="7"/>
  <c r="M14" i="7"/>
  <c r="S71" i="6"/>
  <c r="AO82" i="1"/>
  <c r="AO123" i="1" s="1"/>
  <c r="AY76" i="1"/>
  <c r="AA62" i="3"/>
  <c r="AK413" i="1" s="1"/>
  <c r="AA71" i="6"/>
  <c r="Y71" i="6"/>
  <c r="AJ71" i="6"/>
  <c r="AC53" i="7"/>
  <c r="S61" i="3"/>
  <c r="S62" i="3" s="1"/>
  <c r="Z69" i="6" s="1"/>
  <c r="AD76" i="1"/>
  <c r="AC387" i="1"/>
  <c r="AC401" i="1" s="1"/>
  <c r="AD69" i="1"/>
  <c r="AP310" i="1"/>
  <c r="AL69" i="1"/>
  <c r="AQ76" i="1"/>
  <c r="AP76" i="1"/>
  <c r="AL70" i="1"/>
  <c r="AM76" i="1"/>
  <c r="E208" i="20"/>
  <c r="E217" i="20" s="1"/>
  <c r="F226" i="20" s="1"/>
  <c r="U165" i="20"/>
  <c r="H149" i="20"/>
  <c r="H165" i="20"/>
  <c r="O199" i="20"/>
  <c r="E165" i="20"/>
  <c r="C421" i="1"/>
  <c r="C403" i="1" s="1"/>
  <c r="Q199" i="20"/>
  <c r="Q209" i="20" s="1"/>
  <c r="Q218" i="20" s="1"/>
  <c r="S165" i="20"/>
  <c r="G198" i="20"/>
  <c r="G208" i="20" s="1"/>
  <c r="G217" i="20" s="1"/>
  <c r="G226" i="20" s="1"/>
  <c r="F228" i="20"/>
  <c r="I165" i="20"/>
  <c r="I149" i="20"/>
  <c r="O149" i="20"/>
  <c r="O165" i="20"/>
  <c r="D208" i="20"/>
  <c r="D217" i="20" s="1"/>
  <c r="AI82" i="1"/>
  <c r="AI123" i="1" s="1"/>
  <c r="BA76" i="1"/>
  <c r="AS387" i="1"/>
  <c r="AS401" i="1" s="1"/>
  <c r="BB76" i="1"/>
  <c r="BD310" i="1"/>
  <c r="AC69" i="1"/>
  <c r="AF415" i="1"/>
  <c r="BC415" i="1"/>
  <c r="AG53" i="7"/>
  <c r="W71" i="6"/>
  <c r="AS62" i="3"/>
  <c r="AZ69" i="6" s="1"/>
  <c r="N73" i="3"/>
  <c r="C178" i="1"/>
  <c r="C42" i="5"/>
  <c r="C50" i="5" s="1"/>
  <c r="AU310" i="1"/>
  <c r="AK387" i="1"/>
  <c r="AK401" i="1" s="1"/>
  <c r="I129" i="1"/>
  <c r="P178" i="1"/>
  <c r="P37" i="1"/>
  <c r="O189" i="1"/>
  <c r="S93" i="1"/>
  <c r="O387" i="1"/>
  <c r="O401" i="1" s="1"/>
  <c r="N49" i="6"/>
  <c r="E58" i="5"/>
  <c r="E65" i="5" s="1"/>
  <c r="P25" i="1"/>
  <c r="P27" i="1" s="1"/>
  <c r="P26" i="1"/>
  <c r="AV310" i="1"/>
  <c r="AX76" i="1"/>
  <c r="AA69" i="1"/>
  <c r="AA70" i="1"/>
  <c r="AB387" i="1"/>
  <c r="AB401" i="1" s="1"/>
  <c r="AB69" i="1"/>
  <c r="AB70" i="1"/>
  <c r="AK70" i="1"/>
  <c r="AK69" i="1"/>
  <c r="U387" i="1"/>
  <c r="U401" i="1" s="1"/>
  <c r="Y387" i="1"/>
  <c r="Y401" i="1" s="1"/>
  <c r="AG70" i="1"/>
  <c r="AG69" i="1"/>
  <c r="AF387" i="1"/>
  <c r="AF401" i="1" s="1"/>
  <c r="AF69" i="1"/>
  <c r="AF70" i="1"/>
  <c r="X387" i="1"/>
  <c r="X401" i="1" s="1"/>
  <c r="W387" i="1"/>
  <c r="W401" i="1" s="1"/>
  <c r="AE69" i="1"/>
  <c r="AE70" i="1"/>
  <c r="AJ387" i="1"/>
  <c r="AJ401" i="1" s="1"/>
  <c r="AJ69" i="1"/>
  <c r="AJ70" i="1"/>
  <c r="AN53" i="7"/>
  <c r="AD53" i="7"/>
  <c r="Z71" i="6"/>
  <c r="AA53" i="7"/>
  <c r="AD94" i="1"/>
  <c r="Z94" i="1"/>
  <c r="AF94" i="1"/>
  <c r="AX415" i="1"/>
  <c r="BA415" i="1"/>
  <c r="AR415" i="1"/>
  <c r="AI53" i="7"/>
  <c r="AQ53" i="7"/>
  <c r="X71" i="6"/>
  <c r="AB53" i="7"/>
  <c r="AS53" i="7"/>
  <c r="U71" i="6"/>
  <c r="Y53" i="7"/>
  <c r="AS73" i="3"/>
  <c r="C97" i="7"/>
  <c r="J94" i="1"/>
  <c r="AN94" i="1"/>
  <c r="K58" i="5"/>
  <c r="K65" i="5" s="1"/>
  <c r="F97" i="7"/>
  <c r="BC310" i="1"/>
  <c r="Q189" i="1"/>
  <c r="AT76" i="1"/>
  <c r="F189" i="1"/>
  <c r="J97" i="7"/>
  <c r="Q124" i="1"/>
  <c r="Q163" i="1" s="1"/>
  <c r="Q184" i="1" s="1"/>
  <c r="I189" i="1"/>
  <c r="E42" i="5"/>
  <c r="E50" i="5" s="1"/>
  <c r="E52" i="5" s="1"/>
  <c r="BC93" i="1"/>
  <c r="AM93" i="1"/>
  <c r="AT94" i="1"/>
  <c r="K51" i="5"/>
  <c r="K52" i="5" s="1"/>
  <c r="L37" i="1"/>
  <c r="L124" i="1"/>
  <c r="L163" i="1" s="1"/>
  <c r="L184" i="1" s="1"/>
  <c r="L125" i="1"/>
  <c r="E160" i="1"/>
  <c r="E181" i="1" s="1"/>
  <c r="AK310" i="1"/>
  <c r="AW76" i="1"/>
  <c r="W93" i="1"/>
  <c r="AE93" i="1"/>
  <c r="G129" i="1"/>
  <c r="D121" i="1"/>
  <c r="D160" i="1" s="1"/>
  <c r="D181" i="1" s="1"/>
  <c r="D37" i="1"/>
  <c r="G42" i="5"/>
  <c r="G50" i="5" s="1"/>
  <c r="G52" i="5" s="1"/>
  <c r="V94" i="1"/>
  <c r="AV94" i="1"/>
  <c r="AW310" i="1"/>
  <c r="D42" i="5"/>
  <c r="D50" i="5" s="1"/>
  <c r="D52" i="5" s="1"/>
  <c r="J39" i="6"/>
  <c r="I58" i="5"/>
  <c r="J48" i="6" s="1"/>
  <c r="R350" i="1"/>
  <c r="S350" i="1" s="1"/>
  <c r="S48" i="1"/>
  <c r="H93" i="1"/>
  <c r="J48" i="1"/>
  <c r="AJ76" i="1"/>
  <c r="J42" i="5"/>
  <c r="J50" i="5" s="1"/>
  <c r="J52" i="5" s="1"/>
  <c r="AE82" i="1"/>
  <c r="AE123" i="1" s="1"/>
  <c r="G161" i="1"/>
  <c r="G182" i="1" s="1"/>
  <c r="G189" i="1" s="1"/>
  <c r="Q123" i="1"/>
  <c r="Q162" i="1" s="1"/>
  <c r="Q183" i="1" s="1"/>
  <c r="Q190" i="1" s="1"/>
  <c r="M97" i="7"/>
  <c r="H58" i="5"/>
  <c r="I48" i="6" s="1"/>
  <c r="Q37" i="1"/>
  <c r="I42" i="5"/>
  <c r="I50" i="5" s="1"/>
  <c r="I52" i="5" s="1"/>
  <c r="O427" i="1"/>
  <c r="AK76" i="1"/>
  <c r="I48" i="1"/>
  <c r="N94" i="1"/>
  <c r="AH94" i="1"/>
  <c r="AL82" i="1"/>
  <c r="AL123" i="1" s="1"/>
  <c r="H51" i="5"/>
  <c r="P93" i="1"/>
  <c r="N93" i="1"/>
  <c r="K129" i="1"/>
  <c r="N129" i="1"/>
  <c r="AP94" i="1"/>
  <c r="G124" i="1"/>
  <c r="G163" i="1" s="1"/>
  <c r="G184" i="1" s="1"/>
  <c r="J362" i="1"/>
  <c r="S189" i="1"/>
  <c r="T415" i="1"/>
  <c r="U53" i="7"/>
  <c r="BD53" i="7"/>
  <c r="AH415" i="1"/>
  <c r="AP415" i="1"/>
  <c r="AR53" i="7"/>
  <c r="AQ415" i="1"/>
  <c r="AJ415" i="1"/>
  <c r="AS415" i="1"/>
  <c r="AZ415" i="1"/>
  <c r="BB415" i="1"/>
  <c r="AU53" i="7"/>
  <c r="AV71" i="6"/>
  <c r="AF71" i="6"/>
  <c r="BB53" i="7"/>
  <c r="AX53" i="7"/>
  <c r="AT415" i="1"/>
  <c r="AT53" i="7"/>
  <c r="AZ53" i="7"/>
  <c r="V53" i="7"/>
  <c r="X53" i="7"/>
  <c r="T71" i="6"/>
  <c r="W415" i="1"/>
  <c r="S69" i="6"/>
  <c r="N74" i="3"/>
  <c r="AH38" i="3"/>
  <c r="AN74" i="3"/>
  <c r="R74" i="3"/>
  <c r="Q62" i="3"/>
  <c r="AA413" i="1" s="1"/>
  <c r="U74" i="3"/>
  <c r="T61" i="3"/>
  <c r="T62" i="3" s="1"/>
  <c r="K61" i="3"/>
  <c r="K62" i="3" s="1"/>
  <c r="R69" i="6" s="1"/>
  <c r="R79" i="6" s="1"/>
  <c r="AE74" i="3"/>
  <c r="Z413" i="1"/>
  <c r="AP38" i="3"/>
  <c r="M38" i="3"/>
  <c r="O62" i="3"/>
  <c r="V69" i="6" s="1"/>
  <c r="M74" i="3"/>
  <c r="Z74" i="3"/>
  <c r="T74" i="3"/>
  <c r="U38" i="3"/>
  <c r="AI62" i="3"/>
  <c r="AS413" i="1" s="1"/>
  <c r="AE62" i="3"/>
  <c r="AO413" i="1" s="1"/>
  <c r="AO74" i="3"/>
  <c r="AG74" i="3"/>
  <c r="AH74" i="3"/>
  <c r="N38" i="3"/>
  <c r="AM74" i="3"/>
  <c r="M62" i="3"/>
  <c r="W413" i="1" s="1"/>
  <c r="AM38" i="3"/>
  <c r="AQ74" i="3"/>
  <c r="AG61" i="3"/>
  <c r="AG62" i="3" s="1"/>
  <c r="R62" i="3"/>
  <c r="AB413" i="1" s="1"/>
  <c r="Y38" i="3"/>
  <c r="Z38" i="3"/>
  <c r="N61" i="3"/>
  <c r="N62" i="3" s="1"/>
  <c r="AD62" i="3"/>
  <c r="AN413" i="1" s="1"/>
  <c r="Z62" i="3"/>
  <c r="AJ413" i="1" s="1"/>
  <c r="S74" i="3"/>
  <c r="AQ38" i="3"/>
  <c r="AN38" i="3"/>
  <c r="AF74" i="3"/>
  <c r="AE38" i="3"/>
  <c r="T38" i="3"/>
  <c r="AS38" i="3"/>
  <c r="AS71" i="3"/>
  <c r="AS74" i="3" s="1"/>
  <c r="AK70" i="3"/>
  <c r="AK74" i="3" s="1"/>
  <c r="AK38" i="3"/>
  <c r="AD38" i="3"/>
  <c r="AD70" i="3"/>
  <c r="AD74" i="3" s="1"/>
  <c r="AP62" i="3"/>
  <c r="AZ413" i="1" s="1"/>
  <c r="AL70" i="3"/>
  <c r="AL74" i="3" s="1"/>
  <c r="AL38" i="3"/>
  <c r="AG38" i="3"/>
  <c r="AF38" i="3"/>
  <c r="AO62" i="3"/>
  <c r="AY413" i="1" s="1"/>
  <c r="AN62" i="3"/>
  <c r="AX413" i="1" s="1"/>
  <c r="AA70" i="3"/>
  <c r="AA74" i="3" s="1"/>
  <c r="AA38" i="3"/>
  <c r="X71" i="3"/>
  <c r="X74" i="3" s="1"/>
  <c r="X38" i="3"/>
  <c r="L38" i="3"/>
  <c r="O38" i="3"/>
  <c r="P38" i="3"/>
  <c r="W70" i="3"/>
  <c r="W74" i="3" s="1"/>
  <c r="W38" i="3"/>
  <c r="AR70" i="3"/>
  <c r="AR74" i="3" s="1"/>
  <c r="AR38" i="3"/>
  <c r="AJ38" i="3"/>
  <c r="AJ70" i="3"/>
  <c r="AJ74" i="3" s="1"/>
  <c r="V38" i="3"/>
  <c r="Y61" i="3"/>
  <c r="Y62" i="3" s="1"/>
  <c r="AO38" i="3"/>
  <c r="AB70" i="3"/>
  <c r="AB74" i="3" s="1"/>
  <c r="AB38" i="3"/>
  <c r="AI70" i="3"/>
  <c r="AI74" i="3" s="1"/>
  <c r="AI38" i="3"/>
  <c r="AC70" i="3"/>
  <c r="AC74" i="3" s="1"/>
  <c r="AC38" i="3"/>
  <c r="AK73" i="3"/>
  <c r="AK37" i="3"/>
  <c r="Q362" i="1"/>
  <c r="G19" i="1"/>
  <c r="H111" i="1"/>
  <c r="H110" i="1"/>
  <c r="R427" i="1"/>
  <c r="L178" i="1"/>
  <c r="I427" i="1"/>
  <c r="O97" i="7"/>
  <c r="V19" i="1"/>
  <c r="U110" i="1"/>
  <c r="U111" i="1"/>
  <c r="M93" i="1"/>
  <c r="J387" i="1"/>
  <c r="J401" i="1" s="1"/>
  <c r="G37" i="1"/>
  <c r="L97" i="7"/>
  <c r="I112" i="1"/>
  <c r="T165" i="20"/>
  <c r="AS71" i="6"/>
  <c r="AT71" i="6"/>
  <c r="AO415" i="1"/>
  <c r="AK415" i="1"/>
  <c r="AO53" i="7"/>
  <c r="AP53" i="7"/>
  <c r="AL53" i="7"/>
  <c r="AE415" i="1"/>
  <c r="O73" i="3"/>
  <c r="T37" i="3"/>
  <c r="Z37" i="3"/>
  <c r="Z73" i="3"/>
  <c r="AC62" i="3"/>
  <c r="AJ69" i="6" s="1"/>
  <c r="J62" i="3"/>
  <c r="Q69" i="6" s="1"/>
  <c r="Q79" i="6" s="1"/>
  <c r="AK62" i="3"/>
  <c r="AR69" i="6" s="1"/>
  <c r="W62" i="3"/>
  <c r="AG413" i="1" s="1"/>
  <c r="Q38" i="3"/>
  <c r="Q74" i="3"/>
  <c r="U62" i="3"/>
  <c r="AE413" i="1" s="1"/>
  <c r="V73" i="3"/>
  <c r="M52" i="5"/>
  <c r="AC76" i="1"/>
  <c r="AL310" i="1"/>
  <c r="U427" i="1"/>
  <c r="AU76" i="1"/>
  <c r="BC76" i="1"/>
  <c r="BB387" i="1"/>
  <c r="BB401" i="1" s="1"/>
  <c r="AC82" i="1"/>
  <c r="AC123" i="1" s="1"/>
  <c r="AV82" i="1"/>
  <c r="AV123" i="1" s="1"/>
  <c r="BA82" i="1"/>
  <c r="BA123" i="1" s="1"/>
  <c r="AP82" i="1"/>
  <c r="AP123" i="1" s="1"/>
  <c r="AF82" i="1"/>
  <c r="AF123" i="1" s="1"/>
  <c r="U73" i="3"/>
  <c r="AJ73" i="3"/>
  <c r="AG37" i="3"/>
  <c r="AO73" i="3"/>
  <c r="U37" i="3"/>
  <c r="K37" i="3"/>
  <c r="AS37" i="3"/>
  <c r="X62" i="3"/>
  <c r="AE69" i="6" s="1"/>
  <c r="O37" i="3"/>
  <c r="T73" i="3"/>
  <c r="AM73" i="3"/>
  <c r="AG73" i="3"/>
  <c r="AD71" i="6"/>
  <c r="AL415" i="1"/>
  <c r="AK71" i="6"/>
  <c r="P381" i="1"/>
  <c r="Y37" i="3"/>
  <c r="Y73" i="3"/>
  <c r="AR62" i="3"/>
  <c r="BB413" i="1" s="1"/>
  <c r="N37" i="3"/>
  <c r="AJ37" i="3"/>
  <c r="R73" i="3"/>
  <c r="AO37" i="3"/>
  <c r="L37" i="3"/>
  <c r="P42" i="20"/>
  <c r="P43" i="20"/>
  <c r="P45" i="20"/>
  <c r="P36" i="20"/>
  <c r="P41" i="20"/>
  <c r="P40" i="20"/>
  <c r="P37" i="20"/>
  <c r="P46" i="20"/>
  <c r="Q65" i="20" s="1"/>
  <c r="O32" i="20"/>
  <c r="P39" i="20"/>
  <c r="P38" i="20"/>
  <c r="T200" i="20"/>
  <c r="T210" i="20" s="1"/>
  <c r="T219" i="20" s="1"/>
  <c r="T228" i="20" s="1"/>
  <c r="AN73" i="3"/>
  <c r="AQ37" i="3"/>
  <c r="AQ73" i="3"/>
  <c r="AL60" i="3"/>
  <c r="AL62" i="3" s="1"/>
  <c r="AS69" i="6" s="1"/>
  <c r="AI73" i="3"/>
  <c r="AI37" i="3"/>
  <c r="M73" i="3"/>
  <c r="M37" i="3"/>
  <c r="P37" i="3"/>
  <c r="X73" i="3"/>
  <c r="X37" i="3"/>
  <c r="AJ62" i="3"/>
  <c r="AT413" i="1" s="1"/>
  <c r="AP37" i="3"/>
  <c r="AP73" i="3"/>
  <c r="AL73" i="3"/>
  <c r="AL37" i="3"/>
  <c r="AH73" i="3"/>
  <c r="AH37" i="3"/>
  <c r="AF73" i="3"/>
  <c r="AF37" i="3"/>
  <c r="AE37" i="3"/>
  <c r="AE73" i="3"/>
  <c r="AC73" i="3"/>
  <c r="AC37" i="3"/>
  <c r="Q73" i="3"/>
  <c r="Q37" i="3"/>
  <c r="S73" i="3"/>
  <c r="W73" i="3"/>
  <c r="W37" i="3"/>
  <c r="AM37" i="3"/>
  <c r="V37" i="3"/>
  <c r="AN37" i="3"/>
  <c r="AB37" i="3"/>
  <c r="AB73" i="3"/>
  <c r="AD73" i="3"/>
  <c r="AD37" i="3"/>
  <c r="AA73" i="3"/>
  <c r="AA37" i="3"/>
  <c r="AR73" i="3"/>
  <c r="AR37" i="3"/>
  <c r="AF53" i="7"/>
  <c r="AK53" i="7"/>
  <c r="AH53" i="7"/>
  <c r="BC53" i="7"/>
  <c r="AW53" i="7"/>
  <c r="AM53" i="7"/>
  <c r="S149" i="20"/>
  <c r="R149" i="20"/>
  <c r="R165" i="20"/>
  <c r="P165" i="20"/>
  <c r="P149" i="20"/>
  <c r="T149" i="20"/>
  <c r="M149" i="20"/>
  <c r="M165" i="20"/>
  <c r="Q149" i="20"/>
  <c r="Q165" i="20"/>
  <c r="P210" i="20"/>
  <c r="P219" i="20" s="1"/>
  <c r="P197" i="20"/>
  <c r="P196" i="20"/>
  <c r="N165" i="20"/>
  <c r="N69" i="6"/>
  <c r="N79" i="6" s="1"/>
  <c r="Q413" i="1"/>
  <c r="BA53" i="7"/>
  <c r="AY53" i="7"/>
  <c r="AK81" i="3"/>
  <c r="I123" i="3" s="1"/>
  <c r="AV53" i="7"/>
  <c r="R71" i="6"/>
  <c r="R81" i="6" s="1"/>
  <c r="U415" i="1"/>
  <c r="BD218" i="1"/>
  <c r="BD220" i="1" s="1"/>
  <c r="AY82" i="1"/>
  <c r="AY123" i="1" s="1"/>
  <c r="AY162" i="1" s="1"/>
  <c r="AY183" i="1" s="1"/>
  <c r="AY190" i="1" s="1"/>
  <c r="AX82" i="1"/>
  <c r="AX123" i="1" s="1"/>
  <c r="AX162" i="1" s="1"/>
  <c r="AX183" i="1" s="1"/>
  <c r="AX190" i="1" s="1"/>
  <c r="AD82" i="1"/>
  <c r="AD123" i="1" s="1"/>
  <c r="V123" i="1"/>
  <c r="X123" i="1"/>
  <c r="X162" i="1" s="1"/>
  <c r="X183" i="1" s="1"/>
  <c r="X190" i="1" s="1"/>
  <c r="Y123" i="1"/>
  <c r="Y162" i="1" s="1"/>
  <c r="Y183" i="1" s="1"/>
  <c r="Y190" i="1" s="1"/>
  <c r="AQ82" i="1"/>
  <c r="AQ123" i="1" s="1"/>
  <c r="AQ162" i="1" s="1"/>
  <c r="AQ183" i="1" s="1"/>
  <c r="AQ190" i="1" s="1"/>
  <c r="W123" i="1"/>
  <c r="AH82" i="1"/>
  <c r="AH123" i="1" s="1"/>
  <c r="AH162" i="1" s="1"/>
  <c r="AH183" i="1" s="1"/>
  <c r="AH190" i="1" s="1"/>
  <c r="AW82" i="1"/>
  <c r="AW123" i="1" s="1"/>
  <c r="AW162" i="1" s="1"/>
  <c r="AW183" i="1" s="1"/>
  <c r="AW190" i="1" s="1"/>
  <c r="AK82" i="1"/>
  <c r="AK123" i="1" s="1"/>
  <c r="AK162" i="1" s="1"/>
  <c r="AK183" i="1" s="1"/>
  <c r="AK190" i="1" s="1"/>
  <c r="AN82" i="1"/>
  <c r="AN123" i="1" s="1"/>
  <c r="Z123" i="1"/>
  <c r="Z162" i="1" s="1"/>
  <c r="Z183" i="1" s="1"/>
  <c r="Z190" i="1" s="1"/>
  <c r="AR82" i="1"/>
  <c r="AR123" i="1" s="1"/>
  <c r="AM82" i="1"/>
  <c r="AM123" i="1" s="1"/>
  <c r="AM162" i="1" s="1"/>
  <c r="AM183" i="1" s="1"/>
  <c r="AM190" i="1" s="1"/>
  <c r="AM49" i="1"/>
  <c r="AG49" i="1"/>
  <c r="AG82" i="1"/>
  <c r="AG123" i="1" s="1"/>
  <c r="AZ82" i="1"/>
  <c r="AZ123" i="1" s="1"/>
  <c r="AZ162" i="1" s="1"/>
  <c r="AZ183" i="1" s="1"/>
  <c r="AZ190" i="1" s="1"/>
  <c r="AJ82" i="1"/>
  <c r="AJ123" i="1" s="1"/>
  <c r="AJ162" i="1" s="1"/>
  <c r="AJ183" i="1" s="1"/>
  <c r="AJ190" i="1" s="1"/>
  <c r="AB82" i="1"/>
  <c r="AB123" i="1" s="1"/>
  <c r="T199" i="20"/>
  <c r="T209" i="20" s="1"/>
  <c r="T218" i="20" s="1"/>
  <c r="N197" i="20"/>
  <c r="R208" i="20"/>
  <c r="R217" i="20" s="1"/>
  <c r="K208" i="20"/>
  <c r="K217" i="20" s="1"/>
  <c r="H210" i="20"/>
  <c r="H219" i="20" s="1"/>
  <c r="U322" i="1"/>
  <c r="F149" i="20"/>
  <c r="T37" i="20"/>
  <c r="T45" i="20"/>
  <c r="T40" i="20"/>
  <c r="T43" i="20"/>
  <c r="T38" i="20"/>
  <c r="T41" i="20"/>
  <c r="T36" i="20"/>
  <c r="T39" i="20"/>
  <c r="BB94" i="1"/>
  <c r="AL94" i="1"/>
  <c r="S178" i="1"/>
  <c r="T178" i="1"/>
  <c r="AY93" i="1"/>
  <c r="AQ93" i="1"/>
  <c r="AI93" i="1"/>
  <c r="AA93" i="1"/>
  <c r="AS310" i="1"/>
  <c r="N82" i="6"/>
  <c r="P97" i="7"/>
  <c r="G97" i="7"/>
  <c r="G63" i="5"/>
  <c r="AN310" i="1"/>
  <c r="F33" i="5"/>
  <c r="F46" i="5" s="1"/>
  <c r="H33" i="5"/>
  <c r="H46" i="5" s="1"/>
  <c r="AM310" i="1"/>
  <c r="BE310" i="1"/>
  <c r="D58" i="5"/>
  <c r="D65" i="5" s="1"/>
  <c r="BA310" i="1"/>
  <c r="M58" i="5"/>
  <c r="N39" i="6"/>
  <c r="Q387" i="1"/>
  <c r="Q401" i="1" s="1"/>
  <c r="AE387" i="1"/>
  <c r="AE401" i="1" s="1"/>
  <c r="AE76" i="1"/>
  <c r="AF76" i="1"/>
  <c r="AH76" i="1"/>
  <c r="AG76" i="1"/>
  <c r="AG387" i="1"/>
  <c r="AG401" i="1" s="1"/>
  <c r="D97" i="7"/>
  <c r="M189" i="1"/>
  <c r="N189" i="1"/>
  <c r="K189" i="1"/>
  <c r="R362" i="1"/>
  <c r="L52" i="5"/>
  <c r="O81" i="6"/>
  <c r="O82" i="6"/>
  <c r="AB76" i="1"/>
  <c r="AA76" i="1"/>
  <c r="AA387" i="1"/>
  <c r="AA401" i="1" s="1"/>
  <c r="P82" i="6"/>
  <c r="AZ310" i="1"/>
  <c r="AT310" i="1"/>
  <c r="K121" i="1"/>
  <c r="K160" i="1" s="1"/>
  <c r="K181" i="1" s="1"/>
  <c r="K124" i="1"/>
  <c r="K163" i="1" s="1"/>
  <c r="K184" i="1" s="1"/>
  <c r="K37" i="1"/>
  <c r="H162" i="1"/>
  <c r="H183" i="1" s="1"/>
  <c r="H190" i="1" s="1"/>
  <c r="H125" i="1"/>
  <c r="O121" i="1"/>
  <c r="O124" i="1"/>
  <c r="O163" i="1" s="1"/>
  <c r="O184" i="1" s="1"/>
  <c r="O37" i="1"/>
  <c r="V320" i="1"/>
  <c r="W293" i="1"/>
  <c r="BB310" i="1"/>
  <c r="K97" i="7"/>
  <c r="X93" i="1"/>
  <c r="BC94" i="1"/>
  <c r="AU94" i="1"/>
  <c r="AM94" i="1"/>
  <c r="AE94" i="1"/>
  <c r="G58" i="5"/>
  <c r="G65" i="5" s="1"/>
  <c r="L49" i="6"/>
  <c r="K63" i="5"/>
  <c r="L58" i="5"/>
  <c r="L65" i="5" s="1"/>
  <c r="M39" i="6"/>
  <c r="S115" i="1"/>
  <c r="K117" i="1"/>
  <c r="B42" i="5"/>
  <c r="B50" i="5" s="1"/>
  <c r="F362" i="1"/>
  <c r="L362" i="1"/>
  <c r="H42" i="5"/>
  <c r="H50" i="5" s="1"/>
  <c r="J124" i="1"/>
  <c r="J163" i="1" s="1"/>
  <c r="J184" i="1" s="1"/>
  <c r="J37" i="1"/>
  <c r="J121" i="1"/>
  <c r="G33" i="5"/>
  <c r="G46" i="5" s="1"/>
  <c r="G55" i="5"/>
  <c r="B33" i="5"/>
  <c r="B46" i="5" s="1"/>
  <c r="B55" i="5"/>
  <c r="E33" i="5"/>
  <c r="E46" i="5" s="1"/>
  <c r="E55" i="5"/>
  <c r="C121" i="1"/>
  <c r="C124" i="1"/>
  <c r="C163" i="1" s="1"/>
  <c r="C184" i="1" s="1"/>
  <c r="C37" i="1"/>
  <c r="M55" i="5"/>
  <c r="M33" i="5"/>
  <c r="M46" i="5" s="1"/>
  <c r="L189" i="1"/>
  <c r="C33" i="5"/>
  <c r="C46" i="5" s="1"/>
  <c r="C55" i="5"/>
  <c r="L33" i="5"/>
  <c r="L46" i="5" s="1"/>
  <c r="L55" i="5"/>
  <c r="F62" i="5"/>
  <c r="F57" i="5"/>
  <c r="J161" i="1"/>
  <c r="J182" i="1" s="1"/>
  <c r="J189" i="1" s="1"/>
  <c r="J129" i="1"/>
  <c r="H62" i="5"/>
  <c r="H57" i="5"/>
  <c r="B160" i="1"/>
  <c r="B125" i="1"/>
  <c r="I47" i="6"/>
  <c r="L181" i="1"/>
  <c r="H178" i="1"/>
  <c r="G178" i="1"/>
  <c r="N162" i="1"/>
  <c r="N183" i="1" s="1"/>
  <c r="N190" i="1" s="1"/>
  <c r="P31" i="5"/>
  <c r="P4" i="5"/>
  <c r="P25" i="5" s="1"/>
  <c r="Q38" i="6" s="1"/>
  <c r="Y379" i="1"/>
  <c r="Q48" i="1"/>
  <c r="X41" i="6"/>
  <c r="AA372" i="1"/>
  <c r="L117" i="1"/>
  <c r="K115" i="1"/>
  <c r="G160" i="1"/>
  <c r="G125" i="1"/>
  <c r="C51" i="5"/>
  <c r="C58" i="5"/>
  <c r="C65" i="5" s="1"/>
  <c r="Q5" i="5"/>
  <c r="Q34" i="5" s="1"/>
  <c r="U376" i="1"/>
  <c r="T316" i="1"/>
  <c r="BB82" i="1"/>
  <c r="U297" i="1"/>
  <c r="T324" i="1"/>
  <c r="T387" i="1"/>
  <c r="T401" i="1" s="1"/>
  <c r="H181" i="1"/>
  <c r="M48" i="1"/>
  <c r="M129" i="1"/>
  <c r="N48" i="1"/>
  <c r="AZ93" i="1"/>
  <c r="AV93" i="1"/>
  <c r="AR93" i="1"/>
  <c r="AN93" i="1"/>
  <c r="AJ93" i="1"/>
  <c r="AF93" i="1"/>
  <c r="AB93" i="1"/>
  <c r="T93" i="1"/>
  <c r="I93" i="1"/>
  <c r="AY94" i="1"/>
  <c r="AQ94" i="1"/>
  <c r="AI94" i="1"/>
  <c r="AA94" i="1"/>
  <c r="W94" i="1"/>
  <c r="S94" i="1"/>
  <c r="O94" i="1"/>
  <c r="K94" i="1"/>
  <c r="G94" i="1"/>
  <c r="T312" i="1"/>
  <c r="O178" i="1"/>
  <c r="M178" i="1"/>
  <c r="F121" i="1"/>
  <c r="F37" i="1"/>
  <c r="F124" i="1"/>
  <c r="F163" i="1" s="1"/>
  <c r="F184" i="1" s="1"/>
  <c r="AA82" i="1"/>
  <c r="K33" i="5"/>
  <c r="K46" i="5" s="1"/>
  <c r="K55" i="5"/>
  <c r="D33" i="5"/>
  <c r="D46" i="5" s="1"/>
  <c r="D55" i="5"/>
  <c r="I55" i="5"/>
  <c r="J47" i="6" s="1"/>
  <c r="I33" i="5"/>
  <c r="I46" i="5" s="1"/>
  <c r="J55" i="5"/>
  <c r="K47" i="6" s="1"/>
  <c r="J33" i="5"/>
  <c r="J46" i="5" s="1"/>
  <c r="I121" i="1"/>
  <c r="I124" i="1"/>
  <c r="I163" i="1" s="1"/>
  <c r="I184" i="1" s="1"/>
  <c r="I37" i="1"/>
  <c r="F63" i="5"/>
  <c r="F58" i="5"/>
  <c r="F65" i="5" s="1"/>
  <c r="H63" i="5"/>
  <c r="J58" i="5"/>
  <c r="K39" i="6"/>
  <c r="Q160" i="1"/>
  <c r="Q181" i="1" s="1"/>
  <c r="Q178" i="1"/>
  <c r="R178" i="1"/>
  <c r="S129" i="1"/>
  <c r="N121" i="1"/>
  <c r="N124" i="1"/>
  <c r="N163" i="1" s="1"/>
  <c r="N184" i="1" s="1"/>
  <c r="N37" i="1"/>
  <c r="M123" i="1"/>
  <c r="J49" i="6"/>
  <c r="L162" i="1"/>
  <c r="L183" i="1" s="1"/>
  <c r="K49" i="6"/>
  <c r="K90" i="3"/>
  <c r="U416" i="1"/>
  <c r="R72" i="6"/>
  <c r="U94" i="7"/>
  <c r="U97" i="7" s="1"/>
  <c r="T375" i="1"/>
  <c r="P122" i="1"/>
  <c r="P115" i="1"/>
  <c r="Q115" i="1"/>
  <c r="AY32" i="5"/>
  <c r="B51" i="5"/>
  <c r="B58" i="5"/>
  <c r="B65" i="5" s="1"/>
  <c r="V381" i="1"/>
  <c r="K91" i="3"/>
  <c r="U371" i="1"/>
  <c r="Q2" i="5"/>
  <c r="U373" i="1"/>
  <c r="M124" i="1"/>
  <c r="M163" i="1" s="1"/>
  <c r="M184" i="1" s="1"/>
  <c r="M121" i="1"/>
  <c r="M37" i="1"/>
  <c r="L387" i="1"/>
  <c r="L401" i="1" s="1"/>
  <c r="AR310" i="1"/>
  <c r="AQ310" i="1"/>
  <c r="BC82" i="1"/>
  <c r="AU82" i="1"/>
  <c r="AT82" i="1"/>
  <c r="AS82" i="1"/>
  <c r="V387" i="1"/>
  <c r="V401" i="1" s="1"/>
  <c r="D161" i="1"/>
  <c r="L129" i="1"/>
  <c r="L48" i="1"/>
  <c r="K48" i="1"/>
  <c r="H48" i="1"/>
  <c r="H129" i="1"/>
  <c r="O129" i="1"/>
  <c r="O48" i="1"/>
  <c r="P48" i="1"/>
  <c r="BA93" i="1"/>
  <c r="AW93" i="1"/>
  <c r="AS93" i="1"/>
  <c r="AO93" i="1"/>
  <c r="AK93" i="1"/>
  <c r="AG93" i="1"/>
  <c r="AC93" i="1"/>
  <c r="Y93" i="1"/>
  <c r="U93" i="1"/>
  <c r="Q93" i="1"/>
  <c r="J93" i="1"/>
  <c r="BB93" i="1"/>
  <c r="AX93" i="1"/>
  <c r="AT93" i="1"/>
  <c r="AP93" i="1"/>
  <c r="AL93" i="1"/>
  <c r="AH93" i="1"/>
  <c r="AD93" i="1"/>
  <c r="Z93" i="1"/>
  <c r="V93" i="1"/>
  <c r="R93" i="1"/>
  <c r="O93" i="1"/>
  <c r="K93" i="1"/>
  <c r="G93" i="1"/>
  <c r="P123" i="1"/>
  <c r="M49" i="6"/>
  <c r="P124" i="1"/>
  <c r="P163" i="1" s="1"/>
  <c r="P184" i="1" s="1"/>
  <c r="AZ94" i="1"/>
  <c r="AR94" i="1"/>
  <c r="AJ94" i="1"/>
  <c r="AB94" i="1"/>
  <c r="X94" i="1"/>
  <c r="T94" i="1"/>
  <c r="P94" i="1"/>
  <c r="L94" i="1"/>
  <c r="H94" i="1"/>
  <c r="BA94" i="1"/>
  <c r="AW94" i="1"/>
  <c r="AS94" i="1"/>
  <c r="AO94" i="1"/>
  <c r="AK94" i="1"/>
  <c r="AG94" i="1"/>
  <c r="AC94" i="1"/>
  <c r="Y94" i="1"/>
  <c r="U94" i="1"/>
  <c r="Q94" i="1"/>
  <c r="M94" i="1"/>
  <c r="I94" i="1"/>
  <c r="R48" i="1"/>
  <c r="R161" i="1"/>
  <c r="R182" i="1" s="1"/>
  <c r="R129" i="1"/>
  <c r="AF49" i="1"/>
  <c r="T129" i="1"/>
  <c r="U136" i="1" s="1"/>
  <c r="P387" i="1"/>
  <c r="P401" i="1" s="1"/>
  <c r="T182" i="1"/>
  <c r="T189" i="1" s="1"/>
  <c r="G197" i="20"/>
  <c r="G196" i="20"/>
  <c r="V168" i="1"/>
  <c r="V429" i="1"/>
  <c r="V432" i="1" s="1"/>
  <c r="I122" i="3" l="1"/>
  <c r="I121" i="3"/>
  <c r="V196" i="1"/>
  <c r="BL196" i="1"/>
  <c r="BE196" i="1"/>
  <c r="BD196" i="1"/>
  <c r="BH196" i="1"/>
  <c r="BJ196" i="1"/>
  <c r="BF196" i="1"/>
  <c r="BF203" i="1" s="1"/>
  <c r="BK196" i="1"/>
  <c r="BM196" i="1"/>
  <c r="BG196" i="1"/>
  <c r="BI196" i="1"/>
  <c r="BD414" i="1"/>
  <c r="BA70" i="6"/>
  <c r="U123" i="1"/>
  <c r="M15" i="1"/>
  <c r="O86" i="20"/>
  <c r="O414" i="1"/>
  <c r="N414" i="1"/>
  <c r="O413" i="1"/>
  <c r="R413" i="1"/>
  <c r="BC49" i="1"/>
  <c r="BC279" i="1" s="1"/>
  <c r="BC281" i="1" s="1"/>
  <c r="AQ49" i="1"/>
  <c r="AQ279" i="1" s="1"/>
  <c r="AQ281" i="1" s="1"/>
  <c r="L413" i="1"/>
  <c r="P414" i="1"/>
  <c r="AW49" i="1"/>
  <c r="AW279" i="1" s="1"/>
  <c r="AW281" i="1" s="1"/>
  <c r="AP49" i="1"/>
  <c r="AP279" i="1" s="1"/>
  <c r="AP281" i="1" s="1"/>
  <c r="H191" i="1"/>
  <c r="AJ49" i="1"/>
  <c r="AJ279" i="1" s="1"/>
  <c r="AJ281" i="1" s="1"/>
  <c r="AC49" i="1"/>
  <c r="AC279" i="1" s="1"/>
  <c r="AC283" i="1" s="1"/>
  <c r="J227" i="20"/>
  <c r="AI49" i="1"/>
  <c r="AI225" i="1" s="1"/>
  <c r="H218" i="20"/>
  <c r="H227" i="20" s="1"/>
  <c r="AO49" i="1"/>
  <c r="AO279" i="1" s="1"/>
  <c r="BA49" i="1"/>
  <c r="BA279" i="1" s="1"/>
  <c r="AF279" i="1"/>
  <c r="AF281" i="1" s="1"/>
  <c r="AF225" i="1"/>
  <c r="AG279" i="1"/>
  <c r="AG281" i="1" s="1"/>
  <c r="AG225" i="1"/>
  <c r="AM279" i="1"/>
  <c r="AM281" i="1" s="1"/>
  <c r="AM225" i="1"/>
  <c r="AE279" i="1"/>
  <c r="AE281" i="1" s="1"/>
  <c r="AE225" i="1"/>
  <c r="K49" i="1"/>
  <c r="D125" i="1"/>
  <c r="O49" i="1"/>
  <c r="L49" i="1"/>
  <c r="AS49" i="1"/>
  <c r="U49" i="1"/>
  <c r="W49" i="1"/>
  <c r="E227" i="20"/>
  <c r="N227" i="20"/>
  <c r="T57" i="20"/>
  <c r="T52" i="20"/>
  <c r="T60" i="20"/>
  <c r="T71" i="20" s="1"/>
  <c r="P52" i="20"/>
  <c r="T53" i="20"/>
  <c r="T61" i="20"/>
  <c r="T72" i="20" s="1"/>
  <c r="P53" i="20"/>
  <c r="P54" i="20"/>
  <c r="Q62" i="20"/>
  <c r="Q73" i="20" s="1"/>
  <c r="T62" i="20"/>
  <c r="T73" i="20" s="1"/>
  <c r="T54" i="20"/>
  <c r="U62" i="20"/>
  <c r="U73" i="20" s="1"/>
  <c r="O27" i="20"/>
  <c r="O55" i="20" s="1"/>
  <c r="Q61" i="20"/>
  <c r="Q72" i="20" s="1"/>
  <c r="P55" i="20"/>
  <c r="P57" i="20"/>
  <c r="Q60" i="20"/>
  <c r="Q71" i="20" s="1"/>
  <c r="Q56" i="20"/>
  <c r="T227" i="20"/>
  <c r="I64" i="20"/>
  <c r="Q197" i="20"/>
  <c r="Q202" i="20" s="1"/>
  <c r="Q227" i="20"/>
  <c r="O228" i="20"/>
  <c r="S197" i="20"/>
  <c r="J197" i="20"/>
  <c r="J207" i="20" s="1"/>
  <c r="J216" i="20" s="1"/>
  <c r="L196" i="20"/>
  <c r="L202" i="20" s="1"/>
  <c r="P48" i="20"/>
  <c r="J196" i="20"/>
  <c r="M219" i="20"/>
  <c r="M228" i="20" s="1"/>
  <c r="F196" i="20"/>
  <c r="F206" i="20" s="1"/>
  <c r="F215" i="20" s="1"/>
  <c r="F197" i="20"/>
  <c r="F207" i="20" s="1"/>
  <c r="F216" i="20" s="1"/>
  <c r="K69" i="6"/>
  <c r="K197" i="20"/>
  <c r="K207" i="20" s="1"/>
  <c r="K216" i="20" s="1"/>
  <c r="K196" i="20"/>
  <c r="H197" i="20"/>
  <c r="H207" i="20" s="1"/>
  <c r="H216" i="20" s="1"/>
  <c r="H196" i="20"/>
  <c r="H206" i="20" s="1"/>
  <c r="H215" i="20" s="1"/>
  <c r="S196" i="20"/>
  <c r="I196" i="20"/>
  <c r="I206" i="20" s="1"/>
  <c r="I215" i="20" s="1"/>
  <c r="M196" i="20"/>
  <c r="I197" i="20"/>
  <c r="M197" i="20"/>
  <c r="Y75" i="3"/>
  <c r="AF70" i="6" s="1"/>
  <c r="V75" i="3"/>
  <c r="AC70" i="6" s="1"/>
  <c r="BB49" i="1"/>
  <c r="C52" i="5"/>
  <c r="J49" i="1"/>
  <c r="I49" i="1"/>
  <c r="T49" i="1"/>
  <c r="R196" i="20"/>
  <c r="R197" i="20"/>
  <c r="J137" i="1"/>
  <c r="P49" i="1"/>
  <c r="Q49" i="1"/>
  <c r="O197" i="20"/>
  <c r="H49" i="1"/>
  <c r="K39" i="3"/>
  <c r="U130" i="1"/>
  <c r="U137" i="1" s="1"/>
  <c r="R49" i="1"/>
  <c r="N49" i="1"/>
  <c r="M414" i="1"/>
  <c r="J70" i="6"/>
  <c r="O75" i="3"/>
  <c r="M49" i="1"/>
  <c r="K209" i="20"/>
  <c r="K218" i="20" s="1"/>
  <c r="K227" i="20" s="1"/>
  <c r="V121" i="1"/>
  <c r="U196" i="1"/>
  <c r="V203" i="1" s="1"/>
  <c r="V250" i="1" s="1"/>
  <c r="T196" i="1"/>
  <c r="O196" i="20"/>
  <c r="AP75" i="3"/>
  <c r="AZ414" i="1" s="1"/>
  <c r="V49" i="1"/>
  <c r="V279" i="1" s="1"/>
  <c r="V283" i="1" s="1"/>
  <c r="BD42" i="1"/>
  <c r="BD130" i="1" s="1"/>
  <c r="I136" i="1"/>
  <c r="J136" i="1"/>
  <c r="R228" i="20"/>
  <c r="B52" i="5"/>
  <c r="I70" i="6"/>
  <c r="L414" i="1"/>
  <c r="E164" i="1"/>
  <c r="R414" i="1"/>
  <c r="O70" i="6"/>
  <c r="O80" i="6" s="1"/>
  <c r="Q414" i="1"/>
  <c r="N70" i="6"/>
  <c r="N80" i="6" s="1"/>
  <c r="N14" i="7"/>
  <c r="M15" i="7"/>
  <c r="M71" i="7"/>
  <c r="M72" i="7" s="1"/>
  <c r="M79" i="7" s="1"/>
  <c r="B96" i="3" s="1"/>
  <c r="AH69" i="6"/>
  <c r="AE75" i="3"/>
  <c r="AL70" i="6" s="1"/>
  <c r="BC413" i="1"/>
  <c r="AN75" i="3"/>
  <c r="AX414" i="1" s="1"/>
  <c r="R70" i="6"/>
  <c r="R80" i="6" s="1"/>
  <c r="H226" i="20"/>
  <c r="I226" i="20"/>
  <c r="E226" i="20"/>
  <c r="M227" i="20"/>
  <c r="O209" i="20"/>
  <c r="O218" i="20" s="1"/>
  <c r="M82" i="6"/>
  <c r="M81" i="6"/>
  <c r="N75" i="3"/>
  <c r="W69" i="6"/>
  <c r="AH39" i="3"/>
  <c r="V414" i="1"/>
  <c r="AH75" i="3"/>
  <c r="AO70" i="6" s="1"/>
  <c r="AS75" i="3"/>
  <c r="AZ70" i="6" s="1"/>
  <c r="Q125" i="1"/>
  <c r="Q130" i="1"/>
  <c r="L48" i="6"/>
  <c r="O25" i="1"/>
  <c r="O27" i="1" s="1"/>
  <c r="O26" i="1"/>
  <c r="U162" i="1"/>
  <c r="U183" i="1" s="1"/>
  <c r="U190" i="1" s="1"/>
  <c r="P413" i="1"/>
  <c r="M69" i="6"/>
  <c r="M79" i="6" s="1"/>
  <c r="AK69" i="6"/>
  <c r="AW69" i="6"/>
  <c r="M48" i="6"/>
  <c r="I65" i="5"/>
  <c r="H52" i="5"/>
  <c r="M191" i="1"/>
  <c r="S49" i="1"/>
  <c r="P191" i="1"/>
  <c r="H65" i="5"/>
  <c r="O381" i="1"/>
  <c r="N381" i="1"/>
  <c r="L80" i="6"/>
  <c r="U112" i="1"/>
  <c r="U115" i="1" s="1"/>
  <c r="AI39" i="3"/>
  <c r="AS39" i="3"/>
  <c r="S75" i="3"/>
  <c r="Z70" i="6" s="1"/>
  <c r="X69" i="6"/>
  <c r="U75" i="3"/>
  <c r="AE414" i="1" s="1"/>
  <c r="R75" i="3"/>
  <c r="Y70" i="6" s="1"/>
  <c r="AA69" i="6"/>
  <c r="AD413" i="1"/>
  <c r="AP39" i="3"/>
  <c r="AI75" i="3"/>
  <c r="AS414" i="1" s="1"/>
  <c r="T75" i="3"/>
  <c r="V413" i="1"/>
  <c r="Y69" i="6"/>
  <c r="U39" i="3"/>
  <c r="T39" i="3"/>
  <c r="AQ39" i="3"/>
  <c r="T69" i="6"/>
  <c r="O39" i="3"/>
  <c r="Y413" i="1"/>
  <c r="Z75" i="3"/>
  <c r="AJ414" i="1" s="1"/>
  <c r="AM39" i="3"/>
  <c r="M39" i="3"/>
  <c r="AP69" i="6"/>
  <c r="AC413" i="1"/>
  <c r="AU69" i="6"/>
  <c r="AD75" i="3"/>
  <c r="AK70" i="6" s="1"/>
  <c r="AF75" i="3"/>
  <c r="AM70" i="6" s="1"/>
  <c r="AG75" i="3"/>
  <c r="AN70" i="6" s="1"/>
  <c r="AQ75" i="3"/>
  <c r="BA414" i="1" s="1"/>
  <c r="AL69" i="6"/>
  <c r="M75" i="3"/>
  <c r="AI69" i="6"/>
  <c r="AO75" i="3"/>
  <c r="AY414" i="1" s="1"/>
  <c r="AQ413" i="1"/>
  <c r="AN69" i="6"/>
  <c r="AM69" i="6"/>
  <c r="Q75" i="3"/>
  <c r="AA414" i="1" s="1"/>
  <c r="Z39" i="3"/>
  <c r="N39" i="3"/>
  <c r="AW413" i="1"/>
  <c r="W39" i="3"/>
  <c r="AL75" i="3"/>
  <c r="AS70" i="6" s="1"/>
  <c r="AM75" i="3"/>
  <c r="AW414" i="1" s="1"/>
  <c r="AE39" i="3"/>
  <c r="AF413" i="1"/>
  <c r="U413" i="1"/>
  <c r="U69" i="6"/>
  <c r="X413" i="1"/>
  <c r="V39" i="3"/>
  <c r="AA39" i="3"/>
  <c r="AC75" i="3"/>
  <c r="AM414" i="1" s="1"/>
  <c r="Y39" i="3"/>
  <c r="AG39" i="3"/>
  <c r="AV69" i="6"/>
  <c r="AN39" i="3"/>
  <c r="P39" i="3"/>
  <c r="AJ39" i="3"/>
  <c r="AG69" i="6"/>
  <c r="AK75" i="3"/>
  <c r="AR70" i="6" s="1"/>
  <c r="AF39" i="3"/>
  <c r="L39" i="3"/>
  <c r="AA75" i="3"/>
  <c r="AH70" i="6" s="1"/>
  <c r="AD39" i="3"/>
  <c r="W75" i="3"/>
  <c r="AG414" i="1" s="1"/>
  <c r="AJ75" i="3"/>
  <c r="AQ70" i="6" s="1"/>
  <c r="AK39" i="3"/>
  <c r="AB75" i="3"/>
  <c r="AL414" i="1" s="1"/>
  <c r="AF69" i="6"/>
  <c r="AI413" i="1"/>
  <c r="AB39" i="3"/>
  <c r="Q39" i="3"/>
  <c r="AO39" i="3"/>
  <c r="AR39" i="3"/>
  <c r="X39" i="3"/>
  <c r="AR75" i="3"/>
  <c r="AY70" i="6" s="1"/>
  <c r="AC39" i="3"/>
  <c r="AL39" i="3"/>
  <c r="X75" i="3"/>
  <c r="AH414" i="1" s="1"/>
  <c r="BA413" i="1"/>
  <c r="AO69" i="6"/>
  <c r="AD69" i="6"/>
  <c r="AY69" i="6"/>
  <c r="U414" i="1"/>
  <c r="AU413" i="1"/>
  <c r="AM413" i="1"/>
  <c r="BE218" i="1"/>
  <c r="BE220" i="1" s="1"/>
  <c r="W19" i="1"/>
  <c r="X19" i="1" s="1"/>
  <c r="V111" i="1"/>
  <c r="V110" i="1"/>
  <c r="F19" i="1"/>
  <c r="G110" i="1"/>
  <c r="G111" i="1"/>
  <c r="S130" i="1"/>
  <c r="T137" i="1" s="1"/>
  <c r="R189" i="1"/>
  <c r="Z196" i="1"/>
  <c r="AD196" i="1"/>
  <c r="AH196" i="1"/>
  <c r="AL196" i="1"/>
  <c r="AP196" i="1"/>
  <c r="AT196" i="1"/>
  <c r="AX196" i="1"/>
  <c r="BB196" i="1"/>
  <c r="D196" i="1"/>
  <c r="H196" i="1"/>
  <c r="L196" i="1"/>
  <c r="P196" i="1"/>
  <c r="X196" i="1"/>
  <c r="AB196" i="1"/>
  <c r="AF196" i="1"/>
  <c r="AJ196" i="1"/>
  <c r="AN196" i="1"/>
  <c r="AR196" i="1"/>
  <c r="AV196" i="1"/>
  <c r="AZ196" i="1"/>
  <c r="B196" i="1"/>
  <c r="F196" i="1"/>
  <c r="J196" i="1"/>
  <c r="N196" i="1"/>
  <c r="Y196" i="1"/>
  <c r="AG196" i="1"/>
  <c r="AO196" i="1"/>
  <c r="AW196" i="1"/>
  <c r="G196" i="1"/>
  <c r="O196" i="1"/>
  <c r="AC196" i="1"/>
  <c r="AK196" i="1"/>
  <c r="AS196" i="1"/>
  <c r="BA196" i="1"/>
  <c r="C196" i="1"/>
  <c r="K196" i="1"/>
  <c r="AA196" i="1"/>
  <c r="AQ196" i="1"/>
  <c r="I196" i="1"/>
  <c r="W196" i="1"/>
  <c r="AM196" i="1"/>
  <c r="BC196" i="1"/>
  <c r="E196" i="1"/>
  <c r="R196" i="1"/>
  <c r="AI196" i="1"/>
  <c r="S196" i="1"/>
  <c r="AY196" i="1"/>
  <c r="Q196" i="1"/>
  <c r="AU196" i="1"/>
  <c r="M196" i="1"/>
  <c r="AE196" i="1"/>
  <c r="H112" i="1"/>
  <c r="Z49" i="1"/>
  <c r="J73" i="3"/>
  <c r="J75" i="3" s="1"/>
  <c r="AV413" i="1"/>
  <c r="T413" i="1"/>
  <c r="Y49" i="1"/>
  <c r="AB69" i="6"/>
  <c r="Y130" i="1"/>
  <c r="AW130" i="1"/>
  <c r="AN49" i="1"/>
  <c r="AZ49" i="1"/>
  <c r="AD49" i="1"/>
  <c r="AX49" i="1"/>
  <c r="AX130" i="1"/>
  <c r="AF130" i="1"/>
  <c r="AF162" i="1"/>
  <c r="AF183" i="1" s="1"/>
  <c r="AF190" i="1" s="1"/>
  <c r="AH413" i="1"/>
  <c r="AQ69" i="6"/>
  <c r="AR49" i="1"/>
  <c r="AM130" i="1"/>
  <c r="AQ130" i="1"/>
  <c r="AZ130" i="1"/>
  <c r="X130" i="1"/>
  <c r="AD130" i="1"/>
  <c r="Z130" i="1"/>
  <c r="AK130" i="1"/>
  <c r="T197" i="20"/>
  <c r="T196" i="20"/>
  <c r="O39" i="20"/>
  <c r="P61" i="20" s="1"/>
  <c r="P72" i="20" s="1"/>
  <c r="O37" i="20"/>
  <c r="O40" i="20"/>
  <c r="O38" i="20"/>
  <c r="O43" i="20"/>
  <c r="O46" i="20"/>
  <c r="O36" i="20"/>
  <c r="O45" i="20"/>
  <c r="O41" i="20"/>
  <c r="O42" i="20"/>
  <c r="N32" i="20"/>
  <c r="L191" i="1"/>
  <c r="N191" i="1"/>
  <c r="I191" i="1"/>
  <c r="K164" i="1"/>
  <c r="P228" i="20"/>
  <c r="Q228" i="20"/>
  <c r="P201" i="20"/>
  <c r="P202" i="20"/>
  <c r="AU415" i="1"/>
  <c r="AR71" i="6"/>
  <c r="AJ130" i="1"/>
  <c r="AH130" i="1"/>
  <c r="AD162" i="1"/>
  <c r="AD183" i="1" s="1"/>
  <c r="AD190" i="1" s="1"/>
  <c r="AL49" i="1"/>
  <c r="AH49" i="1"/>
  <c r="AY130" i="1"/>
  <c r="AK49" i="1"/>
  <c r="AG162" i="1"/>
  <c r="AG183" i="1" s="1"/>
  <c r="AG190" i="1" s="1"/>
  <c r="AG130" i="1"/>
  <c r="AR162" i="1"/>
  <c r="AR183" i="1" s="1"/>
  <c r="AR190" i="1" s="1"/>
  <c r="AR130" i="1"/>
  <c r="X49" i="1"/>
  <c r="AY49" i="1"/>
  <c r="AN162" i="1"/>
  <c r="AN183" i="1" s="1"/>
  <c r="AN190" i="1" s="1"/>
  <c r="AN130" i="1"/>
  <c r="AB130" i="1"/>
  <c r="AB162" i="1"/>
  <c r="AB183" i="1" s="1"/>
  <c r="AB190" i="1" s="1"/>
  <c r="W162" i="1"/>
  <c r="W183" i="1" s="1"/>
  <c r="W190" i="1" s="1"/>
  <c r="W130" i="1"/>
  <c r="V162" i="1"/>
  <c r="V183" i="1" s="1"/>
  <c r="V190" i="1" s="1"/>
  <c r="V130" i="1"/>
  <c r="S162" i="1"/>
  <c r="S183" i="1" s="1"/>
  <c r="S190" i="1" s="1"/>
  <c r="BF217" i="1"/>
  <c r="BF310" i="1" s="1"/>
  <c r="K226" i="20"/>
  <c r="L226" i="20"/>
  <c r="H228" i="20"/>
  <c r="I228" i="20"/>
  <c r="N202" i="20"/>
  <c r="P226" i="20"/>
  <c r="O226" i="20"/>
  <c r="L228" i="20"/>
  <c r="J219" i="20"/>
  <c r="K228" i="20" s="1"/>
  <c r="S226" i="20"/>
  <c r="R226" i="20"/>
  <c r="N201" i="20"/>
  <c r="R227" i="20"/>
  <c r="S227" i="20"/>
  <c r="F227" i="20"/>
  <c r="G227" i="20"/>
  <c r="V295" i="1"/>
  <c r="W295" i="1" s="1"/>
  <c r="L115" i="1"/>
  <c r="E149" i="20"/>
  <c r="N48" i="6"/>
  <c r="M65" i="5"/>
  <c r="M115" i="1"/>
  <c r="K136" i="1"/>
  <c r="H164" i="1"/>
  <c r="X293" i="1"/>
  <c r="W320" i="1"/>
  <c r="O160" i="1"/>
  <c r="O125" i="1"/>
  <c r="K125" i="1"/>
  <c r="J191" i="1"/>
  <c r="T115" i="1"/>
  <c r="N115" i="1"/>
  <c r="R136" i="1"/>
  <c r="P162" i="1"/>
  <c r="P183" i="1" s="1"/>
  <c r="P190" i="1" s="1"/>
  <c r="P130" i="1"/>
  <c r="L136" i="1"/>
  <c r="D182" i="1"/>
  <c r="D164" i="1"/>
  <c r="AT123" i="1"/>
  <c r="AU123" i="1"/>
  <c r="AV162" i="1"/>
  <c r="AV183" i="1" s="1"/>
  <c r="AV190" i="1" s="1"/>
  <c r="AV130" i="1"/>
  <c r="M125" i="1"/>
  <c r="M160" i="1"/>
  <c r="T332" i="1"/>
  <c r="U305" i="1"/>
  <c r="Q31" i="5"/>
  <c r="Q4" i="5"/>
  <c r="Q25" i="5" s="1"/>
  <c r="Q26" i="5" s="1"/>
  <c r="Q58" i="5" s="1"/>
  <c r="Q65" i="5" s="1"/>
  <c r="W381" i="1"/>
  <c r="L91" i="3"/>
  <c r="V371" i="1"/>
  <c r="R2" i="5"/>
  <c r="P129" i="1"/>
  <c r="Q136" i="1" s="1"/>
  <c r="P125" i="1"/>
  <c r="P161" i="1"/>
  <c r="R162" i="1"/>
  <c r="R183" i="1" s="1"/>
  <c r="R82" i="6"/>
  <c r="L190" i="1"/>
  <c r="M162" i="1"/>
  <c r="M183" i="1" s="1"/>
  <c r="M190" i="1" s="1"/>
  <c r="M130" i="1"/>
  <c r="M137" i="1" s="1"/>
  <c r="S136" i="1"/>
  <c r="I125" i="1"/>
  <c r="I160" i="1"/>
  <c r="D62" i="5"/>
  <c r="D64" i="5" s="1"/>
  <c r="D66" i="5" s="1"/>
  <c r="D57" i="5"/>
  <c r="K62" i="5"/>
  <c r="K64" i="5" s="1"/>
  <c r="K66" i="5" s="1"/>
  <c r="K57" i="5"/>
  <c r="L47" i="6"/>
  <c r="AA123" i="1"/>
  <c r="BA130" i="1"/>
  <c r="BA162" i="1"/>
  <c r="BA183" i="1" s="1"/>
  <c r="BA190" i="1" s="1"/>
  <c r="F160" i="1"/>
  <c r="F125" i="1"/>
  <c r="H137" i="1"/>
  <c r="K137" i="1"/>
  <c r="M136" i="1"/>
  <c r="U316" i="1"/>
  <c r="AE162" i="1"/>
  <c r="AE183" i="1" s="1"/>
  <c r="AE190" i="1" s="1"/>
  <c r="AE130" i="1"/>
  <c r="O115" i="1"/>
  <c r="J115" i="1"/>
  <c r="R115" i="1"/>
  <c r="Z379" i="1"/>
  <c r="P56" i="5"/>
  <c r="Q40" i="6"/>
  <c r="B181" i="1"/>
  <c r="B164" i="1"/>
  <c r="H59" i="5"/>
  <c r="H71" i="5"/>
  <c r="F71" i="5"/>
  <c r="F59" i="5"/>
  <c r="L57" i="5"/>
  <c r="L62" i="5"/>
  <c r="L64" i="5" s="1"/>
  <c r="L66" i="5" s="1"/>
  <c r="M47" i="6"/>
  <c r="C57" i="5"/>
  <c r="C62" i="5"/>
  <c r="C64" i="5" s="1"/>
  <c r="C66" i="5" s="1"/>
  <c r="M62" i="5"/>
  <c r="M64" i="5" s="1"/>
  <c r="M57" i="5"/>
  <c r="N47" i="6"/>
  <c r="C125" i="1"/>
  <c r="C160" i="1"/>
  <c r="N136" i="1"/>
  <c r="T355" i="1"/>
  <c r="O136" i="1"/>
  <c r="T136" i="1"/>
  <c r="AI130" i="1"/>
  <c r="AI162" i="1"/>
  <c r="AI183" i="1" s="1"/>
  <c r="AI190" i="1" s="1"/>
  <c r="H136" i="1"/>
  <c r="AS123" i="1"/>
  <c r="AT49" i="1"/>
  <c r="AU49" i="1"/>
  <c r="BC123" i="1"/>
  <c r="U37" i="1"/>
  <c r="U375" i="1"/>
  <c r="V94" i="7"/>
  <c r="S81" i="6"/>
  <c r="S79" i="6"/>
  <c r="T124" i="1"/>
  <c r="T163" i="1" s="1"/>
  <c r="T184" i="1" s="1"/>
  <c r="T191" i="1" s="1"/>
  <c r="L90" i="3"/>
  <c r="S72" i="6"/>
  <c r="V416" i="1"/>
  <c r="L137" i="1"/>
  <c r="N125" i="1"/>
  <c r="N160" i="1"/>
  <c r="T162" i="1"/>
  <c r="T183" i="1" s="1"/>
  <c r="T190" i="1" s="1"/>
  <c r="Q164" i="1"/>
  <c r="K48" i="6"/>
  <c r="J65" i="5"/>
  <c r="J62" i="5"/>
  <c r="J64" i="5" s="1"/>
  <c r="J57" i="5"/>
  <c r="I57" i="5"/>
  <c r="I62" i="5"/>
  <c r="I64" i="5" s="1"/>
  <c r="AA49" i="1"/>
  <c r="AB49" i="1"/>
  <c r="Q191" i="1"/>
  <c r="F191" i="1"/>
  <c r="O191" i="1"/>
  <c r="G191" i="1"/>
  <c r="V287" i="1"/>
  <c r="U312" i="1"/>
  <c r="O137" i="1"/>
  <c r="V297" i="1"/>
  <c r="U324" i="1"/>
  <c r="AV49" i="1"/>
  <c r="BB123" i="1"/>
  <c r="V95" i="7"/>
  <c r="G181" i="1"/>
  <c r="G164" i="1"/>
  <c r="J117" i="1"/>
  <c r="Y41" i="6"/>
  <c r="AB372" i="1"/>
  <c r="AL162" i="1"/>
  <c r="AL183" i="1" s="1"/>
  <c r="AL190" i="1" s="1"/>
  <c r="AL130" i="1"/>
  <c r="AP162" i="1"/>
  <c r="AP183" i="1" s="1"/>
  <c r="AP190" i="1" s="1"/>
  <c r="AP130" i="1"/>
  <c r="P55" i="5"/>
  <c r="Q47" i="6" s="1"/>
  <c r="P33" i="5"/>
  <c r="P46" i="5" s="1"/>
  <c r="I137" i="1"/>
  <c r="AO162" i="1"/>
  <c r="AO183" i="1" s="1"/>
  <c r="AO190" i="1" s="1"/>
  <c r="AO130" i="1"/>
  <c r="AC130" i="1"/>
  <c r="AC162" i="1"/>
  <c r="AC183" i="1" s="1"/>
  <c r="AC190" i="1" s="1"/>
  <c r="L164" i="1"/>
  <c r="H64" i="5"/>
  <c r="F64" i="5"/>
  <c r="F66" i="5" s="1"/>
  <c r="E57" i="5"/>
  <c r="E62" i="5"/>
  <c r="E64" i="5" s="1"/>
  <c r="E66" i="5" s="1"/>
  <c r="B57" i="5"/>
  <c r="B62" i="5"/>
  <c r="B64" i="5" s="1"/>
  <c r="B66" i="5" s="1"/>
  <c r="G57" i="5"/>
  <c r="G62" i="5"/>
  <c r="G64" i="5" s="1"/>
  <c r="G66" i="5" s="1"/>
  <c r="J160" i="1"/>
  <c r="J125" i="1"/>
  <c r="K191" i="1"/>
  <c r="I73" i="3"/>
  <c r="I75" i="3" s="1"/>
  <c r="I37" i="3"/>
  <c r="I39" i="3" s="1"/>
  <c r="G201" i="20"/>
  <c r="G206" i="20"/>
  <c r="G202" i="20"/>
  <c r="G207" i="20"/>
  <c r="G216" i="20" s="1"/>
  <c r="W429" i="1"/>
  <c r="W432" i="1" s="1"/>
  <c r="W168" i="1"/>
  <c r="V424" i="1"/>
  <c r="V427" i="1" s="1"/>
  <c r="V171" i="1"/>
  <c r="V178" i="1" s="1"/>
  <c r="V174" i="1"/>
  <c r="R12" i="5"/>
  <c r="V177" i="1"/>
  <c r="AA70" i="6" l="1"/>
  <c r="T99" i="3"/>
  <c r="BI203" i="1"/>
  <c r="BE203" i="1"/>
  <c r="BM197" i="1"/>
  <c r="BE197" i="1"/>
  <c r="BI197" i="1"/>
  <c r="BD197" i="1"/>
  <c r="BF197" i="1"/>
  <c r="BJ197" i="1"/>
  <c r="BL197" i="1"/>
  <c r="BK197" i="1"/>
  <c r="BH197" i="1"/>
  <c r="BG197" i="1"/>
  <c r="BK203" i="1"/>
  <c r="BG203" i="1"/>
  <c r="BJ203" i="1"/>
  <c r="BL203" i="1"/>
  <c r="BM203" i="1"/>
  <c r="BH203" i="1"/>
  <c r="BD49" i="1"/>
  <c r="BD279" i="1" s="1"/>
  <c r="BD283" i="1" s="1"/>
  <c r="BD203" i="1"/>
  <c r="BD250" i="1" s="1"/>
  <c r="L15" i="1"/>
  <c r="N86" i="20"/>
  <c r="Y203" i="1"/>
  <c r="Y250" i="1" s="1"/>
  <c r="AJ225" i="1"/>
  <c r="AQ225" i="1"/>
  <c r="BC225" i="1"/>
  <c r="AW225" i="1"/>
  <c r="Y414" i="1"/>
  <c r="BF218" i="1"/>
  <c r="BF220" i="1" s="1"/>
  <c r="AP225" i="1"/>
  <c r="AW283" i="1"/>
  <c r="AF283" i="1"/>
  <c r="AI279" i="1"/>
  <c r="AI283" i="1" s="1"/>
  <c r="AP283" i="1"/>
  <c r="BC283" i="1"/>
  <c r="AQ283" i="1"/>
  <c r="I227" i="20"/>
  <c r="AM283" i="1"/>
  <c r="AO225" i="1"/>
  <c r="BA225" i="1"/>
  <c r="AC281" i="1"/>
  <c r="AO283" i="1"/>
  <c r="AO281" i="1"/>
  <c r="AG283" i="1"/>
  <c r="BA281" i="1"/>
  <c r="BA283" i="1"/>
  <c r="AB279" i="1"/>
  <c r="AB283" i="1" s="1"/>
  <c r="AL279" i="1"/>
  <c r="AL283" i="1" s="1"/>
  <c r="AL225" i="1"/>
  <c r="AA279" i="1"/>
  <c r="AA283" i="1" s="1"/>
  <c r="AU279" i="1"/>
  <c r="AU281" i="1" s="1"/>
  <c r="AU225" i="1"/>
  <c r="AJ283" i="1"/>
  <c r="AY279" i="1"/>
  <c r="AY281" i="1" s="1"/>
  <c r="AY225" i="1"/>
  <c r="AK279" i="1"/>
  <c r="AK283" i="1" s="1"/>
  <c r="AK225" i="1"/>
  <c r="AR279" i="1"/>
  <c r="AR281" i="1" s="1"/>
  <c r="AR225" i="1"/>
  <c r="AZ279" i="1"/>
  <c r="AZ283" i="1" s="1"/>
  <c r="AZ225" i="1"/>
  <c r="AE283" i="1"/>
  <c r="Y279" i="1"/>
  <c r="Y283" i="1" s="1"/>
  <c r="Z279" i="1"/>
  <c r="Z281" i="1" s="1"/>
  <c r="AV279" i="1"/>
  <c r="AV281" i="1" s="1"/>
  <c r="AV225" i="1"/>
  <c r="AT279" i="1"/>
  <c r="AT283" i="1" s="1"/>
  <c r="AT225" i="1"/>
  <c r="X279" i="1"/>
  <c r="X281" i="1" s="1"/>
  <c r="AX279" i="1"/>
  <c r="AX283" i="1" s="1"/>
  <c r="AX225" i="1"/>
  <c r="AN279" i="1"/>
  <c r="AN283" i="1" s="1"/>
  <c r="AN225" i="1"/>
  <c r="W279" i="1"/>
  <c r="W281" i="1" s="1"/>
  <c r="AS279" i="1"/>
  <c r="AS283" i="1" s="1"/>
  <c r="AS225" i="1"/>
  <c r="AH279" i="1"/>
  <c r="AH283" i="1" s="1"/>
  <c r="AH225" i="1"/>
  <c r="AD279" i="1"/>
  <c r="AD283" i="1" s="1"/>
  <c r="AD225" i="1"/>
  <c r="BB279" i="1"/>
  <c r="BB283" i="1" s="1"/>
  <c r="BB225" i="1"/>
  <c r="I66" i="5"/>
  <c r="R203" i="1"/>
  <c r="P63" i="20"/>
  <c r="P74" i="20" s="1"/>
  <c r="T56" i="20"/>
  <c r="O57" i="20"/>
  <c r="O52" i="20"/>
  <c r="P60" i="20"/>
  <c r="P71" i="20" s="1"/>
  <c r="O54" i="20"/>
  <c r="P56" i="20"/>
  <c r="P62" i="20"/>
  <c r="P73" i="20" s="1"/>
  <c r="O53" i="20"/>
  <c r="P65" i="20"/>
  <c r="Q201" i="20"/>
  <c r="S202" i="20"/>
  <c r="J202" i="20"/>
  <c r="L201" i="20"/>
  <c r="L206" i="20"/>
  <c r="L212" i="20" s="1"/>
  <c r="L190" i="20" s="1"/>
  <c r="O48" i="20"/>
  <c r="J206" i="20"/>
  <c r="J211" i="20" s="1"/>
  <c r="J201" i="20"/>
  <c r="F221" i="20"/>
  <c r="F220" i="20"/>
  <c r="F211" i="20"/>
  <c r="F201" i="20"/>
  <c r="F212" i="20"/>
  <c r="F202" i="20"/>
  <c r="N228" i="20"/>
  <c r="K201" i="20"/>
  <c r="I202" i="20"/>
  <c r="K202" i="20"/>
  <c r="K206" i="20"/>
  <c r="K215" i="20" s="1"/>
  <c r="K220" i="20" s="1"/>
  <c r="AI414" i="1"/>
  <c r="AF414" i="1"/>
  <c r="V70" i="6"/>
  <c r="H201" i="20"/>
  <c r="I201" i="20"/>
  <c r="M202" i="20"/>
  <c r="M201" i="20"/>
  <c r="H202" i="20"/>
  <c r="I207" i="20"/>
  <c r="I216" i="20" s="1"/>
  <c r="J225" i="20" s="1"/>
  <c r="S201" i="20"/>
  <c r="AW70" i="6"/>
  <c r="AW137" i="1"/>
  <c r="O202" i="20"/>
  <c r="R201" i="20"/>
  <c r="R202" i="20"/>
  <c r="G203" i="1"/>
  <c r="H203" i="1"/>
  <c r="V281" i="1"/>
  <c r="O201" i="20"/>
  <c r="AU203" i="1"/>
  <c r="AU250" i="1" s="1"/>
  <c r="U203" i="1"/>
  <c r="L227" i="20"/>
  <c r="BE42" i="1"/>
  <c r="E203" i="1"/>
  <c r="L81" i="6"/>
  <c r="I73" i="6"/>
  <c r="N15" i="7"/>
  <c r="N71" i="7"/>
  <c r="N72" i="7" s="1"/>
  <c r="N79" i="7" s="1"/>
  <c r="C96" i="3" s="1"/>
  <c r="O14" i="7"/>
  <c r="AO414" i="1"/>
  <c r="AH203" i="1"/>
  <c r="AH250" i="1" s="1"/>
  <c r="AU70" i="6"/>
  <c r="K82" i="6"/>
  <c r="BC414" i="1"/>
  <c r="W414" i="1"/>
  <c r="U70" i="6"/>
  <c r="W70" i="6"/>
  <c r="S70" i="6"/>
  <c r="S80" i="6" s="1"/>
  <c r="AI203" i="1"/>
  <c r="AI250" i="1" s="1"/>
  <c r="X203" i="1"/>
  <c r="X250" i="1" s="1"/>
  <c r="AO203" i="1"/>
  <c r="AO250" i="1" s="1"/>
  <c r="P227" i="20"/>
  <c r="O227" i="20"/>
  <c r="X414" i="1"/>
  <c r="AR414" i="1"/>
  <c r="AP70" i="6"/>
  <c r="M203" i="1"/>
  <c r="Q203" i="1"/>
  <c r="AL203" i="1"/>
  <c r="AL250" i="1" s="1"/>
  <c r="W203" i="1"/>
  <c r="W250" i="1" s="1"/>
  <c r="M25" i="1"/>
  <c r="M27" i="1" s="1"/>
  <c r="N26" i="1"/>
  <c r="N25" i="1"/>
  <c r="N27" i="1" s="1"/>
  <c r="BB203" i="1"/>
  <c r="BB250" i="1" s="1"/>
  <c r="V373" i="1"/>
  <c r="AB414" i="1"/>
  <c r="AK414" i="1"/>
  <c r="AD414" i="1"/>
  <c r="AC414" i="1"/>
  <c r="AN414" i="1"/>
  <c r="AV70" i="6"/>
  <c r="AX137" i="1"/>
  <c r="P203" i="1"/>
  <c r="BC203" i="1"/>
  <c r="BC250" i="1" s="1"/>
  <c r="AN203" i="1"/>
  <c r="AN250" i="1" s="1"/>
  <c r="AT203" i="1"/>
  <c r="AT250" i="1" s="1"/>
  <c r="AG203" i="1"/>
  <c r="AG250" i="1" s="1"/>
  <c r="AR203" i="1"/>
  <c r="AR250" i="1" s="1"/>
  <c r="AC137" i="1"/>
  <c r="AB203" i="1"/>
  <c r="AB250" i="1" s="1"/>
  <c r="L203" i="1"/>
  <c r="AM203" i="1"/>
  <c r="AM250" i="1" s="1"/>
  <c r="AV203" i="1"/>
  <c r="AV250" i="1" s="1"/>
  <c r="L82" i="6"/>
  <c r="AS203" i="1"/>
  <c r="AS250" i="1" s="1"/>
  <c r="V322" i="1"/>
  <c r="K203" i="1"/>
  <c r="T310" i="1"/>
  <c r="L79" i="6"/>
  <c r="AF203" i="1"/>
  <c r="AF250" i="1" s="1"/>
  <c r="AY203" i="1"/>
  <c r="AY250" i="1" s="1"/>
  <c r="AX203" i="1"/>
  <c r="AX250" i="1" s="1"/>
  <c r="H66" i="5"/>
  <c r="H69" i="5" s="1"/>
  <c r="H77" i="5" s="1"/>
  <c r="AY137" i="1"/>
  <c r="I203" i="1"/>
  <c r="C203" i="1"/>
  <c r="AD203" i="1"/>
  <c r="AD250" i="1" s="1"/>
  <c r="AZ203" i="1"/>
  <c r="AZ250" i="1" s="1"/>
  <c r="AK203" i="1"/>
  <c r="AK250" i="1" s="1"/>
  <c r="AP203" i="1"/>
  <c r="AP250" i="1" s="1"/>
  <c r="AA203" i="1"/>
  <c r="AA250" i="1" s="1"/>
  <c r="J203" i="1"/>
  <c r="AJ203" i="1"/>
  <c r="AJ250" i="1" s="1"/>
  <c r="AI137" i="1"/>
  <c r="AI217" i="1" s="1"/>
  <c r="AJ310" i="1" s="1"/>
  <c r="N203" i="1"/>
  <c r="BA203" i="1"/>
  <c r="BA250" i="1" s="1"/>
  <c r="T203" i="1"/>
  <c r="D203" i="1"/>
  <c r="Z203" i="1"/>
  <c r="Z250" i="1" s="1"/>
  <c r="G112" i="1"/>
  <c r="H115" i="1" s="1"/>
  <c r="Z137" i="1"/>
  <c r="AP414" i="1"/>
  <c r="AE70" i="6"/>
  <c r="Z414" i="1"/>
  <c r="AB70" i="6"/>
  <c r="AV414" i="1"/>
  <c r="AG70" i="6"/>
  <c r="AX70" i="6"/>
  <c r="AI70" i="6"/>
  <c r="AQ414" i="1"/>
  <c r="AJ70" i="6"/>
  <c r="BB414" i="1"/>
  <c r="AU414" i="1"/>
  <c r="T70" i="6"/>
  <c r="T80" i="6" s="1"/>
  <c r="AT70" i="6"/>
  <c r="X70" i="6"/>
  <c r="AD70" i="6"/>
  <c r="AT414" i="1"/>
  <c r="AC203" i="1"/>
  <c r="AC250" i="1" s="1"/>
  <c r="I115" i="1"/>
  <c r="AW203" i="1"/>
  <c r="AW250" i="1" s="1"/>
  <c r="S137" i="1"/>
  <c r="W110" i="1"/>
  <c r="W111" i="1"/>
  <c r="O203" i="1"/>
  <c r="S203" i="1"/>
  <c r="AQ203" i="1"/>
  <c r="AQ250" i="1" s="1"/>
  <c r="E19" i="1"/>
  <c r="F111" i="1"/>
  <c r="F110" i="1"/>
  <c r="AE203" i="1"/>
  <c r="AE250" i="1" s="1"/>
  <c r="R190" i="1"/>
  <c r="U197" i="1"/>
  <c r="Y197" i="1"/>
  <c r="AC197" i="1"/>
  <c r="AG197" i="1"/>
  <c r="AK197" i="1"/>
  <c r="AO197" i="1"/>
  <c r="AS197" i="1"/>
  <c r="AW197" i="1"/>
  <c r="BA197" i="1"/>
  <c r="D197" i="1"/>
  <c r="H197" i="1"/>
  <c r="L197" i="1"/>
  <c r="P197" i="1"/>
  <c r="R197" i="1"/>
  <c r="S197" i="1"/>
  <c r="W197" i="1"/>
  <c r="AA197" i="1"/>
  <c r="AE197" i="1"/>
  <c r="AI197" i="1"/>
  <c r="AM197" i="1"/>
  <c r="AQ197" i="1"/>
  <c r="AU197" i="1"/>
  <c r="AY197" i="1"/>
  <c r="BC197" i="1"/>
  <c r="B197" i="1"/>
  <c r="F197" i="1"/>
  <c r="J197" i="1"/>
  <c r="N197" i="1"/>
  <c r="T197" i="1"/>
  <c r="AB197" i="1"/>
  <c r="AJ197" i="1"/>
  <c r="AR197" i="1"/>
  <c r="AZ197" i="1"/>
  <c r="G197" i="1"/>
  <c r="O197" i="1"/>
  <c r="X197" i="1"/>
  <c r="AF197" i="1"/>
  <c r="AN197" i="1"/>
  <c r="AV197" i="1"/>
  <c r="C197" i="1"/>
  <c r="K197" i="1"/>
  <c r="V197" i="1"/>
  <c r="AL197" i="1"/>
  <c r="BB197" i="1"/>
  <c r="I197" i="1"/>
  <c r="AH197" i="1"/>
  <c r="AX197" i="1"/>
  <c r="E197" i="1"/>
  <c r="AD197" i="1"/>
  <c r="Q197" i="1"/>
  <c r="AT197" i="1"/>
  <c r="AP197" i="1"/>
  <c r="M197" i="1"/>
  <c r="Z197" i="1"/>
  <c r="I117" i="1"/>
  <c r="Y137" i="1"/>
  <c r="F203" i="1"/>
  <c r="V112" i="1"/>
  <c r="V115" i="1" s="1"/>
  <c r="J37" i="3"/>
  <c r="J39" i="3" s="1"/>
  <c r="AO137" i="1"/>
  <c r="AN137" i="1"/>
  <c r="AK137" i="1"/>
  <c r="AG137" i="1"/>
  <c r="AG217" i="1" s="1"/>
  <c r="AZ137" i="1"/>
  <c r="BA137" i="1"/>
  <c r="AR137" i="1"/>
  <c r="Q70" i="6"/>
  <c r="Q80" i="6" s="1"/>
  <c r="V137" i="1"/>
  <c r="T202" i="20"/>
  <c r="T201" i="20"/>
  <c r="N37" i="20"/>
  <c r="N36" i="20"/>
  <c r="M32" i="20"/>
  <c r="N39" i="20"/>
  <c r="O61" i="20" s="1"/>
  <c r="O72" i="20" s="1"/>
  <c r="N41" i="20"/>
  <c r="N46" i="20"/>
  <c r="N38" i="20"/>
  <c r="N40" i="20"/>
  <c r="O62" i="20" s="1"/>
  <c r="O73" i="20" s="1"/>
  <c r="N45" i="20"/>
  <c r="N43" i="20"/>
  <c r="T414" i="1"/>
  <c r="W137" i="1"/>
  <c r="AH137" i="1"/>
  <c r="AH217" i="1" s="1"/>
  <c r="X137" i="1"/>
  <c r="S361" i="1"/>
  <c r="BG217" i="1"/>
  <c r="BG310" i="1" s="1"/>
  <c r="BE250" i="1"/>
  <c r="I224" i="20"/>
  <c r="H220" i="20"/>
  <c r="H221" i="20"/>
  <c r="K225" i="20"/>
  <c r="L225" i="20"/>
  <c r="J228" i="20"/>
  <c r="H211" i="20"/>
  <c r="H212" i="20"/>
  <c r="V45" i="20"/>
  <c r="W42" i="20"/>
  <c r="E196" i="20"/>
  <c r="E197" i="20"/>
  <c r="E207" i="20" s="1"/>
  <c r="E216" i="20" s="1"/>
  <c r="F225" i="20" s="1"/>
  <c r="D149" i="20"/>
  <c r="R38" i="6"/>
  <c r="M66" i="5"/>
  <c r="M67" i="5" s="1"/>
  <c r="O164" i="1"/>
  <c r="O181" i="1"/>
  <c r="Y293" i="1"/>
  <c r="X320" i="1"/>
  <c r="N137" i="1"/>
  <c r="R39" i="6"/>
  <c r="J66" i="5"/>
  <c r="U355" i="1"/>
  <c r="F69" i="5"/>
  <c r="F77" i="5" s="1"/>
  <c r="X295" i="1"/>
  <c r="W322" i="1"/>
  <c r="AD137" i="1"/>
  <c r="AD217" i="1" s="1"/>
  <c r="C67" i="5"/>
  <c r="B67" i="5"/>
  <c r="F67" i="5"/>
  <c r="AP137" i="1"/>
  <c r="AM137" i="1"/>
  <c r="AL137" i="1"/>
  <c r="BB162" i="1"/>
  <c r="BB183" i="1" s="1"/>
  <c r="BB190" i="1" s="1"/>
  <c r="BB130" i="1"/>
  <c r="BB137" i="1" s="1"/>
  <c r="I71" i="5"/>
  <c r="I72" i="5" s="1"/>
  <c r="I73" i="5" s="1"/>
  <c r="I59" i="5"/>
  <c r="W376" i="1"/>
  <c r="W34" i="1"/>
  <c r="W81" i="1" s="1"/>
  <c r="S5" i="5"/>
  <c r="S34" i="5" s="1"/>
  <c r="N164" i="1"/>
  <c r="N181" i="1"/>
  <c r="S82" i="6"/>
  <c r="U124" i="1"/>
  <c r="U163" i="1" s="1"/>
  <c r="U184" i="1" s="1"/>
  <c r="U191" i="1" s="1"/>
  <c r="BC162" i="1"/>
  <c r="BC183" i="1" s="1"/>
  <c r="BC190" i="1" s="1"/>
  <c r="BC130" i="1"/>
  <c r="BD137" i="1" s="1"/>
  <c r="AS162" i="1"/>
  <c r="AS183" i="1" s="1"/>
  <c r="AS190" i="1" s="1"/>
  <c r="AS130" i="1"/>
  <c r="AS137" i="1" s="1"/>
  <c r="C181" i="1"/>
  <c r="C164" i="1"/>
  <c r="C71" i="5"/>
  <c r="C59" i="5"/>
  <c r="C69" i="5" s="1"/>
  <c r="P63" i="5"/>
  <c r="Q49" i="6"/>
  <c r="AA379" i="1"/>
  <c r="AQ137" i="1"/>
  <c r="F164" i="1"/>
  <c r="F181" i="1"/>
  <c r="G188" i="1" s="1"/>
  <c r="L67" i="5"/>
  <c r="E67" i="5"/>
  <c r="P182" i="1"/>
  <c r="P189" i="1" s="1"/>
  <c r="P164" i="1"/>
  <c r="P136" i="1"/>
  <c r="S2" i="5"/>
  <c r="W371" i="1"/>
  <c r="W30" i="1"/>
  <c r="M91" i="3"/>
  <c r="X381" i="1"/>
  <c r="T79" i="6"/>
  <c r="T81" i="6"/>
  <c r="Q33" i="5"/>
  <c r="Q46" i="5" s="1"/>
  <c r="Q55" i="5"/>
  <c r="AU130" i="1"/>
  <c r="AV137" i="1" s="1"/>
  <c r="AU162" i="1"/>
  <c r="AU183" i="1" s="1"/>
  <c r="AU190" i="1" s="1"/>
  <c r="AT130" i="1"/>
  <c r="AT162" i="1"/>
  <c r="AT183" i="1" s="1"/>
  <c r="AT190" i="1" s="1"/>
  <c r="P137" i="1"/>
  <c r="Q137" i="1"/>
  <c r="J164" i="1"/>
  <c r="J181" i="1"/>
  <c r="G71" i="5"/>
  <c r="H72" i="5" s="1"/>
  <c r="H73" i="5" s="1"/>
  <c r="G59" i="5"/>
  <c r="G69" i="5" s="1"/>
  <c r="B59" i="5"/>
  <c r="B69" i="5" s="1"/>
  <c r="B71" i="5"/>
  <c r="E71" i="5"/>
  <c r="F72" i="5" s="1"/>
  <c r="F73" i="5" s="1"/>
  <c r="E59" i="5"/>
  <c r="E69" i="5" s="1"/>
  <c r="G67" i="5"/>
  <c r="P57" i="5"/>
  <c r="P62" i="5"/>
  <c r="Z41" i="6"/>
  <c r="AC372" i="1"/>
  <c r="V97" i="7"/>
  <c r="R48" i="6"/>
  <c r="W297" i="1"/>
  <c r="V324" i="1"/>
  <c r="W287" i="1"/>
  <c r="V312" i="1"/>
  <c r="J71" i="5"/>
  <c r="J59" i="5"/>
  <c r="M90" i="3"/>
  <c r="T72" i="6"/>
  <c r="W416" i="1"/>
  <c r="T160" i="1"/>
  <c r="T125" i="1"/>
  <c r="M71" i="5"/>
  <c r="M59" i="5"/>
  <c r="O43" i="5"/>
  <c r="D67" i="5"/>
  <c r="L71" i="5"/>
  <c r="L59" i="5"/>
  <c r="I50" i="6"/>
  <c r="AE137" i="1"/>
  <c r="AE217" i="1" s="1"/>
  <c r="AF137" i="1"/>
  <c r="AF217" i="1" s="1"/>
  <c r="AA162" i="1"/>
  <c r="AA183" i="1" s="1"/>
  <c r="AA190" i="1" s="1"/>
  <c r="AA130" i="1"/>
  <c r="K71" i="5"/>
  <c r="K59" i="5"/>
  <c r="D71" i="5"/>
  <c r="D59" i="5"/>
  <c r="D69" i="5" s="1"/>
  <c r="I181" i="1"/>
  <c r="I164" i="1"/>
  <c r="R137" i="1"/>
  <c r="R4" i="5"/>
  <c r="R25" i="5" s="1"/>
  <c r="S38" i="6" s="1"/>
  <c r="R31" i="5"/>
  <c r="V375" i="1"/>
  <c r="W94" i="7"/>
  <c r="R40" i="6"/>
  <c r="Q56" i="5"/>
  <c r="U332" i="1"/>
  <c r="M164" i="1"/>
  <c r="M181" i="1"/>
  <c r="AJ137" i="1"/>
  <c r="P70" i="6"/>
  <c r="S414" i="1"/>
  <c r="H225" i="20"/>
  <c r="G225" i="20"/>
  <c r="G215" i="20"/>
  <c r="G212" i="20"/>
  <c r="G190" i="20" s="1"/>
  <c r="G211" i="20"/>
  <c r="G187" i="20" s="1"/>
  <c r="X429" i="1"/>
  <c r="X432" i="1" s="1"/>
  <c r="X168" i="1"/>
  <c r="W424" i="1"/>
  <c r="W427" i="1" s="1"/>
  <c r="W177" i="1"/>
  <c r="W174" i="1"/>
  <c r="S12" i="5"/>
  <c r="W171" i="1"/>
  <c r="W178" i="1" s="1"/>
  <c r="BD204" i="1" l="1"/>
  <c r="BL204" i="1"/>
  <c r="BI204" i="1"/>
  <c r="BG204" i="1"/>
  <c r="BK204" i="1"/>
  <c r="BF204" i="1"/>
  <c r="BJ204" i="1"/>
  <c r="BE204" i="1"/>
  <c r="BH204" i="1"/>
  <c r="BM204" i="1"/>
  <c r="BD225" i="1"/>
  <c r="BE49" i="1"/>
  <c r="BE225" i="1" s="1"/>
  <c r="BE130" i="1"/>
  <c r="BE137" i="1" s="1"/>
  <c r="W83" i="1"/>
  <c r="W79" i="1" s="1"/>
  <c r="K15" i="1"/>
  <c r="M86" i="20"/>
  <c r="G204" i="1"/>
  <c r="AT204" i="1"/>
  <c r="BD281" i="1"/>
  <c r="Z204" i="1"/>
  <c r="AI281" i="1"/>
  <c r="AY283" i="1"/>
  <c r="AV283" i="1"/>
  <c r="W283" i="1"/>
  <c r="AU283" i="1"/>
  <c r="X283" i="1"/>
  <c r="AB281" i="1"/>
  <c r="AD281" i="1"/>
  <c r="Y281" i="1"/>
  <c r="AA281" i="1"/>
  <c r="AX281" i="1"/>
  <c r="AT281" i="1"/>
  <c r="AL281" i="1"/>
  <c r="BB281" i="1"/>
  <c r="AR283" i="1"/>
  <c r="AH281" i="1"/>
  <c r="Z283" i="1"/>
  <c r="AK281" i="1"/>
  <c r="AN281" i="1"/>
  <c r="AZ281" i="1"/>
  <c r="AS281" i="1"/>
  <c r="J67" i="5"/>
  <c r="AJ204" i="1"/>
  <c r="K79" i="6"/>
  <c r="N52" i="20"/>
  <c r="N57" i="20"/>
  <c r="O60" i="20"/>
  <c r="O71" i="20" s="1"/>
  <c r="N54" i="20"/>
  <c r="N53" i="20"/>
  <c r="O65" i="20"/>
  <c r="O56" i="20"/>
  <c r="L215" i="20"/>
  <c r="U173" i="20" s="1"/>
  <c r="U182" i="20" s="1"/>
  <c r="L211" i="20"/>
  <c r="L187" i="20" s="1"/>
  <c r="J212" i="20"/>
  <c r="J190" i="20" s="1"/>
  <c r="J215" i="20"/>
  <c r="J220" i="20" s="1"/>
  <c r="J188" i="20" s="1"/>
  <c r="J187" i="20"/>
  <c r="N48" i="20"/>
  <c r="F187" i="20"/>
  <c r="F191" i="20"/>
  <c r="H187" i="20"/>
  <c r="F188" i="20"/>
  <c r="I212" i="20"/>
  <c r="I190" i="20" s="1"/>
  <c r="F190" i="20"/>
  <c r="K211" i="20"/>
  <c r="K187" i="20" s="1"/>
  <c r="K212" i="20"/>
  <c r="K190" i="20" s="1"/>
  <c r="K221" i="20"/>
  <c r="K191" i="20" s="1"/>
  <c r="H190" i="20"/>
  <c r="I220" i="20"/>
  <c r="I188" i="20" s="1"/>
  <c r="I211" i="20"/>
  <c r="I187" i="20" s="1"/>
  <c r="I221" i="20"/>
  <c r="I191" i="20" s="1"/>
  <c r="I225" i="20"/>
  <c r="AB204" i="1"/>
  <c r="I76" i="6"/>
  <c r="BF42" i="1"/>
  <c r="W41" i="1"/>
  <c r="X48" i="1" s="1"/>
  <c r="L234" i="20"/>
  <c r="L235" i="20" s="1"/>
  <c r="K80" i="6"/>
  <c r="K81" i="6"/>
  <c r="P14" i="7"/>
  <c r="O15" i="7"/>
  <c r="O71" i="7"/>
  <c r="O72" i="7" s="1"/>
  <c r="O79" i="7" s="1"/>
  <c r="D96" i="3" s="1"/>
  <c r="C92" i="3"/>
  <c r="L417" i="1"/>
  <c r="J73" i="6"/>
  <c r="AD310" i="1"/>
  <c r="M381" i="1"/>
  <c r="J80" i="6"/>
  <c r="M26" i="1"/>
  <c r="Z310" i="1"/>
  <c r="BG218" i="1"/>
  <c r="BG220" i="1" s="1"/>
  <c r="L26" i="1"/>
  <c r="L25" i="1"/>
  <c r="L27" i="1" s="1"/>
  <c r="W204" i="1"/>
  <c r="AN204" i="1"/>
  <c r="AF204" i="1"/>
  <c r="W373" i="1"/>
  <c r="I67" i="5"/>
  <c r="H67" i="5"/>
  <c r="R204" i="1"/>
  <c r="AO204" i="1"/>
  <c r="U310" i="1"/>
  <c r="T364" i="1"/>
  <c r="U364" i="1" s="1"/>
  <c r="V286" i="1"/>
  <c r="W286" i="1" s="1"/>
  <c r="X286" i="1" s="1"/>
  <c r="Y286" i="1" s="1"/>
  <c r="Z286" i="1" s="1"/>
  <c r="AP204" i="1"/>
  <c r="E204" i="1"/>
  <c r="O204" i="1"/>
  <c r="AX204" i="1"/>
  <c r="AH204" i="1"/>
  <c r="AA204" i="1"/>
  <c r="AL204" i="1"/>
  <c r="D204" i="1"/>
  <c r="Y204" i="1"/>
  <c r="X204" i="1"/>
  <c r="AV204" i="1"/>
  <c r="K204" i="1"/>
  <c r="AY204" i="1"/>
  <c r="AI204" i="1"/>
  <c r="AS204" i="1"/>
  <c r="AC204" i="1"/>
  <c r="H117" i="1"/>
  <c r="M204" i="1"/>
  <c r="AG204" i="1"/>
  <c r="BB204" i="1"/>
  <c r="F112" i="1"/>
  <c r="G115" i="1" s="1"/>
  <c r="AU204" i="1"/>
  <c r="AW204" i="1"/>
  <c r="AD204" i="1"/>
  <c r="I204" i="1"/>
  <c r="AZ204" i="1"/>
  <c r="T204" i="1"/>
  <c r="P204" i="1"/>
  <c r="AK204" i="1"/>
  <c r="V204" i="1"/>
  <c r="W112" i="1"/>
  <c r="W115" i="1" s="1"/>
  <c r="K67" i="5"/>
  <c r="U204" i="1"/>
  <c r="N204" i="1"/>
  <c r="Q204" i="1"/>
  <c r="F204" i="1"/>
  <c r="AE204" i="1"/>
  <c r="BA204" i="1"/>
  <c r="AR204" i="1"/>
  <c r="C204" i="1"/>
  <c r="BC204" i="1"/>
  <c r="AM204" i="1"/>
  <c r="L204" i="1"/>
  <c r="Y19" i="1"/>
  <c r="X111" i="1"/>
  <c r="X110" i="1"/>
  <c r="AQ204" i="1"/>
  <c r="J204" i="1"/>
  <c r="S204" i="1"/>
  <c r="H204" i="1"/>
  <c r="D19" i="1"/>
  <c r="E110" i="1"/>
  <c r="E111" i="1"/>
  <c r="AH310" i="1"/>
  <c r="W310" i="1"/>
  <c r="AI310" i="1"/>
  <c r="T356" i="1"/>
  <c r="U356" i="1" s="1"/>
  <c r="V356" i="1" s="1"/>
  <c r="W356" i="1" s="1"/>
  <c r="X356" i="1" s="1"/>
  <c r="Y356" i="1" s="1"/>
  <c r="Z356" i="1" s="1"/>
  <c r="AA356" i="1" s="1"/>
  <c r="AB356" i="1" s="1"/>
  <c r="AC356" i="1" s="1"/>
  <c r="AD356" i="1" s="1"/>
  <c r="AE356" i="1" s="1"/>
  <c r="AF356" i="1" s="1"/>
  <c r="AG356" i="1" s="1"/>
  <c r="AH356" i="1" s="1"/>
  <c r="AI356" i="1" s="1"/>
  <c r="AJ356" i="1" s="1"/>
  <c r="AK356" i="1" s="1"/>
  <c r="AL356" i="1" s="1"/>
  <c r="AM356" i="1" s="1"/>
  <c r="AN356" i="1" s="1"/>
  <c r="AO356" i="1" s="1"/>
  <c r="AP356" i="1" s="1"/>
  <c r="AQ356" i="1" s="1"/>
  <c r="AR356" i="1" s="1"/>
  <c r="AS356" i="1" s="1"/>
  <c r="AT356" i="1" s="1"/>
  <c r="AU356" i="1" s="1"/>
  <c r="AV356" i="1" s="1"/>
  <c r="AW356" i="1" s="1"/>
  <c r="AX356" i="1" s="1"/>
  <c r="AY356" i="1" s="1"/>
  <c r="AZ356" i="1" s="1"/>
  <c r="BA356" i="1" s="1"/>
  <c r="BB356" i="1" s="1"/>
  <c r="BC356" i="1" s="1"/>
  <c r="BD356" i="1" s="1"/>
  <c r="M39" i="20"/>
  <c r="M37" i="20"/>
  <c r="L32" i="20"/>
  <c r="M36" i="20"/>
  <c r="M38" i="20"/>
  <c r="M43" i="20"/>
  <c r="M45" i="20"/>
  <c r="M41" i="20"/>
  <c r="M46" i="20"/>
  <c r="M40" i="20"/>
  <c r="U156" i="20"/>
  <c r="V310" i="1"/>
  <c r="X310" i="1"/>
  <c r="Y310" i="1"/>
  <c r="BH217" i="1"/>
  <c r="BH310" i="1" s="1"/>
  <c r="BF250" i="1"/>
  <c r="H191" i="20"/>
  <c r="H188" i="20"/>
  <c r="K188" i="20"/>
  <c r="U198" i="20"/>
  <c r="W45" i="20"/>
  <c r="W41" i="20"/>
  <c r="W37" i="20"/>
  <c r="W40" i="20"/>
  <c r="W43" i="20"/>
  <c r="W39" i="20"/>
  <c r="U199" i="20"/>
  <c r="U209" i="20" s="1"/>
  <c r="U218" i="20" s="1"/>
  <c r="U227" i="20" s="1"/>
  <c r="U233" i="20"/>
  <c r="D197" i="20"/>
  <c r="D207" i="20" s="1"/>
  <c r="D216" i="20" s="1"/>
  <c r="E225" i="20" s="1"/>
  <c r="D196" i="20"/>
  <c r="E206" i="20"/>
  <c r="E201" i="20"/>
  <c r="E202" i="20"/>
  <c r="AE310" i="1"/>
  <c r="M72" i="5"/>
  <c r="M73" i="5" s="1"/>
  <c r="L72" i="5"/>
  <c r="L73" i="5" s="1"/>
  <c r="C77" i="5"/>
  <c r="M188" i="1"/>
  <c r="I188" i="1"/>
  <c r="E72" i="5"/>
  <c r="E73" i="5" s="1"/>
  <c r="G72" i="5"/>
  <c r="G73" i="5" s="1"/>
  <c r="F70" i="5"/>
  <c r="F74" i="5" s="1"/>
  <c r="F76" i="5" s="1"/>
  <c r="J188" i="1"/>
  <c r="BC137" i="1"/>
  <c r="Z293" i="1"/>
  <c r="Y320" i="1"/>
  <c r="N188" i="1"/>
  <c r="H70" i="5"/>
  <c r="H74" i="5" s="1"/>
  <c r="Y295" i="1"/>
  <c r="X322" i="1"/>
  <c r="V37" i="1"/>
  <c r="V124" i="1"/>
  <c r="V163" i="1" s="1"/>
  <c r="V184" i="1" s="1"/>
  <c r="V191" i="1" s="1"/>
  <c r="S40" i="6"/>
  <c r="R56" i="5"/>
  <c r="AF310" i="1"/>
  <c r="AG310" i="1"/>
  <c r="M69" i="5"/>
  <c r="N50" i="6"/>
  <c r="T181" i="1"/>
  <c r="T188" i="1" s="1"/>
  <c r="T164" i="1"/>
  <c r="T407" i="1" s="1"/>
  <c r="T409" i="1" s="1"/>
  <c r="T82" i="6"/>
  <c r="K72" i="5"/>
  <c r="K73" i="5" s="1"/>
  <c r="C72" i="5"/>
  <c r="C73" i="5" s="1"/>
  <c r="B72" i="5"/>
  <c r="B73" i="5" s="1"/>
  <c r="W375" i="1"/>
  <c r="X94" i="7"/>
  <c r="S4" i="5"/>
  <c r="S25" i="5" s="1"/>
  <c r="S26" i="5" s="1"/>
  <c r="S31" i="5"/>
  <c r="AB379" i="1"/>
  <c r="G70" i="5"/>
  <c r="D72" i="5"/>
  <c r="D73" i="5" s="1"/>
  <c r="I69" i="5"/>
  <c r="I70" i="5" s="1"/>
  <c r="I74" i="5" s="1"/>
  <c r="J50" i="6"/>
  <c r="E77" i="5"/>
  <c r="G80" i="5"/>
  <c r="G77" i="5"/>
  <c r="Q63" i="5"/>
  <c r="R49" i="6"/>
  <c r="R26" i="5"/>
  <c r="R55" i="5"/>
  <c r="R33" i="5"/>
  <c r="R46" i="5" s="1"/>
  <c r="X376" i="1"/>
  <c r="T5" i="5"/>
  <c r="T34" i="5" s="1"/>
  <c r="E70" i="5"/>
  <c r="K69" i="5"/>
  <c r="L50" i="6"/>
  <c r="AA137" i="1"/>
  <c r="AA310" i="1" s="1"/>
  <c r="AB137" i="1"/>
  <c r="L381" i="1"/>
  <c r="L69" i="5"/>
  <c r="M50" i="6"/>
  <c r="T330" i="1"/>
  <c r="T360" i="1"/>
  <c r="P43" i="5" s="1"/>
  <c r="N90" i="3"/>
  <c r="X416" i="1"/>
  <c r="U72" i="6"/>
  <c r="J69" i="5"/>
  <c r="K50" i="6"/>
  <c r="X287" i="1"/>
  <c r="W312" i="1"/>
  <c r="X297" i="1"/>
  <c r="W324" i="1"/>
  <c r="U161" i="1"/>
  <c r="U182" i="1" s="1"/>
  <c r="U189" i="1" s="1"/>
  <c r="AD372" i="1"/>
  <c r="AA41" i="6"/>
  <c r="P71" i="5"/>
  <c r="G81" i="5"/>
  <c r="C70" i="5"/>
  <c r="B70" i="5"/>
  <c r="AT137" i="1"/>
  <c r="AU137" i="1"/>
  <c r="Q62" i="5"/>
  <c r="Q57" i="5"/>
  <c r="U79" i="6"/>
  <c r="U81" i="6"/>
  <c r="U80" i="6"/>
  <c r="Y381" i="1"/>
  <c r="D77" i="5"/>
  <c r="F188" i="1"/>
  <c r="O188" i="1"/>
  <c r="P188" i="1"/>
  <c r="H188" i="1"/>
  <c r="K188" i="1"/>
  <c r="L188" i="1"/>
  <c r="P64" i="5"/>
  <c r="D70" i="5"/>
  <c r="U160" i="1"/>
  <c r="U125" i="1"/>
  <c r="R47" i="6"/>
  <c r="Q188" i="1"/>
  <c r="X95" i="7"/>
  <c r="J72" i="5"/>
  <c r="J73" i="5" s="1"/>
  <c r="H80" i="5"/>
  <c r="B77" i="5"/>
  <c r="P80" i="6"/>
  <c r="G220" i="20"/>
  <c r="H224" i="20"/>
  <c r="G224" i="20"/>
  <c r="G221" i="20"/>
  <c r="X174" i="1"/>
  <c r="X171" i="1"/>
  <c r="X178" i="1" s="1"/>
  <c r="X177" i="1"/>
  <c r="X424" i="1"/>
  <c r="X427" i="1" s="1"/>
  <c r="T12" i="5"/>
  <c r="Y429" i="1"/>
  <c r="Y432" i="1" s="1"/>
  <c r="Y168" i="1"/>
  <c r="BE279" i="1" l="1"/>
  <c r="BE283" i="1" s="1"/>
  <c r="BF49" i="1"/>
  <c r="BF130" i="1"/>
  <c r="BF137" i="1" s="1"/>
  <c r="X15" i="1"/>
  <c r="J15" i="1"/>
  <c r="L86" i="20"/>
  <c r="BE356" i="1"/>
  <c r="BE281" i="1"/>
  <c r="X263" i="1"/>
  <c r="X265" i="1" s="1"/>
  <c r="BF279" i="1"/>
  <c r="BF283" i="1" s="1"/>
  <c r="BF225" i="1"/>
  <c r="W57" i="1"/>
  <c r="T54" i="6"/>
  <c r="N60" i="6"/>
  <c r="W44" i="6"/>
  <c r="BH218" i="1"/>
  <c r="BH220" i="1" s="1"/>
  <c r="M57" i="20"/>
  <c r="AC173" i="20"/>
  <c r="AC182" i="20" s="1"/>
  <c r="AA173" i="20"/>
  <c r="AA182" i="20" s="1"/>
  <c r="L221" i="20"/>
  <c r="L191" i="20" s="1"/>
  <c r="L192" i="20" s="1"/>
  <c r="Z173" i="20"/>
  <c r="Z182" i="20" s="1"/>
  <c r="AD174" i="20"/>
  <c r="AD183" i="20" s="1"/>
  <c r="AH173" i="20"/>
  <c r="AH182" i="20" s="1"/>
  <c r="X173" i="20"/>
  <c r="X182" i="20" s="1"/>
  <c r="M174" i="20"/>
  <c r="M183" i="20" s="1"/>
  <c r="T173" i="20"/>
  <c r="T206" i="20" s="1"/>
  <c r="O174" i="20"/>
  <c r="O207" i="20" s="1"/>
  <c r="O216" i="20" s="1"/>
  <c r="N174" i="20"/>
  <c r="N183" i="20" s="1"/>
  <c r="N173" i="20"/>
  <c r="N206" i="20" s="1"/>
  <c r="AK174" i="20"/>
  <c r="AK183" i="20" s="1"/>
  <c r="Q174" i="20"/>
  <c r="Q207" i="20" s="1"/>
  <c r="Q216" i="20" s="1"/>
  <c r="P173" i="20"/>
  <c r="P206" i="20" s="1"/>
  <c r="R174" i="20"/>
  <c r="R207" i="20" s="1"/>
  <c r="R216" i="20" s="1"/>
  <c r="AK173" i="20"/>
  <c r="AK182" i="20" s="1"/>
  <c r="T174" i="20"/>
  <c r="T183" i="20" s="1"/>
  <c r="AD173" i="20"/>
  <c r="AD182" i="20" s="1"/>
  <c r="AF174" i="20"/>
  <c r="AF183" i="20" s="1"/>
  <c r="AE173" i="20"/>
  <c r="AE182" i="20" s="1"/>
  <c r="M173" i="20"/>
  <c r="M182" i="20" s="1"/>
  <c r="W173" i="20"/>
  <c r="W182" i="20" s="1"/>
  <c r="O173" i="20"/>
  <c r="O206" i="20" s="1"/>
  <c r="Y174" i="20"/>
  <c r="Y183" i="20" s="1"/>
  <c r="P174" i="20"/>
  <c r="P183" i="20" s="1"/>
  <c r="AF173" i="20"/>
  <c r="AF182" i="20" s="1"/>
  <c r="Q173" i="20"/>
  <c r="Q182" i="20" s="1"/>
  <c r="R173" i="20"/>
  <c r="R206" i="20" s="1"/>
  <c r="L224" i="20"/>
  <c r="L220" i="20"/>
  <c r="L188" i="20" s="1"/>
  <c r="L189" i="20" s="1"/>
  <c r="AB174" i="20"/>
  <c r="AB183" i="20" s="1"/>
  <c r="U174" i="20"/>
  <c r="U183" i="20" s="1"/>
  <c r="V174" i="20"/>
  <c r="V183" i="20" s="1"/>
  <c r="Y173" i="20"/>
  <c r="Y182" i="20" s="1"/>
  <c r="AJ173" i="20"/>
  <c r="AJ182" i="20" s="1"/>
  <c r="W174" i="20"/>
  <c r="W183" i="20" s="1"/>
  <c r="AB173" i="20"/>
  <c r="AB182" i="20" s="1"/>
  <c r="AG174" i="20"/>
  <c r="AG183" i="20" s="1"/>
  <c r="AI174" i="20"/>
  <c r="AI183" i="20" s="1"/>
  <c r="M54" i="20"/>
  <c r="N56" i="20"/>
  <c r="W54" i="20"/>
  <c r="W62" i="20"/>
  <c r="W73" i="20" s="1"/>
  <c r="M52" i="20"/>
  <c r="M53" i="20"/>
  <c r="N62" i="20"/>
  <c r="N73" i="20" s="1"/>
  <c r="N65" i="20"/>
  <c r="W53" i="20"/>
  <c r="W61" i="20"/>
  <c r="W72" i="20" s="1"/>
  <c r="N61" i="20"/>
  <c r="N72" i="20" s="1"/>
  <c r="N60" i="20"/>
  <c r="N71" i="20" s="1"/>
  <c r="AH174" i="20"/>
  <c r="AH183" i="20" s="1"/>
  <c r="AJ174" i="20"/>
  <c r="AJ183" i="20" s="1"/>
  <c r="AG173" i="20"/>
  <c r="AG182" i="20" s="1"/>
  <c r="V173" i="20"/>
  <c r="V182" i="20" s="1"/>
  <c r="AC174" i="20"/>
  <c r="AC183" i="20" s="1"/>
  <c r="X174" i="20"/>
  <c r="X183" i="20" s="1"/>
  <c r="AA174" i="20"/>
  <c r="AA183" i="20" s="1"/>
  <c r="AE174" i="20"/>
  <c r="AE183" i="20" s="1"/>
  <c r="S174" i="20"/>
  <c r="S183" i="20" s="1"/>
  <c r="AI173" i="20"/>
  <c r="AI182" i="20" s="1"/>
  <c r="S173" i="20"/>
  <c r="S206" i="20" s="1"/>
  <c r="Z174" i="20"/>
  <c r="Z183" i="20" s="1"/>
  <c r="H189" i="20"/>
  <c r="J221" i="20"/>
  <c r="J230" i="20" s="1"/>
  <c r="K229" i="20"/>
  <c r="K234" i="20"/>
  <c r="K235" i="20" s="1"/>
  <c r="L236" i="20" s="1"/>
  <c r="J224" i="20"/>
  <c r="K224" i="20"/>
  <c r="F192" i="20"/>
  <c r="J189" i="20"/>
  <c r="J229" i="20"/>
  <c r="W57" i="20"/>
  <c r="M48" i="20"/>
  <c r="F189" i="20"/>
  <c r="Y46" i="20"/>
  <c r="Y27" i="20"/>
  <c r="Y63" i="20" s="1"/>
  <c r="Y74" i="20" s="1"/>
  <c r="H192" i="20"/>
  <c r="I192" i="20"/>
  <c r="K189" i="20"/>
  <c r="K192" i="20"/>
  <c r="I229" i="20"/>
  <c r="I189" i="20"/>
  <c r="I230" i="20"/>
  <c r="BG42" i="1"/>
  <c r="J83" i="6"/>
  <c r="J81" i="6"/>
  <c r="K73" i="6"/>
  <c r="D92" i="3"/>
  <c r="M417" i="1"/>
  <c r="J79" i="6"/>
  <c r="J76" i="6"/>
  <c r="P15" i="7"/>
  <c r="P71" i="7"/>
  <c r="P72" i="7" s="1"/>
  <c r="P79" i="7" s="1"/>
  <c r="E96" i="3" s="1"/>
  <c r="Q14" i="7"/>
  <c r="J82" i="6"/>
  <c r="I81" i="5"/>
  <c r="K26" i="1"/>
  <c r="K25" i="1"/>
  <c r="K27" i="1" s="1"/>
  <c r="G74" i="5"/>
  <c r="G76" i="5" s="1"/>
  <c r="Z26" i="1"/>
  <c r="H76" i="5"/>
  <c r="C74" i="5"/>
  <c r="C76" i="5" s="1"/>
  <c r="X112" i="1"/>
  <c r="X115" i="1" s="1"/>
  <c r="G117" i="1"/>
  <c r="E74" i="5"/>
  <c r="E76" i="5" s="1"/>
  <c r="E112" i="1"/>
  <c r="F115" i="1" s="1"/>
  <c r="C19" i="1"/>
  <c r="D111" i="1"/>
  <c r="D110" i="1"/>
  <c r="Z19" i="1"/>
  <c r="Y110" i="1"/>
  <c r="Y111" i="1"/>
  <c r="X42" i="20"/>
  <c r="U160" i="20"/>
  <c r="U164" i="20"/>
  <c r="L37" i="20"/>
  <c r="L43" i="20"/>
  <c r="K32" i="20"/>
  <c r="L39" i="20"/>
  <c r="M61" i="20" s="1"/>
  <c r="M72" i="20" s="1"/>
  <c r="L36" i="20"/>
  <c r="L41" i="20"/>
  <c r="L46" i="20"/>
  <c r="L40" i="20"/>
  <c r="M62" i="20" s="1"/>
  <c r="M73" i="20" s="1"/>
  <c r="L45" i="20"/>
  <c r="L38" i="20"/>
  <c r="M60" i="20" s="1"/>
  <c r="M71" i="20" s="1"/>
  <c r="U157" i="20"/>
  <c r="D74" i="5"/>
  <c r="D76" i="5" s="1"/>
  <c r="BI217" i="1"/>
  <c r="BI310" i="1" s="1"/>
  <c r="BG250" i="1"/>
  <c r="V233" i="20"/>
  <c r="U200" i="20"/>
  <c r="U210" i="20" s="1"/>
  <c r="U219" i="20" s="1"/>
  <c r="U228" i="20" s="1"/>
  <c r="X39" i="20"/>
  <c r="X61" i="20" s="1"/>
  <c r="X43" i="20"/>
  <c r="X38" i="20"/>
  <c r="X41" i="20"/>
  <c r="X62" i="20"/>
  <c r="X37" i="20"/>
  <c r="X45" i="20"/>
  <c r="X36" i="20"/>
  <c r="U208" i="20"/>
  <c r="U217" i="20" s="1"/>
  <c r="U226" i="20" s="1"/>
  <c r="V199" i="20"/>
  <c r="V209" i="20" s="1"/>
  <c r="V218" i="20" s="1"/>
  <c r="V227" i="20" s="1"/>
  <c r="V198" i="20"/>
  <c r="V208" i="20" s="1"/>
  <c r="V217" i="20" s="1"/>
  <c r="M193" i="1"/>
  <c r="E215" i="20"/>
  <c r="E212" i="20"/>
  <c r="E190" i="20" s="1"/>
  <c r="E211" i="20"/>
  <c r="E187" i="20" s="1"/>
  <c r="D201" i="20"/>
  <c r="D206" i="20"/>
  <c r="D202" i="20"/>
  <c r="X97" i="7"/>
  <c r="B74" i="5"/>
  <c r="B76" i="5" s="1"/>
  <c r="Z320" i="1"/>
  <c r="AA293" i="1"/>
  <c r="S58" i="5"/>
  <c r="S65" i="5" s="1"/>
  <c r="T39" i="6"/>
  <c r="Q64" i="5"/>
  <c r="Q66" i="5" s="1"/>
  <c r="Y322" i="1"/>
  <c r="Z295" i="1"/>
  <c r="Q71" i="5"/>
  <c r="Q72" i="5" s="1"/>
  <c r="Q73" i="5" s="1"/>
  <c r="Q59" i="5"/>
  <c r="X324" i="1"/>
  <c r="Y297" i="1"/>
  <c r="Y287" i="1"/>
  <c r="X312" i="1"/>
  <c r="K70" i="5"/>
  <c r="K74" i="5" s="1"/>
  <c r="K76" i="5" s="1"/>
  <c r="J77" i="5"/>
  <c r="U82" i="6"/>
  <c r="Y416" i="1"/>
  <c r="V72" i="6"/>
  <c r="O90" i="3"/>
  <c r="U330" i="1"/>
  <c r="V303" i="1"/>
  <c r="U360" i="1"/>
  <c r="Q43" i="5" s="1"/>
  <c r="Q51" i="5" s="1"/>
  <c r="I82" i="6"/>
  <c r="I79" i="6"/>
  <c r="I81" i="6"/>
  <c r="I80" i="6"/>
  <c r="I83" i="6"/>
  <c r="K381" i="1"/>
  <c r="AB310" i="1"/>
  <c r="AC310" i="1"/>
  <c r="Y95" i="7"/>
  <c r="T361" i="1"/>
  <c r="AC379" i="1"/>
  <c r="S55" i="5"/>
  <c r="S33" i="5"/>
  <c r="S46" i="5" s="1"/>
  <c r="M77" i="5"/>
  <c r="V160" i="1"/>
  <c r="I76" i="5"/>
  <c r="W122" i="1"/>
  <c r="U181" i="1"/>
  <c r="U188" i="1" s="1"/>
  <c r="U164" i="1"/>
  <c r="U407" i="1" s="1"/>
  <c r="U409" i="1" s="1"/>
  <c r="U5" i="5"/>
  <c r="U34" i="5" s="1"/>
  <c r="Y376" i="1"/>
  <c r="Y34" i="1"/>
  <c r="Y371" i="1"/>
  <c r="U2" i="5"/>
  <c r="Y33" i="1"/>
  <c r="Y80" i="1" s="1"/>
  <c r="V80" i="6"/>
  <c r="V81" i="6"/>
  <c r="V79" i="6"/>
  <c r="Z381" i="1"/>
  <c r="X44" i="6"/>
  <c r="AE372" i="1"/>
  <c r="AB41" i="6"/>
  <c r="M70" i="5"/>
  <c r="M74" i="5" s="1"/>
  <c r="M76" i="5" s="1"/>
  <c r="L77" i="5"/>
  <c r="L70" i="5"/>
  <c r="L74" i="5" s="1"/>
  <c r="L76" i="5" s="1"/>
  <c r="K77" i="5"/>
  <c r="R62" i="5"/>
  <c r="R57" i="5"/>
  <c r="AA286" i="1"/>
  <c r="AB286" i="1" s="1"/>
  <c r="AC286" i="1" s="1"/>
  <c r="AD286" i="1" s="1"/>
  <c r="AE286" i="1" s="1"/>
  <c r="AF286" i="1" s="1"/>
  <c r="AG286" i="1" s="1"/>
  <c r="AH286" i="1" s="1"/>
  <c r="AI286" i="1" s="1"/>
  <c r="AJ286" i="1" s="1"/>
  <c r="AK286" i="1" s="1"/>
  <c r="AL286" i="1" s="1"/>
  <c r="AM286" i="1" s="1"/>
  <c r="AN286" i="1" s="1"/>
  <c r="AO286" i="1" s="1"/>
  <c r="AP286" i="1" s="1"/>
  <c r="AQ286" i="1" s="1"/>
  <c r="AR286" i="1" s="1"/>
  <c r="AS286" i="1" s="1"/>
  <c r="AT286" i="1" s="1"/>
  <c r="AU286" i="1" s="1"/>
  <c r="AV286" i="1" s="1"/>
  <c r="AW286" i="1" s="1"/>
  <c r="AX286" i="1" s="1"/>
  <c r="AY286" i="1" s="1"/>
  <c r="AZ286" i="1" s="1"/>
  <c r="BA286" i="1" s="1"/>
  <c r="BB286" i="1" s="1"/>
  <c r="BC286" i="1" s="1"/>
  <c r="BD286" i="1" s="1"/>
  <c r="BE286" i="1" s="1"/>
  <c r="BF286" i="1" s="1"/>
  <c r="BG286" i="1" s="1"/>
  <c r="BH286" i="1" s="1"/>
  <c r="J70" i="5"/>
  <c r="J74" i="5" s="1"/>
  <c r="J76" i="5" s="1"/>
  <c r="I77" i="5"/>
  <c r="I80" i="5"/>
  <c r="T40" i="6"/>
  <c r="S56" i="5"/>
  <c r="T38" i="6"/>
  <c r="W121" i="1"/>
  <c r="W37" i="1"/>
  <c r="W124" i="1"/>
  <c r="W163" i="1" s="1"/>
  <c r="W184" i="1" s="1"/>
  <c r="W191" i="1" s="1"/>
  <c r="R63" i="5"/>
  <c r="S49" i="6"/>
  <c r="S47" i="6"/>
  <c r="G230" i="20"/>
  <c r="G191" i="20"/>
  <c r="G192" i="20" s="1"/>
  <c r="H230" i="20"/>
  <c r="G229" i="20"/>
  <c r="G188" i="20"/>
  <c r="G189" i="20" s="1"/>
  <c r="H229" i="20"/>
  <c r="Y424" i="1"/>
  <c r="Y427" i="1" s="1"/>
  <c r="U12" i="5"/>
  <c r="Y177" i="1"/>
  <c r="Y174" i="1"/>
  <c r="Y171" i="1"/>
  <c r="Y178" i="1" s="1"/>
  <c r="Z429" i="1"/>
  <c r="Z432" i="1" s="1"/>
  <c r="Z168" i="1"/>
  <c r="BG49" i="1" l="1"/>
  <c r="BG279" i="1" s="1"/>
  <c r="BG281" i="1" s="1"/>
  <c r="BG130" i="1"/>
  <c r="BG137" i="1" s="1"/>
  <c r="Y41" i="1"/>
  <c r="Y81" i="1"/>
  <c r="Y83" i="1" s="1"/>
  <c r="I15" i="1"/>
  <c r="K86" i="20"/>
  <c r="Y15" i="1"/>
  <c r="BI218" i="1"/>
  <c r="BI220" i="1" s="1"/>
  <c r="BF356" i="1"/>
  <c r="BF281" i="1"/>
  <c r="Y65" i="20"/>
  <c r="Y94" i="20" s="1"/>
  <c r="Y48" i="20"/>
  <c r="O182" i="20"/>
  <c r="Q206" i="20"/>
  <c r="Q211" i="20" s="1"/>
  <c r="Q187" i="20" s="1"/>
  <c r="X57" i="1"/>
  <c r="U54" i="6"/>
  <c r="R182" i="20"/>
  <c r="X60" i="20"/>
  <c r="X71" i="20" s="1"/>
  <c r="T182" i="20"/>
  <c r="W56" i="20"/>
  <c r="K230" i="20"/>
  <c r="M206" i="20"/>
  <c r="M215" i="20" s="1"/>
  <c r="N207" i="20"/>
  <c r="N216" i="20" s="1"/>
  <c r="O225" i="20" s="1"/>
  <c r="M56" i="20"/>
  <c r="P182" i="20"/>
  <c r="L229" i="20"/>
  <c r="L230" i="20"/>
  <c r="M207" i="20"/>
  <c r="M216" i="20" s="1"/>
  <c r="M225" i="20" s="1"/>
  <c r="R183" i="20"/>
  <c r="N182" i="20"/>
  <c r="P207" i="20"/>
  <c r="P216" i="20" s="1"/>
  <c r="P225" i="20" s="1"/>
  <c r="O183" i="20"/>
  <c r="Q183" i="20"/>
  <c r="T207" i="20"/>
  <c r="T216" i="20" s="1"/>
  <c r="J191" i="20"/>
  <c r="J192" i="20" s="1"/>
  <c r="X54" i="20"/>
  <c r="X73" i="20"/>
  <c r="X53" i="20"/>
  <c r="X72" i="20"/>
  <c r="L52" i="20"/>
  <c r="L57" i="20"/>
  <c r="M65" i="20"/>
  <c r="L54" i="20"/>
  <c r="L53" i="20"/>
  <c r="S207" i="20"/>
  <c r="S216" i="20" s="1"/>
  <c r="S225" i="20" s="1"/>
  <c r="S182" i="20"/>
  <c r="X52" i="20"/>
  <c r="X57" i="20"/>
  <c r="L48" i="20"/>
  <c r="BH42" i="1"/>
  <c r="R215" i="20"/>
  <c r="R211" i="20"/>
  <c r="R187" i="20" s="1"/>
  <c r="R212" i="20"/>
  <c r="R190" i="20" s="1"/>
  <c r="P215" i="20"/>
  <c r="O215" i="20"/>
  <c r="O212" i="20"/>
  <c r="O190" i="20" s="1"/>
  <c r="O211" i="20"/>
  <c r="O187" i="20" s="1"/>
  <c r="H81" i="5"/>
  <c r="S215" i="20"/>
  <c r="T215" i="20"/>
  <c r="R225" i="20"/>
  <c r="N215" i="20"/>
  <c r="K83" i="6"/>
  <c r="K76" i="6"/>
  <c r="R14" i="7"/>
  <c r="Q15" i="7"/>
  <c r="Q71" i="7"/>
  <c r="Q72" i="7" s="1"/>
  <c r="Q79" i="7" s="1"/>
  <c r="F96" i="3" s="1"/>
  <c r="E92" i="3"/>
  <c r="N417" i="1"/>
  <c r="L73" i="6"/>
  <c r="J25" i="1"/>
  <c r="J27" i="1" s="1"/>
  <c r="J26" i="1"/>
  <c r="V5" i="5"/>
  <c r="V34" i="5" s="1"/>
  <c r="Z34" i="1"/>
  <c r="Z376" i="1"/>
  <c r="AA26" i="1"/>
  <c r="Y373" i="1"/>
  <c r="Y374" i="1"/>
  <c r="F117" i="1"/>
  <c r="Y112" i="1"/>
  <c r="Y115" i="1" s="1"/>
  <c r="D112" i="1"/>
  <c r="AA19" i="1"/>
  <c r="Z111" i="1"/>
  <c r="Z110" i="1"/>
  <c r="B19" i="1"/>
  <c r="C110" i="1"/>
  <c r="C111" i="1"/>
  <c r="Y42" i="20"/>
  <c r="Y55" i="20"/>
  <c r="K43" i="20"/>
  <c r="K37" i="20"/>
  <c r="K40" i="20"/>
  <c r="L62" i="20" s="1"/>
  <c r="L73" i="20" s="1"/>
  <c r="K45" i="20"/>
  <c r="K46" i="20"/>
  <c r="K38" i="20"/>
  <c r="K36" i="20"/>
  <c r="K41" i="20"/>
  <c r="J32" i="20"/>
  <c r="K39" i="20"/>
  <c r="L61" i="20" s="1"/>
  <c r="L72" i="20" s="1"/>
  <c r="BI286" i="1"/>
  <c r="BJ217" i="1"/>
  <c r="BJ310" i="1" s="1"/>
  <c r="BH250" i="1"/>
  <c r="V200" i="20"/>
  <c r="V210" i="20" s="1"/>
  <c r="V219" i="20" s="1"/>
  <c r="V228" i="20" s="1"/>
  <c r="U197" i="20"/>
  <c r="U207" i="20" s="1"/>
  <c r="U216" i="20" s="1"/>
  <c r="U196" i="20"/>
  <c r="U206" i="20" s="1"/>
  <c r="U215" i="20" s="1"/>
  <c r="V226" i="20"/>
  <c r="Y41" i="20"/>
  <c r="Y43" i="20"/>
  <c r="Y45" i="20"/>
  <c r="Y40" i="20"/>
  <c r="Z27" i="20"/>
  <c r="Z63" i="20" s="1"/>
  <c r="Z74" i="20" s="1"/>
  <c r="Y38" i="20"/>
  <c r="Y60" i="20" s="1"/>
  <c r="Y39" i="20"/>
  <c r="Y37" i="20"/>
  <c r="Y36" i="20"/>
  <c r="D215" i="20"/>
  <c r="D211" i="20"/>
  <c r="D187" i="20" s="1"/>
  <c r="D212" i="20"/>
  <c r="D190" i="20" s="1"/>
  <c r="E220" i="20"/>
  <c r="F224" i="20"/>
  <c r="E221" i="20"/>
  <c r="R64" i="5"/>
  <c r="AA320" i="1"/>
  <c r="AB293" i="1"/>
  <c r="T48" i="6"/>
  <c r="Z322" i="1"/>
  <c r="AA295" i="1"/>
  <c r="W160" i="1"/>
  <c r="W125" i="1"/>
  <c r="S63" i="5"/>
  <c r="T49" i="6"/>
  <c r="R71" i="5"/>
  <c r="R72" i="5" s="1"/>
  <c r="R73" i="5" s="1"/>
  <c r="AC41" i="6"/>
  <c r="AF372" i="1"/>
  <c r="Y375" i="1"/>
  <c r="Z94" i="7"/>
  <c r="U31" i="5"/>
  <c r="U4" i="5"/>
  <c r="U25" i="5" s="1"/>
  <c r="W129" i="1"/>
  <c r="W161" i="1"/>
  <c r="W182" i="1" s="1"/>
  <c r="W189" i="1" s="1"/>
  <c r="V181" i="1"/>
  <c r="V188" i="1" s="1"/>
  <c r="S57" i="5"/>
  <c r="S59" i="5" s="1"/>
  <c r="S62" i="5"/>
  <c r="AD379" i="1"/>
  <c r="AD374" i="1"/>
  <c r="X122" i="1"/>
  <c r="Z287" i="1"/>
  <c r="Y312" i="1"/>
  <c r="Q69" i="5"/>
  <c r="R50" i="6"/>
  <c r="R60" i="6" s="1"/>
  <c r="T47" i="6"/>
  <c r="Z33" i="1"/>
  <c r="Z80" i="1" s="1"/>
  <c r="P91" i="3"/>
  <c r="Z371" i="1"/>
  <c r="V2" i="5"/>
  <c r="AA381" i="1"/>
  <c r="Y44" i="6"/>
  <c r="W79" i="6"/>
  <c r="W81" i="6"/>
  <c r="W80" i="6"/>
  <c r="Y48" i="1"/>
  <c r="Z95" i="7"/>
  <c r="U361" i="1"/>
  <c r="V364" i="1"/>
  <c r="W364" i="1" s="1"/>
  <c r="J381" i="1"/>
  <c r="W303" i="1"/>
  <c r="V330" i="1"/>
  <c r="V82" i="6"/>
  <c r="Z416" i="1"/>
  <c r="W72" i="6"/>
  <c r="P90" i="3"/>
  <c r="Y324" i="1"/>
  <c r="Z297" i="1"/>
  <c r="AA429" i="1"/>
  <c r="AA432" i="1" s="1"/>
  <c r="AA168" i="1"/>
  <c r="Z177" i="1"/>
  <c r="Z171" i="1"/>
  <c r="Z178" i="1" s="1"/>
  <c r="Z424" i="1"/>
  <c r="Z427" i="1" s="1"/>
  <c r="Z174" i="1"/>
  <c r="V12" i="5"/>
  <c r="BG225" i="1" l="1"/>
  <c r="BH49" i="1"/>
  <c r="BH279" i="1" s="1"/>
  <c r="BH281" i="1" s="1"/>
  <c r="BH130" i="1"/>
  <c r="BH137" i="1" s="1"/>
  <c r="Z41" i="1"/>
  <c r="Z81" i="1"/>
  <c r="Z83" i="1" s="1"/>
  <c r="H15" i="1"/>
  <c r="J86" i="20"/>
  <c r="Z15" i="1"/>
  <c r="BG356" i="1"/>
  <c r="BG283" i="1"/>
  <c r="BJ218" i="1"/>
  <c r="BJ220" i="1" s="1"/>
  <c r="Q212" i="20"/>
  <c r="Q190" i="20" s="1"/>
  <c r="Q234" i="20" s="1"/>
  <c r="Q235" i="20" s="1"/>
  <c r="Q215" i="20"/>
  <c r="Q224" i="20" s="1"/>
  <c r="Y263" i="1"/>
  <c r="Y265" i="1" s="1"/>
  <c r="BH225" i="1"/>
  <c r="Y57" i="1"/>
  <c r="V54" i="6"/>
  <c r="Y57" i="20"/>
  <c r="Y66" i="20" s="1"/>
  <c r="M211" i="20"/>
  <c r="M187" i="20" s="1"/>
  <c r="M212" i="20"/>
  <c r="M190" i="20" s="1"/>
  <c r="M234" i="20" s="1"/>
  <c r="M235" i="20" s="1"/>
  <c r="M236" i="20" s="1"/>
  <c r="M243" i="20" s="1"/>
  <c r="M244" i="20" s="1"/>
  <c r="M245" i="20" s="1"/>
  <c r="N212" i="20"/>
  <c r="N190" i="20" s="1"/>
  <c r="N234" i="20" s="1"/>
  <c r="N235" i="20" s="1"/>
  <c r="N211" i="20"/>
  <c r="N187" i="20" s="1"/>
  <c r="S212" i="20"/>
  <c r="S190" i="20" s="1"/>
  <c r="S234" i="20" s="1"/>
  <c r="S235" i="20" s="1"/>
  <c r="Z156" i="20"/>
  <c r="N225" i="20"/>
  <c r="T212" i="20"/>
  <c r="T190" i="20" s="1"/>
  <c r="T234" i="20" s="1"/>
  <c r="T235" i="20" s="1"/>
  <c r="P211" i="20"/>
  <c r="P187" i="20" s="1"/>
  <c r="P212" i="20"/>
  <c r="P190" i="20" s="1"/>
  <c r="Q225" i="20"/>
  <c r="T225" i="20"/>
  <c r="K57" i="20"/>
  <c r="S211" i="20"/>
  <c r="S187" i="20" s="1"/>
  <c r="U225" i="20"/>
  <c r="T211" i="20"/>
  <c r="T187" i="20" s="1"/>
  <c r="K54" i="20"/>
  <c r="K53" i="20"/>
  <c r="K52" i="20"/>
  <c r="L56" i="20"/>
  <c r="L60" i="20"/>
  <c r="L71" i="20" s="1"/>
  <c r="L65" i="20"/>
  <c r="X56" i="20"/>
  <c r="X75" i="20" s="1"/>
  <c r="K48" i="20"/>
  <c r="Y62" i="20"/>
  <c r="Y73" i="20" s="1"/>
  <c r="Y54" i="20"/>
  <c r="Y61" i="20"/>
  <c r="Y72" i="20" s="1"/>
  <c r="Y53" i="20"/>
  <c r="Y52" i="20"/>
  <c r="Y71" i="20"/>
  <c r="X348" i="1"/>
  <c r="BI42" i="1"/>
  <c r="Z55" i="20"/>
  <c r="Z46" i="20"/>
  <c r="AA95" i="7"/>
  <c r="W5" i="5"/>
  <c r="W34" i="5" s="1"/>
  <c r="N221" i="20"/>
  <c r="N220" i="20"/>
  <c r="T224" i="20"/>
  <c r="S221" i="20"/>
  <c r="S224" i="20"/>
  <c r="S220" i="20"/>
  <c r="O234" i="20"/>
  <c r="O235" i="20" s="1"/>
  <c r="R234" i="20"/>
  <c r="R235" i="20" s="1"/>
  <c r="AA34" i="1"/>
  <c r="AA41" i="1" s="1"/>
  <c r="AA48" i="1" s="1"/>
  <c r="O221" i="20"/>
  <c r="O224" i="20"/>
  <c r="O220" i="20"/>
  <c r="N224" i="20"/>
  <c r="M220" i="20"/>
  <c r="M224" i="20"/>
  <c r="M221" i="20"/>
  <c r="AA376" i="1"/>
  <c r="T220" i="20"/>
  <c r="T188" i="20" s="1"/>
  <c r="T221" i="20"/>
  <c r="T191" i="20" s="1"/>
  <c r="P221" i="20"/>
  <c r="P224" i="20"/>
  <c r="P220" i="20"/>
  <c r="R221" i="20"/>
  <c r="R191" i="20" s="1"/>
  <c r="R192" i="20" s="1"/>
  <c r="R220" i="20"/>
  <c r="R188" i="20" s="1"/>
  <c r="R189" i="20" s="1"/>
  <c r="L83" i="6"/>
  <c r="L76" i="6"/>
  <c r="F92" i="3"/>
  <c r="O417" i="1"/>
  <c r="R71" i="7"/>
  <c r="R72" i="7" s="1"/>
  <c r="R79" i="7" s="1"/>
  <c r="G96" i="3" s="1"/>
  <c r="S14" i="7"/>
  <c r="R15" i="7"/>
  <c r="M73" i="6"/>
  <c r="W198" i="20"/>
  <c r="W208" i="20" s="1"/>
  <c r="W217" i="20" s="1"/>
  <c r="W226" i="20" s="1"/>
  <c r="Z122" i="1"/>
  <c r="Z42" i="20"/>
  <c r="W199" i="20"/>
  <c r="W209" i="20" s="1"/>
  <c r="W218" i="20" s="1"/>
  <c r="W227" i="20" s="1"/>
  <c r="I26" i="1"/>
  <c r="I25" i="1"/>
  <c r="I27" i="1" s="1"/>
  <c r="AB34" i="1"/>
  <c r="AB26" i="1"/>
  <c r="Z373" i="1"/>
  <c r="Z374" i="1"/>
  <c r="Z112" i="1"/>
  <c r="Z115" i="1" s="1"/>
  <c r="W200" i="20"/>
  <c r="W210" i="20" s="1"/>
  <c r="W219" i="20" s="1"/>
  <c r="W228" i="20" s="1"/>
  <c r="E115" i="1"/>
  <c r="E117" i="1"/>
  <c r="C112" i="1"/>
  <c r="D117" i="1" s="1"/>
  <c r="B110" i="1"/>
  <c r="B111" i="1"/>
  <c r="AB19" i="1"/>
  <c r="AA110" i="1"/>
  <c r="AA111" i="1"/>
  <c r="V196" i="20"/>
  <c r="V206" i="20" s="1"/>
  <c r="J37" i="20"/>
  <c r="J38" i="20"/>
  <c r="K60" i="20" s="1"/>
  <c r="J46" i="20"/>
  <c r="J43" i="20"/>
  <c r="I32" i="20"/>
  <c r="J41" i="20"/>
  <c r="J40" i="20"/>
  <c r="K62" i="20" s="1"/>
  <c r="J36" i="20"/>
  <c r="J45" i="20"/>
  <c r="J39" i="20"/>
  <c r="BK217" i="1"/>
  <c r="BK310" i="1" s="1"/>
  <c r="BJ286" i="1"/>
  <c r="BI250" i="1"/>
  <c r="V197" i="20"/>
  <c r="V207" i="20" s="1"/>
  <c r="V216" i="20" s="1"/>
  <c r="V225" i="20" s="1"/>
  <c r="U163" i="20"/>
  <c r="U158" i="20"/>
  <c r="U162" i="20"/>
  <c r="U202" i="20"/>
  <c r="W233" i="20"/>
  <c r="U201" i="20"/>
  <c r="Z39" i="20"/>
  <c r="Z41" i="20"/>
  <c r="Z45" i="20"/>
  <c r="AA27" i="20"/>
  <c r="AA63" i="20" s="1"/>
  <c r="AA74" i="20" s="1"/>
  <c r="Z37" i="20"/>
  <c r="Z36" i="20"/>
  <c r="Z40" i="20"/>
  <c r="Z43" i="20"/>
  <c r="Z38" i="20"/>
  <c r="Z60" i="20" s="1"/>
  <c r="U211" i="20"/>
  <c r="U212" i="20"/>
  <c r="U220" i="20"/>
  <c r="U221" i="20"/>
  <c r="U224" i="20"/>
  <c r="E191" i="20"/>
  <c r="E192" i="20" s="1"/>
  <c r="F230" i="20"/>
  <c r="E224" i="20"/>
  <c r="D221" i="20"/>
  <c r="D191" i="20" s="1"/>
  <c r="D192" i="20" s="1"/>
  <c r="D220" i="20"/>
  <c r="D188" i="20" s="1"/>
  <c r="D189" i="20" s="1"/>
  <c r="E188" i="20"/>
  <c r="E189" i="20" s="1"/>
  <c r="F229" i="20"/>
  <c r="AC293" i="1"/>
  <c r="AB320" i="1"/>
  <c r="AA322" i="1"/>
  <c r="AB295" i="1"/>
  <c r="Z48" i="1"/>
  <c r="AA416" i="1"/>
  <c r="Q90" i="3"/>
  <c r="X72" i="6"/>
  <c r="W82" i="6"/>
  <c r="AA371" i="1"/>
  <c r="Q91" i="3"/>
  <c r="W2" i="5"/>
  <c r="AA33" i="1"/>
  <c r="AB381" i="1"/>
  <c r="U56" i="5"/>
  <c r="V40" i="6"/>
  <c r="Z97" i="7"/>
  <c r="T50" i="6"/>
  <c r="T60" i="6" s="1"/>
  <c r="AA297" i="1"/>
  <c r="Z324" i="1"/>
  <c r="X303" i="1"/>
  <c r="W330" i="1"/>
  <c r="I381" i="1"/>
  <c r="V361" i="1"/>
  <c r="S71" i="5"/>
  <c r="S72" i="5" s="1"/>
  <c r="S73" i="5" s="1"/>
  <c r="Y122" i="1"/>
  <c r="X79" i="6"/>
  <c r="X81" i="6"/>
  <c r="X80" i="6"/>
  <c r="V31" i="5"/>
  <c r="V4" i="5"/>
  <c r="V25" i="5" s="1"/>
  <c r="W38" i="6" s="1"/>
  <c r="AA94" i="7"/>
  <c r="Z375" i="1"/>
  <c r="Q77" i="5"/>
  <c r="AA287" i="1"/>
  <c r="Z312" i="1"/>
  <c r="X129" i="1"/>
  <c r="X136" i="1" s="1"/>
  <c r="X161" i="1"/>
  <c r="X182" i="1" s="1"/>
  <c r="X189" i="1" s="1"/>
  <c r="AE379" i="1"/>
  <c r="S64" i="5"/>
  <c r="S66" i="5" s="1"/>
  <c r="S69" i="5" s="1"/>
  <c r="U33" i="5"/>
  <c r="U46" i="5" s="1"/>
  <c r="U55" i="5"/>
  <c r="V47" i="6" s="1"/>
  <c r="V38" i="6"/>
  <c r="Y121" i="1"/>
  <c r="Y124" i="1"/>
  <c r="Y163" i="1" s="1"/>
  <c r="Y184" i="1" s="1"/>
  <c r="Y191" i="1" s="1"/>
  <c r="Y37" i="1"/>
  <c r="AG372" i="1"/>
  <c r="AD41" i="6"/>
  <c r="W164" i="1"/>
  <c r="W407" i="1" s="1"/>
  <c r="W409" i="1" s="1"/>
  <c r="W181" i="1"/>
  <c r="W188" i="1" s="1"/>
  <c r="AB429" i="1"/>
  <c r="AB432" i="1" s="1"/>
  <c r="AB168" i="1"/>
  <c r="AA177" i="1"/>
  <c r="AA424" i="1"/>
  <c r="AA427" i="1" s="1"/>
  <c r="AA171" i="1"/>
  <c r="AA178" i="1" s="1"/>
  <c r="W12" i="5"/>
  <c r="AA174" i="1"/>
  <c r="BI49" i="1" l="1"/>
  <c r="BI279" i="1" s="1"/>
  <c r="BI283" i="1" s="1"/>
  <c r="BI130" i="1"/>
  <c r="BI137" i="1" s="1"/>
  <c r="B53" i="23"/>
  <c r="AB33" i="1"/>
  <c r="B95" i="23"/>
  <c r="AB28" i="1"/>
  <c r="AA15" i="1"/>
  <c r="AC38" i="20"/>
  <c r="AC52" i="20" s="1"/>
  <c r="AE32" i="20"/>
  <c r="AC45" i="20"/>
  <c r="AC41" i="20"/>
  <c r="AC43" i="20"/>
  <c r="AC40" i="20"/>
  <c r="AC37" i="20"/>
  <c r="AC39" i="20"/>
  <c r="AC53" i="20" s="1"/>
  <c r="AC42" i="20"/>
  <c r="AC46" i="20"/>
  <c r="AC36" i="20"/>
  <c r="G15" i="1"/>
  <c r="I86" i="20"/>
  <c r="BK218" i="1"/>
  <c r="BK220" i="1" s="1"/>
  <c r="R224" i="20"/>
  <c r="Z65" i="20"/>
  <c r="Z48" i="20"/>
  <c r="Q221" i="20"/>
  <c r="R230" i="20" s="1"/>
  <c r="Q220" i="20"/>
  <c r="Q188" i="20" s="1"/>
  <c r="Q189" i="20" s="1"/>
  <c r="BH283" i="1"/>
  <c r="BH356" i="1"/>
  <c r="Z44" i="6"/>
  <c r="AC26" i="1"/>
  <c r="AA263" i="1"/>
  <c r="AA265" i="1" s="1"/>
  <c r="Z263" i="1"/>
  <c r="Z265" i="1" s="1"/>
  <c r="BI225" i="1"/>
  <c r="AA81" i="1"/>
  <c r="AA122" i="1" s="1"/>
  <c r="Z57" i="1"/>
  <c r="W54" i="6"/>
  <c r="AA156" i="20"/>
  <c r="T192" i="20"/>
  <c r="AB95" i="7"/>
  <c r="P234" i="20"/>
  <c r="P235" i="20" s="1"/>
  <c r="Q236" i="20" s="1"/>
  <c r="Q243" i="20" s="1"/>
  <c r="Q244" i="20" s="1"/>
  <c r="Q245" i="20" s="1"/>
  <c r="T189" i="20"/>
  <c r="K56" i="20"/>
  <c r="J57" i="20"/>
  <c r="J54" i="20"/>
  <c r="J53" i="20"/>
  <c r="J52" i="20"/>
  <c r="K65" i="20"/>
  <c r="K61" i="20"/>
  <c r="Y157" i="20"/>
  <c r="J48" i="20"/>
  <c r="X154" i="20"/>
  <c r="Z62" i="20"/>
  <c r="Z73" i="20" s="1"/>
  <c r="Z54" i="20"/>
  <c r="Z57" i="20"/>
  <c r="Y155" i="20"/>
  <c r="X155" i="20"/>
  <c r="AA42" i="20"/>
  <c r="AA55" i="20"/>
  <c r="Z61" i="20"/>
  <c r="Z72" i="20" s="1"/>
  <c r="Z53" i="20"/>
  <c r="Z71" i="20"/>
  <c r="Z52" i="20"/>
  <c r="Y56" i="20"/>
  <c r="Y64" i="20" s="1"/>
  <c r="AA97" i="7"/>
  <c r="Y90" i="20"/>
  <c r="Y348" i="1"/>
  <c r="BJ42" i="1"/>
  <c r="S236" i="20"/>
  <c r="S243" i="20" s="1"/>
  <c r="S244" i="20" s="1"/>
  <c r="S245" i="20" s="1"/>
  <c r="O236" i="20"/>
  <c r="O243" i="20" s="1"/>
  <c r="O244" i="20" s="1"/>
  <c r="O245" i="20" s="1"/>
  <c r="N188" i="20"/>
  <c r="N189" i="20" s="1"/>
  <c r="N229" i="20"/>
  <c r="P229" i="20"/>
  <c r="P188" i="20"/>
  <c r="P189" i="20" s="1"/>
  <c r="M191" i="20"/>
  <c r="M192" i="20" s="1"/>
  <c r="M230" i="20"/>
  <c r="O188" i="20"/>
  <c r="O189" i="20" s="1"/>
  <c r="O229" i="20"/>
  <c r="R236" i="20"/>
  <c r="R243" i="20" s="1"/>
  <c r="R244" i="20" s="1"/>
  <c r="R245" i="20" s="1"/>
  <c r="T230" i="20"/>
  <c r="S191" i="20"/>
  <c r="S192" i="20" s="1"/>
  <c r="S230" i="20"/>
  <c r="N230" i="20"/>
  <c r="N191" i="20"/>
  <c r="N192" i="20" s="1"/>
  <c r="P230" i="20"/>
  <c r="P191" i="20"/>
  <c r="P192" i="20" s="1"/>
  <c r="N236" i="20"/>
  <c r="N243" i="20" s="1"/>
  <c r="N244" i="20" s="1"/>
  <c r="N245" i="20" s="1"/>
  <c r="M229" i="20"/>
  <c r="M188" i="20"/>
  <c r="M189" i="20" s="1"/>
  <c r="O191" i="20"/>
  <c r="O192" i="20" s="1"/>
  <c r="O230" i="20"/>
  <c r="T236" i="20"/>
  <c r="T229" i="20"/>
  <c r="S229" i="20"/>
  <c r="S188" i="20"/>
  <c r="S189" i="20" s="1"/>
  <c r="N73" i="6"/>
  <c r="G92" i="3"/>
  <c r="P417" i="1"/>
  <c r="M83" i="6"/>
  <c r="T14" i="7"/>
  <c r="S71" i="7"/>
  <c r="S72" i="7" s="1"/>
  <c r="S79" i="7" s="1"/>
  <c r="H96" i="3" s="1"/>
  <c r="S15" i="7"/>
  <c r="X200" i="20"/>
  <c r="X210" i="20" s="1"/>
  <c r="X219" i="20" s="1"/>
  <c r="X228" i="20" s="1"/>
  <c r="H25" i="1"/>
  <c r="H27" i="1" s="1"/>
  <c r="H26" i="1"/>
  <c r="AC6" i="1"/>
  <c r="AC34" i="1" s="1"/>
  <c r="AA373" i="1"/>
  <c r="AA374" i="1"/>
  <c r="D115" i="1"/>
  <c r="B112" i="1"/>
  <c r="C115" i="1" s="1"/>
  <c r="X157" i="20"/>
  <c r="AA112" i="1"/>
  <c r="AA115" i="1" s="1"/>
  <c r="AC19" i="1"/>
  <c r="AB111" i="1"/>
  <c r="AB110" i="1"/>
  <c r="X198" i="20"/>
  <c r="X208" i="20" s="1"/>
  <c r="X217" i="20" s="1"/>
  <c r="X226" i="20" s="1"/>
  <c r="I41" i="20"/>
  <c r="I45" i="20"/>
  <c r="I38" i="20"/>
  <c r="J60" i="20" s="1"/>
  <c r="I39" i="20"/>
  <c r="I46" i="20"/>
  <c r="I37" i="20"/>
  <c r="I40" i="20"/>
  <c r="I36" i="20"/>
  <c r="H32" i="20"/>
  <c r="I43" i="20"/>
  <c r="U159" i="20"/>
  <c r="BK286" i="1"/>
  <c r="BL217" i="1"/>
  <c r="BJ250" i="1"/>
  <c r="V202" i="20"/>
  <c r="W196" i="20"/>
  <c r="W206" i="20" s="1"/>
  <c r="W215" i="20" s="1"/>
  <c r="W197" i="20"/>
  <c r="W207" i="20" s="1"/>
  <c r="W216" i="20" s="1"/>
  <c r="W225" i="20" s="1"/>
  <c r="V201" i="20"/>
  <c r="U190" i="20"/>
  <c r="U187" i="20"/>
  <c r="X233" i="20"/>
  <c r="U229" i="20"/>
  <c r="U188" i="20"/>
  <c r="AA46" i="20"/>
  <c r="AA48" i="20" s="1"/>
  <c r="AA40" i="20"/>
  <c r="AA39" i="20"/>
  <c r="AA43" i="20"/>
  <c r="AA41" i="20"/>
  <c r="AA36" i="20"/>
  <c r="AA37" i="20"/>
  <c r="AA45" i="20"/>
  <c r="AA38" i="20"/>
  <c r="AA60" i="20" s="1"/>
  <c r="U191" i="20"/>
  <c r="U230" i="20"/>
  <c r="V215" i="20"/>
  <c r="V212" i="20"/>
  <c r="V211" i="20"/>
  <c r="E229" i="20"/>
  <c r="E230" i="20"/>
  <c r="AC320" i="1"/>
  <c r="AD293" i="1"/>
  <c r="AC295" i="1"/>
  <c r="AB322" i="1"/>
  <c r="AE41" i="6"/>
  <c r="AH372" i="1"/>
  <c r="Y125" i="1"/>
  <c r="Y160" i="1"/>
  <c r="U62" i="5"/>
  <c r="U57" i="5"/>
  <c r="V55" i="5"/>
  <c r="W47" i="6" s="1"/>
  <c r="V33" i="5"/>
  <c r="V46" i="5" s="1"/>
  <c r="Y129" i="1"/>
  <c r="Y136" i="1" s="1"/>
  <c r="Y161" i="1"/>
  <c r="Y182" i="1" s="1"/>
  <c r="Y189" i="1" s="1"/>
  <c r="V49" i="6"/>
  <c r="U63" i="5"/>
  <c r="AC381" i="1"/>
  <c r="AA80" i="1"/>
  <c r="AA375" i="1"/>
  <c r="AB94" i="7"/>
  <c r="X82" i="6"/>
  <c r="AB416" i="1"/>
  <c r="R90" i="3"/>
  <c r="Y72" i="6"/>
  <c r="S77" i="5"/>
  <c r="AF379" i="1"/>
  <c r="AB287" i="1"/>
  <c r="AA312" i="1"/>
  <c r="BJ11" i="5"/>
  <c r="Z121" i="1"/>
  <c r="Z37" i="1"/>
  <c r="Z124" i="1"/>
  <c r="Z163" i="1" s="1"/>
  <c r="Z184" i="1" s="1"/>
  <c r="Z191" i="1" s="1"/>
  <c r="W40" i="6"/>
  <c r="V56" i="5"/>
  <c r="Z161" i="1"/>
  <c r="Z182" i="1" s="1"/>
  <c r="Z189" i="1" s="1"/>
  <c r="Z129" i="1"/>
  <c r="W361" i="1"/>
  <c r="X364" i="1"/>
  <c r="H381" i="1"/>
  <c r="Y303" i="1"/>
  <c r="X330" i="1"/>
  <c r="AA324" i="1"/>
  <c r="AB297" i="1"/>
  <c r="X5" i="5"/>
  <c r="X34" i="5" s="1"/>
  <c r="AB376" i="1"/>
  <c r="AB41" i="1"/>
  <c r="V26" i="5"/>
  <c r="R91" i="3"/>
  <c r="X2" i="5"/>
  <c r="AB371" i="1"/>
  <c r="Y79" i="6"/>
  <c r="Y80" i="6"/>
  <c r="Y81" i="6"/>
  <c r="W4" i="5"/>
  <c r="W25" i="5" s="1"/>
  <c r="W31" i="5"/>
  <c r="AB424" i="1"/>
  <c r="AB427" i="1" s="1"/>
  <c r="AB174" i="1"/>
  <c r="AB171" i="1"/>
  <c r="AB178" i="1" s="1"/>
  <c r="X12" i="5"/>
  <c r="AB177" i="1"/>
  <c r="AC429" i="1"/>
  <c r="AC432" i="1" s="1"/>
  <c r="AC168" i="1"/>
  <c r="C53" i="23" l="1"/>
  <c r="AC33" i="1"/>
  <c r="BJ49" i="1"/>
  <c r="BJ225" i="1" s="1"/>
  <c r="BJ130" i="1"/>
  <c r="BJ137" i="1" s="1"/>
  <c r="C95" i="23"/>
  <c r="AC28" i="1"/>
  <c r="AE36" i="20"/>
  <c r="AE37" i="20"/>
  <c r="F15" i="1"/>
  <c r="H86" i="20"/>
  <c r="AC54" i="20"/>
  <c r="AC57" i="20"/>
  <c r="Z66" i="20"/>
  <c r="AB15" i="1"/>
  <c r="BL218" i="1"/>
  <c r="BL220" i="1" s="1"/>
  <c r="AA44" i="6"/>
  <c r="AD30" i="1"/>
  <c r="Z94" i="20"/>
  <c r="Q191" i="20"/>
  <c r="Q192" i="20" s="1"/>
  <c r="Q230" i="20"/>
  <c r="Q229" i="20"/>
  <c r="R229" i="20"/>
  <c r="BI356" i="1"/>
  <c r="BI281" i="1"/>
  <c r="AA57" i="1"/>
  <c r="X54" i="6"/>
  <c r="AB97" i="7"/>
  <c r="AB42" i="20"/>
  <c r="AB27" i="20"/>
  <c r="Y95" i="20"/>
  <c r="P236" i="20"/>
  <c r="P243" i="20" s="1"/>
  <c r="P244" i="20" s="1"/>
  <c r="P245" i="20" s="1"/>
  <c r="I57" i="20"/>
  <c r="I53" i="20"/>
  <c r="J65" i="20"/>
  <c r="I54" i="20"/>
  <c r="I52" i="20"/>
  <c r="J62" i="20"/>
  <c r="J61" i="20"/>
  <c r="J56" i="20"/>
  <c r="U234" i="20"/>
  <c r="U235" i="20" s="1"/>
  <c r="U236" i="20" s="1"/>
  <c r="Y200" i="20"/>
  <c r="Y210" i="20" s="1"/>
  <c r="Y219" i="20" s="1"/>
  <c r="Y228" i="20" s="1"/>
  <c r="Y198" i="20"/>
  <c r="Y208" i="20" s="1"/>
  <c r="Y217" i="20" s="1"/>
  <c r="Y226" i="20" s="1"/>
  <c r="Z157" i="20"/>
  <c r="I48" i="20"/>
  <c r="Y154" i="20"/>
  <c r="X199" i="20"/>
  <c r="X209" i="20" s="1"/>
  <c r="X218" i="20" s="1"/>
  <c r="X227" i="20" s="1"/>
  <c r="AA62" i="20"/>
  <c r="AA73" i="20" s="1"/>
  <c r="AA57" i="20"/>
  <c r="AA54" i="20"/>
  <c r="Z56" i="20"/>
  <c r="Z64" i="20" s="1"/>
  <c r="AA61" i="20"/>
  <c r="AA72" i="20" s="1"/>
  <c r="AA53" i="20"/>
  <c r="Z155" i="20"/>
  <c r="AA71" i="20"/>
  <c r="AA52" i="20"/>
  <c r="Z348" i="1"/>
  <c r="BK42" i="1"/>
  <c r="Z154" i="20"/>
  <c r="M76" i="6"/>
  <c r="N76" i="6"/>
  <c r="N83" i="6"/>
  <c r="O73" i="6"/>
  <c r="H92" i="3"/>
  <c r="Q417" i="1"/>
  <c r="T15" i="7"/>
  <c r="T71" i="7"/>
  <c r="T72" i="7" s="1"/>
  <c r="T79" i="7" s="1"/>
  <c r="I96" i="3" s="1"/>
  <c r="U14" i="7"/>
  <c r="AA65" i="20"/>
  <c r="G25" i="1"/>
  <c r="G27" i="1" s="1"/>
  <c r="G26" i="1"/>
  <c r="AD6" i="1"/>
  <c r="AD5" i="1"/>
  <c r="AD26" i="1"/>
  <c r="AB373" i="1"/>
  <c r="AB374" i="1"/>
  <c r="AB112" i="1"/>
  <c r="AB115" i="1" s="1"/>
  <c r="C117" i="1"/>
  <c r="AD19" i="1"/>
  <c r="AC110" i="1"/>
  <c r="AC111" i="1"/>
  <c r="Y156" i="20"/>
  <c r="H41" i="20"/>
  <c r="G32" i="20"/>
  <c r="H39" i="20"/>
  <c r="I61" i="20" s="1"/>
  <c r="H40" i="20"/>
  <c r="H36" i="20"/>
  <c r="H43" i="20"/>
  <c r="H45" i="20"/>
  <c r="H46" i="20"/>
  <c r="H38" i="20"/>
  <c r="H37" i="20"/>
  <c r="V165" i="20"/>
  <c r="BM217" i="1"/>
  <c r="BM310" i="1" s="1"/>
  <c r="BL310" i="1"/>
  <c r="BL286" i="1"/>
  <c r="BK250" i="1"/>
  <c r="V190" i="20"/>
  <c r="W201" i="20"/>
  <c r="W202" i="20"/>
  <c r="U149" i="20"/>
  <c r="V187" i="20"/>
  <c r="U192" i="20"/>
  <c r="Y233" i="20"/>
  <c r="U189" i="20"/>
  <c r="W220" i="20"/>
  <c r="W221" i="20"/>
  <c r="W224" i="20"/>
  <c r="V221" i="20"/>
  <c r="V220" i="20"/>
  <c r="V224" i="20"/>
  <c r="AB40" i="20"/>
  <c r="AB39" i="20"/>
  <c r="AB36" i="20"/>
  <c r="AB38" i="20"/>
  <c r="AB60" i="20" s="1"/>
  <c r="AB45" i="20"/>
  <c r="AB43" i="20"/>
  <c r="AB46" i="20"/>
  <c r="AB41" i="20"/>
  <c r="AB37" i="20"/>
  <c r="W212" i="20"/>
  <c r="W211" i="20"/>
  <c r="AD320" i="1"/>
  <c r="AE293" i="1"/>
  <c r="AC322" i="1"/>
  <c r="AD295" i="1"/>
  <c r="X40" i="6"/>
  <c r="W56" i="5"/>
  <c r="W39" i="6"/>
  <c r="V58" i="5"/>
  <c r="AC95" i="7"/>
  <c r="AB48" i="1"/>
  <c r="AB81" i="1"/>
  <c r="G381" i="1"/>
  <c r="V63" i="5"/>
  <c r="W49" i="6"/>
  <c r="AG379" i="1"/>
  <c r="X38" i="6"/>
  <c r="AA83" i="1"/>
  <c r="AA121" i="1"/>
  <c r="AA124" i="1"/>
  <c r="AA163" i="1" s="1"/>
  <c r="AA184" i="1" s="1"/>
  <c r="AA191" i="1" s="1"/>
  <c r="AA37" i="1"/>
  <c r="Y2" i="5"/>
  <c r="AC371" i="1"/>
  <c r="S91" i="3"/>
  <c r="Z79" i="6"/>
  <c r="Z81" i="6"/>
  <c r="Z80" i="6"/>
  <c r="BJ9" i="5"/>
  <c r="V57" i="5"/>
  <c r="V62" i="5"/>
  <c r="AA129" i="1"/>
  <c r="AA136" i="1" s="1"/>
  <c r="AA161" i="1"/>
  <c r="AA182" i="1" s="1"/>
  <c r="AA189" i="1" s="1"/>
  <c r="U64" i="5"/>
  <c r="W33" i="5"/>
  <c r="W46" i="5" s="1"/>
  <c r="W55" i="5"/>
  <c r="X31" i="5"/>
  <c r="X4" i="5"/>
  <c r="X25" i="5" s="1"/>
  <c r="AB80" i="1"/>
  <c r="AB37" i="1" s="1"/>
  <c r="AC94" i="7"/>
  <c r="AB375" i="1"/>
  <c r="Y5" i="5"/>
  <c r="Y34" i="5" s="1"/>
  <c r="AC41" i="1"/>
  <c r="AC376" i="1"/>
  <c r="AB324" i="1"/>
  <c r="AC297" i="1"/>
  <c r="Y330" i="1"/>
  <c r="Z303" i="1"/>
  <c r="Y364" i="1"/>
  <c r="X361" i="1"/>
  <c r="Z136" i="1"/>
  <c r="W26" i="5"/>
  <c r="Z160" i="1"/>
  <c r="Z125" i="1"/>
  <c r="BM218" i="1"/>
  <c r="BM220" i="1" s="1"/>
  <c r="BK11" i="5"/>
  <c r="BJ14" i="5"/>
  <c r="BJ21" i="5"/>
  <c r="BJ39" i="5" s="1"/>
  <c r="AB312" i="1"/>
  <c r="AC287" i="1"/>
  <c r="Y82" i="6"/>
  <c r="AD381" i="1"/>
  <c r="U71" i="5"/>
  <c r="Y164" i="1"/>
  <c r="Y407" i="1" s="1"/>
  <c r="Y409" i="1" s="1"/>
  <c r="Y181" i="1"/>
  <c r="Y188" i="1" s="1"/>
  <c r="AI372" i="1"/>
  <c r="AF41" i="6"/>
  <c r="AC424" i="1"/>
  <c r="AC427" i="1" s="1"/>
  <c r="AC171" i="1"/>
  <c r="AC178" i="1" s="1"/>
  <c r="Y12" i="5"/>
  <c r="AC177" i="1"/>
  <c r="AC174" i="1"/>
  <c r="AD429" i="1"/>
  <c r="AD432" i="1" s="1"/>
  <c r="AD168" i="1"/>
  <c r="BJ279" i="1" l="1"/>
  <c r="BJ281" i="1" s="1"/>
  <c r="BK49" i="1"/>
  <c r="BK130" i="1"/>
  <c r="BK137" i="1" s="1"/>
  <c r="D95" i="23"/>
  <c r="AD28" i="1"/>
  <c r="AN176" i="23"/>
  <c r="AN179" i="23" s="1"/>
  <c r="AF32" i="20"/>
  <c r="AG32" i="20" s="1"/>
  <c r="AC15" i="1"/>
  <c r="E15" i="1"/>
  <c r="G86" i="20"/>
  <c r="AB44" i="6"/>
  <c r="AE30" i="1"/>
  <c r="AA348" i="1"/>
  <c r="AB263" i="1"/>
  <c r="AB265" i="1" s="1"/>
  <c r="BJ356" i="1"/>
  <c r="BK279" i="1"/>
  <c r="BK281" i="1" s="1"/>
  <c r="BK225" i="1"/>
  <c r="AB57" i="1"/>
  <c r="Y54" i="6"/>
  <c r="Y111" i="6" s="1"/>
  <c r="B348" i="23" s="1"/>
  <c r="AB63" i="20"/>
  <c r="AB74" i="20" s="1"/>
  <c r="AB55" i="20"/>
  <c r="AC27" i="20"/>
  <c r="AC55" i="20" s="1"/>
  <c r="AC56" i="20" s="1"/>
  <c r="Z87" i="20"/>
  <c r="AA94" i="20"/>
  <c r="Y199" i="20"/>
  <c r="Y209" i="20" s="1"/>
  <c r="Y218" i="20" s="1"/>
  <c r="Y227" i="20" s="1"/>
  <c r="Y75" i="20"/>
  <c r="Y161" i="20" s="1"/>
  <c r="H54" i="20"/>
  <c r="H53" i="20"/>
  <c r="I62" i="20"/>
  <c r="I56" i="20"/>
  <c r="H52" i="20"/>
  <c r="H57" i="20"/>
  <c r="I60" i="20"/>
  <c r="I65" i="20"/>
  <c r="AA157" i="20"/>
  <c r="X163" i="20"/>
  <c r="X196" i="20"/>
  <c r="X206" i="20" s="1"/>
  <c r="AA66" i="20"/>
  <c r="Z199" i="20"/>
  <c r="Z209" i="20" s="1"/>
  <c r="Z218" i="20" s="1"/>
  <c r="X197" i="20"/>
  <c r="X207" i="20" s="1"/>
  <c r="X216" i="20" s="1"/>
  <c r="X225" i="20" s="1"/>
  <c r="H48" i="20"/>
  <c r="AB62" i="20"/>
  <c r="AB73" i="20" s="1"/>
  <c r="AB54" i="20"/>
  <c r="AB57" i="20"/>
  <c r="Z198" i="20"/>
  <c r="Z208" i="20" s="1"/>
  <c r="Z217" i="20" s="1"/>
  <c r="Z226" i="20" s="1"/>
  <c r="AA155" i="20"/>
  <c r="AB61" i="20"/>
  <c r="AB72" i="20" s="1"/>
  <c r="AB53" i="20"/>
  <c r="AB71" i="20"/>
  <c r="AB52" i="20"/>
  <c r="AA56" i="20"/>
  <c r="AA64" i="20" s="1"/>
  <c r="AA154" i="20"/>
  <c r="X156" i="20"/>
  <c r="BL42" i="1"/>
  <c r="D53" i="23"/>
  <c r="I99" i="3"/>
  <c r="I109" i="3" s="1"/>
  <c r="P73" i="6"/>
  <c r="I92" i="3"/>
  <c r="R417" i="1"/>
  <c r="V14" i="7"/>
  <c r="U71" i="7"/>
  <c r="U72" i="7" s="1"/>
  <c r="U79" i="7" s="1"/>
  <c r="J96" i="3" s="1"/>
  <c r="U15" i="7"/>
  <c r="O83" i="6"/>
  <c r="AB65" i="20"/>
  <c r="F25" i="1"/>
  <c r="F27" i="1" s="1"/>
  <c r="F26" i="1"/>
  <c r="AE6" i="1"/>
  <c r="AE28" i="1" s="1"/>
  <c r="AE5" i="1"/>
  <c r="AE26" i="1"/>
  <c r="AC373" i="1"/>
  <c r="AC374" i="1"/>
  <c r="Z200" i="20"/>
  <c r="Z210" i="20" s="1"/>
  <c r="Z219" i="20" s="1"/>
  <c r="Z228" i="20" s="1"/>
  <c r="AC112" i="1"/>
  <c r="AC115" i="1" s="1"/>
  <c r="AE19" i="1"/>
  <c r="AD110" i="1"/>
  <c r="AD111" i="1"/>
  <c r="Z83" i="20"/>
  <c r="G45" i="20"/>
  <c r="G39" i="20"/>
  <c r="G41" i="20"/>
  <c r="G46" i="20"/>
  <c r="G36" i="20"/>
  <c r="G37" i="20"/>
  <c r="G38" i="20"/>
  <c r="G40" i="20"/>
  <c r="G43" i="20"/>
  <c r="F32" i="20"/>
  <c r="BM286" i="1"/>
  <c r="BN217" i="1"/>
  <c r="BN310" i="1" s="1"/>
  <c r="W187" i="20"/>
  <c r="V234" i="20"/>
  <c r="V235" i="20" s="1"/>
  <c r="V236" i="20" s="1"/>
  <c r="BL250" i="1"/>
  <c r="W190" i="20"/>
  <c r="Z233" i="20"/>
  <c r="Z86" i="20"/>
  <c r="Z90" i="20" s="1"/>
  <c r="V188" i="20"/>
  <c r="V189" i="20" s="1"/>
  <c r="V229" i="20"/>
  <c r="W229" i="20"/>
  <c r="W188" i="20"/>
  <c r="V191" i="20"/>
  <c r="V192" i="20" s="1"/>
  <c r="V230" i="20"/>
  <c r="AC60" i="20"/>
  <c r="W191" i="20"/>
  <c r="W230" i="20"/>
  <c r="V64" i="5"/>
  <c r="BJ10" i="5"/>
  <c r="AF293" i="1"/>
  <c r="AE320" i="1"/>
  <c r="AC97" i="7"/>
  <c r="AD322" i="1"/>
  <c r="AE295" i="1"/>
  <c r="AD371" i="1"/>
  <c r="AD373" i="1"/>
  <c r="Z2" i="5"/>
  <c r="T91" i="3"/>
  <c r="AD33" i="1"/>
  <c r="AA79" i="6"/>
  <c r="AA81" i="6"/>
  <c r="AA80" i="6"/>
  <c r="AC312" i="1"/>
  <c r="AD287" i="1"/>
  <c r="BK14" i="5"/>
  <c r="BK21" i="5"/>
  <c r="BK39" i="5" s="1"/>
  <c r="BL11" i="5"/>
  <c r="Z164" i="1"/>
  <c r="Z407" i="1" s="1"/>
  <c r="Z409" i="1" s="1"/>
  <c r="Z181" i="1"/>
  <c r="Z188" i="1" s="1"/>
  <c r="Y361" i="1"/>
  <c r="Z364" i="1"/>
  <c r="Z330" i="1"/>
  <c r="AA303" i="1"/>
  <c r="AC324" i="1"/>
  <c r="AD297" i="1"/>
  <c r="AC81" i="1"/>
  <c r="AD95" i="7"/>
  <c r="AC48" i="1"/>
  <c r="X56" i="5"/>
  <c r="Y40" i="6"/>
  <c r="W62" i="5"/>
  <c r="W57" i="5"/>
  <c r="AC80" i="1"/>
  <c r="AC37" i="1" s="1"/>
  <c r="AD94" i="7"/>
  <c r="AC375" i="1"/>
  <c r="Y31" i="5"/>
  <c r="Y4" i="5"/>
  <c r="Y25" i="5" s="1"/>
  <c r="X47" i="6"/>
  <c r="AH379" i="1"/>
  <c r="AN222" i="23"/>
  <c r="AN225" i="23" s="1"/>
  <c r="F381" i="1"/>
  <c r="AB122" i="1"/>
  <c r="V65" i="5"/>
  <c r="W48" i="6"/>
  <c r="W63" i="5"/>
  <c r="X49" i="6"/>
  <c r="AJ372" i="1"/>
  <c r="AG41" i="6"/>
  <c r="AD376" i="1"/>
  <c r="AD34" i="1"/>
  <c r="AD41" i="1" s="1"/>
  <c r="Z5" i="5"/>
  <c r="Z34" i="5" s="1"/>
  <c r="AF13" i="1"/>
  <c r="AG13" i="1" s="1"/>
  <c r="AE381" i="1"/>
  <c r="AO176" i="23"/>
  <c r="AO179" i="23" s="1"/>
  <c r="W58" i="5"/>
  <c r="X39" i="6"/>
  <c r="Y38" i="6"/>
  <c r="AB83" i="1"/>
  <c r="AB124" i="1"/>
  <c r="AB163" i="1" s="1"/>
  <c r="AB184" i="1" s="1"/>
  <c r="AB191" i="1" s="1"/>
  <c r="AB121" i="1"/>
  <c r="X33" i="5"/>
  <c r="X46" i="5" s="1"/>
  <c r="X55" i="5"/>
  <c r="V59" i="5"/>
  <c r="V71" i="5"/>
  <c r="V72" i="5" s="1"/>
  <c r="V73" i="5" s="1"/>
  <c r="BJ19" i="5"/>
  <c r="BJ37" i="5" s="1"/>
  <c r="BK9" i="5"/>
  <c r="BJ28" i="5"/>
  <c r="AA160" i="1"/>
  <c r="AA125" i="1"/>
  <c r="X26" i="5"/>
  <c r="AE429" i="1"/>
  <c r="AE432" i="1" s="1"/>
  <c r="AE168" i="1"/>
  <c r="AD174" i="1"/>
  <c r="AD424" i="1"/>
  <c r="AD427" i="1" s="1"/>
  <c r="AD171" i="1"/>
  <c r="AD178" i="1" s="1"/>
  <c r="AD177" i="1"/>
  <c r="Z12" i="5"/>
  <c r="BJ283" i="1" l="1"/>
  <c r="AG36" i="20"/>
  <c r="AG40" i="20"/>
  <c r="AG45" i="20"/>
  <c r="AG37" i="20"/>
  <c r="AG41" i="20"/>
  <c r="AG43" i="20"/>
  <c r="AG38" i="20"/>
  <c r="AG42" i="20"/>
  <c r="AG39" i="20"/>
  <c r="BL49" i="1"/>
  <c r="BL279" i="1" s="1"/>
  <c r="BL283" i="1" s="1"/>
  <c r="BL130" i="1"/>
  <c r="BL137" i="1" s="1"/>
  <c r="BK33" i="6"/>
  <c r="BN218" i="1"/>
  <c r="BN220" i="1" s="1"/>
  <c r="E95" i="23"/>
  <c r="AE34" i="1"/>
  <c r="AE41" i="1" s="1"/>
  <c r="E53" i="23"/>
  <c r="AE33" i="1"/>
  <c r="AD15" i="1"/>
  <c r="AF27" i="20"/>
  <c r="D15" i="1"/>
  <c r="F86" i="20"/>
  <c r="AC44" i="6"/>
  <c r="AF30" i="1"/>
  <c r="I105" i="3"/>
  <c r="BK34" i="6"/>
  <c r="AN260" i="23" s="1"/>
  <c r="AN263" i="23" s="1"/>
  <c r="H56" i="20"/>
  <c r="AB348" i="1"/>
  <c r="B304" i="23"/>
  <c r="B307" i="23" s="1"/>
  <c r="BK356" i="1"/>
  <c r="BK283" i="1"/>
  <c r="AC263" i="1"/>
  <c r="AC265" i="1" s="1"/>
  <c r="AC57" i="1"/>
  <c r="Z54" i="6"/>
  <c r="Z111" i="6" s="1"/>
  <c r="C348" i="23" s="1"/>
  <c r="AC63" i="20"/>
  <c r="AC74" i="20" s="1"/>
  <c r="AD42" i="20"/>
  <c r="AD27" i="20"/>
  <c r="Z95" i="20"/>
  <c r="Z227" i="20"/>
  <c r="Y197" i="20"/>
  <c r="Y207" i="20" s="1"/>
  <c r="Y216" i="20" s="1"/>
  <c r="Y225" i="20" s="1"/>
  <c r="AA87" i="20"/>
  <c r="AB94" i="20"/>
  <c r="Y196" i="20"/>
  <c r="Y206" i="20" s="1"/>
  <c r="Y215" i="20" s="1"/>
  <c r="G57" i="20"/>
  <c r="G54" i="20"/>
  <c r="H62" i="20"/>
  <c r="G52" i="20"/>
  <c r="G53" i="20"/>
  <c r="H60" i="20"/>
  <c r="H61" i="20"/>
  <c r="H65" i="20"/>
  <c r="X159" i="20"/>
  <c r="X162" i="20"/>
  <c r="X160" i="20"/>
  <c r="X158" i="20"/>
  <c r="X164" i="20"/>
  <c r="W234" i="20"/>
  <c r="W235" i="20" s="1"/>
  <c r="W236" i="20" s="1"/>
  <c r="Z75" i="20"/>
  <c r="Z161" i="20" s="1"/>
  <c r="AA198" i="20"/>
  <c r="AA208" i="20" s="1"/>
  <c r="AA217" i="20" s="1"/>
  <c r="AA226" i="20" s="1"/>
  <c r="AA199" i="20"/>
  <c r="AA209" i="20" s="1"/>
  <c r="AA218" i="20" s="1"/>
  <c r="AA227" i="20" s="1"/>
  <c r="X215" i="20"/>
  <c r="X224" i="20" s="1"/>
  <c r="X211" i="20"/>
  <c r="AB66" i="20"/>
  <c r="X212" i="20"/>
  <c r="X202" i="20"/>
  <c r="X201" i="20"/>
  <c r="G48" i="20"/>
  <c r="AC62" i="20"/>
  <c r="AC73" i="20" s="1"/>
  <c r="AA200" i="20"/>
  <c r="AA210" i="20" s="1"/>
  <c r="AA219" i="20" s="1"/>
  <c r="AA228" i="20" s="1"/>
  <c r="AC61" i="20"/>
  <c r="AC72" i="20" s="1"/>
  <c r="AB56" i="20"/>
  <c r="AB64" i="20" s="1"/>
  <c r="AC71" i="20"/>
  <c r="AA83" i="20"/>
  <c r="Z197" i="20"/>
  <c r="Z207" i="20" s="1"/>
  <c r="Z216" i="20" s="1"/>
  <c r="W165" i="20"/>
  <c r="W149" i="20"/>
  <c r="BN36" i="1"/>
  <c r="BM42" i="1"/>
  <c r="P74" i="6"/>
  <c r="P83" i="6"/>
  <c r="Q73" i="6"/>
  <c r="J99" i="3"/>
  <c r="J109" i="3" s="1"/>
  <c r="V15" i="7"/>
  <c r="V71" i="7"/>
  <c r="V72" i="7" s="1"/>
  <c r="V79" i="7" s="1"/>
  <c r="K96" i="3" s="1"/>
  <c r="W14" i="7"/>
  <c r="J92" i="3"/>
  <c r="S417" i="1"/>
  <c r="O76" i="6"/>
  <c r="AE376" i="1"/>
  <c r="AA5" i="5"/>
  <c r="AA34" i="5" s="1"/>
  <c r="AC65" i="20"/>
  <c r="E25" i="1"/>
  <c r="E27" i="1" s="1"/>
  <c r="E26" i="1"/>
  <c r="AF5" i="1"/>
  <c r="AF6" i="1"/>
  <c r="AF26" i="1"/>
  <c r="AD112" i="1"/>
  <c r="AD115" i="1" s="1"/>
  <c r="AF19" i="1"/>
  <c r="AE110" i="1"/>
  <c r="AE111" i="1"/>
  <c r="Z196" i="20"/>
  <c r="F40" i="20"/>
  <c r="F41" i="20"/>
  <c r="F38" i="20"/>
  <c r="G60" i="20" s="1"/>
  <c r="F45" i="20"/>
  <c r="F39" i="20"/>
  <c r="G61" i="20" s="1"/>
  <c r="E32" i="20"/>
  <c r="F46" i="20"/>
  <c r="G65" i="20" s="1"/>
  <c r="F37" i="20"/>
  <c r="F43" i="20"/>
  <c r="F36" i="20"/>
  <c r="BN286" i="1"/>
  <c r="BO217" i="1"/>
  <c r="W189" i="20"/>
  <c r="T57" i="6"/>
  <c r="W192" i="20"/>
  <c r="BM250" i="1"/>
  <c r="AA86" i="20"/>
  <c r="AA233" i="20"/>
  <c r="U57" i="6"/>
  <c r="AD39" i="20"/>
  <c r="AD38" i="20"/>
  <c r="AD60" i="20" s="1"/>
  <c r="AD46" i="20"/>
  <c r="AD43" i="20"/>
  <c r="AD45" i="20"/>
  <c r="AD36" i="20"/>
  <c r="AD41" i="20"/>
  <c r="AD37" i="20"/>
  <c r="AD40" i="20"/>
  <c r="V66" i="5"/>
  <c r="V69" i="5" s="1"/>
  <c r="BK10" i="5"/>
  <c r="BJ13" i="5"/>
  <c r="BJ20" i="5"/>
  <c r="BJ38" i="5" s="1"/>
  <c r="AF320" i="1"/>
  <c r="AG293" i="1"/>
  <c r="AF295" i="1"/>
  <c r="AE322" i="1"/>
  <c r="AA164" i="1"/>
  <c r="AA407" i="1" s="1"/>
  <c r="AA409" i="1" s="1"/>
  <c r="AA181" i="1"/>
  <c r="AA188" i="1" s="1"/>
  <c r="W50" i="6"/>
  <c r="W60" i="6" s="1"/>
  <c r="AB160" i="1"/>
  <c r="AB125" i="1"/>
  <c r="W65" i="5"/>
  <c r="X48" i="6"/>
  <c r="U91" i="3"/>
  <c r="AE371" i="1"/>
  <c r="AA2" i="5"/>
  <c r="AF381" i="1"/>
  <c r="AD48" i="1"/>
  <c r="AE95" i="7"/>
  <c r="AD81" i="1"/>
  <c r="AH41" i="6"/>
  <c r="AK372" i="1"/>
  <c r="E381" i="1"/>
  <c r="BJ6" i="5"/>
  <c r="Y33" i="5"/>
  <c r="Y46" i="5" s="1"/>
  <c r="Y55" i="5"/>
  <c r="W59" i="5"/>
  <c r="W71" i="5"/>
  <c r="X63" i="5"/>
  <c r="Y49" i="6"/>
  <c r="AB303" i="1"/>
  <c r="AA330" i="1"/>
  <c r="Z361" i="1"/>
  <c r="AA364" i="1"/>
  <c r="BL21" i="5"/>
  <c r="BL39" i="5" s="1"/>
  <c r="BL14" i="5"/>
  <c r="BM11" i="5"/>
  <c r="X58" i="5"/>
  <c r="Y39" i="6"/>
  <c r="BL9" i="5"/>
  <c r="BK19" i="5"/>
  <c r="BK37" i="5" s="1"/>
  <c r="BK28" i="5"/>
  <c r="X57" i="5"/>
  <c r="X62" i="5"/>
  <c r="Y47" i="6"/>
  <c r="BO218" i="1"/>
  <c r="BO220" i="1" s="1"/>
  <c r="AP176" i="23"/>
  <c r="AP179" i="23" s="1"/>
  <c r="BL33" i="6"/>
  <c r="AB79" i="6"/>
  <c r="AB81" i="6"/>
  <c r="AB80" i="6"/>
  <c r="AB129" i="1"/>
  <c r="AB136" i="1" s="1"/>
  <c r="AB161" i="1"/>
  <c r="AB182" i="1" s="1"/>
  <c r="AB189" i="1" s="1"/>
  <c r="AO222" i="23"/>
  <c r="AO225" i="23" s="1"/>
  <c r="BN169" i="1"/>
  <c r="AI379" i="1"/>
  <c r="Y56" i="5"/>
  <c r="Z40" i="6"/>
  <c r="Z38" i="6"/>
  <c r="AD97" i="7"/>
  <c r="AC83" i="1"/>
  <c r="AC124" i="1"/>
  <c r="AC163" i="1" s="1"/>
  <c r="AC184" i="1" s="1"/>
  <c r="AC191" i="1" s="1"/>
  <c r="AC121" i="1"/>
  <c r="W64" i="5"/>
  <c r="Y26" i="5"/>
  <c r="AC122" i="1"/>
  <c r="AD324" i="1"/>
  <c r="AE297" i="1"/>
  <c r="AD312" i="1"/>
  <c r="AE287" i="1"/>
  <c r="AD375" i="1"/>
  <c r="AE94" i="7"/>
  <c r="AD80" i="1"/>
  <c r="Z4" i="5"/>
  <c r="Z25" i="5" s="1"/>
  <c r="Z31" i="5"/>
  <c r="AE171" i="1"/>
  <c r="AE178" i="1" s="1"/>
  <c r="AE174" i="1"/>
  <c r="AE424" i="1"/>
  <c r="AE427" i="1" s="1"/>
  <c r="AE177" i="1"/>
  <c r="AA12" i="5"/>
  <c r="AF429" i="1"/>
  <c r="AF432" i="1" s="1"/>
  <c r="AF168" i="1"/>
  <c r="BL225" i="1" l="1"/>
  <c r="AF55" i="20"/>
  <c r="BM49" i="1"/>
  <c r="BM225" i="1" s="1"/>
  <c r="BM130" i="1"/>
  <c r="BM137" i="1" s="1"/>
  <c r="F95" i="23"/>
  <c r="AF28" i="1"/>
  <c r="F53" i="23"/>
  <c r="V86" i="3"/>
  <c r="C15" i="1"/>
  <c r="E86" i="20"/>
  <c r="AE15" i="1"/>
  <c r="AH32" i="20"/>
  <c r="AH27" i="20" s="1"/>
  <c r="AG27" i="20"/>
  <c r="AD44" i="6"/>
  <c r="AG30" i="1"/>
  <c r="J105" i="3"/>
  <c r="C304" i="23"/>
  <c r="C307" i="23" s="1"/>
  <c r="C353" i="23"/>
  <c r="BL281" i="1"/>
  <c r="AC348" i="1"/>
  <c r="AA95" i="20"/>
  <c r="AA90" i="20"/>
  <c r="BL356" i="1"/>
  <c r="AD263" i="1"/>
  <c r="AD265" i="1" s="1"/>
  <c r="AD224" i="1"/>
  <c r="AD57" i="1"/>
  <c r="AD230" i="1" s="1"/>
  <c r="AA54" i="6"/>
  <c r="AA111" i="6" s="1"/>
  <c r="D348" i="23" s="1"/>
  <c r="AD63" i="20"/>
  <c r="AD74" i="20" s="1"/>
  <c r="AD55" i="20"/>
  <c r="AE42" i="20"/>
  <c r="AE27" i="20"/>
  <c r="AF63" i="20" s="1"/>
  <c r="AF74" i="20" s="1"/>
  <c r="Z225" i="20"/>
  <c r="Y201" i="20"/>
  <c r="Y221" i="20"/>
  <c r="T59" i="6"/>
  <c r="T62" i="6" s="1"/>
  <c r="T88" i="6" s="1"/>
  <c r="Y220" i="20"/>
  <c r="Y211" i="20"/>
  <c r="Y212" i="20"/>
  <c r="Y202" i="20"/>
  <c r="AC94" i="20"/>
  <c r="AB86" i="20"/>
  <c r="AB87" i="20"/>
  <c r="AB83" i="20"/>
  <c r="F57" i="20"/>
  <c r="F53" i="20"/>
  <c r="F54" i="20"/>
  <c r="G62" i="20"/>
  <c r="F52" i="20"/>
  <c r="G56" i="20"/>
  <c r="Y224" i="20"/>
  <c r="X165" i="20"/>
  <c r="AA75" i="20"/>
  <c r="AA161" i="20" s="1"/>
  <c r="V57" i="6"/>
  <c r="X221" i="20"/>
  <c r="X230" i="20" s="1"/>
  <c r="X220" i="20"/>
  <c r="AB199" i="20"/>
  <c r="AB209" i="20" s="1"/>
  <c r="AB218" i="20" s="1"/>
  <c r="AB227" i="20" s="1"/>
  <c r="X187" i="20"/>
  <c r="X190" i="20"/>
  <c r="AC66" i="20"/>
  <c r="F48" i="20"/>
  <c r="AD62" i="20"/>
  <c r="AD73" i="20" s="1"/>
  <c r="AD57" i="20"/>
  <c r="AD54" i="20"/>
  <c r="AB200" i="20"/>
  <c r="AB210" i="20" s="1"/>
  <c r="AB219" i="20" s="1"/>
  <c r="AB228" i="20" s="1"/>
  <c r="AB198" i="20"/>
  <c r="AB208" i="20" s="1"/>
  <c r="AB217" i="20" s="1"/>
  <c r="AB226" i="20" s="1"/>
  <c r="AC64" i="20"/>
  <c r="AD61" i="20"/>
  <c r="AD72" i="20" s="1"/>
  <c r="AD53" i="20"/>
  <c r="Z202" i="20"/>
  <c r="AD71" i="20"/>
  <c r="AD52" i="20"/>
  <c r="Y164" i="20"/>
  <c r="Y163" i="20"/>
  <c r="Z159" i="20"/>
  <c r="Y160" i="20"/>
  <c r="Y162" i="20"/>
  <c r="BO36" i="1"/>
  <c r="BN42" i="1"/>
  <c r="BN49" i="1" s="1"/>
  <c r="AE81" i="1"/>
  <c r="AE122" i="1" s="1"/>
  <c r="Q74" i="6"/>
  <c r="Q84" i="6" s="1"/>
  <c r="Q107" i="6" s="1"/>
  <c r="Q83" i="6"/>
  <c r="K92" i="3"/>
  <c r="T417" i="1"/>
  <c r="R73" i="6"/>
  <c r="K99" i="3"/>
  <c r="K109" i="3" s="1"/>
  <c r="W71" i="7"/>
  <c r="W72" i="7" s="1"/>
  <c r="W79" i="7" s="1"/>
  <c r="L96" i="3" s="1"/>
  <c r="X14" i="7"/>
  <c r="W15" i="7"/>
  <c r="P76" i="6"/>
  <c r="P84" i="6"/>
  <c r="P107" i="6" s="1"/>
  <c r="AF95" i="7"/>
  <c r="AD65" i="20"/>
  <c r="D25" i="1"/>
  <c r="D27" i="1" s="1"/>
  <c r="D26" i="1"/>
  <c r="AG5" i="1"/>
  <c r="AG6" i="1"/>
  <c r="AG26" i="1"/>
  <c r="AE373" i="1"/>
  <c r="AE374" i="1"/>
  <c r="AE112" i="1"/>
  <c r="AE115" i="1" s="1"/>
  <c r="AG19" i="1"/>
  <c r="AF110" i="1"/>
  <c r="AF111" i="1"/>
  <c r="AA197" i="20"/>
  <c r="AA207" i="20" s="1"/>
  <c r="AA216" i="20" s="1"/>
  <c r="AA225" i="20" s="1"/>
  <c r="Z201" i="20"/>
  <c r="AA196" i="20"/>
  <c r="Z206" i="20"/>
  <c r="Z215" i="20" s="1"/>
  <c r="Z221" i="20" s="1"/>
  <c r="E39" i="20"/>
  <c r="E45" i="20"/>
  <c r="E41" i="20"/>
  <c r="E46" i="20"/>
  <c r="F65" i="20" s="1"/>
  <c r="E38" i="20"/>
  <c r="E36" i="20"/>
  <c r="E37" i="20"/>
  <c r="D32" i="20"/>
  <c r="E40" i="20"/>
  <c r="E43" i="20"/>
  <c r="BP217" i="1"/>
  <c r="BP310" i="1" s="1"/>
  <c r="BO310" i="1"/>
  <c r="BO286" i="1"/>
  <c r="X149" i="20"/>
  <c r="BN196" i="1"/>
  <c r="BN203" i="1" s="1"/>
  <c r="BN250" i="1" s="1"/>
  <c r="AB233" i="20"/>
  <c r="AE46" i="20"/>
  <c r="AE43" i="20"/>
  <c r="AE45" i="20"/>
  <c r="AE39" i="20"/>
  <c r="AF42" i="20"/>
  <c r="AE41" i="20"/>
  <c r="AE38" i="20"/>
  <c r="AE60" i="20" s="1"/>
  <c r="AE40" i="20"/>
  <c r="U59" i="6"/>
  <c r="AE97" i="7"/>
  <c r="W66" i="5"/>
  <c r="W67" i="5" s="1"/>
  <c r="AH293" i="1"/>
  <c r="AG320" i="1"/>
  <c r="X64" i="5"/>
  <c r="BK13" i="5"/>
  <c r="BL10" i="5"/>
  <c r="BK20" i="5"/>
  <c r="BK38" i="5" s="1"/>
  <c r="AF322" i="1"/>
  <c r="AG295" i="1"/>
  <c r="AF376" i="1"/>
  <c r="AB5" i="5"/>
  <c r="AB34" i="5" s="1"/>
  <c r="AF34" i="1"/>
  <c r="AF41" i="1" s="1"/>
  <c r="AA40" i="6"/>
  <c r="Z56" i="5"/>
  <c r="AD37" i="1"/>
  <c r="AD83" i="1"/>
  <c r="AD124" i="1"/>
  <c r="AD163" i="1" s="1"/>
  <c r="AD184" i="1" s="1"/>
  <c r="AD191" i="1" s="1"/>
  <c r="AD121" i="1"/>
  <c r="AE312" i="1"/>
  <c r="AF287" i="1"/>
  <c r="AF297" i="1"/>
  <c r="AE324" i="1"/>
  <c r="AC129" i="1"/>
  <c r="AC136" i="1" s="1"/>
  <c r="AC161" i="1"/>
  <c r="AC182" i="1" s="1"/>
  <c r="AC189" i="1" s="1"/>
  <c r="AC160" i="1"/>
  <c r="AC125" i="1"/>
  <c r="Z26" i="5"/>
  <c r="Y63" i="5"/>
  <c r="Z49" i="6"/>
  <c r="AJ379" i="1"/>
  <c r="AP222" i="23"/>
  <c r="AP225" i="23" s="1"/>
  <c r="BO169" i="1"/>
  <c r="BL34" i="6"/>
  <c r="AO260" i="23" s="1"/>
  <c r="AO263" i="23" s="1"/>
  <c r="BP218" i="1"/>
  <c r="BP220" i="1" s="1"/>
  <c r="AQ176" i="23"/>
  <c r="AQ179" i="23" s="1"/>
  <c r="BM33" i="6"/>
  <c r="BL19" i="5"/>
  <c r="BL37" i="5" s="1"/>
  <c r="BM9" i="5"/>
  <c r="BL28" i="5"/>
  <c r="BN11" i="5"/>
  <c r="BM21" i="5"/>
  <c r="BM39" i="5" s="1"/>
  <c r="BM14" i="5"/>
  <c r="X50" i="6"/>
  <c r="X60" i="6" s="1"/>
  <c r="Z47" i="6"/>
  <c r="Y57" i="5"/>
  <c r="Y62" i="5"/>
  <c r="AD122" i="1"/>
  <c r="AC79" i="6"/>
  <c r="AC80" i="6"/>
  <c r="AC81" i="6"/>
  <c r="AA4" i="5"/>
  <c r="AA25" i="5" s="1"/>
  <c r="AB38" i="6" s="1"/>
  <c r="AA31" i="5"/>
  <c r="AB164" i="1"/>
  <c r="AB407" i="1" s="1"/>
  <c r="AB409" i="1" s="1"/>
  <c r="AB181" i="1"/>
  <c r="AB188" i="1" s="1"/>
  <c r="V77" i="5"/>
  <c r="Z55" i="5"/>
  <c r="AA47" i="6" s="1"/>
  <c r="Z33" i="5"/>
  <c r="Z46" i="5" s="1"/>
  <c r="AA38" i="6"/>
  <c r="Z39" i="6"/>
  <c r="Y58" i="5"/>
  <c r="AE48" i="1"/>
  <c r="X71" i="5"/>
  <c r="X72" i="5" s="1"/>
  <c r="X73" i="5" s="1"/>
  <c r="X59" i="5"/>
  <c r="X65" i="5"/>
  <c r="Y48" i="6"/>
  <c r="AA361" i="1"/>
  <c r="AB364" i="1"/>
  <c r="AB330" i="1"/>
  <c r="AC303" i="1"/>
  <c r="W72" i="5"/>
  <c r="W73" i="5" s="1"/>
  <c r="BK6" i="5"/>
  <c r="BJ32" i="5"/>
  <c r="D381" i="1"/>
  <c r="AL372" i="1"/>
  <c r="AI41" i="6"/>
  <c r="AB2" i="5"/>
  <c r="AF33" i="1"/>
  <c r="V91" i="3"/>
  <c r="AF371" i="1"/>
  <c r="AH13" i="1"/>
  <c r="AG381" i="1"/>
  <c r="AF94" i="7"/>
  <c r="AE80" i="1"/>
  <c r="AE375" i="1"/>
  <c r="AG429" i="1"/>
  <c r="AG432" i="1" s="1"/>
  <c r="AG168" i="1"/>
  <c r="AB12" i="5"/>
  <c r="AF424" i="1"/>
  <c r="AF427" i="1" s="1"/>
  <c r="AF177" i="1"/>
  <c r="AF171" i="1"/>
  <c r="AF178" i="1" s="1"/>
  <c r="AF174" i="1"/>
  <c r="BM279" i="1" l="1"/>
  <c r="BM281" i="1" s="1"/>
  <c r="AH63" i="20"/>
  <c r="AH74" i="20" s="1"/>
  <c r="AH55" i="20"/>
  <c r="AG55" i="20"/>
  <c r="AG63" i="20"/>
  <c r="AG74" i="20" s="1"/>
  <c r="G95" i="23"/>
  <c r="AG28" i="1"/>
  <c r="G53" i="23"/>
  <c r="W86" i="3"/>
  <c r="B15" i="1"/>
  <c r="D86" i="20"/>
  <c r="AI32" i="20"/>
  <c r="AF15" i="1"/>
  <c r="AE44" i="6"/>
  <c r="AH30" i="1"/>
  <c r="K105" i="3"/>
  <c r="BM34" i="6"/>
  <c r="AP260" i="23" s="1"/>
  <c r="AP263" i="23" s="1"/>
  <c r="AD157" i="20"/>
  <c r="Y229" i="20"/>
  <c r="D304" i="23"/>
  <c r="D307" i="23" s="1"/>
  <c r="D353" i="23"/>
  <c r="AD156" i="20"/>
  <c r="BM283" i="1"/>
  <c r="AD348" i="1"/>
  <c r="AB95" i="20"/>
  <c r="AB90" i="20"/>
  <c r="BM356" i="1"/>
  <c r="AE263" i="1"/>
  <c r="AE265" i="1" s="1"/>
  <c r="AE224" i="1"/>
  <c r="BN279" i="1"/>
  <c r="BN281" i="1" s="1"/>
  <c r="BN225" i="1"/>
  <c r="AE57" i="1"/>
  <c r="AE230" i="1" s="1"/>
  <c r="AB54" i="6"/>
  <c r="AB111" i="6" s="1"/>
  <c r="E348" i="23" s="1"/>
  <c r="AE63" i="20"/>
  <c r="AE74" i="20" s="1"/>
  <c r="AE55" i="20"/>
  <c r="Y187" i="20"/>
  <c r="Y188" i="20"/>
  <c r="Y191" i="20"/>
  <c r="T63" i="6"/>
  <c r="T91" i="6"/>
  <c r="T87" i="6"/>
  <c r="Y190" i="20"/>
  <c r="E57" i="20"/>
  <c r="E54" i="20"/>
  <c r="E52" i="20"/>
  <c r="E53" i="20"/>
  <c r="F61" i="20"/>
  <c r="F60" i="20"/>
  <c r="F62" i="20"/>
  <c r="F56" i="20"/>
  <c r="X188" i="20"/>
  <c r="X189" i="20" s="1"/>
  <c r="Y230" i="20"/>
  <c r="X191" i="20"/>
  <c r="X192" i="20" s="1"/>
  <c r="X229" i="20"/>
  <c r="AB75" i="20"/>
  <c r="X234" i="20"/>
  <c r="X235" i="20" s="1"/>
  <c r="X236" i="20" s="1"/>
  <c r="AC199" i="20"/>
  <c r="AC209" i="20" s="1"/>
  <c r="AC218" i="20" s="1"/>
  <c r="AC227" i="20" s="1"/>
  <c r="AD66" i="20"/>
  <c r="E48" i="20"/>
  <c r="Z158" i="20"/>
  <c r="AC200" i="20"/>
  <c r="AC210" i="20" s="1"/>
  <c r="AC219" i="20" s="1"/>
  <c r="AC228" i="20" s="1"/>
  <c r="AD155" i="20"/>
  <c r="AE62" i="20"/>
  <c r="AE73" i="20" s="1"/>
  <c r="AE57" i="20"/>
  <c r="AE54" i="20"/>
  <c r="AC198" i="20"/>
  <c r="AC208" i="20" s="1"/>
  <c r="AC217" i="20" s="1"/>
  <c r="AC226" i="20" s="1"/>
  <c r="AD154" i="20"/>
  <c r="AC5" i="5"/>
  <c r="AC34" i="5" s="1"/>
  <c r="AC149" i="20"/>
  <c r="AD56" i="20"/>
  <c r="AD64" i="20" s="1"/>
  <c r="AE61" i="20"/>
  <c r="AE72" i="20" s="1"/>
  <c r="AE53" i="20"/>
  <c r="AE71" i="20"/>
  <c r="AE52" i="20"/>
  <c r="Z164" i="20"/>
  <c r="Z162" i="20"/>
  <c r="Z163" i="20"/>
  <c r="Y159" i="20"/>
  <c r="Y158" i="20"/>
  <c r="Q76" i="6"/>
  <c r="BP36" i="1"/>
  <c r="BO42" i="1"/>
  <c r="BO49" i="1" s="1"/>
  <c r="AF97" i="7"/>
  <c r="R83" i="6"/>
  <c r="R74" i="6"/>
  <c r="R76" i="6" s="1"/>
  <c r="L92" i="3"/>
  <c r="K117" i="3"/>
  <c r="K116" i="3"/>
  <c r="K115" i="3"/>
  <c r="U417" i="1"/>
  <c r="X15" i="7"/>
  <c r="Y14" i="7"/>
  <c r="X71" i="7"/>
  <c r="X72" i="7" s="1"/>
  <c r="X79" i="7" s="1"/>
  <c r="M96" i="3" s="1"/>
  <c r="S73" i="6"/>
  <c r="L99" i="3"/>
  <c r="L109" i="3" s="1"/>
  <c r="AE65" i="20"/>
  <c r="AG376" i="1"/>
  <c r="AG34" i="1"/>
  <c r="AG41" i="1" s="1"/>
  <c r="C26" i="1"/>
  <c r="C25" i="1"/>
  <c r="C27" i="1" s="1"/>
  <c r="AH6" i="1"/>
  <c r="AH5" i="1"/>
  <c r="AH26" i="1"/>
  <c r="AF373" i="1"/>
  <c r="AF374" i="1"/>
  <c r="AH19" i="1"/>
  <c r="AG110" i="1"/>
  <c r="AG111" i="1"/>
  <c r="AF112" i="1"/>
  <c r="AF115" i="1" s="1"/>
  <c r="AA202" i="20"/>
  <c r="AA159" i="20"/>
  <c r="Z220" i="20"/>
  <c r="Z188" i="20" s="1"/>
  <c r="Z224" i="20"/>
  <c r="Z212" i="20"/>
  <c r="Z190" i="20" s="1"/>
  <c r="Z211" i="20"/>
  <c r="Z187" i="20" s="1"/>
  <c r="AA201" i="20"/>
  <c r="AA206" i="20"/>
  <c r="AA212" i="20" s="1"/>
  <c r="C32" i="20"/>
  <c r="C86" i="20" s="1"/>
  <c r="D37" i="20"/>
  <c r="D39" i="20"/>
  <c r="D53" i="20" s="1"/>
  <c r="D43" i="20"/>
  <c r="D41" i="20"/>
  <c r="D38" i="20"/>
  <c r="D52" i="20" s="1"/>
  <c r="D45" i="20"/>
  <c r="D46" i="20"/>
  <c r="D48" i="20" s="1"/>
  <c r="D40" i="20"/>
  <c r="D54" i="20" s="1"/>
  <c r="D36" i="20"/>
  <c r="AB196" i="20"/>
  <c r="AB206" i="20" s="1"/>
  <c r="AB197" i="20"/>
  <c r="AB207" i="20" s="1"/>
  <c r="AB216" i="20" s="1"/>
  <c r="AB225" i="20" s="1"/>
  <c r="BP286" i="1"/>
  <c r="BQ217" i="1"/>
  <c r="BO196" i="1"/>
  <c r="BO203" i="1" s="1"/>
  <c r="BO250" i="1" s="1"/>
  <c r="Z191" i="20"/>
  <c r="Z230" i="20"/>
  <c r="AF41" i="20"/>
  <c r="AF37" i="20"/>
  <c r="AF46" i="20"/>
  <c r="AF43" i="20"/>
  <c r="AF40" i="20"/>
  <c r="AF39" i="20"/>
  <c r="AF36" i="20"/>
  <c r="AF45" i="20"/>
  <c r="AF38" i="20"/>
  <c r="AF60" i="20" s="1"/>
  <c r="V59" i="6"/>
  <c r="W69" i="5"/>
  <c r="W70" i="5" s="1"/>
  <c r="W74" i="5" s="1"/>
  <c r="W76" i="5" s="1"/>
  <c r="X66" i="5"/>
  <c r="X69" i="5" s="1"/>
  <c r="Y64" i="5"/>
  <c r="BL13" i="5"/>
  <c r="BL20" i="5"/>
  <c r="BL38" i="5" s="1"/>
  <c r="BM10" i="5"/>
  <c r="AH320" i="1"/>
  <c r="AI293" i="1"/>
  <c r="AH295" i="1"/>
  <c r="AG322" i="1"/>
  <c r="AA55" i="5"/>
  <c r="AB47" i="6" s="1"/>
  <c r="AA33" i="5"/>
  <c r="AA46" i="5" s="1"/>
  <c r="Y71" i="5"/>
  <c r="Y59" i="5"/>
  <c r="BQ218" i="1"/>
  <c r="BQ220" i="1" s="1"/>
  <c r="AR176" i="23"/>
  <c r="AR179" i="23" s="1"/>
  <c r="BN33" i="6"/>
  <c r="BP169" i="1"/>
  <c r="AQ222" i="23"/>
  <c r="AQ225" i="23" s="1"/>
  <c r="AA39" i="6"/>
  <c r="Z58" i="5"/>
  <c r="AG297" i="1"/>
  <c r="AF324" i="1"/>
  <c r="Z63" i="5"/>
  <c r="AA49" i="6"/>
  <c r="AE121" i="1"/>
  <c r="AE83" i="1"/>
  <c r="AE124" i="1"/>
  <c r="AE163" i="1" s="1"/>
  <c r="AE184" i="1" s="1"/>
  <c r="AE191" i="1" s="1"/>
  <c r="AE37" i="1"/>
  <c r="AC2" i="5"/>
  <c r="AG371" i="1"/>
  <c r="W91" i="3"/>
  <c r="AG33" i="1"/>
  <c r="AH381" i="1"/>
  <c r="AI13" i="1"/>
  <c r="AD81" i="6"/>
  <c r="AD80" i="6"/>
  <c r="AD79" i="6"/>
  <c r="AF375" i="1"/>
  <c r="AF80" i="1"/>
  <c r="AG94" i="7"/>
  <c r="BL6" i="5"/>
  <c r="BK32" i="5"/>
  <c r="AD303" i="1"/>
  <c r="AC330" i="1"/>
  <c r="AB361" i="1"/>
  <c r="AC364" i="1"/>
  <c r="Y50" i="6"/>
  <c r="Y60" i="6" s="1"/>
  <c r="AB40" i="6"/>
  <c r="AA56" i="5"/>
  <c r="AD129" i="1"/>
  <c r="AD136" i="1" s="1"/>
  <c r="AD219" i="1" s="1"/>
  <c r="AD161" i="1"/>
  <c r="AD182" i="1" s="1"/>
  <c r="AD189" i="1" s="1"/>
  <c r="BN14" i="5"/>
  <c r="BN21" i="5"/>
  <c r="BN39" i="5" s="1"/>
  <c r="BO11" i="5"/>
  <c r="BM19" i="5"/>
  <c r="BM37" i="5" s="1"/>
  <c r="BM28" i="5"/>
  <c r="BN9" i="5"/>
  <c r="AE129" i="1"/>
  <c r="AE161" i="1"/>
  <c r="AE182" i="1" s="1"/>
  <c r="AE189" i="1" s="1"/>
  <c r="AK379" i="1"/>
  <c r="AC164" i="1"/>
  <c r="AC407" i="1" s="1"/>
  <c r="AC409" i="1" s="1"/>
  <c r="AC181" i="1"/>
  <c r="AC188" i="1" s="1"/>
  <c r="AG287" i="1"/>
  <c r="AF312" i="1"/>
  <c r="AD125" i="1"/>
  <c r="AD160" i="1"/>
  <c r="AA26" i="5"/>
  <c r="AG95" i="7"/>
  <c r="AF48" i="1"/>
  <c r="AF81" i="1"/>
  <c r="AB31" i="5"/>
  <c r="AB4" i="5"/>
  <c r="AB25" i="5" s="1"/>
  <c r="AC38" i="6" s="1"/>
  <c r="AM372" i="1"/>
  <c r="AJ41" i="6"/>
  <c r="C381" i="1"/>
  <c r="Y65" i="5"/>
  <c r="Z48" i="6"/>
  <c r="Z57" i="5"/>
  <c r="Z62" i="5"/>
  <c r="AH429" i="1"/>
  <c r="AH432" i="1" s="1"/>
  <c r="AH168" i="1"/>
  <c r="AG177" i="1"/>
  <c r="AG424" i="1"/>
  <c r="AG427" i="1" s="1"/>
  <c r="AG171" i="1"/>
  <c r="AG178" i="1" s="1"/>
  <c r="AG174" i="1"/>
  <c r="AC12" i="5"/>
  <c r="AI27" i="20" l="1"/>
  <c r="AG15" i="1"/>
  <c r="AI63" i="20"/>
  <c r="AI74" i="20" s="1"/>
  <c r="AI55" i="20"/>
  <c r="H95" i="23"/>
  <c r="AH28" i="1"/>
  <c r="H53" i="23"/>
  <c r="X86" i="3"/>
  <c r="AJ32" i="20"/>
  <c r="AJ27" i="20" s="1"/>
  <c r="AF44" i="6"/>
  <c r="AI30" i="1"/>
  <c r="L105" i="3"/>
  <c r="BN34" i="6"/>
  <c r="AQ260" i="23" s="1"/>
  <c r="AQ263" i="23" s="1"/>
  <c r="AF82" i="20"/>
  <c r="AG82" i="20" s="1"/>
  <c r="AH82" i="20" s="1"/>
  <c r="AA160" i="20"/>
  <c r="Z160" i="20"/>
  <c r="BN283" i="1"/>
  <c r="BN356" i="1"/>
  <c r="E304" i="23"/>
  <c r="E307" i="23" s="1"/>
  <c r="E353" i="23"/>
  <c r="AE348" i="1"/>
  <c r="AF263" i="1"/>
  <c r="AF265" i="1" s="1"/>
  <c r="AF224" i="1"/>
  <c r="BO279" i="1"/>
  <c r="BO283" i="1" s="1"/>
  <c r="BO225" i="1"/>
  <c r="AF57" i="1"/>
  <c r="AF230" i="1" s="1"/>
  <c r="AC54" i="6"/>
  <c r="AC111" i="6" s="1"/>
  <c r="F348" i="23" s="1"/>
  <c r="Y192" i="20"/>
  <c r="Y189" i="20"/>
  <c r="Y234" i="20"/>
  <c r="Y235" i="20" s="1"/>
  <c r="Y236" i="20" s="1"/>
  <c r="AC87" i="20"/>
  <c r="AD94" i="20"/>
  <c r="E56" i="20"/>
  <c r="E61" i="20"/>
  <c r="E62" i="20"/>
  <c r="D57" i="20"/>
  <c r="D56" i="20" s="1"/>
  <c r="E65" i="20"/>
  <c r="E60" i="20"/>
  <c r="W57" i="6"/>
  <c r="AA158" i="20"/>
  <c r="Z234" i="20"/>
  <c r="Z235" i="20" s="1"/>
  <c r="AD199" i="20"/>
  <c r="AD209" i="20" s="1"/>
  <c r="AD218" i="20" s="1"/>
  <c r="AD227" i="20" s="1"/>
  <c r="AE66" i="20"/>
  <c r="Z148" i="20"/>
  <c r="AD200" i="20"/>
  <c r="AD210" i="20" s="1"/>
  <c r="AD219" i="20" s="1"/>
  <c r="AD228" i="20" s="1"/>
  <c r="AF62" i="20"/>
  <c r="AF73" i="20" s="1"/>
  <c r="AF54" i="20"/>
  <c r="AF57" i="20"/>
  <c r="AD198" i="20"/>
  <c r="AD208" i="20" s="1"/>
  <c r="AD217" i="20" s="1"/>
  <c r="AD226" i="20" s="1"/>
  <c r="AE157" i="20"/>
  <c r="AC83" i="20"/>
  <c r="AE155" i="20"/>
  <c r="AC233" i="20"/>
  <c r="AC86" i="20"/>
  <c r="AE56" i="20"/>
  <c r="AE64" i="20" s="1"/>
  <c r="AF61" i="20"/>
  <c r="AF72" i="20" s="1"/>
  <c r="AF53" i="20"/>
  <c r="AF71" i="20"/>
  <c r="AF52" i="20"/>
  <c r="L117" i="3"/>
  <c r="L116" i="3"/>
  <c r="L115" i="3"/>
  <c r="AA164" i="20"/>
  <c r="AA162" i="20"/>
  <c r="AA163" i="20"/>
  <c r="Y165" i="20"/>
  <c r="Y149" i="20"/>
  <c r="AH95" i="7"/>
  <c r="BQ36" i="1"/>
  <c r="BP42" i="1"/>
  <c r="BP49" i="1" s="1"/>
  <c r="Z14" i="7"/>
  <c r="Y71" i="7"/>
  <c r="Y72" i="7" s="1"/>
  <c r="Y79" i="7" s="1"/>
  <c r="N96" i="3" s="1"/>
  <c r="Y15" i="7"/>
  <c r="M92" i="3"/>
  <c r="V417" i="1"/>
  <c r="S83" i="6"/>
  <c r="S74" i="6"/>
  <c r="R84" i="6"/>
  <c r="R107" i="6" s="1"/>
  <c r="M99" i="3"/>
  <c r="M109" i="3" s="1"/>
  <c r="T73" i="6"/>
  <c r="AF65" i="20"/>
  <c r="AG81" i="1"/>
  <c r="AG122" i="1" s="1"/>
  <c r="AH376" i="1"/>
  <c r="B25" i="1"/>
  <c r="B27" i="1" s="1"/>
  <c r="B26" i="1"/>
  <c r="AI6" i="1"/>
  <c r="AI5" i="1"/>
  <c r="AI26" i="1"/>
  <c r="AG373" i="1"/>
  <c r="AG374" i="1"/>
  <c r="AH34" i="1"/>
  <c r="AD5" i="5"/>
  <c r="AD34" i="5" s="1"/>
  <c r="AG112" i="1"/>
  <c r="AG115" i="1" s="1"/>
  <c r="AI19" i="1"/>
  <c r="AH110" i="1"/>
  <c r="AH111" i="1"/>
  <c r="Z192" i="20"/>
  <c r="Z229" i="20"/>
  <c r="AA190" i="20"/>
  <c r="AA215" i="20"/>
  <c r="AA224" i="20" s="1"/>
  <c r="Z189" i="20"/>
  <c r="AA211" i="20"/>
  <c r="AA187" i="20" s="1"/>
  <c r="Y66" i="5"/>
  <c r="Y69" i="5" s="1"/>
  <c r="X67" i="5"/>
  <c r="AB202" i="20"/>
  <c r="AB201" i="20"/>
  <c r="W77" i="5"/>
  <c r="BQ310" i="1"/>
  <c r="BQ286" i="1"/>
  <c r="BR217" i="1"/>
  <c r="BR310" i="1" s="1"/>
  <c r="BP196" i="1"/>
  <c r="BP203" i="1" s="1"/>
  <c r="BP250" i="1" s="1"/>
  <c r="AB215" i="20"/>
  <c r="AB212" i="20"/>
  <c r="AB211" i="20"/>
  <c r="AG46" i="20"/>
  <c r="AG60" i="20"/>
  <c r="AE136" i="1"/>
  <c r="AE219" i="1" s="1"/>
  <c r="AI320" i="1"/>
  <c r="AJ293" i="1"/>
  <c r="BN10" i="5"/>
  <c r="BM20" i="5"/>
  <c r="BM38" i="5" s="1"/>
  <c r="BM13" i="5"/>
  <c r="AH322" i="1"/>
  <c r="AI295" i="1"/>
  <c r="Z71" i="5"/>
  <c r="Z72" i="5" s="1"/>
  <c r="Z73" i="5" s="1"/>
  <c r="Z59" i="5"/>
  <c r="B381" i="1"/>
  <c r="AN372" i="1"/>
  <c r="AK41" i="6"/>
  <c r="AB33" i="5"/>
  <c r="AB46" i="5" s="1"/>
  <c r="AB55" i="5"/>
  <c r="AD164" i="1"/>
  <c r="AD407" i="1" s="1"/>
  <c r="AD409" i="1" s="1"/>
  <c r="AD181" i="1"/>
  <c r="AD188" i="1" s="1"/>
  <c r="AH287" i="1"/>
  <c r="AG312" i="1"/>
  <c r="BO9" i="5"/>
  <c r="BN19" i="5"/>
  <c r="BN37" i="5" s="1"/>
  <c r="BN28" i="5"/>
  <c r="BP11" i="5"/>
  <c r="BO14" i="5"/>
  <c r="BO21" i="5"/>
  <c r="BO39" i="5" s="1"/>
  <c r="AA63" i="5"/>
  <c r="AB49" i="6"/>
  <c r="X77" i="5"/>
  <c r="AC361" i="1"/>
  <c r="AD364" i="1"/>
  <c r="AE303" i="1"/>
  <c r="AD330" i="1"/>
  <c r="AD2" i="5"/>
  <c r="AH371" i="1"/>
  <c r="AH33" i="1"/>
  <c r="X91" i="3"/>
  <c r="AE79" i="6"/>
  <c r="AE81" i="6"/>
  <c r="AE80" i="6"/>
  <c r="AH94" i="7"/>
  <c r="AG80" i="1"/>
  <c r="AG375" i="1"/>
  <c r="AE160" i="1"/>
  <c r="AE125" i="1"/>
  <c r="Z65" i="5"/>
  <c r="AA48" i="6"/>
  <c r="Z50" i="6"/>
  <c r="Z60" i="6" s="1"/>
  <c r="Z64" i="5"/>
  <c r="AC40" i="6"/>
  <c r="AB56" i="5"/>
  <c r="AF122" i="1"/>
  <c r="AB39" i="6"/>
  <c r="AA58" i="5"/>
  <c r="AL379" i="1"/>
  <c r="AG48" i="1"/>
  <c r="AB26" i="5"/>
  <c r="BM6" i="5"/>
  <c r="BL32" i="5"/>
  <c r="AG97" i="7"/>
  <c r="AF121" i="1"/>
  <c r="AF124" i="1"/>
  <c r="AF163" i="1" s="1"/>
  <c r="AF184" i="1" s="1"/>
  <c r="AF191" i="1" s="1"/>
  <c r="AF83" i="1"/>
  <c r="AF37" i="1"/>
  <c r="AI381" i="1"/>
  <c r="AJ13" i="1"/>
  <c r="AC31" i="5"/>
  <c r="AC4" i="5"/>
  <c r="AC25" i="5" s="1"/>
  <c r="AD38" i="6" s="1"/>
  <c r="AH297" i="1"/>
  <c r="AG324" i="1"/>
  <c r="BQ169" i="1"/>
  <c r="AR222" i="23"/>
  <c r="AR225" i="23" s="1"/>
  <c r="AS176" i="23"/>
  <c r="AS179" i="23" s="1"/>
  <c r="BR218" i="1"/>
  <c r="BR220" i="1" s="1"/>
  <c r="BO33" i="6"/>
  <c r="X70" i="5"/>
  <c r="X74" i="5" s="1"/>
  <c r="Y72" i="5"/>
  <c r="Y73" i="5" s="1"/>
  <c r="AA57" i="5"/>
  <c r="AA62" i="5"/>
  <c r="AI429" i="1"/>
  <c r="AI432" i="1" s="1"/>
  <c r="AI168" i="1"/>
  <c r="AH177" i="1"/>
  <c r="AH174" i="1"/>
  <c r="AH171" i="1"/>
  <c r="AH178" i="1" s="1"/>
  <c r="AD12" i="5"/>
  <c r="AH424" i="1"/>
  <c r="AH427" i="1" s="1"/>
  <c r="AI82" i="20" l="1"/>
  <c r="AE156" i="20"/>
  <c r="AF139" i="20"/>
  <c r="AG139" i="20" s="1"/>
  <c r="AH139" i="20" s="1"/>
  <c r="AI139" i="20" s="1"/>
  <c r="AJ63" i="20"/>
  <c r="AJ74" i="20" s="1"/>
  <c r="AJ82" i="20" s="1"/>
  <c r="AJ55" i="20"/>
  <c r="AI376" i="1"/>
  <c r="AI28" i="1"/>
  <c r="I53" i="23"/>
  <c r="Y86" i="3"/>
  <c r="AK32" i="20"/>
  <c r="AK27" i="20" s="1"/>
  <c r="AK63" i="20" s="1"/>
  <c r="AK74" i="20" s="1"/>
  <c r="AH15" i="1"/>
  <c r="AG44" i="6"/>
  <c r="AJ30" i="1"/>
  <c r="M105" i="3"/>
  <c r="BO34" i="6"/>
  <c r="AR260" i="23" s="1"/>
  <c r="AR263" i="23" s="1"/>
  <c r="BO281" i="1"/>
  <c r="F304" i="23"/>
  <c r="F307" i="23" s="1"/>
  <c r="F353" i="23"/>
  <c r="AF348" i="1"/>
  <c r="BO356" i="1"/>
  <c r="AC95" i="20"/>
  <c r="AC90" i="20"/>
  <c r="BP279" i="1"/>
  <c r="BP283" i="1" s="1"/>
  <c r="BP225" i="1"/>
  <c r="AG263" i="1"/>
  <c r="AG265" i="1" s="1"/>
  <c r="AG224" i="1"/>
  <c r="AG57" i="1"/>
  <c r="AG230" i="1" s="1"/>
  <c r="AD54" i="6"/>
  <c r="AD111" i="6" s="1"/>
  <c r="G348" i="23" s="1"/>
  <c r="Z236" i="20"/>
  <c r="W59" i="6"/>
  <c r="W62" i="6" s="1"/>
  <c r="W91" i="6" s="1"/>
  <c r="AD87" i="20"/>
  <c r="AE94" i="20"/>
  <c r="AA234" i="20"/>
  <c r="AA235" i="20" s="1"/>
  <c r="AA236" i="20" s="1"/>
  <c r="AC75" i="20"/>
  <c r="AE198" i="20"/>
  <c r="AE208" i="20" s="1"/>
  <c r="AE217" i="20" s="1"/>
  <c r="AE226" i="20" s="1"/>
  <c r="Z165" i="20"/>
  <c r="AF66" i="20"/>
  <c r="M117" i="3"/>
  <c r="M116" i="3"/>
  <c r="M115" i="3"/>
  <c r="AE200" i="20"/>
  <c r="AE210" i="20" s="1"/>
  <c r="AE219" i="20" s="1"/>
  <c r="AE228" i="20" s="1"/>
  <c r="AF79" i="20"/>
  <c r="AF81" i="20"/>
  <c r="AG62" i="20"/>
  <c r="AG73" i="20" s="1"/>
  <c r="AG57" i="20"/>
  <c r="AG54" i="20"/>
  <c r="AF140" i="20"/>
  <c r="AF157" i="20" s="1"/>
  <c r="X57" i="6"/>
  <c r="AE199" i="20"/>
  <c r="AE209" i="20" s="1"/>
  <c r="AE218" i="20" s="1"/>
  <c r="AE227" i="20" s="1"/>
  <c r="AD233" i="20"/>
  <c r="AD83" i="20"/>
  <c r="AF80" i="20"/>
  <c r="AD86" i="20"/>
  <c r="AC197" i="20"/>
  <c r="AC207" i="20" s="1"/>
  <c r="AC216" i="20" s="1"/>
  <c r="AC225" i="20" s="1"/>
  <c r="AC196" i="20"/>
  <c r="AC206" i="20" s="1"/>
  <c r="AF138" i="20"/>
  <c r="AF155" i="20" s="1"/>
  <c r="AF137" i="20"/>
  <c r="AF154" i="20" s="1"/>
  <c r="AG61" i="20"/>
  <c r="AG72" i="20" s="1"/>
  <c r="AG53" i="20"/>
  <c r="AG71" i="20"/>
  <c r="AG52" i="20"/>
  <c r="AF56" i="20"/>
  <c r="AF64" i="20" s="1"/>
  <c r="Z149" i="20"/>
  <c r="AH41" i="1"/>
  <c r="AH48" i="1" s="1"/>
  <c r="AH97" i="7"/>
  <c r="BR36" i="1"/>
  <c r="BQ42" i="1"/>
  <c r="BQ49" i="1" s="1"/>
  <c r="N92" i="3"/>
  <c r="W417" i="1"/>
  <c r="N99" i="3"/>
  <c r="N109" i="3" s="1"/>
  <c r="U73" i="6"/>
  <c r="T74" i="6"/>
  <c r="T83" i="6"/>
  <c r="S76" i="6"/>
  <c r="S84" i="6"/>
  <c r="S107" i="6" s="1"/>
  <c r="Z71" i="7"/>
  <c r="Z72" i="7" s="1"/>
  <c r="Z79" i="7" s="1"/>
  <c r="O96" i="3" s="1"/>
  <c r="Z15" i="7"/>
  <c r="AA14" i="7"/>
  <c r="AG65" i="20"/>
  <c r="AE5" i="5"/>
  <c r="AE34" i="5" s="1"/>
  <c r="AH42" i="20"/>
  <c r="AH46" i="20"/>
  <c r="I95" i="23"/>
  <c r="AJ5" i="1"/>
  <c r="AJ6" i="1"/>
  <c r="AJ26" i="1"/>
  <c r="AI34" i="1"/>
  <c r="AH373" i="1"/>
  <c r="AH374" i="1"/>
  <c r="AH81" i="1"/>
  <c r="AH122" i="1" s="1"/>
  <c r="AI95" i="7"/>
  <c r="AJ19" i="1"/>
  <c r="AI110" i="1"/>
  <c r="AI111" i="1"/>
  <c r="AH112" i="1"/>
  <c r="AH115" i="1" s="1"/>
  <c r="AA221" i="20"/>
  <c r="AA191" i="20" s="1"/>
  <c r="AA192" i="20" s="1"/>
  <c r="AA220" i="20"/>
  <c r="AA188" i="20" s="1"/>
  <c r="AA189" i="20" s="1"/>
  <c r="X76" i="5"/>
  <c r="Y67" i="5"/>
  <c r="AB190" i="20"/>
  <c r="AB187" i="20"/>
  <c r="BS217" i="1"/>
  <c r="BS310" i="1" s="1"/>
  <c r="BR286" i="1"/>
  <c r="BQ196" i="1"/>
  <c r="BQ203" i="1" s="1"/>
  <c r="BQ250" i="1" s="1"/>
  <c r="AH40" i="20"/>
  <c r="AH39" i="20"/>
  <c r="AH45" i="20"/>
  <c r="AH36" i="20"/>
  <c r="AI42" i="20"/>
  <c r="AH41" i="20"/>
  <c r="AH38" i="20"/>
  <c r="AH60" i="20" s="1"/>
  <c r="AH37" i="20"/>
  <c r="AH43" i="20"/>
  <c r="AB221" i="20"/>
  <c r="AB220" i="20"/>
  <c r="AB224" i="20"/>
  <c r="BN20" i="5"/>
  <c r="BN38" i="5" s="1"/>
  <c r="BO10" i="5"/>
  <c r="BN13" i="5"/>
  <c r="AA64" i="5"/>
  <c r="AJ320" i="1"/>
  <c r="AK293" i="1"/>
  <c r="AI322" i="1"/>
  <c r="AJ295" i="1"/>
  <c r="BS218" i="1"/>
  <c r="BS220" i="1" s="1"/>
  <c r="AT176" i="23"/>
  <c r="AT179" i="23" s="1"/>
  <c r="BP33" i="6"/>
  <c r="AC33" i="5"/>
  <c r="AC46" i="5" s="1"/>
  <c r="AC55" i="5"/>
  <c r="AF160" i="1"/>
  <c r="AF125" i="1"/>
  <c r="BN6" i="5"/>
  <c r="BM32" i="5"/>
  <c r="AM379" i="1"/>
  <c r="AA65" i="5"/>
  <c r="AB48" i="6"/>
  <c r="AB63" i="5"/>
  <c r="AC49" i="6"/>
  <c r="Y77" i="5"/>
  <c r="AE164" i="1"/>
  <c r="AE407" i="1" s="1"/>
  <c r="AE409" i="1" s="1"/>
  <c r="AE181" i="1"/>
  <c r="AE188" i="1" s="1"/>
  <c r="AG83" i="1"/>
  <c r="AG124" i="1"/>
  <c r="AG163" i="1" s="1"/>
  <c r="AG184" i="1" s="1"/>
  <c r="AG191" i="1" s="1"/>
  <c r="AG37" i="1"/>
  <c r="AG121" i="1"/>
  <c r="AH80" i="1"/>
  <c r="AI94" i="7"/>
  <c r="AH375" i="1"/>
  <c r="AE364" i="1"/>
  <c r="AD361" i="1"/>
  <c r="AG129" i="1"/>
  <c r="AG161" i="1"/>
  <c r="AG182" i="1" s="1"/>
  <c r="AG189" i="1" s="1"/>
  <c r="BP9" i="5"/>
  <c r="BO28" i="5"/>
  <c r="BO19" i="5"/>
  <c r="BO37" i="5" s="1"/>
  <c r="AI287" i="1"/>
  <c r="AH312" i="1"/>
  <c r="AB57" i="5"/>
  <c r="AB62" i="5"/>
  <c r="AL41" i="6"/>
  <c r="AO372" i="1"/>
  <c r="AA50" i="6"/>
  <c r="AA60" i="6" s="1"/>
  <c r="AA71" i="5"/>
  <c r="AA72" i="5" s="1"/>
  <c r="AA73" i="5" s="1"/>
  <c r="AA59" i="5"/>
  <c r="BR169" i="1"/>
  <c r="AS222" i="23"/>
  <c r="AS225" i="23" s="1"/>
  <c r="AH324" i="1"/>
  <c r="AI297" i="1"/>
  <c r="AC56" i="5"/>
  <c r="AD40" i="6"/>
  <c r="AI33" i="1"/>
  <c r="Y91" i="3"/>
  <c r="AE2" i="5"/>
  <c r="AI371" i="1"/>
  <c r="AJ381" i="1"/>
  <c r="AK13" i="1"/>
  <c r="AF81" i="6"/>
  <c r="AF79" i="6"/>
  <c r="AF80" i="6"/>
  <c r="AC47" i="6"/>
  <c r="AC39" i="6"/>
  <c r="AB58" i="5"/>
  <c r="AF129" i="1"/>
  <c r="AF136" i="1" s="1"/>
  <c r="AF219" i="1" s="1"/>
  <c r="AF161" i="1"/>
  <c r="AF182" i="1" s="1"/>
  <c r="AF189" i="1" s="1"/>
  <c r="AC26" i="5"/>
  <c r="Z66" i="5"/>
  <c r="AD31" i="5"/>
  <c r="AD4" i="5"/>
  <c r="AD25" i="5" s="1"/>
  <c r="AE330" i="1"/>
  <c r="AF303" i="1"/>
  <c r="Y70" i="5"/>
  <c r="Y74" i="5" s="1"/>
  <c r="BP21" i="5"/>
  <c r="BP39" i="5" s="1"/>
  <c r="BQ11" i="5"/>
  <c r="BP14" i="5"/>
  <c r="AI177" i="1"/>
  <c r="AI171" i="1"/>
  <c r="AI178" i="1" s="1"/>
  <c r="AI174" i="1"/>
  <c r="AE12" i="5"/>
  <c r="AI424" i="1"/>
  <c r="AI427" i="1" s="1"/>
  <c r="AJ429" i="1"/>
  <c r="AJ432" i="1" s="1"/>
  <c r="AJ168" i="1"/>
  <c r="AK82" i="20" l="1"/>
  <c r="AJ139" i="20"/>
  <c r="AK139" i="20" s="1"/>
  <c r="AF156" i="20"/>
  <c r="J95" i="23"/>
  <c r="AJ28" i="1"/>
  <c r="J53" i="23"/>
  <c r="Z86" i="3"/>
  <c r="AL32" i="20"/>
  <c r="AI15" i="1"/>
  <c r="BP281" i="1"/>
  <c r="AH44" i="6"/>
  <c r="AK30" i="1"/>
  <c r="N105" i="3"/>
  <c r="BP356" i="1"/>
  <c r="G304" i="23"/>
  <c r="G307" i="23" s="1"/>
  <c r="G353" i="23"/>
  <c r="AB148" i="20"/>
  <c r="AG156" i="20"/>
  <c r="AG348" i="1"/>
  <c r="AD95" i="20"/>
  <c r="AD90" i="20"/>
  <c r="AH263" i="1"/>
  <c r="AH265" i="1" s="1"/>
  <c r="AH224" i="1"/>
  <c r="BQ279" i="1"/>
  <c r="BQ283" i="1" s="1"/>
  <c r="BQ225" i="1"/>
  <c r="AH57" i="1"/>
  <c r="AH230" i="1" s="1"/>
  <c r="AE54" i="6"/>
  <c r="AE111" i="6" s="1"/>
  <c r="H348" i="23" s="1"/>
  <c r="W87" i="6"/>
  <c r="W63" i="6"/>
  <c r="W88" i="6"/>
  <c r="X59" i="6"/>
  <c r="X62" i="6" s="1"/>
  <c r="X63" i="6" s="1"/>
  <c r="AE87" i="20"/>
  <c r="AF94" i="20"/>
  <c r="AF199" i="20"/>
  <c r="AF209" i="20" s="1"/>
  <c r="AF218" i="20" s="1"/>
  <c r="AF227" i="20" s="1"/>
  <c r="AE233" i="20"/>
  <c r="AD75" i="20"/>
  <c r="AD161" i="20" s="1"/>
  <c r="AA165" i="20"/>
  <c r="AF198" i="20"/>
  <c r="AF208" i="20" s="1"/>
  <c r="AF217" i="20" s="1"/>
  <c r="AF226" i="20" s="1"/>
  <c r="AG66" i="20"/>
  <c r="AF200" i="20"/>
  <c r="AF210" i="20" s="1"/>
  <c r="AF219" i="20" s="1"/>
  <c r="AF228" i="20" s="1"/>
  <c r="N117" i="3"/>
  <c r="N116" i="3"/>
  <c r="N115" i="3"/>
  <c r="AG79" i="20"/>
  <c r="AG81" i="20"/>
  <c r="Y57" i="6"/>
  <c r="Y112" i="6" s="1"/>
  <c r="B478" i="23" s="1"/>
  <c r="AD197" i="20"/>
  <c r="AD207" i="20" s="1"/>
  <c r="AD216" i="20" s="1"/>
  <c r="AD225" i="20" s="1"/>
  <c r="AH62" i="20"/>
  <c r="AH73" i="20" s="1"/>
  <c r="AH54" i="20"/>
  <c r="AH57" i="20"/>
  <c r="AG80" i="20"/>
  <c r="AC211" i="20"/>
  <c r="AC212" i="20"/>
  <c r="AD196" i="20"/>
  <c r="AD206" i="20" s="1"/>
  <c r="AD215" i="20" s="1"/>
  <c r="AC202" i="20"/>
  <c r="AC215" i="20"/>
  <c r="AC201" i="20"/>
  <c r="AG140" i="20"/>
  <c r="AG157" i="20" s="1"/>
  <c r="AG138" i="20"/>
  <c r="AG155" i="20" s="1"/>
  <c r="AA149" i="20"/>
  <c r="AG137" i="20"/>
  <c r="AG154" i="20" s="1"/>
  <c r="AE83" i="20"/>
  <c r="AE86" i="20"/>
  <c r="AF85" i="20"/>
  <c r="AH61" i="20"/>
  <c r="AH72" i="20" s="1"/>
  <c r="AH53" i="20"/>
  <c r="AH71" i="20"/>
  <c r="AH52" i="20"/>
  <c r="AG56" i="20"/>
  <c r="AG64" i="20" s="1"/>
  <c r="AI41" i="1"/>
  <c r="AI48" i="1" s="1"/>
  <c r="BS36" i="1"/>
  <c r="BR42" i="1"/>
  <c r="BR49" i="1" s="1"/>
  <c r="T76" i="6"/>
  <c r="T84" i="6"/>
  <c r="T107" i="6" s="1"/>
  <c r="T86" i="6"/>
  <c r="O99" i="3"/>
  <c r="O109" i="3" s="1"/>
  <c r="V73" i="6"/>
  <c r="AA71" i="7"/>
  <c r="AA72" i="7" s="1"/>
  <c r="AA79" i="7" s="1"/>
  <c r="P96" i="3" s="1"/>
  <c r="P99" i="3" s="1"/>
  <c r="P109" i="3" s="1"/>
  <c r="AA15" i="7"/>
  <c r="AB14" i="7"/>
  <c r="U83" i="6"/>
  <c r="U74" i="6"/>
  <c r="O92" i="3"/>
  <c r="X417" i="1"/>
  <c r="AJ95" i="7"/>
  <c r="AH65" i="20"/>
  <c r="AI97" i="7"/>
  <c r="AI81" i="1"/>
  <c r="AI122" i="1" s="1"/>
  <c r="AK5" i="1"/>
  <c r="AK6" i="1"/>
  <c r="AK26" i="1"/>
  <c r="AI373" i="1"/>
  <c r="AI374" i="1"/>
  <c r="AI112" i="1"/>
  <c r="AI115" i="1" s="1"/>
  <c r="AK19" i="1"/>
  <c r="AJ110" i="1"/>
  <c r="AJ111" i="1"/>
  <c r="AA230" i="20"/>
  <c r="AA229" i="20"/>
  <c r="AB234" i="20"/>
  <c r="AB235" i="20" s="1"/>
  <c r="AB236" i="20" s="1"/>
  <c r="Y76" i="5"/>
  <c r="AB64" i="5"/>
  <c r="BS286" i="1"/>
  <c r="BT217" i="1"/>
  <c r="BT310" i="1" s="1"/>
  <c r="BR196" i="1"/>
  <c r="BR203" i="1" s="1"/>
  <c r="BR250" i="1" s="1"/>
  <c r="AB230" i="20"/>
  <c r="AB191" i="20"/>
  <c r="AB192" i="20" s="1"/>
  <c r="AI37" i="20"/>
  <c r="AI43" i="20"/>
  <c r="AI38" i="20"/>
  <c r="AI46" i="20"/>
  <c r="AI36" i="20"/>
  <c r="AI39" i="20"/>
  <c r="AI53" i="20" s="1"/>
  <c r="AI40" i="20"/>
  <c r="AI45" i="20"/>
  <c r="AI41" i="20"/>
  <c r="AB188" i="20"/>
  <c r="AB189" i="20" s="1"/>
  <c r="AB229" i="20"/>
  <c r="AA66" i="5"/>
  <c r="AA69" i="5" s="1"/>
  <c r="BP10" i="5"/>
  <c r="BO13" i="5"/>
  <c r="BO20" i="5"/>
  <c r="BO38" i="5" s="1"/>
  <c r="AL293" i="1"/>
  <c r="AK320" i="1"/>
  <c r="AK295" i="1"/>
  <c r="AJ322" i="1"/>
  <c r="AJ34" i="1"/>
  <c r="AJ41" i="1" s="1"/>
  <c r="AJ376" i="1"/>
  <c r="AF5" i="5"/>
  <c r="AF34" i="5" s="1"/>
  <c r="AF330" i="1"/>
  <c r="AG303" i="1"/>
  <c r="AE40" i="6"/>
  <c r="AD56" i="5"/>
  <c r="AF2" i="5"/>
  <c r="AJ371" i="1"/>
  <c r="AJ33" i="1"/>
  <c r="Z91" i="3"/>
  <c r="AG81" i="6"/>
  <c r="AG80" i="6"/>
  <c r="AE31" i="5"/>
  <c r="AE4" i="5"/>
  <c r="AE25" i="5" s="1"/>
  <c r="AD26" i="5"/>
  <c r="AC63" i="5"/>
  <c r="AD49" i="6"/>
  <c r="BS169" i="1"/>
  <c r="AT222" i="23"/>
  <c r="AT225" i="23" s="1"/>
  <c r="AB50" i="6"/>
  <c r="AB60" i="6" s="1"/>
  <c r="AP372" i="1"/>
  <c r="AM41" i="6"/>
  <c r="BQ9" i="5"/>
  <c r="BP28" i="5"/>
  <c r="BP19" i="5"/>
  <c r="BP37" i="5" s="1"/>
  <c r="AF364" i="1"/>
  <c r="AE361" i="1"/>
  <c r="AH37" i="1"/>
  <c r="AH83" i="1"/>
  <c r="AH121" i="1"/>
  <c r="AH124" i="1"/>
  <c r="AH163" i="1" s="1"/>
  <c r="AH184" i="1" s="1"/>
  <c r="AH191" i="1" s="1"/>
  <c r="AG160" i="1"/>
  <c r="AG125" i="1"/>
  <c r="BO6" i="5"/>
  <c r="BN32" i="5"/>
  <c r="AF164" i="1"/>
  <c r="AF407" i="1" s="1"/>
  <c r="AF409" i="1" s="1"/>
  <c r="AF181" i="1"/>
  <c r="AF188" i="1" s="1"/>
  <c r="BP34" i="6"/>
  <c r="AS260" i="23" s="1"/>
  <c r="AS263" i="23" s="1"/>
  <c r="AU176" i="23"/>
  <c r="AU179" i="23" s="1"/>
  <c r="BT218" i="1"/>
  <c r="BT220" i="1" s="1"/>
  <c r="BQ33" i="6"/>
  <c r="AH161" i="1"/>
  <c r="AH182" i="1" s="1"/>
  <c r="AH189" i="1" s="1"/>
  <c r="AH129" i="1"/>
  <c r="AH136" i="1" s="1"/>
  <c r="AH219" i="1" s="1"/>
  <c r="BQ14" i="5"/>
  <c r="BQ21" i="5"/>
  <c r="BQ39" i="5" s="1"/>
  <c r="BR11" i="5"/>
  <c r="AD33" i="5"/>
  <c r="AD46" i="5" s="1"/>
  <c r="AD55" i="5"/>
  <c r="Z67" i="5"/>
  <c r="AC58" i="5"/>
  <c r="AD39" i="6"/>
  <c r="AB65" i="5"/>
  <c r="AC48" i="6"/>
  <c r="AL13" i="1"/>
  <c r="AK381" i="1"/>
  <c r="AI375" i="1"/>
  <c r="AJ94" i="7"/>
  <c r="AI80" i="1"/>
  <c r="AJ297" i="1"/>
  <c r="AI324" i="1"/>
  <c r="Z69" i="5"/>
  <c r="AB71" i="5"/>
  <c r="AB59" i="5"/>
  <c r="AI312" i="1"/>
  <c r="AJ287" i="1"/>
  <c r="AG136" i="1"/>
  <c r="AG219" i="1" s="1"/>
  <c r="AE38" i="6"/>
  <c r="AN379" i="1"/>
  <c r="AD47" i="6"/>
  <c r="AC57" i="5"/>
  <c r="AC62" i="5"/>
  <c r="AJ174" i="1"/>
  <c r="AF12" i="5"/>
  <c r="AJ424" i="1"/>
  <c r="AJ427" i="1" s="1"/>
  <c r="AJ177" i="1"/>
  <c r="AJ171" i="1"/>
  <c r="AJ178" i="1" s="1"/>
  <c r="BJ12" i="5"/>
  <c r="BK12" i="5"/>
  <c r="BL12" i="5"/>
  <c r="BM12" i="5"/>
  <c r="BN12" i="5"/>
  <c r="BO12" i="5"/>
  <c r="BP12" i="5"/>
  <c r="AK429" i="1"/>
  <c r="AK432" i="1" s="1"/>
  <c r="AK168" i="1"/>
  <c r="K95" i="23" l="1"/>
  <c r="AK28" i="1"/>
  <c r="AB149" i="20"/>
  <c r="AC165" i="20"/>
  <c r="K53" i="23"/>
  <c r="AA86" i="3"/>
  <c r="AM32" i="20"/>
  <c r="AJ15" i="1"/>
  <c r="AI44" i="6"/>
  <c r="AL30" i="1"/>
  <c r="O116" i="3"/>
  <c r="O117" i="3"/>
  <c r="O115" i="3"/>
  <c r="O105" i="3"/>
  <c r="BQ34" i="6"/>
  <c r="AT260" i="23" s="1"/>
  <c r="AT263" i="23" s="1"/>
  <c r="H304" i="23"/>
  <c r="H307" i="23" s="1"/>
  <c r="H353" i="23"/>
  <c r="B435" i="23"/>
  <c r="B438" i="23" s="1"/>
  <c r="BQ356" i="1"/>
  <c r="BQ281" i="1"/>
  <c r="AH156" i="20"/>
  <c r="AH348" i="1"/>
  <c r="AE95" i="20"/>
  <c r="AE90" i="20"/>
  <c r="AI263" i="1"/>
  <c r="AI265" i="1" s="1"/>
  <c r="AI224" i="1"/>
  <c r="BR279" i="1"/>
  <c r="BR281" i="1" s="1"/>
  <c r="BR225" i="1"/>
  <c r="AI57" i="1"/>
  <c r="AI230" i="1" s="1"/>
  <c r="AF54" i="6"/>
  <c r="AF111" i="6" s="1"/>
  <c r="I348" i="23" s="1"/>
  <c r="X88" i="6"/>
  <c r="X91" i="6"/>
  <c r="X87" i="6"/>
  <c r="Y59" i="6"/>
  <c r="Y62" i="6" s="1"/>
  <c r="Y63" i="6" s="1"/>
  <c r="AD164" i="20"/>
  <c r="AF87" i="20"/>
  <c r="AG94" i="20"/>
  <c r="AD160" i="20"/>
  <c r="AD159" i="20"/>
  <c r="AD158" i="20"/>
  <c r="AG198" i="20"/>
  <c r="AG208" i="20" s="1"/>
  <c r="AG217" i="20" s="1"/>
  <c r="AG226" i="20" s="1"/>
  <c r="AH66" i="20"/>
  <c r="AJ36" i="20"/>
  <c r="AJ40" i="20"/>
  <c r="AJ39" i="20"/>
  <c r="AJ53" i="20" s="1"/>
  <c r="AJ37" i="20"/>
  <c r="AJ41" i="20"/>
  <c r="AJ38" i="20"/>
  <c r="AJ60" i="20" s="1"/>
  <c r="AJ71" i="20" s="1"/>
  <c r="AJ42" i="20"/>
  <c r="AJ43" i="20"/>
  <c r="AI52" i="20"/>
  <c r="AI60" i="20"/>
  <c r="AI71" i="20" s="1"/>
  <c r="AG200" i="20"/>
  <c r="AG210" i="20" s="1"/>
  <c r="AG219" i="20" s="1"/>
  <c r="AG228" i="20" s="1"/>
  <c r="AH80" i="20"/>
  <c r="AD220" i="20"/>
  <c r="AH81" i="20"/>
  <c r="AG199" i="20"/>
  <c r="AG209" i="20" s="1"/>
  <c r="AG218" i="20" s="1"/>
  <c r="AG227" i="20" s="1"/>
  <c r="AI62" i="20"/>
  <c r="AI73" i="20" s="1"/>
  <c r="AI54" i="20"/>
  <c r="AI57" i="20"/>
  <c r="AD212" i="20"/>
  <c r="AD211" i="20"/>
  <c r="AD201" i="20"/>
  <c r="AD221" i="20"/>
  <c r="AD202" i="20"/>
  <c r="AC187" i="20"/>
  <c r="AD224" i="20"/>
  <c r="AC190" i="20"/>
  <c r="AC221" i="20"/>
  <c r="AC191" i="20" s="1"/>
  <c r="AC224" i="20"/>
  <c r="AC220" i="20"/>
  <c r="AC188" i="20" s="1"/>
  <c r="AD162" i="20"/>
  <c r="AH138" i="20"/>
  <c r="AH155" i="20" s="1"/>
  <c r="AH79" i="20"/>
  <c r="AE75" i="20"/>
  <c r="AE161" i="20" s="1"/>
  <c r="AH140" i="20"/>
  <c r="AH157" i="20" s="1"/>
  <c r="AH137" i="20"/>
  <c r="AH154" i="20" s="1"/>
  <c r="AE196" i="20"/>
  <c r="AE206" i="20" s="1"/>
  <c r="AE197" i="20"/>
  <c r="AE207" i="20" s="1"/>
  <c r="AE216" i="20" s="1"/>
  <c r="AE225" i="20" s="1"/>
  <c r="AJ97" i="7"/>
  <c r="AF86" i="20"/>
  <c r="AF233" i="20"/>
  <c r="AG85" i="20"/>
  <c r="AF83" i="20"/>
  <c r="AD163" i="20"/>
  <c r="AH56" i="20"/>
  <c r="AH64" i="20" s="1"/>
  <c r="AB165" i="20"/>
  <c r="BT36" i="1"/>
  <c r="BS42" i="1"/>
  <c r="BS49" i="1" s="1"/>
  <c r="AB15" i="7"/>
  <c r="AC14" i="7"/>
  <c r="AB71" i="7"/>
  <c r="AB72" i="7" s="1"/>
  <c r="AB79" i="7" s="1"/>
  <c r="Q96" i="3" s="1"/>
  <c r="P92" i="3"/>
  <c r="Y417" i="1"/>
  <c r="U76" i="6"/>
  <c r="U84" i="6"/>
  <c r="U107" i="6" s="1"/>
  <c r="W73" i="6"/>
  <c r="V74" i="6"/>
  <c r="V83" i="6"/>
  <c r="AI65" i="20"/>
  <c r="AL6" i="1"/>
  <c r="AL5" i="1"/>
  <c r="AL26" i="1"/>
  <c r="AJ373" i="1"/>
  <c r="AJ374" i="1"/>
  <c r="AL19" i="1"/>
  <c r="AK110" i="1"/>
  <c r="AK111" i="1"/>
  <c r="AJ112" i="1"/>
  <c r="AJ115" i="1" s="1"/>
  <c r="AB66" i="5"/>
  <c r="AB67" i="5" s="1"/>
  <c r="AA67" i="5"/>
  <c r="BU217" i="1"/>
  <c r="BU310" i="1" s="1"/>
  <c r="BT286" i="1"/>
  <c r="BS196" i="1"/>
  <c r="BS203" i="1" s="1"/>
  <c r="BS250" i="1" s="1"/>
  <c r="AI61" i="20"/>
  <c r="AI72" i="20" s="1"/>
  <c r="AJ46" i="20"/>
  <c r="AJ45" i="20"/>
  <c r="AC59" i="5"/>
  <c r="AD50" i="6" s="1"/>
  <c r="AD60" i="6" s="1"/>
  <c r="AL320" i="1"/>
  <c r="AM293" i="1"/>
  <c r="AC64" i="5"/>
  <c r="BP20" i="5"/>
  <c r="BP38" i="5" s="1"/>
  <c r="BP13" i="5"/>
  <c r="BQ10" i="5"/>
  <c r="AK322" i="1"/>
  <c r="AL295" i="1"/>
  <c r="AK376" i="1"/>
  <c r="AK34" i="1"/>
  <c r="AK41" i="1" s="1"/>
  <c r="AG5" i="5"/>
  <c r="AG34" i="5" s="1"/>
  <c r="AB72" i="5"/>
  <c r="AB73" i="5" s="1"/>
  <c r="AJ324" i="1"/>
  <c r="AK297" i="1"/>
  <c r="AK33" i="1"/>
  <c r="AA91" i="3"/>
  <c r="AK371" i="1"/>
  <c r="AG2" i="5"/>
  <c r="AH81" i="6"/>
  <c r="AH80" i="6"/>
  <c r="AM13" i="1"/>
  <c r="AL381" i="1"/>
  <c r="AD57" i="5"/>
  <c r="AD62" i="5"/>
  <c r="BR14" i="5"/>
  <c r="BS11" i="5"/>
  <c r="BR21" i="5"/>
  <c r="BR39" i="5" s="1"/>
  <c r="AI161" i="1"/>
  <c r="AI182" i="1" s="1"/>
  <c r="AI189" i="1" s="1"/>
  <c r="AI129" i="1"/>
  <c r="AI136" i="1" s="1"/>
  <c r="AI219" i="1" s="1"/>
  <c r="AG164" i="1"/>
  <c r="AG407" i="1" s="1"/>
  <c r="AG409" i="1" s="1"/>
  <c r="AG181" i="1"/>
  <c r="AG188" i="1" s="1"/>
  <c r="AH160" i="1"/>
  <c r="AH125" i="1"/>
  <c r="BT169" i="1"/>
  <c r="AU222" i="23"/>
  <c r="AU225" i="23" s="1"/>
  <c r="AE56" i="5"/>
  <c r="AF40" i="6"/>
  <c r="AJ80" i="1"/>
  <c r="AJ375" i="1"/>
  <c r="AK94" i="7"/>
  <c r="AO379" i="1"/>
  <c r="AK287" i="1"/>
  <c r="AJ312" i="1"/>
  <c r="AC50" i="6"/>
  <c r="AC60" i="6" s="1"/>
  <c r="Z77" i="5"/>
  <c r="AA70" i="5"/>
  <c r="AA74" i="5" s="1"/>
  <c r="Z70" i="5"/>
  <c r="Z74" i="5" s="1"/>
  <c r="Z76" i="5" s="1"/>
  <c r="AI121" i="1"/>
  <c r="AI124" i="1"/>
  <c r="AI163" i="1" s="1"/>
  <c r="AI184" i="1" s="1"/>
  <c r="AI191" i="1" s="1"/>
  <c r="AI37" i="1"/>
  <c r="AI83" i="1"/>
  <c r="AF38" i="6"/>
  <c r="AC65" i="5"/>
  <c r="AD48" i="6"/>
  <c r="BU218" i="1"/>
  <c r="BU220" i="1" s="1"/>
  <c r="AV176" i="23"/>
  <c r="AV179" i="23" s="1"/>
  <c r="BR33" i="6"/>
  <c r="AC71" i="5"/>
  <c r="BP6" i="5"/>
  <c r="BO32" i="5"/>
  <c r="AE47" i="6"/>
  <c r="AF361" i="1"/>
  <c r="AG364" i="1"/>
  <c r="BQ19" i="5"/>
  <c r="BQ37" i="5" s="1"/>
  <c r="BQ12" i="5"/>
  <c r="BQ28" i="5"/>
  <c r="BR9" i="5"/>
  <c r="AQ372" i="1"/>
  <c r="AN41" i="6"/>
  <c r="AA77" i="5"/>
  <c r="AD58" i="5"/>
  <c r="AE39" i="6"/>
  <c r="AE55" i="5"/>
  <c r="AE33" i="5"/>
  <c r="AE46" i="5" s="1"/>
  <c r="AF4" i="5"/>
  <c r="AF25" i="5" s="1"/>
  <c r="AF31" i="5"/>
  <c r="AE49" i="6"/>
  <c r="AD63" i="5"/>
  <c r="AE26" i="5"/>
  <c r="AH303" i="1"/>
  <c r="AG330" i="1"/>
  <c r="AJ81" i="1"/>
  <c r="AK95" i="7"/>
  <c r="AJ48" i="1"/>
  <c r="AG12" i="5"/>
  <c r="AK171" i="1"/>
  <c r="AK178" i="1" s="1"/>
  <c r="AK177" i="1"/>
  <c r="AK424" i="1"/>
  <c r="AK427" i="1" s="1"/>
  <c r="AK174" i="1"/>
  <c r="AL429" i="1"/>
  <c r="AL432" i="1" s="1"/>
  <c r="AL168" i="1"/>
  <c r="L95" i="23" l="1"/>
  <c r="AL28" i="1"/>
  <c r="L53" i="23"/>
  <c r="AB86" i="3"/>
  <c r="AN32" i="20"/>
  <c r="AK15" i="1"/>
  <c r="AJ44" i="6"/>
  <c r="AM30" i="1"/>
  <c r="P116" i="3"/>
  <c r="P117" i="3"/>
  <c r="P115" i="3"/>
  <c r="B481" i="23"/>
  <c r="P105" i="3"/>
  <c r="BR34" i="6"/>
  <c r="AU260" i="23" s="1"/>
  <c r="AU263" i="23" s="1"/>
  <c r="I304" i="23"/>
  <c r="I307" i="23" s="1"/>
  <c r="I353" i="23"/>
  <c r="AI76" i="20"/>
  <c r="AI156" i="20" s="1"/>
  <c r="AI348" i="1"/>
  <c r="AF95" i="20"/>
  <c r="AF90" i="20"/>
  <c r="BR356" i="1"/>
  <c r="BR283" i="1"/>
  <c r="AJ263" i="1"/>
  <c r="AJ265" i="1" s="1"/>
  <c r="AJ224" i="1"/>
  <c r="BS279" i="1"/>
  <c r="BS281" i="1" s="1"/>
  <c r="BS225" i="1"/>
  <c r="AJ57" i="1"/>
  <c r="AJ230" i="1" s="1"/>
  <c r="AG54" i="6"/>
  <c r="AG111" i="6" s="1"/>
  <c r="J348" i="23" s="1"/>
  <c r="AE164" i="20"/>
  <c r="Z57" i="6"/>
  <c r="Z112" i="6" s="1"/>
  <c r="C478" i="23" s="1"/>
  <c r="Y88" i="6"/>
  <c r="Y87" i="6"/>
  <c r="Y91" i="6"/>
  <c r="AG87" i="20"/>
  <c r="AH94" i="20"/>
  <c r="AD188" i="20"/>
  <c r="AH199" i="20"/>
  <c r="AH209" i="20" s="1"/>
  <c r="AH218" i="20" s="1"/>
  <c r="AH227" i="20" s="1"/>
  <c r="AH200" i="20"/>
  <c r="AH210" i="20" s="1"/>
  <c r="AH219" i="20" s="1"/>
  <c r="AH228" i="20" s="1"/>
  <c r="AF75" i="20"/>
  <c r="AF144" i="20" s="1"/>
  <c r="AF161" i="20" s="1"/>
  <c r="AH198" i="20"/>
  <c r="AH208" i="20" s="1"/>
  <c r="AH217" i="20" s="1"/>
  <c r="AH226" i="20" s="1"/>
  <c r="AG86" i="20"/>
  <c r="AJ61" i="20"/>
  <c r="AJ72" i="20" s="1"/>
  <c r="AI66" i="20"/>
  <c r="AI80" i="20"/>
  <c r="AK36" i="20"/>
  <c r="AK40" i="20"/>
  <c r="AK39" i="20"/>
  <c r="AK37" i="20"/>
  <c r="AK41" i="20"/>
  <c r="AK43" i="20"/>
  <c r="AK38" i="20"/>
  <c r="AK42" i="20"/>
  <c r="AJ57" i="20"/>
  <c r="AJ52" i="20"/>
  <c r="AD190" i="20"/>
  <c r="AD148" i="20"/>
  <c r="AI81" i="20"/>
  <c r="AD187" i="20"/>
  <c r="AD191" i="20"/>
  <c r="AJ62" i="20"/>
  <c r="AJ73" i="20" s="1"/>
  <c r="AJ54" i="20"/>
  <c r="AC192" i="20"/>
  <c r="AC234" i="20"/>
  <c r="AC235" i="20" s="1"/>
  <c r="AC236" i="20" s="1"/>
  <c r="AD230" i="20"/>
  <c r="AC230" i="20"/>
  <c r="AC189" i="20"/>
  <c r="AD229" i="20"/>
  <c r="AC229" i="20"/>
  <c r="AE160" i="20"/>
  <c r="AE158" i="20"/>
  <c r="AI79" i="20"/>
  <c r="AE159" i="20"/>
  <c r="AE162" i="20"/>
  <c r="AI140" i="20"/>
  <c r="AI157" i="20" s="1"/>
  <c r="AF196" i="20"/>
  <c r="AF206" i="20" s="1"/>
  <c r="AF215" i="20" s="1"/>
  <c r="AF197" i="20"/>
  <c r="AF207" i="20" s="1"/>
  <c r="AF216" i="20" s="1"/>
  <c r="AF225" i="20" s="1"/>
  <c r="AE215" i="20"/>
  <c r="AE221" i="20" s="1"/>
  <c r="AE202" i="20"/>
  <c r="AE212" i="20"/>
  <c r="AG83" i="20"/>
  <c r="AG233" i="20"/>
  <c r="AE211" i="20"/>
  <c r="AA57" i="6"/>
  <c r="AA112" i="6" s="1"/>
  <c r="D478" i="23" s="1"/>
  <c r="AE201" i="20"/>
  <c r="AE163" i="20"/>
  <c r="AI56" i="20"/>
  <c r="AI64" i="20" s="1"/>
  <c r="BU36" i="1"/>
  <c r="BT42" i="1"/>
  <c r="BT49" i="1" s="1"/>
  <c r="Q99" i="3"/>
  <c r="Q109" i="3" s="1"/>
  <c r="X73" i="6"/>
  <c r="W83" i="6"/>
  <c r="W74" i="6"/>
  <c r="Q92" i="3"/>
  <c r="Z417" i="1"/>
  <c r="AD14" i="7"/>
  <c r="AC71" i="7"/>
  <c r="AC72" i="7" s="1"/>
  <c r="AC79" i="7" s="1"/>
  <c r="R96" i="3" s="1"/>
  <c r="AC15" i="7"/>
  <c r="V76" i="6"/>
  <c r="V84" i="6"/>
  <c r="AH85" i="20"/>
  <c r="AJ65" i="20"/>
  <c r="AM6" i="1"/>
  <c r="AM5" i="1"/>
  <c r="AM26" i="1"/>
  <c r="AK373" i="1"/>
  <c r="AK374" i="1"/>
  <c r="AK112" i="1"/>
  <c r="AK115" i="1" s="1"/>
  <c r="AM19" i="1"/>
  <c r="AL110" i="1"/>
  <c r="AL111" i="1"/>
  <c r="AB69" i="5"/>
  <c r="AI138" i="20"/>
  <c r="AI155" i="20" s="1"/>
  <c r="BU286" i="1"/>
  <c r="AC66" i="5"/>
  <c r="AC67" i="5" s="1"/>
  <c r="AA76" i="5"/>
  <c r="BV217" i="1"/>
  <c r="BT196" i="1"/>
  <c r="BT203" i="1" s="1"/>
  <c r="BT250" i="1" s="1"/>
  <c r="AI137" i="20"/>
  <c r="AI154" i="20" s="1"/>
  <c r="AK46" i="20"/>
  <c r="AK45" i="20"/>
  <c r="BQ20" i="5"/>
  <c r="BQ38" i="5" s="1"/>
  <c r="BR10" i="5"/>
  <c r="BQ13" i="5"/>
  <c r="AN293" i="1"/>
  <c r="AM320" i="1"/>
  <c r="AM295" i="1"/>
  <c r="AL322" i="1"/>
  <c r="AF39" i="6"/>
  <c r="AE58" i="5"/>
  <c r="AG40" i="6"/>
  <c r="AF56" i="5"/>
  <c r="AE57" i="5"/>
  <c r="AE71" i="5" s="1"/>
  <c r="AE62" i="5"/>
  <c r="AD65" i="5"/>
  <c r="AE48" i="6"/>
  <c r="AH364" i="1"/>
  <c r="AG361" i="1"/>
  <c r="BQ6" i="5"/>
  <c r="BP32" i="5"/>
  <c r="AF47" i="6"/>
  <c r="AI125" i="1"/>
  <c r="AI160" i="1"/>
  <c r="AK97" i="7"/>
  <c r="AE63" i="5"/>
  <c r="AF49" i="6"/>
  <c r="AH164" i="1"/>
  <c r="AH407" i="1" s="1"/>
  <c r="AH409" i="1" s="1"/>
  <c r="AH181" i="1"/>
  <c r="AH188" i="1" s="1"/>
  <c r="AD59" i="5"/>
  <c r="AD71" i="5"/>
  <c r="AB91" i="3"/>
  <c r="AL33" i="1"/>
  <c r="AL371" i="1"/>
  <c r="AH2" i="5"/>
  <c r="AM381" i="1"/>
  <c r="AN13" i="1"/>
  <c r="AG4" i="5"/>
  <c r="AG25" i="5" s="1"/>
  <c r="AH38" i="6" s="1"/>
  <c r="AG31" i="5"/>
  <c r="AC72" i="5"/>
  <c r="AC73" i="5" s="1"/>
  <c r="AK48" i="1"/>
  <c r="AL95" i="7"/>
  <c r="AK81" i="1"/>
  <c r="AJ122" i="1"/>
  <c r="AI303" i="1"/>
  <c r="AH330" i="1"/>
  <c r="AF33" i="5"/>
  <c r="AF46" i="5" s="1"/>
  <c r="AF55" i="5"/>
  <c r="AG47" i="6" s="1"/>
  <c r="AO41" i="6"/>
  <c r="AR372" i="1"/>
  <c r="BR28" i="5"/>
  <c r="BR12" i="5"/>
  <c r="BS9" i="5"/>
  <c r="BR19" i="5"/>
  <c r="BR37" i="5" s="1"/>
  <c r="AH5" i="5"/>
  <c r="AH34" i="5" s="1"/>
  <c r="AL376" i="1"/>
  <c r="AL34" i="1"/>
  <c r="AL41" i="1" s="1"/>
  <c r="AW176" i="23"/>
  <c r="AW179" i="23" s="1"/>
  <c r="BV218" i="1"/>
  <c r="BV220" i="1" s="1"/>
  <c r="BS33" i="6"/>
  <c r="AL287" i="1"/>
  <c r="AK312" i="1"/>
  <c r="AP379" i="1"/>
  <c r="AG38" i="6"/>
  <c r="AJ121" i="1"/>
  <c r="AJ83" i="1"/>
  <c r="AJ37" i="1"/>
  <c r="AJ124" i="1"/>
  <c r="AJ163" i="1" s="1"/>
  <c r="AJ184" i="1" s="1"/>
  <c r="AJ191" i="1" s="1"/>
  <c r="AF26" i="5"/>
  <c r="BU169" i="1"/>
  <c r="AV222" i="23"/>
  <c r="AV225" i="23" s="1"/>
  <c r="BS14" i="5"/>
  <c r="BS21" i="5"/>
  <c r="BS39" i="5" s="1"/>
  <c r="BT11" i="5"/>
  <c r="AD64" i="5"/>
  <c r="AI81" i="6"/>
  <c r="AI80" i="6"/>
  <c r="AL94" i="7"/>
  <c r="AK80" i="1"/>
  <c r="AK375" i="1"/>
  <c r="AK324" i="1"/>
  <c r="AL297" i="1"/>
  <c r="AM429" i="1"/>
  <c r="AM432" i="1" s="1"/>
  <c r="AM168" i="1"/>
  <c r="AL171" i="1"/>
  <c r="AL178" i="1" s="1"/>
  <c r="AL424" i="1"/>
  <c r="AL427" i="1" s="1"/>
  <c r="AH12" i="5"/>
  <c r="AL174" i="1"/>
  <c r="AL177" i="1"/>
  <c r="M95" i="23" l="1"/>
  <c r="AM28" i="1"/>
  <c r="M53" i="23"/>
  <c r="AC86" i="3"/>
  <c r="AO32" i="20"/>
  <c r="AL15" i="1"/>
  <c r="AK44" i="6"/>
  <c r="AN30" i="1"/>
  <c r="Q115" i="3"/>
  <c r="Q117" i="3"/>
  <c r="Q116" i="3"/>
  <c r="V107" i="6"/>
  <c r="Q105" i="3"/>
  <c r="C481" i="23"/>
  <c r="BS356" i="1"/>
  <c r="BS283" i="1"/>
  <c r="J304" i="23"/>
  <c r="J307" i="23" s="1"/>
  <c r="J353" i="23"/>
  <c r="D435" i="23"/>
  <c r="D438" i="23" s="1"/>
  <c r="D481" i="23"/>
  <c r="AJ348" i="1"/>
  <c r="AJ76" i="20"/>
  <c r="AJ156" i="20" s="1"/>
  <c r="AG95" i="20"/>
  <c r="AG90" i="20"/>
  <c r="AK263" i="1"/>
  <c r="AK265" i="1" s="1"/>
  <c r="AK224" i="1"/>
  <c r="BT279" i="1"/>
  <c r="BT281" i="1" s="1"/>
  <c r="BT225" i="1"/>
  <c r="AK57" i="1"/>
  <c r="AH54" i="6"/>
  <c r="AH111" i="6" s="1"/>
  <c r="K348" i="23" s="1"/>
  <c r="C435" i="23"/>
  <c r="AF147" i="20"/>
  <c r="AF164" i="20" s="1"/>
  <c r="Z59" i="6"/>
  <c r="Z62" i="6" s="1"/>
  <c r="Z87" i="6" s="1"/>
  <c r="AA59" i="6"/>
  <c r="AA62" i="6" s="1"/>
  <c r="AA88" i="6" s="1"/>
  <c r="AH87" i="20"/>
  <c r="AI94" i="20"/>
  <c r="AF145" i="20"/>
  <c r="AF162" i="20" s="1"/>
  <c r="AD189" i="20"/>
  <c r="AJ81" i="20"/>
  <c r="AD234" i="20"/>
  <c r="AD235" i="20" s="1"/>
  <c r="AD236" i="20" s="1"/>
  <c r="AI198" i="20"/>
  <c r="AI208" i="20" s="1"/>
  <c r="AI217" i="20" s="1"/>
  <c r="AI226" i="20" s="1"/>
  <c r="AI200" i="20"/>
  <c r="AI210" i="20" s="1"/>
  <c r="AI219" i="20" s="1"/>
  <c r="AI228" i="20" s="1"/>
  <c r="AI199" i="20"/>
  <c r="AI209" i="20" s="1"/>
  <c r="AI218" i="20" s="1"/>
  <c r="AI227" i="20" s="1"/>
  <c r="AJ66" i="20"/>
  <c r="AJ80" i="20"/>
  <c r="AK60" i="20"/>
  <c r="AK71" i="20" s="1"/>
  <c r="AK52" i="20"/>
  <c r="AK53" i="20"/>
  <c r="AK61" i="20"/>
  <c r="AK72" i="20" s="1"/>
  <c r="AL39" i="20"/>
  <c r="AL43" i="20"/>
  <c r="AL36" i="20"/>
  <c r="AL40" i="20"/>
  <c r="AL37" i="20"/>
  <c r="AL41" i="20"/>
  <c r="AL38" i="20"/>
  <c r="AL42" i="20"/>
  <c r="AD192" i="20"/>
  <c r="AF141" i="20"/>
  <c r="AF158" i="20" s="1"/>
  <c r="AE148" i="20"/>
  <c r="AK62" i="20"/>
  <c r="AK73" i="20" s="1"/>
  <c r="AK57" i="20"/>
  <c r="AK54" i="20"/>
  <c r="AF143" i="20"/>
  <c r="AF160" i="20" s="1"/>
  <c r="AF212" i="20"/>
  <c r="AF142" i="20"/>
  <c r="AF159" i="20" s="1"/>
  <c r="AJ79" i="20"/>
  <c r="AF224" i="20"/>
  <c r="AF211" i="20"/>
  <c r="AF220" i="20"/>
  <c r="AJ140" i="20"/>
  <c r="AJ157" i="20" s="1"/>
  <c r="AE220" i="20"/>
  <c r="AE229" i="20" s="1"/>
  <c r="AF221" i="20"/>
  <c r="AF230" i="20" s="1"/>
  <c r="AF202" i="20"/>
  <c r="AF201" i="20"/>
  <c r="AJ56" i="20"/>
  <c r="AJ64" i="20" s="1"/>
  <c r="AE190" i="20"/>
  <c r="AE224" i="20"/>
  <c r="AD149" i="20"/>
  <c r="AE187" i="20"/>
  <c r="AG197" i="20"/>
  <c r="AG207" i="20" s="1"/>
  <c r="AG216" i="20" s="1"/>
  <c r="AG225" i="20" s="1"/>
  <c r="AG75" i="20"/>
  <c r="AG144" i="20" s="1"/>
  <c r="AG161" i="20" s="1"/>
  <c r="AG196" i="20"/>
  <c r="AG206" i="20" s="1"/>
  <c r="AF146" i="20"/>
  <c r="AF163" i="20" s="1"/>
  <c r="AD165" i="20"/>
  <c r="BV36" i="1"/>
  <c r="BU42" i="1"/>
  <c r="BU49" i="1" s="1"/>
  <c r="Y73" i="6"/>
  <c r="R99" i="3"/>
  <c r="R109" i="3" s="1"/>
  <c r="W84" i="6"/>
  <c r="W86" i="6"/>
  <c r="AD15" i="7"/>
  <c r="AD71" i="7"/>
  <c r="AD72" i="7" s="1"/>
  <c r="AD79" i="7" s="1"/>
  <c r="S96" i="3" s="1"/>
  <c r="AE14" i="7"/>
  <c r="X83" i="6"/>
  <c r="X74" i="6"/>
  <c r="W76" i="6"/>
  <c r="R92" i="3"/>
  <c r="AA417" i="1"/>
  <c r="AI85" i="20"/>
  <c r="AH86" i="20"/>
  <c r="AH83" i="20"/>
  <c r="AH233" i="20"/>
  <c r="AK65" i="20"/>
  <c r="AN5" i="1"/>
  <c r="AN6" i="1"/>
  <c r="AN26" i="1"/>
  <c r="AL373" i="1"/>
  <c r="AL374" i="1"/>
  <c r="AN19" i="1"/>
  <c r="AM110" i="1"/>
  <c r="AM111" i="1"/>
  <c r="AL112" i="1"/>
  <c r="AL115" i="1" s="1"/>
  <c r="AJ138" i="20"/>
  <c r="AJ155" i="20" s="1"/>
  <c r="AJ137" i="20"/>
  <c r="AJ154" i="20" s="1"/>
  <c r="AB70" i="5"/>
  <c r="AB74" i="5" s="1"/>
  <c r="AB76" i="5" s="1"/>
  <c r="AB77" i="5"/>
  <c r="AC69" i="5"/>
  <c r="AC77" i="5" s="1"/>
  <c r="BV310" i="1"/>
  <c r="BV286" i="1"/>
  <c r="BW217" i="1"/>
  <c r="BW310" i="1" s="1"/>
  <c r="BU196" i="1"/>
  <c r="BU203" i="1" s="1"/>
  <c r="BU250" i="1" s="1"/>
  <c r="AE191" i="20"/>
  <c r="AE230" i="20"/>
  <c r="AL46" i="20"/>
  <c r="AL45" i="20"/>
  <c r="AO293" i="1"/>
  <c r="AN320" i="1"/>
  <c r="BR20" i="5"/>
  <c r="BR38" i="5" s="1"/>
  <c r="BR13" i="5"/>
  <c r="BS10" i="5"/>
  <c r="AL97" i="7"/>
  <c r="AE59" i="5"/>
  <c r="AF50" i="6" s="1"/>
  <c r="AF60" i="6" s="1"/>
  <c r="AM322" i="1"/>
  <c r="AN295" i="1"/>
  <c r="AK121" i="1"/>
  <c r="AK37" i="1"/>
  <c r="AK83" i="1"/>
  <c r="AK124" i="1"/>
  <c r="AK163" i="1" s="1"/>
  <c r="AK184" i="1" s="1"/>
  <c r="AK191" i="1" s="1"/>
  <c r="BT21" i="5"/>
  <c r="BT39" i="5" s="1"/>
  <c r="BU11" i="5"/>
  <c r="BT14" i="5"/>
  <c r="AM376" i="1"/>
  <c r="AI5" i="5"/>
  <c r="AI34" i="5" s="1"/>
  <c r="AM34" i="1"/>
  <c r="AM41" i="1" s="1"/>
  <c r="AW222" i="23"/>
  <c r="AW225" i="23" s="1"/>
  <c r="BV169" i="1"/>
  <c r="AF58" i="5"/>
  <c r="AG39" i="6"/>
  <c r="AQ379" i="1"/>
  <c r="AL312" i="1"/>
  <c r="AM287" i="1"/>
  <c r="AL48" i="1"/>
  <c r="AL81" i="1"/>
  <c r="AM95" i="7"/>
  <c r="AG33" i="5"/>
  <c r="AG46" i="5" s="1"/>
  <c r="AG55" i="5"/>
  <c r="AM371" i="1"/>
  <c r="AM33" i="1"/>
  <c r="AI2" i="5"/>
  <c r="AC91" i="3"/>
  <c r="AN381" i="1"/>
  <c r="AO13" i="1"/>
  <c r="AL80" i="1"/>
  <c r="AL375" i="1"/>
  <c r="AM94" i="7"/>
  <c r="AE72" i="5"/>
  <c r="AE73" i="5" s="1"/>
  <c r="AD72" i="5"/>
  <c r="AD73" i="5" s="1"/>
  <c r="AF63" i="5"/>
  <c r="AG49" i="6"/>
  <c r="AE65" i="5"/>
  <c r="AF48" i="6"/>
  <c r="AL324" i="1"/>
  <c r="AM297" i="1"/>
  <c r="AD66" i="5"/>
  <c r="AD69" i="5" s="1"/>
  <c r="AJ160" i="1"/>
  <c r="AJ125" i="1"/>
  <c r="BS34" i="6"/>
  <c r="AV260" i="23" s="1"/>
  <c r="AV263" i="23" s="1"/>
  <c r="BW218" i="1"/>
  <c r="BW220" i="1" s="1"/>
  <c r="AX176" i="23"/>
  <c r="AX179" i="23" s="1"/>
  <c r="BT33" i="6"/>
  <c r="BT9" i="5"/>
  <c r="BS19" i="5"/>
  <c r="BS37" i="5" s="1"/>
  <c r="BS12" i="5"/>
  <c r="BS28" i="5"/>
  <c r="AS372" i="1"/>
  <c r="AP41" i="6"/>
  <c r="AF57" i="5"/>
  <c r="AF62" i="5"/>
  <c r="AI330" i="1"/>
  <c r="AJ303" i="1"/>
  <c r="AJ161" i="1"/>
  <c r="AJ182" i="1" s="1"/>
  <c r="AJ189" i="1" s="1"/>
  <c r="AJ129" i="1"/>
  <c r="AJ136" i="1" s="1"/>
  <c r="AJ219" i="1" s="1"/>
  <c r="AK122" i="1"/>
  <c r="AH40" i="6"/>
  <c r="AG56" i="5"/>
  <c r="AJ81" i="6"/>
  <c r="AJ80" i="6"/>
  <c r="AH31" i="5"/>
  <c r="AH4" i="5"/>
  <c r="AH25" i="5" s="1"/>
  <c r="AE50" i="6"/>
  <c r="AE60" i="6" s="1"/>
  <c r="AI164" i="1"/>
  <c r="AI407" i="1" s="1"/>
  <c r="AI409" i="1" s="1"/>
  <c r="AI181" i="1"/>
  <c r="AI188" i="1" s="1"/>
  <c r="BR6" i="5"/>
  <c r="BQ32" i="5"/>
  <c r="AH361" i="1"/>
  <c r="AI364" i="1"/>
  <c r="AE64" i="5"/>
  <c r="AG26" i="5"/>
  <c r="AN429" i="1"/>
  <c r="AN432" i="1" s="1"/>
  <c r="AN168" i="1"/>
  <c r="AM424" i="1"/>
  <c r="AM427" i="1" s="1"/>
  <c r="AM177" i="1"/>
  <c r="AM171" i="1"/>
  <c r="AM178" i="1" s="1"/>
  <c r="AI12" i="5"/>
  <c r="AM174" i="1"/>
  <c r="AK79" i="20" l="1"/>
  <c r="AK81" i="20"/>
  <c r="AK200" i="20" s="1"/>
  <c r="AK210" i="20" s="1"/>
  <c r="AK219" i="20" s="1"/>
  <c r="AK80" i="20"/>
  <c r="N95" i="23"/>
  <c r="AN28" i="1"/>
  <c r="N53" i="23"/>
  <c r="AD86" i="3"/>
  <c r="AP32" i="20"/>
  <c r="AM15" i="1"/>
  <c r="AL44" i="6"/>
  <c r="AO30" i="1"/>
  <c r="W107" i="6"/>
  <c r="R117" i="3"/>
  <c r="R115" i="3"/>
  <c r="R116" i="3"/>
  <c r="R105" i="3"/>
  <c r="BT34" i="6"/>
  <c r="AW260" i="23" s="1"/>
  <c r="AW263" i="23" s="1"/>
  <c r="C438" i="23"/>
  <c r="K304" i="23"/>
  <c r="K307" i="23" s="1"/>
  <c r="K353" i="23"/>
  <c r="BT283" i="1"/>
  <c r="BT356" i="1"/>
  <c r="AK76" i="20"/>
  <c r="AH95" i="20"/>
  <c r="AH90" i="20"/>
  <c r="AK348" i="1"/>
  <c r="AK230" i="1"/>
  <c r="AL263" i="1"/>
  <c r="AL265" i="1" s="1"/>
  <c r="AL224" i="1"/>
  <c r="BU279" i="1"/>
  <c r="BU281" i="1" s="1"/>
  <c r="BU225" i="1"/>
  <c r="AL57" i="1"/>
  <c r="AL230" i="1" s="1"/>
  <c r="AI54" i="6"/>
  <c r="AI111" i="6" s="1"/>
  <c r="L348" i="23" s="1"/>
  <c r="Z88" i="6"/>
  <c r="Z91" i="6"/>
  <c r="Z63" i="6"/>
  <c r="AA63" i="6"/>
  <c r="AA87" i="6"/>
  <c r="AA91" i="6"/>
  <c r="AI87" i="20"/>
  <c r="AJ94" i="20"/>
  <c r="AJ200" i="20"/>
  <c r="AJ210" i="20" s="1"/>
  <c r="AJ219" i="20" s="1"/>
  <c r="AJ228" i="20" s="1"/>
  <c r="AB57" i="6"/>
  <c r="AB112" i="6" s="1"/>
  <c r="E478" i="23" s="1"/>
  <c r="AH75" i="20"/>
  <c r="AH144" i="20" s="1"/>
  <c r="AH161" i="20" s="1"/>
  <c r="AJ199" i="20"/>
  <c r="AJ209" i="20" s="1"/>
  <c r="AJ218" i="20" s="1"/>
  <c r="AJ227" i="20" s="1"/>
  <c r="AK66" i="20"/>
  <c r="AL60" i="20"/>
  <c r="AL71" i="20" s="1"/>
  <c r="AL52" i="20"/>
  <c r="AL53" i="20"/>
  <c r="AL61" i="20"/>
  <c r="AL72" i="20" s="1"/>
  <c r="AM38" i="20"/>
  <c r="AM42" i="20"/>
  <c r="AM37" i="20"/>
  <c r="AM41" i="20"/>
  <c r="AM39" i="20"/>
  <c r="AM43" i="20"/>
  <c r="AM36" i="20"/>
  <c r="AM40" i="20"/>
  <c r="AK137" i="20"/>
  <c r="AK154" i="20" s="1"/>
  <c r="AF148" i="20"/>
  <c r="AL62" i="20"/>
  <c r="AL73" i="20" s="1"/>
  <c r="AL57" i="20"/>
  <c r="AL54" i="20"/>
  <c r="AF190" i="20"/>
  <c r="AJ198" i="20"/>
  <c r="AJ208" i="20" s="1"/>
  <c r="AJ217" i="20" s="1"/>
  <c r="AJ226" i="20" s="1"/>
  <c r="AG141" i="20"/>
  <c r="AG158" i="20" s="1"/>
  <c r="AG143" i="20"/>
  <c r="AG160" i="20" s="1"/>
  <c r="AF229" i="20"/>
  <c r="AF187" i="20"/>
  <c r="AE188" i="20"/>
  <c r="AE189" i="20" s="1"/>
  <c r="AF188" i="20"/>
  <c r="AK140" i="20"/>
  <c r="AK157" i="20" s="1"/>
  <c r="AF191" i="20"/>
  <c r="AE234" i="20"/>
  <c r="AE235" i="20" s="1"/>
  <c r="AE236" i="20" s="1"/>
  <c r="AG215" i="20"/>
  <c r="AG224" i="20" s="1"/>
  <c r="AE192" i="20"/>
  <c r="AG145" i="20"/>
  <c r="AG162" i="20" s="1"/>
  <c r="AG212" i="20"/>
  <c r="AE149" i="20"/>
  <c r="AG211" i="20"/>
  <c r="AG147" i="20"/>
  <c r="AG164" i="20" s="1"/>
  <c r="AG202" i="20"/>
  <c r="AG142" i="20"/>
  <c r="AG159" i="20" s="1"/>
  <c r="AG201" i="20"/>
  <c r="AG146" i="20"/>
  <c r="AG163" i="20" s="1"/>
  <c r="AE165" i="20"/>
  <c r="AK56" i="20"/>
  <c r="AK64" i="20" s="1"/>
  <c r="AH196" i="20"/>
  <c r="AH206" i="20" s="1"/>
  <c r="AH215" i="20" s="1"/>
  <c r="BW36" i="1"/>
  <c r="BV42" i="1"/>
  <c r="BV49" i="1" s="1"/>
  <c r="AF14" i="7"/>
  <c r="AE15" i="7"/>
  <c r="AE71" i="7"/>
  <c r="AE72" i="7" s="1"/>
  <c r="AE79" i="7" s="1"/>
  <c r="T96" i="3" s="1"/>
  <c r="Z73" i="6"/>
  <c r="AB417" i="1"/>
  <c r="B536" i="23"/>
  <c r="B539" i="23" s="1"/>
  <c r="X76" i="6"/>
  <c r="X84" i="6"/>
  <c r="X107" i="6" s="1"/>
  <c r="X86" i="6"/>
  <c r="Y83" i="6"/>
  <c r="Y74" i="6"/>
  <c r="AI233" i="20"/>
  <c r="AI83" i="20"/>
  <c r="AH197" i="20"/>
  <c r="AH207" i="20" s="1"/>
  <c r="AH216" i="20" s="1"/>
  <c r="AH225" i="20" s="1"/>
  <c r="AI86" i="20"/>
  <c r="AJ85" i="20"/>
  <c r="AL65" i="20"/>
  <c r="AO5" i="1"/>
  <c r="AO6" i="1"/>
  <c r="AO26" i="1"/>
  <c r="AM373" i="1"/>
  <c r="AM374" i="1"/>
  <c r="AM112" i="1"/>
  <c r="AM115" i="1" s="1"/>
  <c r="AO19" i="1"/>
  <c r="AN110" i="1"/>
  <c r="AN111" i="1"/>
  <c r="AK138" i="20"/>
  <c r="AK155" i="20" s="1"/>
  <c r="AC70" i="5"/>
  <c r="AC74" i="5" s="1"/>
  <c r="AC76" i="5" s="1"/>
  <c r="AD70" i="5"/>
  <c r="AD74" i="5" s="1"/>
  <c r="AF64" i="5"/>
  <c r="BX217" i="1"/>
  <c r="BX310" i="1" s="1"/>
  <c r="BW286" i="1"/>
  <c r="BV196" i="1"/>
  <c r="BV203" i="1" s="1"/>
  <c r="BV250" i="1" s="1"/>
  <c r="AM46" i="20"/>
  <c r="AM45" i="20"/>
  <c r="AF59" i="5"/>
  <c r="AG50" i="6" s="1"/>
  <c r="AG60" i="6" s="1"/>
  <c r="BT10" i="5"/>
  <c r="BS20" i="5"/>
  <c r="BS38" i="5" s="1"/>
  <c r="BS13" i="5"/>
  <c r="AP293" i="1"/>
  <c r="AO320" i="1"/>
  <c r="AF71" i="5"/>
  <c r="AF72" i="5" s="1"/>
  <c r="AF73" i="5" s="1"/>
  <c r="AO295" i="1"/>
  <c r="AN322" i="1"/>
  <c r="BS6" i="5"/>
  <c r="BR32" i="5"/>
  <c r="AH56" i="5"/>
  <c r="AI40" i="6"/>
  <c r="AH49" i="6"/>
  <c r="AG63" i="5"/>
  <c r="AT372" i="1"/>
  <c r="AQ41" i="6"/>
  <c r="BT19" i="5"/>
  <c r="BT37" i="5" s="1"/>
  <c r="BU9" i="5"/>
  <c r="BT28" i="5"/>
  <c r="BT12" i="5"/>
  <c r="AM324" i="1"/>
  <c r="AN297" i="1"/>
  <c r="AE66" i="5"/>
  <c r="AE67" i="5" s="1"/>
  <c r="AD91" i="3"/>
  <c r="AJ2" i="5"/>
  <c r="AN33" i="1"/>
  <c r="AN371" i="1"/>
  <c r="AN94" i="7"/>
  <c r="AM375" i="1"/>
  <c r="AM80" i="1"/>
  <c r="AG62" i="5"/>
  <c r="AG57" i="5"/>
  <c r="AL122" i="1"/>
  <c r="AM312" i="1"/>
  <c r="AN287" i="1"/>
  <c r="AH47" i="6"/>
  <c r="AH39" i="6"/>
  <c r="AG58" i="5"/>
  <c r="AI361" i="1"/>
  <c r="AJ364" i="1"/>
  <c r="AN376" i="1"/>
  <c r="AN34" i="1"/>
  <c r="AN41" i="1" s="1"/>
  <c r="AJ5" i="5"/>
  <c r="AJ34" i="5" s="1"/>
  <c r="AH33" i="5"/>
  <c r="AH46" i="5" s="1"/>
  <c r="AH55" i="5"/>
  <c r="AH26" i="5"/>
  <c r="AK161" i="1"/>
  <c r="AK182" i="1" s="1"/>
  <c r="AK189" i="1" s="1"/>
  <c r="AK129" i="1"/>
  <c r="AK136" i="1" s="1"/>
  <c r="AK219" i="1" s="1"/>
  <c r="AK303" i="1"/>
  <c r="AJ330" i="1"/>
  <c r="BX218" i="1"/>
  <c r="BX220" i="1" s="1"/>
  <c r="AY176" i="23"/>
  <c r="AY179" i="23" s="1"/>
  <c r="BU33" i="6"/>
  <c r="AJ164" i="1"/>
  <c r="AJ407" i="1" s="1"/>
  <c r="AJ409" i="1" s="1"/>
  <c r="AJ181" i="1"/>
  <c r="AJ188" i="1" s="1"/>
  <c r="AD77" i="5"/>
  <c r="AD67" i="5"/>
  <c r="AM97" i="7"/>
  <c r="AI38" i="6"/>
  <c r="AL37" i="1"/>
  <c r="AL121" i="1"/>
  <c r="AL124" i="1"/>
  <c r="AL163" i="1" s="1"/>
  <c r="AL184" i="1" s="1"/>
  <c r="AL191" i="1" s="1"/>
  <c r="AL83" i="1"/>
  <c r="AK81" i="6"/>
  <c r="AK80" i="6"/>
  <c r="AP13" i="1"/>
  <c r="AO381" i="1"/>
  <c r="AI4" i="5"/>
  <c r="AI25" i="5" s="1"/>
  <c r="AI31" i="5"/>
  <c r="AR379" i="1"/>
  <c r="AF65" i="5"/>
  <c r="AG48" i="6"/>
  <c r="BW169" i="1"/>
  <c r="AX222" i="23"/>
  <c r="AX225" i="23" s="1"/>
  <c r="AM81" i="1"/>
  <c r="AN95" i="7"/>
  <c r="AM48" i="1"/>
  <c r="BV11" i="5"/>
  <c r="BU14" i="5"/>
  <c r="BU21" i="5"/>
  <c r="BU39" i="5" s="1"/>
  <c r="AK125" i="1"/>
  <c r="AK160" i="1"/>
  <c r="AN177" i="1"/>
  <c r="AN424" i="1"/>
  <c r="AN427" i="1" s="1"/>
  <c r="AN171" i="1"/>
  <c r="AN178" i="1" s="1"/>
  <c r="AJ12" i="5"/>
  <c r="AN174" i="1"/>
  <c r="AO429" i="1"/>
  <c r="AO432" i="1" s="1"/>
  <c r="AO168" i="1"/>
  <c r="AO376" i="1" l="1"/>
  <c r="AO28" i="1"/>
  <c r="O53" i="23"/>
  <c r="AE86" i="3"/>
  <c r="AQ32" i="20"/>
  <c r="AN15" i="1"/>
  <c r="AM44" i="6"/>
  <c r="AP30" i="1"/>
  <c r="BU34" i="6"/>
  <c r="AX260" i="23" s="1"/>
  <c r="AX263" i="23" s="1"/>
  <c r="E481" i="23"/>
  <c r="BU356" i="1"/>
  <c r="BU283" i="1"/>
  <c r="L304" i="23"/>
  <c r="L307" i="23" s="1"/>
  <c r="L353" i="23"/>
  <c r="AL348" i="1"/>
  <c r="AL76" i="20"/>
  <c r="AL82" i="20" s="1"/>
  <c r="AI95" i="20"/>
  <c r="AI90" i="20"/>
  <c r="AM263" i="1"/>
  <c r="AM265" i="1" s="1"/>
  <c r="AM224" i="1"/>
  <c r="BV279" i="1"/>
  <c r="BV281" i="1" s="1"/>
  <c r="BV225" i="1"/>
  <c r="AM57" i="1"/>
  <c r="AM230" i="1" s="1"/>
  <c r="AJ54" i="6"/>
  <c r="AJ111" i="6" s="1"/>
  <c r="M348" i="23" s="1"/>
  <c r="E435" i="23"/>
  <c r="AB59" i="6"/>
  <c r="AB62" i="6" s="1"/>
  <c r="AB88" i="6" s="1"/>
  <c r="AJ87" i="20"/>
  <c r="AK94" i="20"/>
  <c r="AK228" i="20"/>
  <c r="AH145" i="20"/>
  <c r="AH162" i="20" s="1"/>
  <c r="AK198" i="20"/>
  <c r="AK208" i="20" s="1"/>
  <c r="AK217" i="20" s="1"/>
  <c r="AK226" i="20" s="1"/>
  <c r="AF165" i="20"/>
  <c r="AK199" i="20"/>
  <c r="AK209" i="20" s="1"/>
  <c r="AK218" i="20" s="1"/>
  <c r="AK227" i="20" s="1"/>
  <c r="AL66" i="20"/>
  <c r="AN37" i="20"/>
  <c r="AN41" i="20"/>
  <c r="AN40" i="20"/>
  <c r="AN38" i="20"/>
  <c r="AN42" i="20"/>
  <c r="AN36" i="20"/>
  <c r="AN39" i="20"/>
  <c r="AN43" i="20"/>
  <c r="AM53" i="20"/>
  <c r="AM61" i="20"/>
  <c r="AM72" i="20" s="1"/>
  <c r="AM60" i="20"/>
  <c r="AM71" i="20" s="1"/>
  <c r="AM52" i="20"/>
  <c r="AG148" i="20"/>
  <c r="AF234" i="20"/>
  <c r="AF235" i="20" s="1"/>
  <c r="AF236" i="20" s="1"/>
  <c r="AM62" i="20"/>
  <c r="AM73" i="20" s="1"/>
  <c r="AM57" i="20"/>
  <c r="AM54" i="20"/>
  <c r="AH224" i="20"/>
  <c r="AF192" i="20"/>
  <c r="AF189" i="20"/>
  <c r="AG187" i="20"/>
  <c r="AG220" i="20"/>
  <c r="AG188" i="20" s="1"/>
  <c r="AG221" i="20"/>
  <c r="AG230" i="20" s="1"/>
  <c r="AG190" i="20"/>
  <c r="AI75" i="20"/>
  <c r="AF149" i="20"/>
  <c r="AL56" i="20"/>
  <c r="AL64" i="20" s="1"/>
  <c r="BX36" i="1"/>
  <c r="BW42" i="1"/>
  <c r="BW49" i="1" s="1"/>
  <c r="Z83" i="6"/>
  <c r="AA73" i="6"/>
  <c r="Y76" i="6"/>
  <c r="Y86" i="6"/>
  <c r="B624" i="23" s="1"/>
  <c r="Y84" i="6"/>
  <c r="Y107" i="6" s="1"/>
  <c r="AG14" i="7"/>
  <c r="AF71" i="7"/>
  <c r="AF72" i="7" s="1"/>
  <c r="AF79" i="7" s="1"/>
  <c r="U96" i="3" s="1"/>
  <c r="AF15" i="7"/>
  <c r="AH212" i="20"/>
  <c r="AH221" i="20"/>
  <c r="AH201" i="20"/>
  <c r="AH211" i="20"/>
  <c r="AH202" i="20"/>
  <c r="AI197" i="20"/>
  <c r="AI207" i="20" s="1"/>
  <c r="AI216" i="20" s="1"/>
  <c r="AI225" i="20" s="1"/>
  <c r="AH220" i="20"/>
  <c r="AI196" i="20"/>
  <c r="AI206" i="20" s="1"/>
  <c r="AC57" i="6"/>
  <c r="AC112" i="6" s="1"/>
  <c r="F478" i="23" s="1"/>
  <c r="AH143" i="20"/>
  <c r="AH160" i="20" s="1"/>
  <c r="AJ83" i="20"/>
  <c r="AH147" i="20"/>
  <c r="AH164" i="20" s="1"/>
  <c r="AH141" i="20"/>
  <c r="AH158" i="20" s="1"/>
  <c r="AJ86" i="20"/>
  <c r="AK85" i="20"/>
  <c r="AH142" i="20"/>
  <c r="AH159" i="20" s="1"/>
  <c r="AH146" i="20"/>
  <c r="AH163" i="20" s="1"/>
  <c r="AD57" i="6"/>
  <c r="AD112" i="6" s="1"/>
  <c r="G478" i="23" s="1"/>
  <c r="AJ233" i="20"/>
  <c r="AO34" i="1"/>
  <c r="AO41" i="1" s="1"/>
  <c r="AK5" i="5"/>
  <c r="AK34" i="5" s="1"/>
  <c r="AM65" i="20"/>
  <c r="O95" i="23"/>
  <c r="AP6" i="1"/>
  <c r="AP5" i="1"/>
  <c r="AP26" i="1"/>
  <c r="AN373" i="1"/>
  <c r="AN374" i="1"/>
  <c r="AN112" i="1"/>
  <c r="AN115" i="1" s="1"/>
  <c r="AP19" i="1"/>
  <c r="AO110" i="1"/>
  <c r="AO111" i="1"/>
  <c r="AF66" i="5"/>
  <c r="AF69" i="5" s="1"/>
  <c r="AD76" i="5"/>
  <c r="BX286" i="1"/>
  <c r="BY217" i="1"/>
  <c r="BY310" i="1" s="1"/>
  <c r="BW196" i="1"/>
  <c r="BW203" i="1" s="1"/>
  <c r="BW250" i="1" s="1"/>
  <c r="AN45" i="20"/>
  <c r="AN46" i="20"/>
  <c r="BU10" i="5"/>
  <c r="BT20" i="5"/>
  <c r="BT38" i="5" s="1"/>
  <c r="BT13" i="5"/>
  <c r="AP320" i="1"/>
  <c r="AQ293" i="1"/>
  <c r="AO322" i="1"/>
  <c r="AP295" i="1"/>
  <c r="AN97" i="7"/>
  <c r="AK164" i="1"/>
  <c r="AK407" i="1" s="1"/>
  <c r="AK409" i="1" s="1"/>
  <c r="AK181" i="1"/>
  <c r="AK188" i="1" s="1"/>
  <c r="BV21" i="5"/>
  <c r="BV39" i="5" s="1"/>
  <c r="BV14" i="5"/>
  <c r="BW11" i="5"/>
  <c r="AM122" i="1"/>
  <c r="AI56" i="5"/>
  <c r="AJ40" i="6"/>
  <c r="AL81" i="6"/>
  <c r="AL80" i="6"/>
  <c r="AL125" i="1"/>
  <c r="AL160" i="1"/>
  <c r="BY218" i="1"/>
  <c r="BY220" i="1" s="1"/>
  <c r="AZ176" i="23"/>
  <c r="AZ179" i="23" s="1"/>
  <c r="BV33" i="6"/>
  <c r="AK330" i="1"/>
  <c r="AL303" i="1"/>
  <c r="AH57" i="5"/>
  <c r="AH62" i="5"/>
  <c r="AO95" i="7"/>
  <c r="AN48" i="1"/>
  <c r="AN81" i="1"/>
  <c r="AL129" i="1"/>
  <c r="AL136" i="1" s="1"/>
  <c r="AL219" i="1" s="1"/>
  <c r="AL161" i="1"/>
  <c r="AL182" i="1" s="1"/>
  <c r="AL189" i="1" s="1"/>
  <c r="AG71" i="5"/>
  <c r="AG59" i="5"/>
  <c r="AJ38" i="6"/>
  <c r="AM121" i="1"/>
  <c r="AM124" i="1"/>
  <c r="AM163" i="1" s="1"/>
  <c r="AM184" i="1" s="1"/>
  <c r="AM191" i="1" s="1"/>
  <c r="AM37" i="1"/>
  <c r="AM83" i="1"/>
  <c r="AO94" i="7"/>
  <c r="AN80" i="1"/>
  <c r="AN375" i="1"/>
  <c r="AN324" i="1"/>
  <c r="AO297" i="1"/>
  <c r="AU372" i="1"/>
  <c r="AR41" i="6"/>
  <c r="AI26" i="5"/>
  <c r="AH63" i="5"/>
  <c r="AI49" i="6"/>
  <c r="BT6" i="5"/>
  <c r="BS32" i="5"/>
  <c r="AY222" i="23"/>
  <c r="AY225" i="23" s="1"/>
  <c r="BX169" i="1"/>
  <c r="AS379" i="1"/>
  <c r="AI55" i="5"/>
  <c r="AJ47" i="6" s="1"/>
  <c r="AI33" i="5"/>
  <c r="AI46" i="5" s="1"/>
  <c r="AO371" i="1"/>
  <c r="AK2" i="5"/>
  <c r="AO33" i="1"/>
  <c r="AE91" i="3"/>
  <c r="AP381" i="1"/>
  <c r="AQ13" i="1"/>
  <c r="AI47" i="6"/>
  <c r="AI39" i="6"/>
  <c r="AH58" i="5"/>
  <c r="AK364" i="1"/>
  <c r="AJ361" i="1"/>
  <c r="AG65" i="5"/>
  <c r="AH48" i="6"/>
  <c r="AN312" i="1"/>
  <c r="AO287" i="1"/>
  <c r="AG64" i="5"/>
  <c r="AJ4" i="5"/>
  <c r="AJ25" i="5" s="1"/>
  <c r="AJ31" i="5"/>
  <c r="AE69" i="5"/>
  <c r="AE77" i="5" s="1"/>
  <c r="BU19" i="5"/>
  <c r="BU37" i="5" s="1"/>
  <c r="BU12" i="5"/>
  <c r="BU28" i="5"/>
  <c r="BV9" i="5"/>
  <c r="AO177" i="1"/>
  <c r="AK12" i="5"/>
  <c r="AO424" i="1"/>
  <c r="AO427" i="1" s="1"/>
  <c r="AO171" i="1"/>
  <c r="AO178" i="1" s="1"/>
  <c r="AO174" i="1"/>
  <c r="AP168" i="1"/>
  <c r="AP429" i="1"/>
  <c r="AP432" i="1" s="1"/>
  <c r="AL139" i="20" l="1"/>
  <c r="AL156" i="20" s="1"/>
  <c r="AK156" i="20"/>
  <c r="P95" i="23"/>
  <c r="AP28" i="1"/>
  <c r="P53" i="23"/>
  <c r="AF86" i="3"/>
  <c r="AR32" i="20"/>
  <c r="AO15" i="1"/>
  <c r="AN44" i="6"/>
  <c r="AQ30" i="1"/>
  <c r="E438" i="23"/>
  <c r="M304" i="23"/>
  <c r="M307" i="23" s="1"/>
  <c r="M353" i="23"/>
  <c r="F435" i="23"/>
  <c r="F438" i="23" s="1"/>
  <c r="F481" i="23"/>
  <c r="G435" i="23"/>
  <c r="G438" i="23" s="1"/>
  <c r="G481" i="23"/>
  <c r="BV356" i="1"/>
  <c r="BV283" i="1"/>
  <c r="AI145" i="20"/>
  <c r="AI162" i="20" s="1"/>
  <c r="AM76" i="20"/>
  <c r="AM139" i="20" s="1"/>
  <c r="AM156" i="20" s="1"/>
  <c r="AB91" i="6"/>
  <c r="AI144" i="20"/>
  <c r="AI161" i="20" s="1"/>
  <c r="AM348" i="1"/>
  <c r="AJ95" i="20"/>
  <c r="AJ90" i="20"/>
  <c r="AN263" i="1"/>
  <c r="AN265" i="1" s="1"/>
  <c r="AN224" i="1"/>
  <c r="BW279" i="1"/>
  <c r="BW281" i="1" s="1"/>
  <c r="BW225" i="1"/>
  <c r="AN57" i="1"/>
  <c r="AN230" i="1" s="1"/>
  <c r="AK54" i="6"/>
  <c r="AK111" i="6" s="1"/>
  <c r="N348" i="23" s="1"/>
  <c r="AB87" i="6"/>
  <c r="AB63" i="6"/>
  <c r="AD59" i="6"/>
  <c r="AD62" i="6" s="1"/>
  <c r="AD63" i="6" s="1"/>
  <c r="AC59" i="6"/>
  <c r="AC62" i="6" s="1"/>
  <c r="AC87" i="6" s="1"/>
  <c r="AK87" i="20"/>
  <c r="AL94" i="20"/>
  <c r="AG149" i="20"/>
  <c r="AM66" i="20"/>
  <c r="AN60" i="20"/>
  <c r="AN52" i="20"/>
  <c r="AN53" i="20"/>
  <c r="AN61" i="20"/>
  <c r="AO36" i="20"/>
  <c r="AO40" i="20"/>
  <c r="AO43" i="20"/>
  <c r="AO37" i="20"/>
  <c r="AO41" i="20"/>
  <c r="AO38" i="20"/>
  <c r="AO42" i="20"/>
  <c r="AO39" i="20"/>
  <c r="AH148" i="20"/>
  <c r="AH165" i="20" s="1"/>
  <c r="AN62" i="20"/>
  <c r="AN73" i="20" s="1"/>
  <c r="AN54" i="20"/>
  <c r="AN57" i="20"/>
  <c r="AG234" i="20"/>
  <c r="AG235" i="20" s="1"/>
  <c r="AG236" i="20" s="1"/>
  <c r="AG189" i="20"/>
  <c r="AG191" i="20"/>
  <c r="AG192" i="20" s="1"/>
  <c r="AG229" i="20"/>
  <c r="AH230" i="20"/>
  <c r="AG165" i="20"/>
  <c r="AJ75" i="20"/>
  <c r="AM56" i="20"/>
  <c r="AM64" i="20" s="1"/>
  <c r="AP95" i="7"/>
  <c r="AO81" i="1"/>
  <c r="AO122" i="1" s="1"/>
  <c r="BY36" i="1"/>
  <c r="BX42" i="1"/>
  <c r="BX49" i="1" s="1"/>
  <c r="AI142" i="20"/>
  <c r="AI159" i="20" s="1"/>
  <c r="AH190" i="20"/>
  <c r="AA83" i="6"/>
  <c r="AH14" i="7"/>
  <c r="AG15" i="7"/>
  <c r="AG71" i="7"/>
  <c r="AG72" i="7" s="1"/>
  <c r="AG79" i="7" s="1"/>
  <c r="V96" i="3" s="1"/>
  <c r="AB73" i="6"/>
  <c r="AH187" i="20"/>
  <c r="AJ196" i="20"/>
  <c r="AJ206" i="20" s="1"/>
  <c r="AI201" i="20"/>
  <c r="AH188" i="20"/>
  <c r="AI212" i="20"/>
  <c r="AH191" i="20"/>
  <c r="AK83" i="20"/>
  <c r="AK233" i="20"/>
  <c r="AI211" i="20"/>
  <c r="AI215" i="20"/>
  <c r="AI224" i="20" s="1"/>
  <c r="AI202" i="20"/>
  <c r="AH229" i="20"/>
  <c r="AI147" i="20"/>
  <c r="AI164" i="20" s="1"/>
  <c r="AI141" i="20"/>
  <c r="AI158" i="20" s="1"/>
  <c r="AJ197" i="20"/>
  <c r="AJ207" i="20" s="1"/>
  <c r="AJ216" i="20" s="1"/>
  <c r="AJ225" i="20" s="1"/>
  <c r="AL85" i="20"/>
  <c r="AK86" i="20"/>
  <c r="AK95" i="20" s="1"/>
  <c r="AI146" i="20"/>
  <c r="AI163" i="20" s="1"/>
  <c r="AI143" i="20"/>
  <c r="AI160" i="20" s="1"/>
  <c r="AP376" i="1"/>
  <c r="AN65" i="20"/>
  <c r="AP34" i="1"/>
  <c r="AL5" i="5"/>
  <c r="AL34" i="5" s="1"/>
  <c r="AQ6" i="1"/>
  <c r="AQ5" i="1"/>
  <c r="AQ26" i="1"/>
  <c r="AO373" i="1"/>
  <c r="AO374" i="1"/>
  <c r="AO112" i="1"/>
  <c r="AO115" i="1" s="1"/>
  <c r="AQ19" i="1"/>
  <c r="AP110" i="1"/>
  <c r="AP111" i="1"/>
  <c r="AF77" i="5"/>
  <c r="AF67" i="5"/>
  <c r="BZ217" i="1"/>
  <c r="BZ310" i="1" s="1"/>
  <c r="BY286" i="1"/>
  <c r="BX196" i="1"/>
  <c r="BX203" i="1" s="1"/>
  <c r="BX250" i="1" s="1"/>
  <c r="AO45" i="20"/>
  <c r="AO46" i="20"/>
  <c r="AG66" i="5"/>
  <c r="AG67" i="5" s="1"/>
  <c r="AO97" i="7"/>
  <c r="AR293" i="1"/>
  <c r="AQ320" i="1"/>
  <c r="BU13" i="5"/>
  <c r="BV10" i="5"/>
  <c r="BU20" i="5"/>
  <c r="BU38" i="5" s="1"/>
  <c r="AP322" i="1"/>
  <c r="AQ295" i="1"/>
  <c r="AO48" i="1"/>
  <c r="BV28" i="5"/>
  <c r="BW9" i="5"/>
  <c r="BV19" i="5"/>
  <c r="BV37" i="5" s="1"/>
  <c r="BV12" i="5"/>
  <c r="AJ56" i="5"/>
  <c r="AK40" i="6"/>
  <c r="AP287" i="1"/>
  <c r="AO312" i="1"/>
  <c r="AH65" i="5"/>
  <c r="AI48" i="6"/>
  <c r="AF91" i="3"/>
  <c r="AL2" i="5"/>
  <c r="AP371" i="1"/>
  <c r="AP33" i="1"/>
  <c r="AO80" i="1"/>
  <c r="AP94" i="7"/>
  <c r="AO375" i="1"/>
  <c r="AK4" i="5"/>
  <c r="AK25" i="5" s="1"/>
  <c r="AK31" i="5"/>
  <c r="BU6" i="5"/>
  <c r="BT32" i="5"/>
  <c r="AK38" i="6"/>
  <c r="AG72" i="5"/>
  <c r="AG73" i="5" s="1"/>
  <c r="AH59" i="5"/>
  <c r="AH71" i="5"/>
  <c r="AL330" i="1"/>
  <c r="AM303" i="1"/>
  <c r="BZ218" i="1"/>
  <c r="BZ220" i="1" s="1"/>
  <c r="BA176" i="23"/>
  <c r="BA179" i="23" s="1"/>
  <c r="BW33" i="6"/>
  <c r="AL164" i="1"/>
  <c r="AL407" i="1" s="1"/>
  <c r="AL409" i="1" s="1"/>
  <c r="AL181" i="1"/>
  <c r="AL188" i="1" s="1"/>
  <c r="AJ49" i="6"/>
  <c r="AI63" i="5"/>
  <c r="AM129" i="1"/>
  <c r="AM136" i="1" s="1"/>
  <c r="AM219" i="1" s="1"/>
  <c r="AM161" i="1"/>
  <c r="AM182" i="1" s="1"/>
  <c r="AM189" i="1" s="1"/>
  <c r="AF70" i="5"/>
  <c r="AF74" i="5" s="1"/>
  <c r="AE70" i="5"/>
  <c r="AE74" i="5" s="1"/>
  <c r="AE76" i="5" s="1"/>
  <c r="AJ55" i="5"/>
  <c r="AK47" i="6" s="1"/>
  <c r="AJ33" i="5"/>
  <c r="AJ46" i="5" s="1"/>
  <c r="AK361" i="1"/>
  <c r="AL364" i="1"/>
  <c r="AQ381" i="1"/>
  <c r="AR13" i="1"/>
  <c r="AM81" i="6"/>
  <c r="AM80" i="6"/>
  <c r="AI57" i="5"/>
  <c r="AI71" i="5" s="1"/>
  <c r="AI62" i="5"/>
  <c r="AT379" i="1"/>
  <c r="AZ222" i="23"/>
  <c r="AZ225" i="23" s="1"/>
  <c r="BY169" i="1"/>
  <c r="AJ39" i="6"/>
  <c r="AI58" i="5"/>
  <c r="AS41" i="6"/>
  <c r="AV372" i="1"/>
  <c r="AO324" i="1"/>
  <c r="AP297" i="1"/>
  <c r="AN121" i="1"/>
  <c r="AN83" i="1"/>
  <c r="AN124" i="1"/>
  <c r="AN163" i="1" s="1"/>
  <c r="AN184" i="1" s="1"/>
  <c r="AN191" i="1" s="1"/>
  <c r="AN37" i="1"/>
  <c r="AM160" i="1"/>
  <c r="AM125" i="1"/>
  <c r="AH50" i="6"/>
  <c r="AH60" i="6" s="1"/>
  <c r="AN122" i="1"/>
  <c r="AH64" i="5"/>
  <c r="BV34" i="6"/>
  <c r="AY260" i="23" s="1"/>
  <c r="AY263" i="23" s="1"/>
  <c r="AJ26" i="5"/>
  <c r="BW21" i="5"/>
  <c r="BW39" i="5" s="1"/>
  <c r="BW14" i="5"/>
  <c r="BX11" i="5"/>
  <c r="AQ429" i="1"/>
  <c r="AQ432" i="1" s="1"/>
  <c r="AQ168" i="1"/>
  <c r="AP177" i="1"/>
  <c r="AL12" i="5"/>
  <c r="AP174" i="1"/>
  <c r="AP171" i="1"/>
  <c r="AP178" i="1" s="1"/>
  <c r="AP424" i="1"/>
  <c r="AP427" i="1" s="1"/>
  <c r="Q95" i="23" l="1"/>
  <c r="AQ28" i="1"/>
  <c r="Q53" i="23"/>
  <c r="AG86" i="3"/>
  <c r="AS32" i="20"/>
  <c r="AP15" i="1"/>
  <c r="AO44" i="6"/>
  <c r="AR30" i="1"/>
  <c r="BW34" i="6"/>
  <c r="AZ260" i="23" s="1"/>
  <c r="AZ263" i="23" s="1"/>
  <c r="CA218" i="1"/>
  <c r="CA220" i="1" s="1"/>
  <c r="AM82" i="20"/>
  <c r="N304" i="23"/>
  <c r="N307" i="23" s="1"/>
  <c r="N353" i="23"/>
  <c r="BW283" i="1"/>
  <c r="BW356" i="1"/>
  <c r="AN76" i="20"/>
  <c r="AN139" i="20" s="1"/>
  <c r="AN156" i="20" s="1"/>
  <c r="AJ144" i="20"/>
  <c r="AJ161" i="20" s="1"/>
  <c r="AN348" i="1"/>
  <c r="AO263" i="1"/>
  <c r="AO265" i="1" s="1"/>
  <c r="AO224" i="1"/>
  <c r="BX279" i="1"/>
  <c r="BX225" i="1"/>
  <c r="AO57" i="1"/>
  <c r="AO230" i="1" s="1"/>
  <c r="AL54" i="6"/>
  <c r="AL111" i="6" s="1"/>
  <c r="O348" i="23" s="1"/>
  <c r="AD88" i="6"/>
  <c r="AD87" i="6"/>
  <c r="AC63" i="6"/>
  <c r="AD91" i="6"/>
  <c r="AC88" i="6"/>
  <c r="AC91" i="6"/>
  <c r="AL87" i="20"/>
  <c r="AM94" i="20"/>
  <c r="AE57" i="6"/>
  <c r="AE112" i="6" s="1"/>
  <c r="H478" i="23" s="1"/>
  <c r="AN66" i="20"/>
  <c r="AP39" i="20"/>
  <c r="AP43" i="20"/>
  <c r="AP38" i="20"/>
  <c r="AP42" i="20"/>
  <c r="AP36" i="20"/>
  <c r="AP40" i="20"/>
  <c r="AP37" i="20"/>
  <c r="AP41" i="20"/>
  <c r="AO53" i="20"/>
  <c r="AO61" i="20"/>
  <c r="AO60" i="20"/>
  <c r="AO52" i="20"/>
  <c r="AI148" i="20"/>
  <c r="AI165" i="20" s="1"/>
  <c r="AO62" i="20"/>
  <c r="AO73" i="20" s="1"/>
  <c r="AO57" i="20"/>
  <c r="AO54" i="20"/>
  <c r="AP97" i="7"/>
  <c r="AN56" i="20"/>
  <c r="AN64" i="20" s="1"/>
  <c r="AK75" i="20"/>
  <c r="AM85" i="20"/>
  <c r="AP41" i="1"/>
  <c r="AP48" i="1" s="1"/>
  <c r="BZ36" i="1"/>
  <c r="BY42" i="1"/>
  <c r="BY49" i="1" s="1"/>
  <c r="AP81" i="1"/>
  <c r="AP122" i="1" s="1"/>
  <c r="AH234" i="20"/>
  <c r="AH235" i="20" s="1"/>
  <c r="AH236" i="20" s="1"/>
  <c r="AI190" i="20"/>
  <c r="AH192" i="20"/>
  <c r="AH189" i="20"/>
  <c r="AI14" i="7"/>
  <c r="AH71" i="7"/>
  <c r="AH72" i="7" s="1"/>
  <c r="AH79" i="7" s="1"/>
  <c r="W96" i="3" s="1"/>
  <c r="AH15" i="7"/>
  <c r="AB83" i="6"/>
  <c r="AC73" i="6"/>
  <c r="AK197" i="20"/>
  <c r="AK207" i="20" s="1"/>
  <c r="AK216" i="20" s="1"/>
  <c r="AK225" i="20" s="1"/>
  <c r="AJ215" i="20"/>
  <c r="AJ224" i="20" s="1"/>
  <c r="AI187" i="20"/>
  <c r="AK196" i="20"/>
  <c r="AK206" i="20" s="1"/>
  <c r="AJ147" i="20"/>
  <c r="AJ164" i="20" s="1"/>
  <c r="AI220" i="20"/>
  <c r="AI229" i="20" s="1"/>
  <c r="AH149" i="20"/>
  <c r="AI221" i="20"/>
  <c r="AI191" i="20" s="1"/>
  <c r="AJ211" i="20"/>
  <c r="AJ142" i="20"/>
  <c r="AJ159" i="20" s="1"/>
  <c r="AJ141" i="20"/>
  <c r="AJ158" i="20" s="1"/>
  <c r="AJ202" i="20"/>
  <c r="AL83" i="20"/>
  <c r="AJ143" i="20"/>
  <c r="AJ160" i="20" s="1"/>
  <c r="AJ212" i="20"/>
  <c r="AJ145" i="20"/>
  <c r="AJ162" i="20" s="1"/>
  <c r="AJ201" i="20"/>
  <c r="AL80" i="20"/>
  <c r="AJ146" i="20"/>
  <c r="AJ163" i="20" s="1"/>
  <c r="AL81" i="20"/>
  <c r="AL79" i="20"/>
  <c r="AL86" i="20"/>
  <c r="AL95" i="20" s="1"/>
  <c r="AQ95" i="7"/>
  <c r="AO65" i="20"/>
  <c r="AQ376" i="1"/>
  <c r="AM5" i="5"/>
  <c r="AM34" i="5" s="1"/>
  <c r="AQ34" i="1"/>
  <c r="AR5" i="1"/>
  <c r="AR6" i="1"/>
  <c r="AR26" i="1"/>
  <c r="AP373" i="1"/>
  <c r="AP374" i="1"/>
  <c r="AP112" i="1"/>
  <c r="AP115" i="1" s="1"/>
  <c r="AR19" i="1"/>
  <c r="AQ110" i="1"/>
  <c r="AQ111" i="1"/>
  <c r="AF76" i="5"/>
  <c r="AG69" i="5"/>
  <c r="AG77" i="5" s="1"/>
  <c r="AH66" i="5"/>
  <c r="AH67" i="5" s="1"/>
  <c r="BZ286" i="1"/>
  <c r="CA217" i="1"/>
  <c r="CA310" i="1" s="1"/>
  <c r="BY196" i="1"/>
  <c r="BY203" i="1" s="1"/>
  <c r="BY250" i="1" s="1"/>
  <c r="AP46" i="20"/>
  <c r="AP45" i="20"/>
  <c r="AI64" i="5"/>
  <c r="BV13" i="5"/>
  <c r="BW10" i="5"/>
  <c r="BV20" i="5"/>
  <c r="BV38" i="5" s="1"/>
  <c r="AS293" i="1"/>
  <c r="AR320" i="1"/>
  <c r="AI72" i="5"/>
  <c r="AI73" i="5" s="1"/>
  <c r="AQ322" i="1"/>
  <c r="AR295" i="1"/>
  <c r="BY11" i="5"/>
  <c r="BX14" i="5"/>
  <c r="BX21" i="5"/>
  <c r="BX39" i="5" s="1"/>
  <c r="AN129" i="1"/>
  <c r="AN136" i="1" s="1"/>
  <c r="AN219" i="1" s="1"/>
  <c r="AN161" i="1"/>
  <c r="AN182" i="1" s="1"/>
  <c r="AN189" i="1" s="1"/>
  <c r="AU379" i="1"/>
  <c r="AR381" i="1"/>
  <c r="AS13" i="1"/>
  <c r="AJ62" i="5"/>
  <c r="AJ57" i="5"/>
  <c r="AO129" i="1"/>
  <c r="AO161" i="1"/>
  <c r="AO182" i="1" s="1"/>
  <c r="AO189" i="1" s="1"/>
  <c r="BB176" i="23"/>
  <c r="BB179" i="23" s="1"/>
  <c r="BX33" i="6"/>
  <c r="AN303" i="1"/>
  <c r="AM330" i="1"/>
  <c r="AK56" i="5"/>
  <c r="AL40" i="6"/>
  <c r="AP80" i="1"/>
  <c r="AQ94" i="7"/>
  <c r="AP375" i="1"/>
  <c r="AL31" i="5"/>
  <c r="AL4" i="5"/>
  <c r="AL25" i="5" s="1"/>
  <c r="AL26" i="5" s="1"/>
  <c r="AK26" i="5"/>
  <c r="AJ58" i="5"/>
  <c r="AK39" i="6"/>
  <c r="AM164" i="1"/>
  <c r="AM407" i="1" s="1"/>
  <c r="AM409" i="1" s="1"/>
  <c r="AM181" i="1"/>
  <c r="AM188" i="1" s="1"/>
  <c r="AN160" i="1"/>
  <c r="AN125" i="1"/>
  <c r="AP324" i="1"/>
  <c r="AQ297" i="1"/>
  <c r="AW372" i="1"/>
  <c r="AT41" i="6"/>
  <c r="AI65" i="5"/>
  <c r="AJ48" i="6"/>
  <c r="BZ169" i="1"/>
  <c r="BA222" i="23"/>
  <c r="BA225" i="23" s="1"/>
  <c r="AI59" i="5"/>
  <c r="AQ33" i="1"/>
  <c r="AG91" i="3"/>
  <c r="AQ371" i="1"/>
  <c r="AM2" i="5"/>
  <c r="AN81" i="6"/>
  <c r="AN80" i="6"/>
  <c r="AM364" i="1"/>
  <c r="AL361" i="1"/>
  <c r="AI50" i="6"/>
  <c r="AI60" i="6" s="1"/>
  <c r="AH72" i="5"/>
  <c r="AH73" i="5" s="1"/>
  <c r="BV6" i="5"/>
  <c r="BU32" i="5"/>
  <c r="AK55" i="5"/>
  <c r="AL47" i="6" s="1"/>
  <c r="AK33" i="5"/>
  <c r="AK46" i="5" s="1"/>
  <c r="AL38" i="6"/>
  <c r="AO121" i="1"/>
  <c r="AO37" i="1"/>
  <c r="AO124" i="1"/>
  <c r="AO163" i="1" s="1"/>
  <c r="AO184" i="1" s="1"/>
  <c r="AO191" i="1" s="1"/>
  <c r="AO83" i="1"/>
  <c r="AP312" i="1"/>
  <c r="AQ287" i="1"/>
  <c r="AJ63" i="5"/>
  <c r="AK49" i="6"/>
  <c r="BW19" i="5"/>
  <c r="BW37" i="5" s="1"/>
  <c r="BW12" i="5"/>
  <c r="BX9" i="5"/>
  <c r="BW28" i="5"/>
  <c r="AQ424" i="1"/>
  <c r="AQ427" i="1" s="1"/>
  <c r="AM12" i="5"/>
  <c r="AQ174" i="1"/>
  <c r="AQ171" i="1"/>
  <c r="AQ178" i="1" s="1"/>
  <c r="AQ177" i="1"/>
  <c r="AR429" i="1"/>
  <c r="AR432" i="1" s="1"/>
  <c r="AR168" i="1"/>
  <c r="R95" i="23" l="1"/>
  <c r="AR28" i="1"/>
  <c r="R53" i="23"/>
  <c r="AH86" i="3"/>
  <c r="AT32" i="20"/>
  <c r="AQ15" i="1"/>
  <c r="AP44" i="6"/>
  <c r="AS30" i="1"/>
  <c r="BX356" i="1"/>
  <c r="O304" i="23"/>
  <c r="O307" i="23" s="1"/>
  <c r="O353" i="23"/>
  <c r="AN82" i="20"/>
  <c r="H435" i="23"/>
  <c r="H438" i="23" s="1"/>
  <c r="BX283" i="1"/>
  <c r="BX281" i="1"/>
  <c r="AO76" i="20"/>
  <c r="AO139" i="20" s="1"/>
  <c r="AO156" i="20" s="1"/>
  <c r="AO348" i="1"/>
  <c r="AK144" i="20"/>
  <c r="AK161" i="20" s="1"/>
  <c r="BY279" i="1"/>
  <c r="BY283" i="1" s="1"/>
  <c r="BY225" i="1"/>
  <c r="AP263" i="1"/>
  <c r="AP265" i="1" s="1"/>
  <c r="AP224" i="1"/>
  <c r="AP57" i="1"/>
  <c r="AP230" i="1" s="1"/>
  <c r="AM54" i="6"/>
  <c r="AM111" i="6" s="1"/>
  <c r="P348" i="23" s="1"/>
  <c r="AE59" i="6"/>
  <c r="AE62" i="6" s="1"/>
  <c r="AE63" i="6" s="1"/>
  <c r="AM87" i="20"/>
  <c r="AN94" i="20"/>
  <c r="AF57" i="6"/>
  <c r="AF112" i="6" s="1"/>
  <c r="I478" i="23" s="1"/>
  <c r="AI234" i="20"/>
  <c r="AI235" i="20" s="1"/>
  <c r="AI236" i="20" s="1"/>
  <c r="AO66" i="20"/>
  <c r="AP60" i="20"/>
  <c r="AP52" i="20"/>
  <c r="AQ38" i="20"/>
  <c r="AQ42" i="20"/>
  <c r="AQ39" i="20"/>
  <c r="AQ43" i="20"/>
  <c r="AQ36" i="20"/>
  <c r="AQ40" i="20"/>
  <c r="AQ37" i="20"/>
  <c r="AQ41" i="20"/>
  <c r="AP53" i="20"/>
  <c r="AP61" i="20"/>
  <c r="AJ148" i="20"/>
  <c r="AJ149" i="20" s="1"/>
  <c r="AP62" i="20"/>
  <c r="AP73" i="20" s="1"/>
  <c r="AP57" i="20"/>
  <c r="AP54" i="20"/>
  <c r="AM86" i="20"/>
  <c r="AM95" i="20" s="1"/>
  <c r="AO56" i="20"/>
  <c r="AO64" i="20" s="1"/>
  <c r="AL75" i="20"/>
  <c r="AN85" i="20"/>
  <c r="AM81" i="20"/>
  <c r="AM80" i="20"/>
  <c r="AQ41" i="1"/>
  <c r="AQ48" i="1" s="1"/>
  <c r="CA36" i="1"/>
  <c r="BZ42" i="1"/>
  <c r="BZ49" i="1" s="1"/>
  <c r="AR95" i="7"/>
  <c r="AK143" i="20"/>
  <c r="AK160" i="20" s="1"/>
  <c r="AI192" i="20"/>
  <c r="AK201" i="20"/>
  <c r="AK211" i="20"/>
  <c r="AC83" i="6"/>
  <c r="AD73" i="6"/>
  <c r="AJ14" i="7"/>
  <c r="AI71" i="7"/>
  <c r="AI72" i="7" s="1"/>
  <c r="AI79" i="7" s="1"/>
  <c r="X96" i="3" s="1"/>
  <c r="AI15" i="7"/>
  <c r="AJ221" i="20"/>
  <c r="AJ230" i="20" s="1"/>
  <c r="AJ220" i="20"/>
  <c r="AJ229" i="20" s="1"/>
  <c r="AK147" i="20"/>
  <c r="AK164" i="20" s="1"/>
  <c r="AK212" i="20"/>
  <c r="AK215" i="20"/>
  <c r="AK220" i="20" s="1"/>
  <c r="AK202" i="20"/>
  <c r="AK142" i="20"/>
  <c r="AK159" i="20" s="1"/>
  <c r="AI188" i="20"/>
  <c r="AI189" i="20" s="1"/>
  <c r="AI230" i="20"/>
  <c r="AJ190" i="20"/>
  <c r="AK146" i="20"/>
  <c r="AK163" i="20" s="1"/>
  <c r="AQ97" i="7"/>
  <c r="AK145" i="20"/>
  <c r="AK162" i="20" s="1"/>
  <c r="AK141" i="20"/>
  <c r="AK158" i="20" s="1"/>
  <c r="AJ187" i="20"/>
  <c r="AM83" i="20"/>
  <c r="AI149" i="20"/>
  <c r="AM79" i="20"/>
  <c r="AG57" i="6"/>
  <c r="AG112" i="6" s="1"/>
  <c r="J478" i="23" s="1"/>
  <c r="AQ81" i="1"/>
  <c r="AQ122" i="1" s="1"/>
  <c r="AP65" i="20"/>
  <c r="AS5" i="1"/>
  <c r="AS6" i="1"/>
  <c r="AS26" i="1"/>
  <c r="AQ373" i="1"/>
  <c r="AQ374" i="1"/>
  <c r="AQ112" i="1"/>
  <c r="AQ115" i="1" s="1"/>
  <c r="AS19" i="1"/>
  <c r="AR111" i="1"/>
  <c r="AR110" i="1"/>
  <c r="AH69" i="5"/>
  <c r="AH77" i="5" s="1"/>
  <c r="AG70" i="5"/>
  <c r="AG74" i="5" s="1"/>
  <c r="AG76" i="5" s="1"/>
  <c r="AI66" i="5"/>
  <c r="AI67" i="5" s="1"/>
  <c r="CB217" i="1"/>
  <c r="CB310" i="1" s="1"/>
  <c r="CA286" i="1"/>
  <c r="BZ196" i="1"/>
  <c r="BZ203" i="1" s="1"/>
  <c r="BZ250" i="1" s="1"/>
  <c r="AQ45" i="20"/>
  <c r="AQ46" i="20"/>
  <c r="AO136" i="1"/>
  <c r="AO219" i="1" s="1"/>
  <c r="AS320" i="1"/>
  <c r="AT293" i="1"/>
  <c r="BW13" i="5"/>
  <c r="BW20" i="5"/>
  <c r="BW38" i="5" s="1"/>
  <c r="BX10" i="5"/>
  <c r="AS295" i="1"/>
  <c r="AR322" i="1"/>
  <c r="AM38" i="6"/>
  <c r="BX19" i="5"/>
  <c r="BX37" i="5" s="1"/>
  <c r="BX28" i="5"/>
  <c r="BX12" i="5"/>
  <c r="BY9" i="5"/>
  <c r="BW6" i="5"/>
  <c r="BV32" i="5"/>
  <c r="AM361" i="1"/>
  <c r="AN364" i="1"/>
  <c r="AR94" i="7"/>
  <c r="AQ375" i="1"/>
  <c r="AQ80" i="1"/>
  <c r="AL39" i="6"/>
  <c r="AK58" i="5"/>
  <c r="AL33" i="5"/>
  <c r="AL46" i="5" s="1"/>
  <c r="AL55" i="5"/>
  <c r="AM47" i="6" s="1"/>
  <c r="AM39" i="6"/>
  <c r="AL58" i="5"/>
  <c r="AO303" i="1"/>
  <c r="AN330" i="1"/>
  <c r="CB218" i="1"/>
  <c r="CB220" i="1" s="1"/>
  <c r="BC176" i="23"/>
  <c r="BC179" i="23" s="1"/>
  <c r="BY33" i="6"/>
  <c r="AJ71" i="5"/>
  <c r="AJ59" i="5"/>
  <c r="AT13" i="1"/>
  <c r="AS381" i="1"/>
  <c r="AV379" i="1"/>
  <c r="AR287" i="1"/>
  <c r="AQ312" i="1"/>
  <c r="AO160" i="1"/>
  <c r="AO125" i="1"/>
  <c r="AK57" i="5"/>
  <c r="AK62" i="5"/>
  <c r="AM4" i="5"/>
  <c r="AM25" i="5" s="1"/>
  <c r="AN38" i="6" s="1"/>
  <c r="AM31" i="5"/>
  <c r="AJ50" i="6"/>
  <c r="AJ60" i="6" s="1"/>
  <c r="CA169" i="1"/>
  <c r="BB222" i="23"/>
  <c r="BB225" i="23" s="1"/>
  <c r="AX372" i="1"/>
  <c r="AU41" i="6"/>
  <c r="AR297" i="1"/>
  <c r="AQ324" i="1"/>
  <c r="AN164" i="1"/>
  <c r="AN407" i="1" s="1"/>
  <c r="AN409" i="1" s="1"/>
  <c r="AN181" i="1"/>
  <c r="AN188" i="1" s="1"/>
  <c r="AJ65" i="5"/>
  <c r="AK48" i="6"/>
  <c r="AL56" i="5"/>
  <c r="AM40" i="6"/>
  <c r="AP37" i="1"/>
  <c r="AP121" i="1"/>
  <c r="AP124" i="1"/>
  <c r="AP163" i="1" s="1"/>
  <c r="AP184" i="1" s="1"/>
  <c r="AP191" i="1" s="1"/>
  <c r="AP83" i="1"/>
  <c r="AK63" i="5"/>
  <c r="AL49" i="6"/>
  <c r="BX34" i="6"/>
  <c r="BA260" i="23" s="1"/>
  <c r="BA263" i="23" s="1"/>
  <c r="AR34" i="1"/>
  <c r="AR41" i="1" s="1"/>
  <c r="AN5" i="5"/>
  <c r="AN34" i="5" s="1"/>
  <c r="AR376" i="1"/>
  <c r="AJ64" i="5"/>
  <c r="AN2" i="5"/>
  <c r="AH91" i="3"/>
  <c r="AR371" i="1"/>
  <c r="AR33" i="1"/>
  <c r="AO81" i="6"/>
  <c r="AO80" i="6"/>
  <c r="AP129" i="1"/>
  <c r="AP136" i="1" s="1"/>
  <c r="AP219" i="1" s="1"/>
  <c r="AP161" i="1"/>
  <c r="AP182" i="1" s="1"/>
  <c r="AP189" i="1" s="1"/>
  <c r="BY21" i="5"/>
  <c r="BY39" i="5" s="1"/>
  <c r="BZ11" i="5"/>
  <c r="BY14" i="5"/>
  <c r="AS168" i="1"/>
  <c r="AS429" i="1"/>
  <c r="AS432" i="1" s="1"/>
  <c r="AR424" i="1"/>
  <c r="AR427" i="1" s="1"/>
  <c r="AR174" i="1"/>
  <c r="AN12" i="5"/>
  <c r="AR171" i="1"/>
  <c r="AR178" i="1" s="1"/>
  <c r="AR177" i="1"/>
  <c r="S95" i="23" l="1"/>
  <c r="AS28" i="1"/>
  <c r="S53" i="23"/>
  <c r="AI86" i="3"/>
  <c r="AU32" i="20"/>
  <c r="AR15" i="1"/>
  <c r="AQ44" i="6"/>
  <c r="AT30" i="1"/>
  <c r="H481" i="23"/>
  <c r="AO82" i="20"/>
  <c r="P304" i="23"/>
  <c r="P307" i="23" s="1"/>
  <c r="P353" i="23"/>
  <c r="J435" i="23"/>
  <c r="J438" i="23" s="1"/>
  <c r="J481" i="23"/>
  <c r="I435" i="23"/>
  <c r="I438" i="23" s="1"/>
  <c r="AP348" i="1"/>
  <c r="BY356" i="1"/>
  <c r="BY281" i="1"/>
  <c r="AP76" i="20"/>
  <c r="AP139" i="20" s="1"/>
  <c r="AP156" i="20" s="1"/>
  <c r="AL144" i="20"/>
  <c r="AL161" i="20" s="1"/>
  <c r="AQ263" i="1"/>
  <c r="AQ265" i="1" s="1"/>
  <c r="AQ224" i="1"/>
  <c r="BZ279" i="1"/>
  <c r="BZ283" i="1" s="1"/>
  <c r="BZ225" i="1"/>
  <c r="AQ57" i="1"/>
  <c r="AN54" i="6"/>
  <c r="AN111" i="6" s="1"/>
  <c r="Q348" i="23" s="1"/>
  <c r="AE87" i="6"/>
  <c r="AE88" i="6"/>
  <c r="AE91" i="6"/>
  <c r="AG59" i="6"/>
  <c r="AG62" i="6" s="1"/>
  <c r="AG91" i="6" s="1"/>
  <c r="AF59" i="6"/>
  <c r="AF62" i="6" s="1"/>
  <c r="AF91" i="6" s="1"/>
  <c r="AN87" i="20"/>
  <c r="AO94" i="20"/>
  <c r="AM75" i="20"/>
  <c r="AP66" i="20"/>
  <c r="AQ60" i="20"/>
  <c r="AQ52" i="20"/>
  <c r="AR37" i="20"/>
  <c r="AR41" i="20"/>
  <c r="AR38" i="20"/>
  <c r="AR42" i="20"/>
  <c r="AR40" i="20"/>
  <c r="AR39" i="20"/>
  <c r="AR43" i="20"/>
  <c r="AR36" i="20"/>
  <c r="AQ53" i="20"/>
  <c r="AQ61" i="20"/>
  <c r="AK148" i="20"/>
  <c r="AQ62" i="20"/>
  <c r="AQ73" i="20" s="1"/>
  <c r="AQ54" i="20"/>
  <c r="AQ57" i="20"/>
  <c r="AN81" i="20"/>
  <c r="AO85" i="20"/>
  <c r="AN86" i="20"/>
  <c r="AN95" i="20" s="1"/>
  <c r="AN79" i="20"/>
  <c r="AN80" i="20"/>
  <c r="AP56" i="20"/>
  <c r="AP64" i="20" s="1"/>
  <c r="AR97" i="7"/>
  <c r="CB36" i="1"/>
  <c r="CA42" i="1"/>
  <c r="CA49" i="1" s="1"/>
  <c r="AJ191" i="20"/>
  <c r="AJ192" i="20" s="1"/>
  <c r="AK187" i="20"/>
  <c r="AJ188" i="20"/>
  <c r="AJ189" i="20" s="1"/>
  <c r="AL147" i="20"/>
  <c r="AL164" i="20" s="1"/>
  <c r="AE73" i="6"/>
  <c r="AJ71" i="7"/>
  <c r="AJ72" i="7" s="1"/>
  <c r="AJ79" i="7" s="1"/>
  <c r="Y96" i="3" s="1"/>
  <c r="AK14" i="7"/>
  <c r="AJ15" i="7"/>
  <c r="AD83" i="6"/>
  <c r="AN83" i="20"/>
  <c r="AK190" i="20"/>
  <c r="AK224" i="20"/>
  <c r="AK221" i="20"/>
  <c r="AK230" i="20" s="1"/>
  <c r="AJ234" i="20"/>
  <c r="AJ235" i="20" s="1"/>
  <c r="AJ236" i="20" s="1"/>
  <c r="AJ165" i="20"/>
  <c r="AQ65" i="20"/>
  <c r="AT6" i="1"/>
  <c r="AT5" i="1"/>
  <c r="AT26" i="1"/>
  <c r="AR373" i="1"/>
  <c r="AR374" i="1"/>
  <c r="AT19" i="1"/>
  <c r="AS110" i="1"/>
  <c r="AS111" i="1"/>
  <c r="AR112" i="1"/>
  <c r="AR115" i="1" s="1"/>
  <c r="AH70" i="5"/>
  <c r="AH74" i="5" s="1"/>
  <c r="AH76" i="5" s="1"/>
  <c r="AI69" i="5"/>
  <c r="AI70" i="5" s="1"/>
  <c r="AI74" i="5" s="1"/>
  <c r="AI76" i="5" s="1"/>
  <c r="CB286" i="1"/>
  <c r="CC217" i="1"/>
  <c r="CC310" i="1" s="1"/>
  <c r="CA196" i="1"/>
  <c r="CA203" i="1" s="1"/>
  <c r="CA250" i="1" s="1"/>
  <c r="AK188" i="20"/>
  <c r="AK229" i="20"/>
  <c r="AR45" i="20"/>
  <c r="AR46" i="20"/>
  <c r="AM26" i="5"/>
  <c r="AN39" i="6" s="1"/>
  <c r="AU293" i="1"/>
  <c r="AT320" i="1"/>
  <c r="BX20" i="5"/>
  <c r="BX38" i="5" s="1"/>
  <c r="BY10" i="5"/>
  <c r="BX13" i="5"/>
  <c r="AS322" i="1"/>
  <c r="AT295" i="1"/>
  <c r="AJ66" i="5"/>
  <c r="AJ69" i="5" s="1"/>
  <c r="AR375" i="1"/>
  <c r="AS94" i="7"/>
  <c r="AR80" i="1"/>
  <c r="AR48" i="1"/>
  <c r="AS95" i="7"/>
  <c r="AR81" i="1"/>
  <c r="AL63" i="5"/>
  <c r="AM49" i="6"/>
  <c r="AR324" i="1"/>
  <c r="AS297" i="1"/>
  <c r="AM33" i="5"/>
  <c r="AM46" i="5" s="1"/>
  <c r="AM55" i="5"/>
  <c r="AS376" i="1"/>
  <c r="AO5" i="5"/>
  <c r="AO34" i="5" s="1"/>
  <c r="AS34" i="1"/>
  <c r="AS41" i="1" s="1"/>
  <c r="AK71" i="5"/>
  <c r="AK72" i="5" s="1"/>
  <c r="AK73" i="5" s="1"/>
  <c r="AK59" i="5"/>
  <c r="AO164" i="1"/>
  <c r="AO407" i="1" s="1"/>
  <c r="AO409" i="1" s="1"/>
  <c r="AO181" i="1"/>
  <c r="AO188" i="1" s="1"/>
  <c r="AS287" i="1"/>
  <c r="AR312" i="1"/>
  <c r="AW379" i="1"/>
  <c r="AS33" i="1"/>
  <c r="AO2" i="5"/>
  <c r="AS371" i="1"/>
  <c r="AI91" i="3"/>
  <c r="AT381" i="1"/>
  <c r="AU13" i="1"/>
  <c r="AJ72" i="5"/>
  <c r="AJ73" i="5" s="1"/>
  <c r="AP303" i="1"/>
  <c r="AO330" i="1"/>
  <c r="AN361" i="1"/>
  <c r="AO364" i="1"/>
  <c r="BX6" i="5"/>
  <c r="BW32" i="5"/>
  <c r="AQ129" i="1"/>
  <c r="AQ136" i="1" s="1"/>
  <c r="AQ219" i="1" s="1"/>
  <c r="AQ161" i="1"/>
  <c r="AQ182" i="1" s="1"/>
  <c r="AQ189" i="1" s="1"/>
  <c r="CA11" i="5"/>
  <c r="BZ21" i="5"/>
  <c r="BZ39" i="5" s="1"/>
  <c r="BZ14" i="5"/>
  <c r="AN4" i="5"/>
  <c r="AN25" i="5" s="1"/>
  <c r="AN26" i="5" s="1"/>
  <c r="AO39" i="6" s="1"/>
  <c r="AN31" i="5"/>
  <c r="AP160" i="1"/>
  <c r="AP125" i="1"/>
  <c r="AV41" i="6"/>
  <c r="AY372" i="1"/>
  <c r="BC222" i="23"/>
  <c r="BC225" i="23" s="1"/>
  <c r="CB169" i="1"/>
  <c r="AN40" i="6"/>
  <c r="AM56" i="5"/>
  <c r="AK64" i="5"/>
  <c r="AP81" i="6"/>
  <c r="AP80" i="6"/>
  <c r="AK50" i="6"/>
  <c r="AK60" i="6" s="1"/>
  <c r="BY34" i="6"/>
  <c r="BB260" i="23" s="1"/>
  <c r="BB263" i="23" s="1"/>
  <c r="CC218" i="1"/>
  <c r="CC220" i="1" s="1"/>
  <c r="BD176" i="23"/>
  <c r="BD179" i="23" s="1"/>
  <c r="BZ33" i="6"/>
  <c r="AL65" i="5"/>
  <c r="AM48" i="6"/>
  <c r="AL62" i="5"/>
  <c r="AL57" i="5"/>
  <c r="AK65" i="5"/>
  <c r="AL48" i="6"/>
  <c r="AQ121" i="1"/>
  <c r="AQ124" i="1"/>
  <c r="AQ163" i="1" s="1"/>
  <c r="AQ184" i="1" s="1"/>
  <c r="AQ191" i="1" s="1"/>
  <c r="AQ37" i="1"/>
  <c r="AQ83" i="1"/>
  <c r="BY12" i="5"/>
  <c r="BY19" i="5"/>
  <c r="BY37" i="5" s="1"/>
  <c r="BY28" i="5"/>
  <c r="BZ9" i="5"/>
  <c r="AT429" i="1"/>
  <c r="AT432" i="1" s="1"/>
  <c r="AT168" i="1"/>
  <c r="AS424" i="1"/>
  <c r="AS427" i="1" s="1"/>
  <c r="AO12" i="5"/>
  <c r="AS177" i="1"/>
  <c r="AS174" i="1"/>
  <c r="AS171" i="1"/>
  <c r="AS178" i="1" s="1"/>
  <c r="T95" i="23" l="1"/>
  <c r="AT28" i="1"/>
  <c r="T53" i="23"/>
  <c r="AJ86" i="3"/>
  <c r="AV32" i="20"/>
  <c r="AS15" i="1"/>
  <c r="AR44" i="6"/>
  <c r="AU30" i="1"/>
  <c r="I481" i="23"/>
  <c r="BZ34" i="6"/>
  <c r="BC260" i="23" s="1"/>
  <c r="BC263" i="23" s="1"/>
  <c r="Q304" i="23"/>
  <c r="Q307" i="23" s="1"/>
  <c r="Q353" i="23"/>
  <c r="AP82" i="20"/>
  <c r="AM145" i="20"/>
  <c r="AQ76" i="20"/>
  <c r="AQ139" i="20" s="1"/>
  <c r="AQ156" i="20" s="1"/>
  <c r="AM144" i="20"/>
  <c r="AM161" i="20" s="1"/>
  <c r="BZ281" i="1"/>
  <c r="BZ356" i="1"/>
  <c r="AQ348" i="1"/>
  <c r="AQ230" i="1"/>
  <c r="AR263" i="1"/>
  <c r="AR265" i="1" s="1"/>
  <c r="AR224" i="1"/>
  <c r="CA279" i="1"/>
  <c r="CA283" i="1" s="1"/>
  <c r="CA225" i="1"/>
  <c r="AR57" i="1"/>
  <c r="AR230" i="1" s="1"/>
  <c r="AO54" i="6"/>
  <c r="AO111" i="6" s="1"/>
  <c r="R348" i="23" s="1"/>
  <c r="AG87" i="6"/>
  <c r="AG88" i="6"/>
  <c r="AG63" i="6"/>
  <c r="AF63" i="6"/>
  <c r="AF87" i="6"/>
  <c r="AF88" i="6"/>
  <c r="AO87" i="20"/>
  <c r="AP94" i="20"/>
  <c r="AH57" i="6"/>
  <c r="AH112" i="6" s="1"/>
  <c r="K478" i="23" s="1"/>
  <c r="AM147" i="20"/>
  <c r="AM164" i="20" s="1"/>
  <c r="AK234" i="20"/>
  <c r="AK235" i="20" s="1"/>
  <c r="AK236" i="20" s="1"/>
  <c r="AI57" i="6"/>
  <c r="AI112" i="6" s="1"/>
  <c r="L478" i="23" s="1"/>
  <c r="AQ66" i="20"/>
  <c r="AR53" i="20"/>
  <c r="AR61" i="20"/>
  <c r="AS36" i="20"/>
  <c r="AS40" i="20"/>
  <c r="AS39" i="20"/>
  <c r="AS37" i="20"/>
  <c r="AS41" i="20"/>
  <c r="AS38" i="20"/>
  <c r="AS42" i="20"/>
  <c r="AS43" i="20"/>
  <c r="AR60" i="20"/>
  <c r="AR52" i="20"/>
  <c r="AO86" i="20"/>
  <c r="AO95" i="20" s="1"/>
  <c r="AR62" i="20"/>
  <c r="AR73" i="20" s="1"/>
  <c r="AR54" i="20"/>
  <c r="AR57" i="20"/>
  <c r="AO81" i="20"/>
  <c r="AO79" i="20"/>
  <c r="AO80" i="20"/>
  <c r="AN75" i="20"/>
  <c r="AP85" i="20"/>
  <c r="AQ56" i="20"/>
  <c r="AQ64" i="20" s="1"/>
  <c r="CC36" i="1"/>
  <c r="CB42" i="1"/>
  <c r="CB49" i="1" s="1"/>
  <c r="AK189" i="20"/>
  <c r="AO83" i="20"/>
  <c r="AE83" i="6"/>
  <c r="AK71" i="7"/>
  <c r="AK72" i="7" s="1"/>
  <c r="AK79" i="7" s="1"/>
  <c r="Z96" i="3" s="1"/>
  <c r="AK15" i="7"/>
  <c r="AL14" i="7"/>
  <c r="AF73" i="6"/>
  <c r="AK191" i="20"/>
  <c r="AK192" i="20" s="1"/>
  <c r="AO145" i="20"/>
  <c r="AL141" i="20"/>
  <c r="AL158" i="20" s="1"/>
  <c r="AL142" i="20"/>
  <c r="AL159" i="20" s="1"/>
  <c r="AL140" i="20"/>
  <c r="AL157" i="20" s="1"/>
  <c r="AK149" i="20"/>
  <c r="AN137" i="20"/>
  <c r="AN145" i="20"/>
  <c r="AL143" i="20"/>
  <c r="AL160" i="20" s="1"/>
  <c r="AM141" i="20"/>
  <c r="AN142" i="20"/>
  <c r="AO141" i="20"/>
  <c r="AN141" i="20"/>
  <c r="AO142" i="20"/>
  <c r="AK165" i="20"/>
  <c r="AN146" i="20"/>
  <c r="AM140" i="20"/>
  <c r="AN138" i="20"/>
  <c r="AM143" i="20"/>
  <c r="AN140" i="20"/>
  <c r="AO140" i="20"/>
  <c r="AO146" i="20"/>
  <c r="AM146" i="20"/>
  <c r="AL146" i="20"/>
  <c r="AL163" i="20" s="1"/>
  <c r="AL145" i="20"/>
  <c r="AL162" i="20" s="1"/>
  <c r="AM138" i="20"/>
  <c r="AL138" i="20"/>
  <c r="AL155" i="20" s="1"/>
  <c r="AM142" i="20"/>
  <c r="AO138" i="20"/>
  <c r="AO137" i="20"/>
  <c r="AN143" i="20"/>
  <c r="AL137" i="20"/>
  <c r="AL154" i="20" s="1"/>
  <c r="AO143" i="20"/>
  <c r="AM137" i="20"/>
  <c r="AR65" i="20"/>
  <c r="AU5" i="1"/>
  <c r="AU6" i="1"/>
  <c r="AU26" i="1"/>
  <c r="AS373" i="1"/>
  <c r="AS374" i="1"/>
  <c r="AS112" i="1"/>
  <c r="AS115" i="1" s="1"/>
  <c r="AU19" i="1"/>
  <c r="AT110" i="1"/>
  <c r="AT111" i="1"/>
  <c r="AI77" i="5"/>
  <c r="AM58" i="5"/>
  <c r="AM65" i="5" s="1"/>
  <c r="CD217" i="1"/>
  <c r="CD310" i="1" s="1"/>
  <c r="CC286" i="1"/>
  <c r="CB196" i="1"/>
  <c r="CB203" i="1" s="1"/>
  <c r="CB250" i="1" s="1"/>
  <c r="AS46" i="20"/>
  <c r="AS45" i="20"/>
  <c r="AJ67" i="5"/>
  <c r="AL64" i="5"/>
  <c r="AL66" i="5" s="1"/>
  <c r="BZ10" i="5"/>
  <c r="BY13" i="5"/>
  <c r="BY20" i="5"/>
  <c r="BY38" i="5" s="1"/>
  <c r="AV293" i="1"/>
  <c r="AU320" i="1"/>
  <c r="AT322" i="1"/>
  <c r="AU295" i="1"/>
  <c r="BZ19" i="5"/>
  <c r="BZ37" i="5" s="1"/>
  <c r="BZ12" i="5"/>
  <c r="BZ28" i="5"/>
  <c r="CA9" i="5"/>
  <c r="AL59" i="5"/>
  <c r="AL71" i="5"/>
  <c r="AL72" i="5" s="1"/>
  <c r="AL73" i="5" s="1"/>
  <c r="BE176" i="23"/>
  <c r="BE179" i="23" s="1"/>
  <c r="CD218" i="1"/>
  <c r="CD220" i="1" s="1"/>
  <c r="CA33" i="6"/>
  <c r="AJ70" i="5"/>
  <c r="AJ74" i="5" s="1"/>
  <c r="CC169" i="1"/>
  <c r="BD222" i="23"/>
  <c r="BD225" i="23" s="1"/>
  <c r="AP164" i="1"/>
  <c r="AP407" i="1" s="1"/>
  <c r="AP409" i="1" s="1"/>
  <c r="AP181" i="1"/>
  <c r="AP188" i="1" s="1"/>
  <c r="AN58" i="5"/>
  <c r="AN65" i="5" s="1"/>
  <c r="AO40" i="6"/>
  <c r="AN56" i="5"/>
  <c r="AT376" i="1"/>
  <c r="AT34" i="1"/>
  <c r="AT41" i="1" s="1"/>
  <c r="AP5" i="5"/>
  <c r="AP34" i="5" s="1"/>
  <c r="AT371" i="1"/>
  <c r="AP2" i="5"/>
  <c r="AT33" i="1"/>
  <c r="AJ91" i="3"/>
  <c r="AQ81" i="6"/>
  <c r="AQ80" i="6"/>
  <c r="AO4" i="5"/>
  <c r="AO25" i="5" s="1"/>
  <c r="AP38" i="6" s="1"/>
  <c r="AO31" i="5"/>
  <c r="AX379" i="1"/>
  <c r="AS312" i="1"/>
  <c r="AT287" i="1"/>
  <c r="AL50" i="6"/>
  <c r="AL60" i="6" s="1"/>
  <c r="AN47" i="6"/>
  <c r="AM62" i="5"/>
  <c r="AM57" i="5"/>
  <c r="AT297" i="1"/>
  <c r="AS324" i="1"/>
  <c r="AR122" i="1"/>
  <c r="AR124" i="1"/>
  <c r="AR163" i="1" s="1"/>
  <c r="AR184" i="1" s="1"/>
  <c r="AR191" i="1" s="1"/>
  <c r="AR121" i="1"/>
  <c r="AR37" i="1"/>
  <c r="AR83" i="1"/>
  <c r="AQ160" i="1"/>
  <c r="AQ125" i="1"/>
  <c r="AK66" i="5"/>
  <c r="AK69" i="5" s="1"/>
  <c r="AN49" i="6"/>
  <c r="AM63" i="5"/>
  <c r="AZ372" i="1"/>
  <c r="AW41" i="6"/>
  <c r="AN55" i="5"/>
  <c r="AN33" i="5"/>
  <c r="AN46" i="5" s="1"/>
  <c r="CA14" i="5"/>
  <c r="CB11" i="5"/>
  <c r="CA21" i="5"/>
  <c r="CA39" i="5" s="1"/>
  <c r="BY6" i="5"/>
  <c r="BX32" i="5"/>
  <c r="AO361" i="1"/>
  <c r="AP364" i="1"/>
  <c r="AP330" i="1"/>
  <c r="AQ303" i="1"/>
  <c r="AV13" i="1"/>
  <c r="AU381" i="1"/>
  <c r="AT94" i="7"/>
  <c r="AS375" i="1"/>
  <c r="AS80" i="1"/>
  <c r="AS48" i="1"/>
  <c r="AS81" i="1"/>
  <c r="AT95" i="7"/>
  <c r="AJ77" i="5"/>
  <c r="AO38" i="6"/>
  <c r="AS97" i="7"/>
  <c r="AU168" i="1"/>
  <c r="AU429" i="1"/>
  <c r="AU432" i="1" s="1"/>
  <c r="AP12" i="5"/>
  <c r="AT177" i="1"/>
  <c r="AT171" i="1"/>
  <c r="AT178" i="1" s="1"/>
  <c r="AT424" i="1"/>
  <c r="AT427" i="1" s="1"/>
  <c r="AT174" i="1"/>
  <c r="AG73" i="6" l="1"/>
  <c r="Z99" i="3"/>
  <c r="U95" i="23"/>
  <c r="AU28" i="1"/>
  <c r="U53" i="23"/>
  <c r="AK86" i="3"/>
  <c r="AW32" i="20"/>
  <c r="AT15" i="1"/>
  <c r="AS44" i="6"/>
  <c r="AV30" i="1"/>
  <c r="CA281" i="1"/>
  <c r="AM159" i="20"/>
  <c r="AN160" i="20"/>
  <c r="AM157" i="20"/>
  <c r="AQ82" i="20"/>
  <c r="AO155" i="20"/>
  <c r="AN157" i="20"/>
  <c r="AO158" i="20"/>
  <c r="AM160" i="20"/>
  <c r="AN162" i="20"/>
  <c r="AN163" i="20"/>
  <c r="AN154" i="20"/>
  <c r="AN158" i="20"/>
  <c r="AM154" i="20"/>
  <c r="AO154" i="20"/>
  <c r="AM155" i="20"/>
  <c r="AO163" i="20"/>
  <c r="AN155" i="20"/>
  <c r="AO159" i="20"/>
  <c r="AM158" i="20"/>
  <c r="AO162" i="20"/>
  <c r="AM163" i="20"/>
  <c r="AN159" i="20"/>
  <c r="AO160" i="20"/>
  <c r="AO157" i="20"/>
  <c r="AM162" i="20"/>
  <c r="R304" i="23"/>
  <c r="R307" i="23" s="1"/>
  <c r="R353" i="23"/>
  <c r="L435" i="23"/>
  <c r="L438" i="23" s="1"/>
  <c r="L481" i="23"/>
  <c r="K435" i="23"/>
  <c r="K438" i="23" s="1"/>
  <c r="CA356" i="1"/>
  <c r="AR76" i="20"/>
  <c r="AR139" i="20" s="1"/>
  <c r="AR156" i="20" s="1"/>
  <c r="AR348" i="1"/>
  <c r="AN144" i="20"/>
  <c r="AN161" i="20" s="1"/>
  <c r="AS263" i="1"/>
  <c r="AS265" i="1" s="1"/>
  <c r="AS224" i="1"/>
  <c r="CB279" i="1"/>
  <c r="CB225" i="1"/>
  <c r="AS57" i="1"/>
  <c r="AS230" i="1" s="1"/>
  <c r="AP54" i="6"/>
  <c r="AP111" i="6" s="1"/>
  <c r="S348" i="23" s="1"/>
  <c r="AI59" i="6"/>
  <c r="AI62" i="6" s="1"/>
  <c r="AI87" i="6" s="1"/>
  <c r="AH59" i="6"/>
  <c r="AH62" i="6" s="1"/>
  <c r="AH63" i="6" s="1"/>
  <c r="AP87" i="20"/>
  <c r="AQ94" i="20"/>
  <c r="AN147" i="20"/>
  <c r="AN164" i="20" s="1"/>
  <c r="AO75" i="20"/>
  <c r="AJ57" i="6"/>
  <c r="AJ112" i="6" s="1"/>
  <c r="M478" i="23" s="1"/>
  <c r="AR66" i="20"/>
  <c r="AT39" i="20"/>
  <c r="AT43" i="20"/>
  <c r="AT36" i="20"/>
  <c r="AT40" i="20"/>
  <c r="AT42" i="20"/>
  <c r="AT37" i="20"/>
  <c r="AT41" i="20"/>
  <c r="AT38" i="20"/>
  <c r="AS60" i="20"/>
  <c r="AS52" i="20"/>
  <c r="AS53" i="20"/>
  <c r="AS61" i="20"/>
  <c r="AL148" i="20"/>
  <c r="AL165" i="20" s="1"/>
  <c r="AM148" i="20"/>
  <c r="AM149" i="20" s="1"/>
  <c r="AS62" i="20"/>
  <c r="AS73" i="20" s="1"/>
  <c r="AS57" i="20"/>
  <c r="AS54" i="20"/>
  <c r="AR56" i="20"/>
  <c r="AR64" i="20" s="1"/>
  <c r="AP142" i="20"/>
  <c r="AP159" i="20" s="1"/>
  <c r="AP80" i="20"/>
  <c r="AP141" i="20"/>
  <c r="AP158" i="20" s="1"/>
  <c r="AP143" i="20"/>
  <c r="AP160" i="20" s="1"/>
  <c r="AP86" i="20"/>
  <c r="AP95" i="20" s="1"/>
  <c r="AP140" i="20"/>
  <c r="AP157" i="20" s="1"/>
  <c r="AP145" i="20"/>
  <c r="AP162" i="20" s="1"/>
  <c r="AP146" i="20"/>
  <c r="AP163" i="20" s="1"/>
  <c r="AP79" i="20"/>
  <c r="AP81" i="20"/>
  <c r="AP138" i="20"/>
  <c r="AP155" i="20" s="1"/>
  <c r="AP137" i="20"/>
  <c r="AP154" i="20" s="1"/>
  <c r="AQ85" i="20"/>
  <c r="AP83" i="20"/>
  <c r="CD36" i="1"/>
  <c r="CC42" i="1"/>
  <c r="CC49" i="1" s="1"/>
  <c r="AF83" i="6"/>
  <c r="AG83" i="6"/>
  <c r="AL15" i="7"/>
  <c r="AM14" i="7"/>
  <c r="AL71" i="7"/>
  <c r="AL72" i="7" s="1"/>
  <c r="AL79" i="7" s="1"/>
  <c r="AA96" i="3" s="1"/>
  <c r="AU376" i="1"/>
  <c r="AS65" i="20"/>
  <c r="AU34" i="1"/>
  <c r="AU41" i="1" s="1"/>
  <c r="AQ5" i="5"/>
  <c r="AQ34" i="5" s="1"/>
  <c r="AV5" i="1"/>
  <c r="AV6" i="1"/>
  <c r="AV26" i="1"/>
  <c r="AT373" i="1"/>
  <c r="AT374" i="1"/>
  <c r="AM59" i="5"/>
  <c r="AN50" i="6" s="1"/>
  <c r="AN60" i="6" s="1"/>
  <c r="AT112" i="1"/>
  <c r="AT115" i="1" s="1"/>
  <c r="AV19" i="1"/>
  <c r="AU110" i="1"/>
  <c r="AU111" i="1"/>
  <c r="AN48" i="6"/>
  <c r="AJ76" i="5"/>
  <c r="CD286" i="1"/>
  <c r="CE217" i="1"/>
  <c r="CC196" i="1"/>
  <c r="CC203" i="1" s="1"/>
  <c r="CC250" i="1" s="1"/>
  <c r="AT45" i="20"/>
  <c r="AT46" i="20"/>
  <c r="AW293" i="1"/>
  <c r="AV320" i="1"/>
  <c r="BZ13" i="5"/>
  <c r="CA10" i="5"/>
  <c r="BZ20" i="5"/>
  <c r="BZ38" i="5" s="1"/>
  <c r="AU322" i="1"/>
  <c r="AV295" i="1"/>
  <c r="AS122" i="1"/>
  <c r="AS37" i="1"/>
  <c r="AS83" i="1"/>
  <c r="AS121" i="1"/>
  <c r="AS124" i="1"/>
  <c r="AS163" i="1" s="1"/>
  <c r="AS184" i="1" s="1"/>
  <c r="AS191" i="1" s="1"/>
  <c r="AN57" i="5"/>
  <c r="AN62" i="5"/>
  <c r="AR129" i="1"/>
  <c r="AR136" i="1" s="1"/>
  <c r="AR219" i="1" s="1"/>
  <c r="AR161" i="1"/>
  <c r="AR182" i="1" s="1"/>
  <c r="AR189" i="1" s="1"/>
  <c r="AY379" i="1"/>
  <c r="AO33" i="5"/>
  <c r="AO46" i="5" s="1"/>
  <c r="AO55" i="5"/>
  <c r="AU94" i="7"/>
  <c r="AT375" i="1"/>
  <c r="AT80" i="1"/>
  <c r="AP31" i="5"/>
  <c r="AP4" i="5"/>
  <c r="AP25" i="5" s="1"/>
  <c r="AK70" i="5"/>
  <c r="AK74" i="5" s="1"/>
  <c r="AM71" i="5"/>
  <c r="AT97" i="7"/>
  <c r="AQ2" i="5"/>
  <c r="AU371" i="1"/>
  <c r="AK91" i="3"/>
  <c r="AU33" i="1"/>
  <c r="AR81" i="6"/>
  <c r="AR80" i="6"/>
  <c r="AV381" i="1"/>
  <c r="AW13" i="1"/>
  <c r="AQ330" i="1"/>
  <c r="AR303" i="1"/>
  <c r="AP361" i="1"/>
  <c r="AQ364" i="1"/>
  <c r="BZ6" i="5"/>
  <c r="BY32" i="5"/>
  <c r="CB21" i="5"/>
  <c r="CB39" i="5" s="1"/>
  <c r="CB14" i="5"/>
  <c r="CC11" i="5"/>
  <c r="AX41" i="6"/>
  <c r="BA372" i="1"/>
  <c r="AL67" i="5"/>
  <c r="AK77" i="5"/>
  <c r="AK67" i="5"/>
  <c r="AQ164" i="1"/>
  <c r="AQ407" i="1" s="1"/>
  <c r="AQ409" i="1" s="1"/>
  <c r="AQ181" i="1"/>
  <c r="AQ188" i="1" s="1"/>
  <c r="AO47" i="6"/>
  <c r="AR125" i="1"/>
  <c r="AR160" i="1"/>
  <c r="AO48" i="6"/>
  <c r="AT324" i="1"/>
  <c r="AU297" i="1"/>
  <c r="AM64" i="5"/>
  <c r="AM66" i="5" s="1"/>
  <c r="AT312" i="1"/>
  <c r="AU287" i="1"/>
  <c r="AP40" i="6"/>
  <c r="AO56" i="5"/>
  <c r="AU95" i="7"/>
  <c r="AT81" i="1"/>
  <c r="AT48" i="1"/>
  <c r="AN63" i="5"/>
  <c r="AO49" i="6"/>
  <c r="AO26" i="5"/>
  <c r="CD169" i="1"/>
  <c r="BE222" i="23"/>
  <c r="BE225" i="23" s="1"/>
  <c r="CA34" i="6"/>
  <c r="BD260" i="23" s="1"/>
  <c r="BD263" i="23" s="1"/>
  <c r="BF176" i="23"/>
  <c r="BF179" i="23" s="1"/>
  <c r="CE218" i="1"/>
  <c r="CE220" i="1" s="1"/>
  <c r="CB33" i="6"/>
  <c r="AL69" i="5"/>
  <c r="AM50" i="6"/>
  <c r="AM60" i="6" s="1"/>
  <c r="CA19" i="5"/>
  <c r="CA37" i="5" s="1"/>
  <c r="CA12" i="5"/>
  <c r="CA28" i="5"/>
  <c r="CB9" i="5"/>
  <c r="AU177" i="1"/>
  <c r="AU424" i="1"/>
  <c r="AU427" i="1" s="1"/>
  <c r="AU171" i="1"/>
  <c r="AU178" i="1" s="1"/>
  <c r="AQ12" i="5"/>
  <c r="AU174" i="1"/>
  <c r="AV429" i="1"/>
  <c r="AV432" i="1" s="1"/>
  <c r="AV168" i="1"/>
  <c r="AH73" i="6" l="1"/>
  <c r="AA99" i="3"/>
  <c r="V95" i="23"/>
  <c r="AV28" i="1"/>
  <c r="V53" i="23"/>
  <c r="AL86" i="3"/>
  <c r="AX32" i="20"/>
  <c r="AU15" i="1"/>
  <c r="AT44" i="6"/>
  <c r="AW30" i="1"/>
  <c r="K481" i="23"/>
  <c r="CB34" i="6"/>
  <c r="BE260" i="23" s="1"/>
  <c r="BE263" i="23" s="1"/>
  <c r="AR82" i="20"/>
  <c r="CB356" i="1"/>
  <c r="S304" i="23"/>
  <c r="S307" i="23" s="1"/>
  <c r="S353" i="23"/>
  <c r="M435" i="23"/>
  <c r="M438" i="23" s="1"/>
  <c r="M481" i="23"/>
  <c r="AS76" i="20"/>
  <c r="AS139" i="20" s="1"/>
  <c r="AS156" i="20" s="1"/>
  <c r="AO144" i="20"/>
  <c r="AO161" i="20" s="1"/>
  <c r="AS348" i="1"/>
  <c r="CB281" i="1"/>
  <c r="CB283" i="1"/>
  <c r="AT263" i="1"/>
  <c r="AT265" i="1" s="1"/>
  <c r="AT224" i="1"/>
  <c r="CC279" i="1"/>
  <c r="CC283" i="1" s="1"/>
  <c r="CC225" i="1"/>
  <c r="AT57" i="1"/>
  <c r="AQ54" i="6"/>
  <c r="AQ111" i="6" s="1"/>
  <c r="T348" i="23" s="1"/>
  <c r="AI88" i="6"/>
  <c r="AI91" i="6"/>
  <c r="AI63" i="6"/>
  <c r="AH87" i="6"/>
  <c r="AJ59" i="6"/>
  <c r="AJ62" i="6" s="1"/>
  <c r="AJ91" i="6" s="1"/>
  <c r="AH91" i="6"/>
  <c r="AH88" i="6"/>
  <c r="AQ87" i="20"/>
  <c r="AR94" i="20"/>
  <c r="AN148" i="20"/>
  <c r="AN149" i="20" s="1"/>
  <c r="AO147" i="20"/>
  <c r="AO164" i="20" s="1"/>
  <c r="AK57" i="6"/>
  <c r="AK112" i="6" s="1"/>
  <c r="N478" i="23" s="1"/>
  <c r="AS66" i="20"/>
  <c r="AT60" i="20"/>
  <c r="AT52" i="20"/>
  <c r="AU38" i="20"/>
  <c r="AU42" i="20"/>
  <c r="AU37" i="20"/>
  <c r="AU41" i="20"/>
  <c r="AU39" i="20"/>
  <c r="AU43" i="20"/>
  <c r="AU36" i="20"/>
  <c r="AU40" i="20"/>
  <c r="AT53" i="20"/>
  <c r="AT61" i="20"/>
  <c r="AT62" i="20"/>
  <c r="AT73" i="20" s="1"/>
  <c r="AT54" i="20"/>
  <c r="AT57" i="20"/>
  <c r="AV34" i="1"/>
  <c r="AV41" i="1" s="1"/>
  <c r="AV48" i="1" s="1"/>
  <c r="AP75" i="20"/>
  <c r="AQ81" i="20"/>
  <c r="AQ146" i="20"/>
  <c r="AQ163" i="20" s="1"/>
  <c r="AQ141" i="20"/>
  <c r="AQ158" i="20" s="1"/>
  <c r="AQ140" i="20"/>
  <c r="AQ157" i="20" s="1"/>
  <c r="AQ143" i="20"/>
  <c r="AQ160" i="20" s="1"/>
  <c r="AQ138" i="20"/>
  <c r="AQ155" i="20" s="1"/>
  <c r="AQ137" i="20"/>
  <c r="AQ154" i="20" s="1"/>
  <c r="AQ86" i="20"/>
  <c r="AQ95" i="20" s="1"/>
  <c r="AR85" i="20"/>
  <c r="AQ145" i="20"/>
  <c r="AQ162" i="20" s="1"/>
  <c r="AQ80" i="20"/>
  <c r="AQ79" i="20"/>
  <c r="AQ142" i="20"/>
  <c r="AQ159" i="20" s="1"/>
  <c r="AS56" i="20"/>
  <c r="AS64" i="20" s="1"/>
  <c r="AQ83" i="20"/>
  <c r="CE36" i="1"/>
  <c r="CD42" i="1"/>
  <c r="CD49" i="1" s="1"/>
  <c r="AH83" i="6"/>
  <c r="AM15" i="7"/>
  <c r="AN14" i="7"/>
  <c r="AM71" i="7"/>
  <c r="AM72" i="7" s="1"/>
  <c r="AM79" i="7" s="1"/>
  <c r="AB96" i="3" s="1"/>
  <c r="AL149" i="20"/>
  <c r="AM165" i="20"/>
  <c r="AT65" i="20"/>
  <c r="AR5" i="5"/>
  <c r="AR34" i="5" s="1"/>
  <c r="AV376" i="1"/>
  <c r="AV95" i="7"/>
  <c r="AU81" i="1"/>
  <c r="AU122" i="1" s="1"/>
  <c r="AW5" i="1"/>
  <c r="AW6" i="1"/>
  <c r="AW26" i="1"/>
  <c r="AU373" i="1"/>
  <c r="AU374" i="1"/>
  <c r="AU112" i="1"/>
  <c r="AU115" i="1" s="1"/>
  <c r="AW19" i="1"/>
  <c r="AV110" i="1"/>
  <c r="AV111" i="1"/>
  <c r="CE310" i="1"/>
  <c r="CE286" i="1"/>
  <c r="CF217" i="1"/>
  <c r="CF310" i="1" s="1"/>
  <c r="CD196" i="1"/>
  <c r="CD203" i="1" s="1"/>
  <c r="CD250" i="1" s="1"/>
  <c r="AU46" i="20"/>
  <c r="AU45" i="20"/>
  <c r="CA13" i="5"/>
  <c r="CB10" i="5"/>
  <c r="CA20" i="5"/>
  <c r="CA38" i="5" s="1"/>
  <c r="AX293" i="1"/>
  <c r="AW320" i="1"/>
  <c r="AK76" i="5"/>
  <c r="AW295" i="1"/>
  <c r="AV322" i="1"/>
  <c r="CB12" i="5"/>
  <c r="CB19" i="5"/>
  <c r="CB37" i="5" s="1"/>
  <c r="CC9" i="5"/>
  <c r="CB28" i="5"/>
  <c r="AL77" i="5"/>
  <c r="AO58" i="5"/>
  <c r="AP39" i="6"/>
  <c r="AT122" i="1"/>
  <c r="AU312" i="1"/>
  <c r="AV287" i="1"/>
  <c r="AM67" i="5"/>
  <c r="CD11" i="5"/>
  <c r="CC14" i="5"/>
  <c r="CC21" i="5"/>
  <c r="CC39" i="5" s="1"/>
  <c r="AR330" i="1"/>
  <c r="AS303" i="1"/>
  <c r="AV33" i="1"/>
  <c r="AR2" i="5"/>
  <c r="AL91" i="3"/>
  <c r="AV371" i="1"/>
  <c r="AS81" i="6"/>
  <c r="AS80" i="6"/>
  <c r="AU80" i="1"/>
  <c r="AV94" i="7"/>
  <c r="AU375" i="1"/>
  <c r="AQ4" i="5"/>
  <c r="AQ25" i="5" s="1"/>
  <c r="AQ26" i="5" s="1"/>
  <c r="AQ31" i="5"/>
  <c r="AQ40" i="6"/>
  <c r="AP56" i="5"/>
  <c r="AT37" i="1"/>
  <c r="AT124" i="1"/>
  <c r="AT163" i="1" s="1"/>
  <c r="AT184" i="1" s="1"/>
  <c r="AT191" i="1" s="1"/>
  <c r="AT83" i="1"/>
  <c r="AT121" i="1"/>
  <c r="AQ38" i="6"/>
  <c r="AL70" i="5"/>
  <c r="AL74" i="5" s="1"/>
  <c r="AL76" i="5" s="1"/>
  <c r="AN59" i="5"/>
  <c r="AN71" i="5"/>
  <c r="AN72" i="5" s="1"/>
  <c r="AN73" i="5" s="1"/>
  <c r="CF218" i="1"/>
  <c r="CF220" i="1" s="1"/>
  <c r="BG176" i="23"/>
  <c r="BG179" i="23" s="1"/>
  <c r="CC33" i="6"/>
  <c r="CE169" i="1"/>
  <c r="BF222" i="23"/>
  <c r="BF225" i="23" s="1"/>
  <c r="AO63" i="5"/>
  <c r="AP49" i="6"/>
  <c r="AP26" i="5"/>
  <c r="AV297" i="1"/>
  <c r="AU324" i="1"/>
  <c r="AR164" i="1"/>
  <c r="AR407" i="1" s="1"/>
  <c r="AR409" i="1" s="1"/>
  <c r="AR181" i="1"/>
  <c r="AR188" i="1" s="1"/>
  <c r="BB372" i="1"/>
  <c r="AY41" i="6"/>
  <c r="CA6" i="5"/>
  <c r="BZ32" i="5"/>
  <c r="AQ361" i="1"/>
  <c r="AR364" i="1"/>
  <c r="AW381" i="1"/>
  <c r="AX13" i="1"/>
  <c r="AM72" i="5"/>
  <c r="AM73" i="5" s="1"/>
  <c r="AP33" i="5"/>
  <c r="AP46" i="5" s="1"/>
  <c r="AP55" i="5"/>
  <c r="AU97" i="7"/>
  <c r="AO62" i="5"/>
  <c r="AO57" i="5"/>
  <c r="AZ379" i="1"/>
  <c r="AM69" i="5"/>
  <c r="AU48" i="1"/>
  <c r="AN64" i="5"/>
  <c r="AN66" i="5" s="1"/>
  <c r="AN67" i="5" s="1"/>
  <c r="AP47" i="6"/>
  <c r="AS125" i="1"/>
  <c r="AS160" i="1"/>
  <c r="AS129" i="1"/>
  <c r="AS136" i="1" s="1"/>
  <c r="AS219" i="1" s="1"/>
  <c r="AS161" i="1"/>
  <c r="AS182" i="1" s="1"/>
  <c r="AS189" i="1" s="1"/>
  <c r="AW429" i="1"/>
  <c r="AW432" i="1" s="1"/>
  <c r="AW168" i="1"/>
  <c r="AV424" i="1"/>
  <c r="AV427" i="1" s="1"/>
  <c r="AV174" i="1"/>
  <c r="AV171" i="1"/>
  <c r="AV178" i="1" s="1"/>
  <c r="AR12" i="5"/>
  <c r="AV177" i="1"/>
  <c r="AI73" i="6" l="1"/>
  <c r="AB99" i="3"/>
  <c r="W95" i="23"/>
  <c r="AW28" i="1"/>
  <c r="AW33" i="1"/>
  <c r="AM86" i="3"/>
  <c r="AY32" i="20"/>
  <c r="AV15" i="1"/>
  <c r="AU44" i="6"/>
  <c r="AX30" i="1"/>
  <c r="CC34" i="6"/>
  <c r="BF260" i="23" s="1"/>
  <c r="BF263" i="23" s="1"/>
  <c r="CC356" i="1"/>
  <c r="T304" i="23"/>
  <c r="T307" i="23" s="1"/>
  <c r="T353" i="23"/>
  <c r="AS82" i="20"/>
  <c r="N435" i="23"/>
  <c r="N438" i="23" s="1"/>
  <c r="N481" i="23"/>
  <c r="AT76" i="20"/>
  <c r="AT139" i="20" s="1"/>
  <c r="AT156" i="20" s="1"/>
  <c r="AP144" i="20"/>
  <c r="AP161" i="20" s="1"/>
  <c r="CC281" i="1"/>
  <c r="AT348" i="1"/>
  <c r="AT230" i="1"/>
  <c r="AU263" i="1"/>
  <c r="AU265" i="1" s="1"/>
  <c r="AU224" i="1"/>
  <c r="CD279" i="1"/>
  <c r="CD225" i="1"/>
  <c r="AV263" i="1"/>
  <c r="AV265" i="1" s="1"/>
  <c r="AV224" i="1"/>
  <c r="AU57" i="1"/>
  <c r="AU230" i="1" s="1"/>
  <c r="AR54" i="6"/>
  <c r="AR111" i="6" s="1"/>
  <c r="U348" i="23" s="1"/>
  <c r="AP147" i="20"/>
  <c r="AP164" i="20" s="1"/>
  <c r="AJ87" i="6"/>
  <c r="AJ88" i="6"/>
  <c r="AJ63" i="6"/>
  <c r="AK59" i="6"/>
  <c r="AK62" i="6" s="1"/>
  <c r="AK87" i="6" s="1"/>
  <c r="AO148" i="20"/>
  <c r="AO149" i="20" s="1"/>
  <c r="AN165" i="20"/>
  <c r="AR87" i="20"/>
  <c r="AS94" i="20"/>
  <c r="AL57" i="6"/>
  <c r="AL112" i="6" s="1"/>
  <c r="O478" i="23" s="1"/>
  <c r="AT66" i="20"/>
  <c r="AU53" i="20"/>
  <c r="AU61" i="20"/>
  <c r="AU60" i="20"/>
  <c r="AU52" i="20"/>
  <c r="AV37" i="20"/>
  <c r="AV41" i="20"/>
  <c r="AV36" i="20"/>
  <c r="AV40" i="20"/>
  <c r="AV38" i="20"/>
  <c r="AV42" i="20"/>
  <c r="AV39" i="20"/>
  <c r="AV43" i="20"/>
  <c r="AV81" i="1"/>
  <c r="AV122" i="1" s="1"/>
  <c r="AW95" i="7"/>
  <c r="AU62" i="20"/>
  <c r="AU73" i="20" s="1"/>
  <c r="AU57" i="20"/>
  <c r="AU54" i="20"/>
  <c r="AQ75" i="20"/>
  <c r="AR143" i="20"/>
  <c r="AR160" i="20" s="1"/>
  <c r="AR145" i="20"/>
  <c r="AR162" i="20" s="1"/>
  <c r="AR138" i="20"/>
  <c r="AR155" i="20" s="1"/>
  <c r="AS85" i="20"/>
  <c r="AR80" i="20"/>
  <c r="AR141" i="20"/>
  <c r="AR158" i="20" s="1"/>
  <c r="AR81" i="20"/>
  <c r="AR83" i="20"/>
  <c r="AR142" i="20"/>
  <c r="AR159" i="20" s="1"/>
  <c r="AR137" i="20"/>
  <c r="AR154" i="20" s="1"/>
  <c r="AR79" i="20"/>
  <c r="AR86" i="20"/>
  <c r="AR95" i="20" s="1"/>
  <c r="AR140" i="20"/>
  <c r="AR157" i="20" s="1"/>
  <c r="AR146" i="20"/>
  <c r="AR163" i="20" s="1"/>
  <c r="AT56" i="20"/>
  <c r="AT64" i="20" s="1"/>
  <c r="AV97" i="7"/>
  <c r="CF36" i="1"/>
  <c r="CE42" i="1"/>
  <c r="CE49" i="1" s="1"/>
  <c r="AO14" i="7"/>
  <c r="AN15" i="7"/>
  <c r="AN71" i="7"/>
  <c r="AN72" i="7" s="1"/>
  <c r="AN79" i="7" s="1"/>
  <c r="AC96" i="3" s="1"/>
  <c r="AI83" i="6"/>
  <c r="W53" i="23"/>
  <c r="AU65" i="20"/>
  <c r="AW34" i="1"/>
  <c r="AS5" i="5"/>
  <c r="AS34" i="5" s="1"/>
  <c r="AW376" i="1"/>
  <c r="AX6" i="1"/>
  <c r="AX5" i="1"/>
  <c r="AX26" i="1"/>
  <c r="AV373" i="1"/>
  <c r="AV374" i="1"/>
  <c r="AX19" i="1"/>
  <c r="AW110" i="1"/>
  <c r="AW111" i="1"/>
  <c r="AV112" i="1"/>
  <c r="AV115" i="1" s="1"/>
  <c r="AO64" i="5"/>
  <c r="CF286" i="1"/>
  <c r="CG217" i="1"/>
  <c r="CG310" i="1" s="1"/>
  <c r="CE196" i="1"/>
  <c r="CE203" i="1" s="1"/>
  <c r="CE250" i="1" s="1"/>
  <c r="AV46" i="20"/>
  <c r="AV45" i="20"/>
  <c r="CB13" i="5"/>
  <c r="CB20" i="5"/>
  <c r="CB38" i="5" s="1"/>
  <c r="CC10" i="5"/>
  <c r="AY293" i="1"/>
  <c r="AX320" i="1"/>
  <c r="AX295" i="1"/>
  <c r="AW322" i="1"/>
  <c r="AP62" i="5"/>
  <c r="AP57" i="5"/>
  <c r="AP71" i="5" s="1"/>
  <c r="AS2" i="5"/>
  <c r="AW371" i="1"/>
  <c r="AM91" i="3"/>
  <c r="AY13" i="1"/>
  <c r="AX381" i="1"/>
  <c r="AZ41" i="6"/>
  <c r="BK41" i="6" s="1"/>
  <c r="BL41" i="6" s="1"/>
  <c r="BM41" i="6" s="1"/>
  <c r="BN41" i="6" s="1"/>
  <c r="BO41" i="6" s="1"/>
  <c r="BP41" i="6" s="1"/>
  <c r="BQ41" i="6" s="1"/>
  <c r="BR41" i="6" s="1"/>
  <c r="BS41" i="6" s="1"/>
  <c r="BT41" i="6" s="1"/>
  <c r="BU41" i="6" s="1"/>
  <c r="BV41" i="6" s="1"/>
  <c r="BW41" i="6" s="1"/>
  <c r="BX41" i="6" s="1"/>
  <c r="BY41" i="6" s="1"/>
  <c r="BZ41" i="6" s="1"/>
  <c r="CA41" i="6" s="1"/>
  <c r="CB41" i="6" s="1"/>
  <c r="CC41" i="6" s="1"/>
  <c r="CD41" i="6" s="1"/>
  <c r="CE41" i="6" s="1"/>
  <c r="CF41" i="6" s="1"/>
  <c r="CG41" i="6" s="1"/>
  <c r="CH41" i="6" s="1"/>
  <c r="CI41" i="6" s="1"/>
  <c r="CJ41" i="6" s="1"/>
  <c r="CK41" i="6" s="1"/>
  <c r="CL41" i="6" s="1"/>
  <c r="CM41" i="6" s="1"/>
  <c r="CN41" i="6" s="1"/>
  <c r="BC372" i="1"/>
  <c r="AU129" i="1"/>
  <c r="AU161" i="1"/>
  <c r="AU182" i="1" s="1"/>
  <c r="AU189" i="1" s="1"/>
  <c r="AP63" i="5"/>
  <c r="AQ49" i="6"/>
  <c r="AR39" i="6"/>
  <c r="AQ58" i="5"/>
  <c r="AQ33" i="5"/>
  <c r="AQ46" i="5" s="1"/>
  <c r="AQ55" i="5"/>
  <c r="AR47" i="6" s="1"/>
  <c r="AU83" i="1"/>
  <c r="AU124" i="1"/>
  <c r="AU163" i="1" s="1"/>
  <c r="AU184" i="1" s="1"/>
  <c r="AU191" i="1" s="1"/>
  <c r="AU37" i="1"/>
  <c r="AU121" i="1"/>
  <c r="AV80" i="1"/>
  <c r="AW94" i="7"/>
  <c r="AV375" i="1"/>
  <c r="AS330" i="1"/>
  <c r="AT303" i="1"/>
  <c r="CD14" i="5"/>
  <c r="CD21" i="5"/>
  <c r="CD39" i="5" s="1"/>
  <c r="CE11" i="5"/>
  <c r="AO65" i="5"/>
  <c r="AP48" i="6"/>
  <c r="AS164" i="1"/>
  <c r="AS407" i="1" s="1"/>
  <c r="AS409" i="1" s="1"/>
  <c r="AS181" i="1"/>
  <c r="AS188" i="1" s="1"/>
  <c r="BA379" i="1"/>
  <c r="AO59" i="5"/>
  <c r="AT80" i="6"/>
  <c r="AT81" i="6"/>
  <c r="AR361" i="1"/>
  <c r="AS364" i="1"/>
  <c r="CB6" i="5"/>
  <c r="CA32" i="5"/>
  <c r="AW297" i="1"/>
  <c r="AV324" i="1"/>
  <c r="AP58" i="5"/>
  <c r="AQ39" i="6"/>
  <c r="BG222" i="23"/>
  <c r="BG225" i="23" s="1"/>
  <c r="CF169" i="1"/>
  <c r="BH176" i="23"/>
  <c r="BH179" i="23" s="1"/>
  <c r="CG218" i="1"/>
  <c r="CG220" i="1" s="1"/>
  <c r="CD33" i="6"/>
  <c r="AN69" i="5"/>
  <c r="AO50" i="6"/>
  <c r="AO60" i="6" s="1"/>
  <c r="AO71" i="5"/>
  <c r="AT125" i="1"/>
  <c r="AT160" i="1"/>
  <c r="AQ47" i="6"/>
  <c r="AR40" i="6"/>
  <c r="AQ56" i="5"/>
  <c r="AR38" i="6"/>
  <c r="AR4" i="5"/>
  <c r="AR25" i="5" s="1"/>
  <c r="AS38" i="6" s="1"/>
  <c r="AR31" i="5"/>
  <c r="AM77" i="5"/>
  <c r="AW287" i="1"/>
  <c r="AV312" i="1"/>
  <c r="AT129" i="1"/>
  <c r="AT136" i="1" s="1"/>
  <c r="AT219" i="1" s="1"/>
  <c r="AT161" i="1"/>
  <c r="AT182" i="1" s="1"/>
  <c r="AT189" i="1" s="1"/>
  <c r="AM70" i="5"/>
  <c r="AM74" i="5" s="1"/>
  <c r="AM76" i="5" s="1"/>
  <c r="CC19" i="5"/>
  <c r="CC37" i="5" s="1"/>
  <c r="CC12" i="5"/>
  <c r="CC28" i="5"/>
  <c r="CD9" i="5"/>
  <c r="AW424" i="1"/>
  <c r="AW427" i="1" s="1"/>
  <c r="AS12" i="5"/>
  <c r="AW174" i="1"/>
  <c r="AW171" i="1"/>
  <c r="AW178" i="1" s="1"/>
  <c r="AW177" i="1"/>
  <c r="AX168" i="1"/>
  <c r="AX429" i="1"/>
  <c r="AX432" i="1" s="1"/>
  <c r="AJ73" i="6" l="1"/>
  <c r="AC99" i="3"/>
  <c r="X95" i="23"/>
  <c r="AX28" i="1"/>
  <c r="X53" i="23"/>
  <c r="AN86" i="3"/>
  <c r="AZ32" i="20"/>
  <c r="AW15" i="1"/>
  <c r="AV44" i="6"/>
  <c r="AY30" i="1"/>
  <c r="CD356" i="1"/>
  <c r="AT82" i="20"/>
  <c r="U304" i="23"/>
  <c r="U307" i="23" s="1"/>
  <c r="U353" i="23"/>
  <c r="AU348" i="1"/>
  <c r="O435" i="23"/>
  <c r="O438" i="23" s="1"/>
  <c r="O481" i="23"/>
  <c r="CD281" i="1"/>
  <c r="CD283" i="1"/>
  <c r="AU76" i="20"/>
  <c r="AU139" i="20" s="1"/>
  <c r="AU156" i="20" s="1"/>
  <c r="AQ144" i="20"/>
  <c r="AQ161" i="20" s="1"/>
  <c r="CE279" i="1"/>
  <c r="CE283" i="1" s="1"/>
  <c r="CE225" i="1"/>
  <c r="AV57" i="1"/>
  <c r="AV230" i="1" s="1"/>
  <c r="AS54" i="6"/>
  <c r="AS111" i="6" s="1"/>
  <c r="V348" i="23" s="1"/>
  <c r="AQ147" i="20"/>
  <c r="AQ164" i="20" s="1"/>
  <c r="AP148" i="20"/>
  <c r="AP165" i="20" s="1"/>
  <c r="AO165" i="20"/>
  <c r="AW97" i="7"/>
  <c r="AK88" i="6"/>
  <c r="AK91" i="6"/>
  <c r="AK63" i="6"/>
  <c r="AL59" i="6"/>
  <c r="AL62" i="6" s="1"/>
  <c r="AL88" i="6" s="1"/>
  <c r="AS87" i="20"/>
  <c r="AT94" i="20"/>
  <c r="AU66" i="20"/>
  <c r="AW36" i="20"/>
  <c r="AW40" i="20"/>
  <c r="AW43" i="20"/>
  <c r="AW37" i="20"/>
  <c r="AW41" i="20"/>
  <c r="AW39" i="20"/>
  <c r="AW38" i="20"/>
  <c r="AW42" i="20"/>
  <c r="AV53" i="20"/>
  <c r="AV61" i="20"/>
  <c r="AV60" i="20"/>
  <c r="AV52" i="20"/>
  <c r="AV62" i="20"/>
  <c r="AV73" i="20" s="1"/>
  <c r="AV54" i="20"/>
  <c r="AV57" i="20"/>
  <c r="AR75" i="20"/>
  <c r="AS140" i="20"/>
  <c r="AS157" i="20" s="1"/>
  <c r="AS83" i="20"/>
  <c r="AS80" i="20"/>
  <c r="AS137" i="20"/>
  <c r="AS154" i="20" s="1"/>
  <c r="AS146" i="20"/>
  <c r="AS163" i="20" s="1"/>
  <c r="AS141" i="20"/>
  <c r="AS158" i="20" s="1"/>
  <c r="AU56" i="20"/>
  <c r="AU64" i="20" s="1"/>
  <c r="AM57" i="6"/>
  <c r="AM112" i="6" s="1"/>
  <c r="P478" i="23" s="1"/>
  <c r="AS79" i="20"/>
  <c r="AS81" i="20"/>
  <c r="AS142" i="20"/>
  <c r="AS159" i="20" s="1"/>
  <c r="AS143" i="20"/>
  <c r="AS160" i="20" s="1"/>
  <c r="AS138" i="20"/>
  <c r="AS155" i="20" s="1"/>
  <c r="AT85" i="20"/>
  <c r="AS145" i="20"/>
  <c r="AS162" i="20" s="1"/>
  <c r="AS86" i="20"/>
  <c r="AS95" i="20" s="1"/>
  <c r="AW41" i="1"/>
  <c r="AW48" i="1" s="1"/>
  <c r="CG36" i="1"/>
  <c r="CF42" i="1"/>
  <c r="CF49" i="1" s="1"/>
  <c r="AJ83" i="6"/>
  <c r="AO71" i="7"/>
  <c r="AO72" i="7" s="1"/>
  <c r="AO79" i="7" s="1"/>
  <c r="AD96" i="3" s="1"/>
  <c r="AP14" i="7"/>
  <c r="AO15" i="7"/>
  <c r="AW81" i="1"/>
  <c r="AW122" i="1" s="1"/>
  <c r="AV65" i="20"/>
  <c r="AX95" i="7"/>
  <c r="AY6" i="1"/>
  <c r="AY5" i="1"/>
  <c r="AY26" i="1"/>
  <c r="AW373" i="1"/>
  <c r="AW374" i="1"/>
  <c r="AW112" i="1"/>
  <c r="AW115" i="1" s="1"/>
  <c r="AY19" i="1"/>
  <c r="AX110" i="1"/>
  <c r="AX111" i="1"/>
  <c r="AO66" i="5"/>
  <c r="AO69" i="5" s="1"/>
  <c r="CH217" i="1"/>
  <c r="CH310" i="1" s="1"/>
  <c r="CG286" i="1"/>
  <c r="CF196" i="1"/>
  <c r="CF203" i="1" s="1"/>
  <c r="CF250" i="1" s="1"/>
  <c r="AW46" i="20"/>
  <c r="AW45" i="20"/>
  <c r="AY320" i="1"/>
  <c r="AZ293" i="1"/>
  <c r="AP72" i="5"/>
  <c r="AP73" i="5" s="1"/>
  <c r="CD10" i="5"/>
  <c r="CC20" i="5"/>
  <c r="CC38" i="5" s="1"/>
  <c r="CC13" i="5"/>
  <c r="AO72" i="5"/>
  <c r="AO73" i="5" s="1"/>
  <c r="AX322" i="1"/>
  <c r="AY295" i="1"/>
  <c r="AR33" i="5"/>
  <c r="AR46" i="5" s="1"/>
  <c r="AR55" i="5"/>
  <c r="AS47" i="6" s="1"/>
  <c r="AT164" i="1"/>
  <c r="AT407" i="1" s="1"/>
  <c r="AT409" i="1" s="1"/>
  <c r="AT181" i="1"/>
  <c r="AT188" i="1" s="1"/>
  <c r="AX34" i="1"/>
  <c r="AX41" i="1" s="1"/>
  <c r="AX376" i="1"/>
  <c r="AT5" i="5"/>
  <c r="AT34" i="5" s="1"/>
  <c r="BH222" i="23"/>
  <c r="BH225" i="23" s="1"/>
  <c r="CG169" i="1"/>
  <c r="AP65" i="5"/>
  <c r="AQ48" i="6"/>
  <c r="AX297" i="1"/>
  <c r="AW324" i="1"/>
  <c r="AP50" i="6"/>
  <c r="AP60" i="6" s="1"/>
  <c r="AV37" i="1"/>
  <c r="AV121" i="1"/>
  <c r="AV83" i="1"/>
  <c r="AV124" i="1"/>
  <c r="AV163" i="1" s="1"/>
  <c r="AV184" i="1" s="1"/>
  <c r="AV191" i="1" s="1"/>
  <c r="AU125" i="1"/>
  <c r="AU160" i="1"/>
  <c r="AV129" i="1"/>
  <c r="AV136" i="1" s="1"/>
  <c r="AV219" i="1" s="1"/>
  <c r="AV161" i="1"/>
  <c r="AV182" i="1" s="1"/>
  <c r="AV189" i="1" s="1"/>
  <c r="AZ13" i="1"/>
  <c r="AY381" i="1"/>
  <c r="AS4" i="5"/>
  <c r="AS25" i="5" s="1"/>
  <c r="AT38" i="6" s="1"/>
  <c r="AS31" i="5"/>
  <c r="AP64" i="5"/>
  <c r="CE9" i="5"/>
  <c r="CD19" i="5"/>
  <c r="CD37" i="5" s="1"/>
  <c r="CD28" i="5"/>
  <c r="CD12" i="5"/>
  <c r="AX287" i="1"/>
  <c r="AW312" i="1"/>
  <c r="AS40" i="6"/>
  <c r="AR56" i="5"/>
  <c r="AQ63" i="5"/>
  <c r="AR49" i="6"/>
  <c r="AR26" i="5"/>
  <c r="AN77" i="5"/>
  <c r="CD34" i="6"/>
  <c r="BG260" i="23" s="1"/>
  <c r="BG263" i="23" s="1"/>
  <c r="CH218" i="1"/>
  <c r="CH220" i="1" s="1"/>
  <c r="BI176" i="23"/>
  <c r="BI179" i="23" s="1"/>
  <c r="CE33" i="6"/>
  <c r="CC6" i="5"/>
  <c r="CB32" i="5"/>
  <c r="AT364" i="1"/>
  <c r="AS361" i="1"/>
  <c r="BB379" i="1"/>
  <c r="CF11" i="5"/>
  <c r="CE14" i="5"/>
  <c r="CE21" i="5"/>
  <c r="CE39" i="5" s="1"/>
  <c r="AT330" i="1"/>
  <c r="AU303" i="1"/>
  <c r="AQ57" i="5"/>
  <c r="AQ62" i="5"/>
  <c r="AQ65" i="5"/>
  <c r="AR48" i="6"/>
  <c r="AU136" i="1"/>
  <c r="AU219" i="1" s="1"/>
  <c r="AX371" i="1"/>
  <c r="AX33" i="1"/>
  <c r="AT2" i="5"/>
  <c r="AN91" i="3"/>
  <c r="AU81" i="6"/>
  <c r="AU80" i="6"/>
  <c r="AW80" i="1"/>
  <c r="AX94" i="7"/>
  <c r="AW375" i="1"/>
  <c r="AP59" i="5"/>
  <c r="AN70" i="5"/>
  <c r="AN74" i="5" s="1"/>
  <c r="AN76" i="5" s="1"/>
  <c r="AY429" i="1"/>
  <c r="AY432" i="1" s="1"/>
  <c r="AY168" i="1"/>
  <c r="AX171" i="1"/>
  <c r="AX178" i="1" s="1"/>
  <c r="AX177" i="1"/>
  <c r="AT12" i="5"/>
  <c r="AX174" i="1"/>
  <c r="AX424" i="1"/>
  <c r="AX427" i="1" s="1"/>
  <c r="AK73" i="6" l="1"/>
  <c r="AD99" i="3"/>
  <c r="AY34" i="1"/>
  <c r="AY41" i="1" s="1"/>
  <c r="AY28" i="1"/>
  <c r="Y53" i="23"/>
  <c r="AO86" i="3"/>
  <c r="BA32" i="20"/>
  <c r="AX15" i="1"/>
  <c r="AW44" i="6"/>
  <c r="AZ30" i="1"/>
  <c r="CE34" i="6"/>
  <c r="BH260" i="23" s="1"/>
  <c r="BH263" i="23" s="1"/>
  <c r="CE281" i="1"/>
  <c r="CE356" i="1"/>
  <c r="V304" i="23"/>
  <c r="V307" i="23" s="1"/>
  <c r="V353" i="23"/>
  <c r="P435" i="23"/>
  <c r="P438" i="23" s="1"/>
  <c r="P481" i="23"/>
  <c r="AU82" i="20"/>
  <c r="AV76" i="20"/>
  <c r="AV139" i="20" s="1"/>
  <c r="AV156" i="20" s="1"/>
  <c r="AR144" i="20"/>
  <c r="AR161" i="20" s="1"/>
  <c r="AV348" i="1"/>
  <c r="CF279" i="1"/>
  <c r="CF283" i="1" s="1"/>
  <c r="CF225" i="1"/>
  <c r="AW263" i="1"/>
  <c r="AW265" i="1" s="1"/>
  <c r="AW224" i="1"/>
  <c r="AW57" i="1"/>
  <c r="AW230" i="1" s="1"/>
  <c r="AT54" i="6"/>
  <c r="AT111" i="6" s="1"/>
  <c r="W348" i="23" s="1"/>
  <c r="AR147" i="20"/>
  <c r="AR164" i="20" s="1"/>
  <c r="AP149" i="20"/>
  <c r="AQ148" i="20"/>
  <c r="AQ149" i="20" s="1"/>
  <c r="AL91" i="6"/>
  <c r="AL63" i="6"/>
  <c r="AL87" i="6"/>
  <c r="AM59" i="6"/>
  <c r="AM62" i="6" s="1"/>
  <c r="AM88" i="6" s="1"/>
  <c r="AT87" i="20"/>
  <c r="AU94" i="20"/>
  <c r="AV66" i="20"/>
  <c r="AW60" i="20"/>
  <c r="AW52" i="20"/>
  <c r="AX39" i="20"/>
  <c r="AX43" i="20"/>
  <c r="AX38" i="20"/>
  <c r="AX36" i="20"/>
  <c r="AX40" i="20"/>
  <c r="AX37" i="20"/>
  <c r="AX41" i="20"/>
  <c r="AX42" i="20"/>
  <c r="AW53" i="20"/>
  <c r="AW61" i="20"/>
  <c r="AW62" i="20"/>
  <c r="AW73" i="20" s="1"/>
  <c r="AW57" i="20"/>
  <c r="AW54" i="20"/>
  <c r="AS75" i="20"/>
  <c r="AT83" i="20"/>
  <c r="AT86" i="20"/>
  <c r="AT95" i="20" s="1"/>
  <c r="AT143" i="20"/>
  <c r="AT160" i="20" s="1"/>
  <c r="AT81" i="20"/>
  <c r="AT140" i="20"/>
  <c r="AT157" i="20" s="1"/>
  <c r="AT79" i="20"/>
  <c r="AT146" i="20"/>
  <c r="AT163" i="20" s="1"/>
  <c r="AT138" i="20"/>
  <c r="AT155" i="20" s="1"/>
  <c r="AT142" i="20"/>
  <c r="AT159" i="20" s="1"/>
  <c r="AT141" i="20"/>
  <c r="AT158" i="20" s="1"/>
  <c r="AT80" i="20"/>
  <c r="AT137" i="20"/>
  <c r="AT154" i="20" s="1"/>
  <c r="AU85" i="20"/>
  <c r="AT145" i="20"/>
  <c r="AT162" i="20" s="1"/>
  <c r="AV56" i="20"/>
  <c r="AV64" i="20" s="1"/>
  <c r="CH36" i="1"/>
  <c r="CG42" i="1"/>
  <c r="CG49" i="1" s="1"/>
  <c r="AQ14" i="7"/>
  <c r="AP15" i="7"/>
  <c r="AP71" i="7"/>
  <c r="AP72" i="7" s="1"/>
  <c r="AP79" i="7" s="1"/>
  <c r="AE96" i="3" s="1"/>
  <c r="AK83" i="6"/>
  <c r="AW65" i="20"/>
  <c r="AY376" i="1"/>
  <c r="AU5" i="5"/>
  <c r="AU34" i="5" s="1"/>
  <c r="AX97" i="7"/>
  <c r="AZ5" i="1"/>
  <c r="AZ6" i="1"/>
  <c r="AZ26" i="1"/>
  <c r="Y95" i="23"/>
  <c r="AX112" i="1"/>
  <c r="AX115" i="1" s="1"/>
  <c r="AX373" i="1"/>
  <c r="AX374" i="1"/>
  <c r="AZ19" i="1"/>
  <c r="AY110" i="1"/>
  <c r="AY111" i="1"/>
  <c r="AO67" i="5"/>
  <c r="AP66" i="5"/>
  <c r="AP67" i="5" s="1"/>
  <c r="CH286" i="1"/>
  <c r="CI217" i="1"/>
  <c r="CI310" i="1" s="1"/>
  <c r="CG196" i="1"/>
  <c r="CG203" i="1" s="1"/>
  <c r="CG250" i="1" s="1"/>
  <c r="AX45" i="20"/>
  <c r="AX46" i="20"/>
  <c r="AS26" i="5"/>
  <c r="AT39" i="6" s="1"/>
  <c r="CD20" i="5"/>
  <c r="CD38" i="5" s="1"/>
  <c r="CD13" i="5"/>
  <c r="CE10" i="5"/>
  <c r="BA293" i="1"/>
  <c r="AZ320" i="1"/>
  <c r="AQ64" i="5"/>
  <c r="AQ66" i="5" s="1"/>
  <c r="AY322" i="1"/>
  <c r="AZ295" i="1"/>
  <c r="AQ50" i="6"/>
  <c r="AQ60" i="6" s="1"/>
  <c r="AT4" i="5"/>
  <c r="AT25" i="5" s="1"/>
  <c r="AU38" i="6" s="1"/>
  <c r="AT31" i="5"/>
  <c r="BC379" i="1"/>
  <c r="AR58" i="5"/>
  <c r="AS39" i="6"/>
  <c r="AS33" i="5"/>
  <c r="AS46" i="5" s="1"/>
  <c r="AS55" i="5"/>
  <c r="AY371" i="1"/>
  <c r="AU2" i="5"/>
  <c r="AO91" i="3"/>
  <c r="AY33" i="1"/>
  <c r="AV160" i="1"/>
  <c r="AV125" i="1"/>
  <c r="AO77" i="5"/>
  <c r="AW37" i="1"/>
  <c r="AW83" i="1"/>
  <c r="AW121" i="1"/>
  <c r="AW124" i="1"/>
  <c r="AW163" i="1" s="1"/>
  <c r="AW184" i="1" s="1"/>
  <c r="AW191" i="1" s="1"/>
  <c r="AX375" i="1"/>
  <c r="AX80" i="1"/>
  <c r="AY94" i="7"/>
  <c r="AQ71" i="5"/>
  <c r="AQ59" i="5"/>
  <c r="AV303" i="1"/>
  <c r="AU330" i="1"/>
  <c r="CF14" i="5"/>
  <c r="CF21" i="5"/>
  <c r="CF39" i="5" s="1"/>
  <c r="CG11" i="5"/>
  <c r="AU364" i="1"/>
  <c r="AT361" i="1"/>
  <c r="CD6" i="5"/>
  <c r="CC32" i="5"/>
  <c r="CI218" i="1"/>
  <c r="CI220" i="1" s="1"/>
  <c r="BJ176" i="23"/>
  <c r="BJ179" i="23" s="1"/>
  <c r="CF33" i="6"/>
  <c r="AO70" i="5"/>
  <c r="AO74" i="5" s="1"/>
  <c r="AR63" i="5"/>
  <c r="AS49" i="6"/>
  <c r="AX312" i="1"/>
  <c r="AY287" i="1"/>
  <c r="CF9" i="5"/>
  <c r="CE28" i="5"/>
  <c r="CE19" i="5"/>
  <c r="CE37" i="5" s="1"/>
  <c r="CE12" i="5"/>
  <c r="AS56" i="5"/>
  <c r="AT40" i="6"/>
  <c r="AV80" i="6"/>
  <c r="AV81" i="6"/>
  <c r="AZ381" i="1"/>
  <c r="BA13" i="1"/>
  <c r="AU164" i="1"/>
  <c r="AU407" i="1" s="1"/>
  <c r="AU409" i="1" s="1"/>
  <c r="AU181" i="1"/>
  <c r="AU188" i="1" s="1"/>
  <c r="AW129" i="1"/>
  <c r="AW136" i="1" s="1"/>
  <c r="AW219" i="1" s="1"/>
  <c r="AW161" i="1"/>
  <c r="AW182" i="1" s="1"/>
  <c r="AW189" i="1" s="1"/>
  <c r="AX324" i="1"/>
  <c r="AY297" i="1"/>
  <c r="CH169" i="1"/>
  <c r="BI222" i="23"/>
  <c r="BI225" i="23" s="1"/>
  <c r="AY95" i="7"/>
  <c r="AX81" i="1"/>
  <c r="AX48" i="1"/>
  <c r="AR57" i="5"/>
  <c r="AR62" i="5"/>
  <c r="AZ168" i="1"/>
  <c r="AZ429" i="1"/>
  <c r="AZ432" i="1" s="1"/>
  <c r="AY177" i="1"/>
  <c r="AY171" i="1"/>
  <c r="AY178" i="1" s="1"/>
  <c r="AY174" i="1"/>
  <c r="AY424" i="1"/>
  <c r="AY427" i="1" s="1"/>
  <c r="AU12" i="5"/>
  <c r="AZ95" i="7" l="1"/>
  <c r="AY81" i="1"/>
  <c r="AL73" i="6"/>
  <c r="AL83" i="6" s="1"/>
  <c r="AE99" i="3"/>
  <c r="Z95" i="23"/>
  <c r="AZ28" i="1"/>
  <c r="Z53" i="23"/>
  <c r="AP86" i="3"/>
  <c r="BB32" i="20"/>
  <c r="AY15" i="1"/>
  <c r="AX44" i="6"/>
  <c r="BA30" i="1"/>
  <c r="CF34" i="6"/>
  <c r="BI260" i="23" s="1"/>
  <c r="BI263" i="23" s="1"/>
  <c r="CF356" i="1"/>
  <c r="AW348" i="1"/>
  <c r="W304" i="23"/>
  <c r="W307" i="23" s="1"/>
  <c r="W353" i="23"/>
  <c r="AV82" i="20"/>
  <c r="CF281" i="1"/>
  <c r="AW76" i="20"/>
  <c r="AW139" i="20" s="1"/>
  <c r="AW156" i="20" s="1"/>
  <c r="AS144" i="20"/>
  <c r="AS161" i="20" s="1"/>
  <c r="AR148" i="20"/>
  <c r="AR149" i="20" s="1"/>
  <c r="CG279" i="1"/>
  <c r="CG283" i="1" s="1"/>
  <c r="CG225" i="1"/>
  <c r="AX263" i="1"/>
  <c r="AX265" i="1" s="1"/>
  <c r="AX224" i="1"/>
  <c r="AX57" i="1"/>
  <c r="AX230" i="1" s="1"/>
  <c r="AU54" i="6"/>
  <c r="AU111" i="6" s="1"/>
  <c r="X348" i="23" s="1"/>
  <c r="AS147" i="20"/>
  <c r="AS164" i="20" s="1"/>
  <c r="AQ165" i="20"/>
  <c r="AM63" i="6"/>
  <c r="AM91" i="6"/>
  <c r="AM87" i="6"/>
  <c r="AU87" i="20"/>
  <c r="AV94" i="20"/>
  <c r="AN57" i="6"/>
  <c r="AN112" i="6" s="1"/>
  <c r="Q478" i="23" s="1"/>
  <c r="AW66" i="20"/>
  <c r="AX53" i="20"/>
  <c r="AX61" i="20"/>
  <c r="AY38" i="20"/>
  <c r="AY42" i="20"/>
  <c r="AY39" i="20"/>
  <c r="AY43" i="20"/>
  <c r="AY37" i="20"/>
  <c r="AY41" i="20"/>
  <c r="AY36" i="20"/>
  <c r="AY40" i="20"/>
  <c r="AX60" i="20"/>
  <c r="AX52" i="20"/>
  <c r="AX62" i="20"/>
  <c r="AX73" i="20" s="1"/>
  <c r="AX57" i="20"/>
  <c r="AX54" i="20"/>
  <c r="AO57" i="6"/>
  <c r="AO112" i="6" s="1"/>
  <c r="R478" i="23" s="1"/>
  <c r="AW56" i="20"/>
  <c r="AW64" i="20" s="1"/>
  <c r="AT75" i="20"/>
  <c r="AU142" i="20"/>
  <c r="AU159" i="20" s="1"/>
  <c r="AU86" i="20"/>
  <c r="AU95" i="20" s="1"/>
  <c r="AU141" i="20"/>
  <c r="AU158" i="20" s="1"/>
  <c r="AU81" i="20"/>
  <c r="AU83" i="20"/>
  <c r="AU143" i="20"/>
  <c r="AU160" i="20" s="1"/>
  <c r="AU146" i="20"/>
  <c r="AU163" i="20" s="1"/>
  <c r="AU145" i="20"/>
  <c r="AU162" i="20" s="1"/>
  <c r="AU137" i="20"/>
  <c r="AU154" i="20" s="1"/>
  <c r="AV85" i="20"/>
  <c r="AU140" i="20"/>
  <c r="AU157" i="20" s="1"/>
  <c r="AU138" i="20"/>
  <c r="AU155" i="20" s="1"/>
  <c r="AU79" i="20"/>
  <c r="AU80" i="20"/>
  <c r="CI36" i="1"/>
  <c r="CH42" i="1"/>
  <c r="CH49" i="1" s="1"/>
  <c r="AZ376" i="1"/>
  <c r="AV5" i="5"/>
  <c r="AV34" i="5" s="1"/>
  <c r="AQ71" i="7"/>
  <c r="AQ72" i="7" s="1"/>
  <c r="AQ79" i="7" s="1"/>
  <c r="AF96" i="3" s="1"/>
  <c r="AQ15" i="7"/>
  <c r="AR14" i="7"/>
  <c r="AX65" i="20"/>
  <c r="AZ34" i="1"/>
  <c r="AZ81" i="1" s="1"/>
  <c r="BA5" i="1"/>
  <c r="BA6" i="1"/>
  <c r="BA26" i="1"/>
  <c r="AY373" i="1"/>
  <c r="AY374" i="1"/>
  <c r="AY112" i="1"/>
  <c r="AY115" i="1" s="1"/>
  <c r="BA19" i="1"/>
  <c r="AZ110" i="1"/>
  <c r="AZ111" i="1"/>
  <c r="AO76" i="5"/>
  <c r="AR64" i="5"/>
  <c r="AP69" i="5"/>
  <c r="AP77" i="5" s="1"/>
  <c r="AQ67" i="5"/>
  <c r="AS58" i="5"/>
  <c r="AT48" i="6" s="1"/>
  <c r="CJ217" i="1"/>
  <c r="CJ310" i="1" s="1"/>
  <c r="CI286" i="1"/>
  <c r="CH196" i="1"/>
  <c r="CH203" i="1" s="1"/>
  <c r="CH250" i="1" s="1"/>
  <c r="AY46" i="20"/>
  <c r="AY45" i="20"/>
  <c r="CE20" i="5"/>
  <c r="CE38" i="5" s="1"/>
  <c r="CE13" i="5"/>
  <c r="CF10" i="5"/>
  <c r="BB293" i="1"/>
  <c r="BA320" i="1"/>
  <c r="BA295" i="1"/>
  <c r="AZ322" i="1"/>
  <c r="AX122" i="1"/>
  <c r="AZ297" i="1"/>
  <c r="AY324" i="1"/>
  <c r="BA381" i="1"/>
  <c r="BB13" i="1"/>
  <c r="CH11" i="5"/>
  <c r="CI11" i="5" s="1"/>
  <c r="CG21" i="5"/>
  <c r="CG39" i="5" s="1"/>
  <c r="CG14" i="5"/>
  <c r="AQ69" i="5"/>
  <c r="AR50" i="6"/>
  <c r="AR60" i="6" s="1"/>
  <c r="AX37" i="1"/>
  <c r="AX83" i="1"/>
  <c r="AX124" i="1"/>
  <c r="AX163" i="1" s="1"/>
  <c r="AX184" i="1" s="1"/>
  <c r="AX191" i="1" s="1"/>
  <c r="AX121" i="1"/>
  <c r="AW125" i="1"/>
  <c r="AW160" i="1"/>
  <c r="AV164" i="1"/>
  <c r="AV407" i="1" s="1"/>
  <c r="AV409" i="1" s="1"/>
  <c r="AV181" i="1"/>
  <c r="AV188" i="1" s="1"/>
  <c r="AY122" i="1"/>
  <c r="AT47" i="6"/>
  <c r="AS62" i="5"/>
  <c r="AS57" i="5"/>
  <c r="AU40" i="6"/>
  <c r="AT56" i="5"/>
  <c r="AR71" i="5"/>
  <c r="AR59" i="5"/>
  <c r="BJ222" i="23"/>
  <c r="BJ225" i="23" s="1"/>
  <c r="CI169" i="1"/>
  <c r="AV2" i="5"/>
  <c r="AP91" i="3"/>
  <c r="AZ33" i="1"/>
  <c r="AZ371" i="1"/>
  <c r="AW81" i="6"/>
  <c r="AW80" i="6"/>
  <c r="AT26" i="5"/>
  <c r="AS63" i="5"/>
  <c r="AT49" i="6"/>
  <c r="CG9" i="5"/>
  <c r="CF28" i="5"/>
  <c r="CF19" i="5"/>
  <c r="CF37" i="5" s="1"/>
  <c r="CF12" i="5"/>
  <c r="AY312" i="1"/>
  <c r="AZ287" i="1"/>
  <c r="BK176" i="23"/>
  <c r="BK179" i="23" s="1"/>
  <c r="CJ218" i="1"/>
  <c r="CJ220" i="1" s="1"/>
  <c r="CG33" i="6"/>
  <c r="CE6" i="5"/>
  <c r="CD32" i="5"/>
  <c r="AV364" i="1"/>
  <c r="AU361" i="1"/>
  <c r="AV330" i="1"/>
  <c r="AW303" i="1"/>
  <c r="AQ72" i="5"/>
  <c r="AQ73" i="5" s="1"/>
  <c r="AY97" i="7"/>
  <c r="AY48" i="1"/>
  <c r="AZ94" i="7"/>
  <c r="AY80" i="1"/>
  <c r="AY375" i="1"/>
  <c r="AU4" i="5"/>
  <c r="AU25" i="5" s="1"/>
  <c r="AU26" i="5" s="1"/>
  <c r="AU31" i="5"/>
  <c r="AR65" i="5"/>
  <c r="AS48" i="6"/>
  <c r="AT33" i="5"/>
  <c r="AT46" i="5" s="1"/>
  <c r="AT55" i="5"/>
  <c r="AZ177" i="1"/>
  <c r="AZ174" i="1"/>
  <c r="AZ171" i="1"/>
  <c r="AZ178" i="1" s="1"/>
  <c r="AV12" i="5"/>
  <c r="AZ424" i="1"/>
  <c r="AZ427" i="1" s="1"/>
  <c r="BA429" i="1"/>
  <c r="BA432" i="1" s="1"/>
  <c r="BA168" i="1"/>
  <c r="AZ97" i="7" l="1"/>
  <c r="AM73" i="6"/>
  <c r="AF99" i="3"/>
  <c r="AA95" i="23"/>
  <c r="BA28" i="1"/>
  <c r="AA53" i="23"/>
  <c r="AQ86" i="3"/>
  <c r="BC32" i="20"/>
  <c r="AZ15" i="1"/>
  <c r="AY44" i="6"/>
  <c r="BB30" i="1"/>
  <c r="CI14" i="5"/>
  <c r="CJ11" i="5"/>
  <c r="CI21" i="5"/>
  <c r="CI39" i="5" s="1"/>
  <c r="AW82" i="20"/>
  <c r="X304" i="23"/>
  <c r="X307" i="23" s="1"/>
  <c r="X353" i="23"/>
  <c r="R435" i="23"/>
  <c r="R438" i="23" s="1"/>
  <c r="R481" i="23"/>
  <c r="Q435" i="23"/>
  <c r="Q438" i="23" s="1"/>
  <c r="AS148" i="20"/>
  <c r="AS149" i="20" s="1"/>
  <c r="CG356" i="1"/>
  <c r="CG281" i="1"/>
  <c r="AX76" i="20"/>
  <c r="AX139" i="20" s="1"/>
  <c r="AX156" i="20" s="1"/>
  <c r="AX348" i="1"/>
  <c r="AR165" i="20"/>
  <c r="AT144" i="20"/>
  <c r="AT161" i="20" s="1"/>
  <c r="AY263" i="1"/>
  <c r="AY265" i="1" s="1"/>
  <c r="AY224" i="1"/>
  <c r="CH279" i="1"/>
  <c r="CH281" i="1" s="1"/>
  <c r="CH225" i="1"/>
  <c r="AY57" i="1"/>
  <c r="AY230" i="1" s="1"/>
  <c r="AV54" i="6"/>
  <c r="AV111" i="6" s="1"/>
  <c r="Y348" i="23" s="1"/>
  <c r="AT147" i="20"/>
  <c r="AT164" i="20" s="1"/>
  <c r="AO59" i="6"/>
  <c r="AO62" i="6" s="1"/>
  <c r="AO87" i="6" s="1"/>
  <c r="AN59" i="6"/>
  <c r="AN62" i="6" s="1"/>
  <c r="AN91" i="6" s="1"/>
  <c r="AV87" i="20"/>
  <c r="AW94" i="20"/>
  <c r="AU75" i="20"/>
  <c r="AX66" i="20"/>
  <c r="AY60" i="20"/>
  <c r="AY52" i="20"/>
  <c r="AZ37" i="20"/>
  <c r="AZ41" i="20"/>
  <c r="AZ36" i="20"/>
  <c r="AZ38" i="20"/>
  <c r="AZ42" i="20"/>
  <c r="AZ39" i="20"/>
  <c r="AZ43" i="20"/>
  <c r="AZ40" i="20"/>
  <c r="AY53" i="20"/>
  <c r="AY61" i="20"/>
  <c r="AY62" i="20"/>
  <c r="AY73" i="20" s="1"/>
  <c r="AY57" i="20"/>
  <c r="AY54" i="20"/>
  <c r="AV142" i="20"/>
  <c r="AV159" i="20" s="1"/>
  <c r="AP57" i="6"/>
  <c r="AP112" i="6" s="1"/>
  <c r="S478" i="23" s="1"/>
  <c r="AV146" i="20"/>
  <c r="AV163" i="20" s="1"/>
  <c r="AV137" i="20"/>
  <c r="AV154" i="20" s="1"/>
  <c r="AW85" i="20"/>
  <c r="AV79" i="20"/>
  <c r="AV86" i="20"/>
  <c r="AV95" i="20" s="1"/>
  <c r="AV140" i="20"/>
  <c r="AV157" i="20" s="1"/>
  <c r="AV81" i="20"/>
  <c r="AV138" i="20"/>
  <c r="AV155" i="20" s="1"/>
  <c r="AV141" i="20"/>
  <c r="AV158" i="20" s="1"/>
  <c r="AV145" i="20"/>
  <c r="AV162" i="20" s="1"/>
  <c r="AV143" i="20"/>
  <c r="AV160" i="20" s="1"/>
  <c r="AV83" i="20"/>
  <c r="AV80" i="20"/>
  <c r="AX56" i="20"/>
  <c r="AX64" i="20" s="1"/>
  <c r="AZ41" i="1"/>
  <c r="AZ48" i="1" s="1"/>
  <c r="CJ36" i="1"/>
  <c r="CI42" i="1"/>
  <c r="CI49" i="1" s="1"/>
  <c r="BA95" i="7"/>
  <c r="AM83" i="6"/>
  <c r="AR15" i="7"/>
  <c r="AR71" i="7"/>
  <c r="AR72" i="7" s="1"/>
  <c r="AR79" i="7" s="1"/>
  <c r="AG96" i="3" s="1"/>
  <c r="AS14" i="7"/>
  <c r="AY65" i="20"/>
  <c r="BB6" i="1"/>
  <c r="BB5" i="1"/>
  <c r="BB26" i="1"/>
  <c r="AZ373" i="1"/>
  <c r="AZ374" i="1"/>
  <c r="AZ112" i="1"/>
  <c r="AZ115" i="1" s="1"/>
  <c r="BB19" i="1"/>
  <c r="BA110" i="1"/>
  <c r="BA111" i="1"/>
  <c r="AQ70" i="5"/>
  <c r="AQ74" i="5" s="1"/>
  <c r="AQ76" i="5" s="1"/>
  <c r="AR66" i="5"/>
  <c r="AR67" i="5" s="1"/>
  <c r="AP70" i="5"/>
  <c r="AP74" i="5" s="1"/>
  <c r="AP76" i="5" s="1"/>
  <c r="AS65" i="5"/>
  <c r="AS59" i="5"/>
  <c r="AT50" i="6" s="1"/>
  <c r="AT60" i="6" s="1"/>
  <c r="CJ286" i="1"/>
  <c r="CK217" i="1"/>
  <c r="CK310" i="1" s="1"/>
  <c r="CI196" i="1"/>
  <c r="CI203" i="1" s="1"/>
  <c r="CI250" i="1" s="1"/>
  <c r="AZ45" i="20"/>
  <c r="AZ46" i="20"/>
  <c r="BC293" i="1"/>
  <c r="BB320" i="1"/>
  <c r="AV38" i="6"/>
  <c r="CF20" i="5"/>
  <c r="CF38" i="5" s="1"/>
  <c r="CF13" i="5"/>
  <c r="CG10" i="5"/>
  <c r="BA322" i="1"/>
  <c r="BB295" i="1"/>
  <c r="AU55" i="5"/>
  <c r="AV47" i="6" s="1"/>
  <c r="AU33" i="5"/>
  <c r="AU46" i="5" s="1"/>
  <c r="AV361" i="1"/>
  <c r="AW364" i="1"/>
  <c r="BA287" i="1"/>
  <c r="AZ312" i="1"/>
  <c r="AU39" i="6"/>
  <c r="AT58" i="5"/>
  <c r="BA94" i="7"/>
  <c r="AZ80" i="1"/>
  <c r="AZ375" i="1"/>
  <c r="AV4" i="5"/>
  <c r="AV25" i="5" s="1"/>
  <c r="AV26" i="5" s="1"/>
  <c r="AV31" i="5"/>
  <c r="BK222" i="23"/>
  <c r="BK225" i="23" s="1"/>
  <c r="CJ169" i="1"/>
  <c r="AU58" i="5"/>
  <c r="AV39" i="6"/>
  <c r="AW164" i="1"/>
  <c r="AW407" i="1" s="1"/>
  <c r="AW409" i="1" s="1"/>
  <c r="AW181" i="1"/>
  <c r="AW188" i="1" s="1"/>
  <c r="AX160" i="1"/>
  <c r="AX125" i="1"/>
  <c r="CH14" i="5"/>
  <c r="CH21" i="5"/>
  <c r="CH39" i="5" s="1"/>
  <c r="BB381" i="1"/>
  <c r="BC13" i="1"/>
  <c r="AX81" i="6"/>
  <c r="AX80" i="6"/>
  <c r="AT62" i="5"/>
  <c r="AT57" i="5"/>
  <c r="AZ122" i="1"/>
  <c r="AW5" i="5"/>
  <c r="AW34" i="5" s="1"/>
  <c r="BA34" i="1"/>
  <c r="BA41" i="1" s="1"/>
  <c r="BA376" i="1"/>
  <c r="AS71" i="5"/>
  <c r="AV40" i="6"/>
  <c r="AU56" i="5"/>
  <c r="AY37" i="1"/>
  <c r="AY121" i="1"/>
  <c r="AY83" i="1"/>
  <c r="AY124" i="1"/>
  <c r="AY163" i="1" s="1"/>
  <c r="AY184" i="1" s="1"/>
  <c r="AY191" i="1" s="1"/>
  <c r="AR72" i="5"/>
  <c r="AR73" i="5" s="1"/>
  <c r="AW330" i="1"/>
  <c r="AX303" i="1"/>
  <c r="CF6" i="5"/>
  <c r="CE32" i="5"/>
  <c r="CG34" i="6"/>
  <c r="BJ260" i="23" s="1"/>
  <c r="BJ263" i="23" s="1"/>
  <c r="CK218" i="1"/>
  <c r="CK220" i="1" s="1"/>
  <c r="BL176" i="23"/>
  <c r="BL179" i="23" s="1"/>
  <c r="CH33" i="6"/>
  <c r="CG28" i="5"/>
  <c r="CH9" i="5"/>
  <c r="CI9" i="5" s="1"/>
  <c r="CG12" i="5"/>
  <c r="CG19" i="5"/>
  <c r="CG37" i="5" s="1"/>
  <c r="AS50" i="6"/>
  <c r="AS60" i="6" s="1"/>
  <c r="AT63" i="5"/>
  <c r="AU49" i="6"/>
  <c r="AS64" i="5"/>
  <c r="AY129" i="1"/>
  <c r="AY161" i="1"/>
  <c r="AY182" i="1" s="1"/>
  <c r="AY189" i="1" s="1"/>
  <c r="AU47" i="6"/>
  <c r="AQ77" i="5"/>
  <c r="AQ91" i="3"/>
  <c r="BA371" i="1"/>
  <c r="BA33" i="1"/>
  <c r="AW2" i="5"/>
  <c r="AZ324" i="1"/>
  <c r="BA297" i="1"/>
  <c r="AX129" i="1"/>
  <c r="AX161" i="1"/>
  <c r="AX182" i="1" s="1"/>
  <c r="AX189" i="1" s="1"/>
  <c r="BC168" i="1"/>
  <c r="BC429" i="1"/>
  <c r="BC432" i="1" s="1"/>
  <c r="BA174" i="1"/>
  <c r="BA177" i="1"/>
  <c r="AW12" i="5"/>
  <c r="BA424" i="1"/>
  <c r="BA427" i="1" s="1"/>
  <c r="BA171" i="1"/>
  <c r="BA178" i="1" s="1"/>
  <c r="BB429" i="1"/>
  <c r="BB432" i="1" s="1"/>
  <c r="BB168" i="1"/>
  <c r="AN73" i="6" l="1"/>
  <c r="AG99" i="3"/>
  <c r="BD174" i="1"/>
  <c r="BD177" i="1"/>
  <c r="AB95" i="23"/>
  <c r="BB28" i="1"/>
  <c r="AB53" i="23"/>
  <c r="AR86" i="3"/>
  <c r="BD32" i="20"/>
  <c r="BA15" i="1"/>
  <c r="CH283" i="1"/>
  <c r="AZ44" i="6"/>
  <c r="BC30" i="1"/>
  <c r="CH356" i="1"/>
  <c r="Q481" i="23"/>
  <c r="CK11" i="5"/>
  <c r="CJ14" i="5"/>
  <c r="CJ21" i="5"/>
  <c r="CJ39" i="5" s="1"/>
  <c r="CI19" i="5"/>
  <c r="CI37" i="5" s="1"/>
  <c r="CI12" i="5"/>
  <c r="CI28" i="5"/>
  <c r="CJ9" i="5"/>
  <c r="CH34" i="6"/>
  <c r="BK260" i="23" s="1"/>
  <c r="BK263" i="23" s="1"/>
  <c r="Y304" i="23"/>
  <c r="Y307" i="23" s="1"/>
  <c r="Y353" i="23"/>
  <c r="AS165" i="20"/>
  <c r="S435" i="23"/>
  <c r="S438" i="23" s="1"/>
  <c r="S481" i="23"/>
  <c r="AY348" i="1"/>
  <c r="AX82" i="20"/>
  <c r="AY76" i="20"/>
  <c r="AT148" i="20"/>
  <c r="AT149" i="20" s="1"/>
  <c r="AU144" i="20"/>
  <c r="AU161" i="20" s="1"/>
  <c r="AU147" i="20"/>
  <c r="AU164" i="20" s="1"/>
  <c r="AZ263" i="1"/>
  <c r="AZ265" i="1" s="1"/>
  <c r="AZ224" i="1"/>
  <c r="CI279" i="1"/>
  <c r="CI281" i="1" s="1"/>
  <c r="CI225" i="1"/>
  <c r="AZ57" i="1"/>
  <c r="AZ230" i="1" s="1"/>
  <c r="AW54" i="6"/>
  <c r="AW111" i="6" s="1"/>
  <c r="Z348" i="23" s="1"/>
  <c r="AO63" i="6"/>
  <c r="AO88" i="6"/>
  <c r="AO91" i="6"/>
  <c r="AN63" i="6"/>
  <c r="AP59" i="6"/>
  <c r="AP62" i="6" s="1"/>
  <c r="AP87" i="6" s="1"/>
  <c r="AN88" i="6"/>
  <c r="AN87" i="6"/>
  <c r="AW87" i="20"/>
  <c r="AX94" i="20"/>
  <c r="AQ57" i="6"/>
  <c r="AQ112" i="6" s="1"/>
  <c r="T478" i="23" s="1"/>
  <c r="AY66" i="20"/>
  <c r="AZ53" i="20"/>
  <c r="AZ61" i="20"/>
  <c r="AZ60" i="20"/>
  <c r="AZ52" i="20"/>
  <c r="BA36" i="20"/>
  <c r="BA40" i="20"/>
  <c r="BA39" i="20"/>
  <c r="BA37" i="20"/>
  <c r="BA41" i="20"/>
  <c r="BA38" i="20"/>
  <c r="BA42" i="20"/>
  <c r="BA43" i="20"/>
  <c r="AZ62" i="20"/>
  <c r="AZ73" i="20" s="1"/>
  <c r="AZ54" i="20"/>
  <c r="AZ57" i="20"/>
  <c r="AW137" i="20"/>
  <c r="AW154" i="20" s="1"/>
  <c r="AW138" i="20"/>
  <c r="AW155" i="20" s="1"/>
  <c r="AW146" i="20"/>
  <c r="AW163" i="20" s="1"/>
  <c r="AW141" i="20"/>
  <c r="AW158" i="20" s="1"/>
  <c r="AW142" i="20"/>
  <c r="AW159" i="20" s="1"/>
  <c r="AV75" i="20"/>
  <c r="AW79" i="20"/>
  <c r="AW145" i="20"/>
  <c r="AW162" i="20" s="1"/>
  <c r="AW140" i="20"/>
  <c r="AW157" i="20" s="1"/>
  <c r="AW80" i="20"/>
  <c r="AW143" i="20"/>
  <c r="AW160" i="20" s="1"/>
  <c r="AW83" i="20"/>
  <c r="AW81" i="20"/>
  <c r="AW86" i="20"/>
  <c r="AW95" i="20" s="1"/>
  <c r="AX85" i="20"/>
  <c r="AY56" i="20"/>
  <c r="AY64" i="20" s="1"/>
  <c r="BA97" i="7"/>
  <c r="CK36" i="1"/>
  <c r="CJ42" i="1"/>
  <c r="CJ49" i="1" s="1"/>
  <c r="AN83" i="6"/>
  <c r="AS15" i="7"/>
  <c r="AS71" i="7"/>
  <c r="AS72" i="7" s="1"/>
  <c r="AS79" i="7" s="1"/>
  <c r="AH96" i="3" s="1"/>
  <c r="AT14" i="7"/>
  <c r="AZ65" i="20"/>
  <c r="BC6" i="1"/>
  <c r="BC5" i="1"/>
  <c r="BC26" i="1"/>
  <c r="BA373" i="1"/>
  <c r="BA374" i="1"/>
  <c r="BC19" i="1"/>
  <c r="BB110" i="1"/>
  <c r="BB111" i="1"/>
  <c r="BA112" i="1"/>
  <c r="BA115" i="1" s="1"/>
  <c r="AS66" i="5"/>
  <c r="AS67" i="5" s="1"/>
  <c r="AR69" i="5"/>
  <c r="AR77" i="5" s="1"/>
  <c r="CL217" i="1"/>
  <c r="CL310" i="1" s="1"/>
  <c r="CK286" i="1"/>
  <c r="CJ196" i="1"/>
  <c r="CJ203" i="1" s="1"/>
  <c r="CJ250" i="1" s="1"/>
  <c r="BA46" i="20"/>
  <c r="BA45" i="20"/>
  <c r="CH10" i="5"/>
  <c r="CI10" i="5" s="1"/>
  <c r="CG20" i="5"/>
  <c r="CG38" i="5" s="1"/>
  <c r="CG13" i="5"/>
  <c r="AT59" i="5"/>
  <c r="AU50" i="6" s="1"/>
  <c r="AU60" i="6" s="1"/>
  <c r="BD293" i="1"/>
  <c r="BC320" i="1"/>
  <c r="BB322" i="1"/>
  <c r="BC295" i="1"/>
  <c r="AT64" i="5"/>
  <c r="AT71" i="5"/>
  <c r="AT72" i="5" s="1"/>
  <c r="AT73" i="5" s="1"/>
  <c r="AY136" i="1"/>
  <c r="AY219" i="1" s="1"/>
  <c r="AX136" i="1"/>
  <c r="AX219" i="1" s="1"/>
  <c r="BA375" i="1"/>
  <c r="BB94" i="7"/>
  <c r="BA80" i="1"/>
  <c r="CL218" i="1"/>
  <c r="CL220" i="1" s="1"/>
  <c r="CI33" i="6"/>
  <c r="AY303" i="1"/>
  <c r="AX330" i="1"/>
  <c r="AU63" i="5"/>
  <c r="AV49" i="6"/>
  <c r="AW39" i="6"/>
  <c r="AV58" i="5"/>
  <c r="AZ129" i="1"/>
  <c r="AZ136" i="1" s="1"/>
  <c r="AZ219" i="1" s="1"/>
  <c r="AZ161" i="1"/>
  <c r="AZ182" i="1" s="1"/>
  <c r="AZ189" i="1" s="1"/>
  <c r="BB33" i="1"/>
  <c r="BB371" i="1"/>
  <c r="AR91" i="3"/>
  <c r="AX2" i="5"/>
  <c r="AY80" i="6"/>
  <c r="AY81" i="6"/>
  <c r="AX164" i="1"/>
  <c r="AX407" i="1" s="1"/>
  <c r="AX409" i="1" s="1"/>
  <c r="AX181" i="1"/>
  <c r="AX188" i="1" s="1"/>
  <c r="AV55" i="5"/>
  <c r="AV33" i="5"/>
  <c r="AV46" i="5" s="1"/>
  <c r="AZ124" i="1"/>
  <c r="AZ163" i="1" s="1"/>
  <c r="AZ184" i="1" s="1"/>
  <c r="AZ191" i="1" s="1"/>
  <c r="AZ121" i="1"/>
  <c r="AZ83" i="1"/>
  <c r="AZ37" i="1"/>
  <c r="BA312" i="1"/>
  <c r="BB287" i="1"/>
  <c r="AU62" i="5"/>
  <c r="AU57" i="5"/>
  <c r="BB297" i="1"/>
  <c r="BA324" i="1"/>
  <c r="AW31" i="5"/>
  <c r="AW4" i="5"/>
  <c r="AW25" i="5" s="1"/>
  <c r="AW26" i="5" s="1"/>
  <c r="AW58" i="5" s="1"/>
  <c r="AW65" i="5" s="1"/>
  <c r="BB376" i="1"/>
  <c r="BB34" i="1"/>
  <c r="BB41" i="1" s="1"/>
  <c r="AX5" i="5"/>
  <c r="AX34" i="5" s="1"/>
  <c r="CH19" i="5"/>
  <c r="CH37" i="5" s="1"/>
  <c r="CH28" i="5"/>
  <c r="CH12" i="5"/>
  <c r="CG6" i="5"/>
  <c r="CF32" i="5"/>
  <c r="AY160" i="1"/>
  <c r="AY125" i="1"/>
  <c r="BA48" i="1"/>
  <c r="BA81" i="1"/>
  <c r="BB95" i="7"/>
  <c r="BC381" i="1"/>
  <c r="BD13" i="1"/>
  <c r="AU65" i="5"/>
  <c r="AV48" i="6"/>
  <c r="AS72" i="5"/>
  <c r="AS73" i="5" s="1"/>
  <c r="CK169" i="1"/>
  <c r="CK196" i="1" s="1"/>
  <c r="AV56" i="5"/>
  <c r="AW40" i="6"/>
  <c r="AW38" i="6"/>
  <c r="AT65" i="5"/>
  <c r="AU48" i="6"/>
  <c r="AW361" i="1"/>
  <c r="AX364" i="1"/>
  <c r="BB177" i="1"/>
  <c r="BB174" i="1"/>
  <c r="BB424" i="1"/>
  <c r="BB427" i="1" s="1"/>
  <c r="AX12" i="5"/>
  <c r="BB171" i="1"/>
  <c r="BB178" i="1" s="1"/>
  <c r="BC171" i="1"/>
  <c r="BD178" i="1" s="1"/>
  <c r="BC424" i="1"/>
  <c r="BC427" i="1" s="1"/>
  <c r="BC174" i="1"/>
  <c r="BC177" i="1"/>
  <c r="AY12" i="5"/>
  <c r="BD30" i="1" l="1"/>
  <c r="BD373" i="1" s="1"/>
  <c r="BD381" i="1"/>
  <c r="BA44" i="6"/>
  <c r="AO73" i="6"/>
  <c r="AH99" i="3"/>
  <c r="BM222" i="23"/>
  <c r="BM225" i="23" s="1"/>
  <c r="BL222" i="23"/>
  <c r="BL225" i="23" s="1"/>
  <c r="CM218" i="1"/>
  <c r="CM220" i="1" s="1"/>
  <c r="BM176" i="23"/>
  <c r="BM179" i="23" s="1"/>
  <c r="AC95" i="23"/>
  <c r="BC28" i="1"/>
  <c r="BC33" i="1"/>
  <c r="AS86" i="3"/>
  <c r="I124" i="3" s="1"/>
  <c r="BE32" i="20"/>
  <c r="BB15" i="1"/>
  <c r="CK21" i="5"/>
  <c r="CK39" i="5" s="1"/>
  <c r="CK14" i="5"/>
  <c r="CL11" i="5"/>
  <c r="CI20" i="5"/>
  <c r="CI38" i="5" s="1"/>
  <c r="CJ10" i="5"/>
  <c r="CI13" i="5"/>
  <c r="CJ12" i="5"/>
  <c r="CJ19" i="5"/>
  <c r="CJ37" i="5" s="1"/>
  <c r="CK9" i="5"/>
  <c r="CJ28" i="5"/>
  <c r="CJ33" i="6"/>
  <c r="CM217" i="1"/>
  <c r="CJ34" i="6"/>
  <c r="BM260" i="23" s="1"/>
  <c r="BM263" i="23" s="1"/>
  <c r="CM169" i="1"/>
  <c r="CM196" i="1" s="1"/>
  <c r="BN222" i="23"/>
  <c r="BN225" i="23" s="1"/>
  <c r="CN217" i="1"/>
  <c r="CI283" i="1"/>
  <c r="Z304" i="23"/>
  <c r="Z307" i="23" s="1"/>
  <c r="Z353" i="23"/>
  <c r="T435" i="23"/>
  <c r="T438" i="23" s="1"/>
  <c r="T481" i="23"/>
  <c r="AY82" i="20"/>
  <c r="AY139" i="20"/>
  <c r="AY156" i="20" s="1"/>
  <c r="AT165" i="20"/>
  <c r="AZ76" i="20"/>
  <c r="AV147" i="20"/>
  <c r="AV164" i="20" s="1"/>
  <c r="AZ348" i="1"/>
  <c r="AV144" i="20"/>
  <c r="AV161" i="20" s="1"/>
  <c r="CI356" i="1"/>
  <c r="AU148" i="20"/>
  <c r="AU149" i="20" s="1"/>
  <c r="BA263" i="1"/>
  <c r="BA265" i="1" s="1"/>
  <c r="BA224" i="1"/>
  <c r="CJ279" i="1"/>
  <c r="CJ225" i="1"/>
  <c r="BA57" i="1"/>
  <c r="BA230" i="1" s="1"/>
  <c r="AX54" i="6"/>
  <c r="AX111" i="6" s="1"/>
  <c r="AA348" i="23" s="1"/>
  <c r="AP91" i="6"/>
  <c r="AP63" i="6"/>
  <c r="AP88" i="6"/>
  <c r="AQ59" i="6"/>
  <c r="AQ62" i="6" s="1"/>
  <c r="AQ63" i="6" s="1"/>
  <c r="AX87" i="20"/>
  <c r="AY94" i="20"/>
  <c r="AR57" i="6"/>
  <c r="AR112" i="6" s="1"/>
  <c r="U478" i="23" s="1"/>
  <c r="AZ66" i="20"/>
  <c r="BA60" i="20"/>
  <c r="BA52" i="20"/>
  <c r="BA53" i="20"/>
  <c r="BA61" i="20"/>
  <c r="BB39" i="20"/>
  <c r="BB43" i="20"/>
  <c r="BB42" i="20"/>
  <c r="BB36" i="20"/>
  <c r="BB40" i="20"/>
  <c r="BB38" i="20"/>
  <c r="BB37" i="20"/>
  <c r="BB41" i="20"/>
  <c r="BA62" i="20"/>
  <c r="BA73" i="20" s="1"/>
  <c r="BA57" i="20"/>
  <c r="BA54" i="20"/>
  <c r="AW75" i="20"/>
  <c r="AX79" i="20"/>
  <c r="AX146" i="20"/>
  <c r="AX163" i="20" s="1"/>
  <c r="AY85" i="20"/>
  <c r="AX138" i="20"/>
  <c r="AX155" i="20" s="1"/>
  <c r="AX81" i="20"/>
  <c r="AX142" i="20"/>
  <c r="AX159" i="20" s="1"/>
  <c r="AX143" i="20"/>
  <c r="AX160" i="20" s="1"/>
  <c r="AX137" i="20"/>
  <c r="AX154" i="20" s="1"/>
  <c r="AX145" i="20"/>
  <c r="AX162" i="20" s="1"/>
  <c r="AX83" i="20"/>
  <c r="AX80" i="20"/>
  <c r="AX141" i="20"/>
  <c r="AX158" i="20" s="1"/>
  <c r="AX140" i="20"/>
  <c r="AX157" i="20" s="1"/>
  <c r="AX86" i="20"/>
  <c r="AX95" i="20" s="1"/>
  <c r="AZ56" i="20"/>
  <c r="AZ64" i="20" s="1"/>
  <c r="CL36" i="1"/>
  <c r="CK42" i="1"/>
  <c r="CK49" i="1" s="1"/>
  <c r="AT15" i="7"/>
  <c r="AT71" i="7"/>
  <c r="AT72" i="7" s="1"/>
  <c r="AT79" i="7" s="1"/>
  <c r="AI96" i="3" s="1"/>
  <c r="AU14" i="7"/>
  <c r="AO83" i="6"/>
  <c r="BC376" i="1"/>
  <c r="BA65" i="20"/>
  <c r="AY5" i="5"/>
  <c r="BC34" i="1"/>
  <c r="AC53" i="23"/>
  <c r="CK203" i="1"/>
  <c r="CK250" i="1" s="1"/>
  <c r="BD26" i="1"/>
  <c r="BD5" i="1"/>
  <c r="BD6" i="1"/>
  <c r="BB373" i="1"/>
  <c r="BB374" i="1"/>
  <c r="AS69" i="5"/>
  <c r="AS77" i="5" s="1"/>
  <c r="AU64" i="5"/>
  <c r="AU66" i="5" s="1"/>
  <c r="BB112" i="1"/>
  <c r="BB115" i="1" s="1"/>
  <c r="BD19" i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BC110" i="1"/>
  <c r="BC111" i="1"/>
  <c r="BC178" i="1"/>
  <c r="AR70" i="5"/>
  <c r="AR74" i="5" s="1"/>
  <c r="AR76" i="5" s="1"/>
  <c r="CL286" i="1"/>
  <c r="BB45" i="20"/>
  <c r="BB46" i="20"/>
  <c r="BE293" i="1"/>
  <c r="BD320" i="1"/>
  <c r="AT66" i="5"/>
  <c r="AT69" i="5" s="1"/>
  <c r="CH20" i="5"/>
  <c r="CH38" i="5" s="1"/>
  <c r="CH13" i="5"/>
  <c r="BD295" i="1"/>
  <c r="BC322" i="1"/>
  <c r="CL169" i="1"/>
  <c r="BE13" i="1"/>
  <c r="AX39" i="6"/>
  <c r="AW33" i="5"/>
  <c r="AW46" i="5" s="1"/>
  <c r="AW55" i="5"/>
  <c r="BC297" i="1"/>
  <c r="BB324" i="1"/>
  <c r="AU71" i="5"/>
  <c r="AU59" i="5"/>
  <c r="BB312" i="1"/>
  <c r="BC287" i="1"/>
  <c r="AV62" i="5"/>
  <c r="AV57" i="5"/>
  <c r="AX31" i="5"/>
  <c r="AX4" i="5"/>
  <c r="AX25" i="5" s="1"/>
  <c r="AY38" i="6" s="1"/>
  <c r="BC94" i="7"/>
  <c r="BB80" i="1"/>
  <c r="BB375" i="1"/>
  <c r="AV65" i="5"/>
  <c r="AW48" i="6"/>
  <c r="BA121" i="1"/>
  <c r="BA37" i="1"/>
  <c r="BA83" i="1"/>
  <c r="BA124" i="1"/>
  <c r="BA163" i="1" s="1"/>
  <c r="BA184" i="1" s="1"/>
  <c r="BA191" i="1" s="1"/>
  <c r="AY364" i="1"/>
  <c r="AX361" i="1"/>
  <c r="AW49" i="6"/>
  <c r="AV63" i="5"/>
  <c r="AS91" i="3"/>
  <c r="BC371" i="1"/>
  <c r="AY2" i="5"/>
  <c r="AZ81" i="6"/>
  <c r="AZ80" i="6"/>
  <c r="BA122" i="1"/>
  <c r="AX48" i="6"/>
  <c r="AY164" i="1"/>
  <c r="AY407" i="1" s="1"/>
  <c r="AY409" i="1" s="1"/>
  <c r="AY181" i="1"/>
  <c r="AY188" i="1" s="1"/>
  <c r="CH6" i="5"/>
  <c r="CI6" i="5" s="1"/>
  <c r="CG32" i="5"/>
  <c r="BB81" i="1"/>
  <c r="BC95" i="7"/>
  <c r="BB48" i="1"/>
  <c r="AX40" i="6"/>
  <c r="AW56" i="5"/>
  <c r="AW47" i="6"/>
  <c r="AZ160" i="1"/>
  <c r="AZ125" i="1"/>
  <c r="AY330" i="1"/>
  <c r="AZ303" i="1"/>
  <c r="CI34" i="6"/>
  <c r="BL260" i="23" s="1"/>
  <c r="BL263" i="23" s="1"/>
  <c r="AX38" i="6"/>
  <c r="BB97" i="7"/>
  <c r="BA81" i="6" l="1"/>
  <c r="BA80" i="6"/>
  <c r="BE30" i="1"/>
  <c r="BE373" i="1" s="1"/>
  <c r="BE381" i="1"/>
  <c r="BB44" i="6"/>
  <c r="AP73" i="6"/>
  <c r="AI99" i="3"/>
  <c r="BO176" i="23"/>
  <c r="BO179" i="23" s="1"/>
  <c r="BN176" i="23"/>
  <c r="BN179" i="23" s="1"/>
  <c r="AZ5" i="5"/>
  <c r="AZ34" i="5" s="1"/>
  <c r="BD376" i="1"/>
  <c r="BD34" i="1"/>
  <c r="BD28" i="1"/>
  <c r="BD371" i="1"/>
  <c r="BD33" i="1"/>
  <c r="AZ2" i="5"/>
  <c r="AT86" i="3"/>
  <c r="AT91" i="3"/>
  <c r="CN218" i="1"/>
  <c r="CN220" i="1" s="1"/>
  <c r="BF32" i="20"/>
  <c r="BC15" i="1"/>
  <c r="CO218" i="1"/>
  <c r="CO220" i="1" s="1"/>
  <c r="CJ6" i="5"/>
  <c r="CI32" i="5"/>
  <c r="CN169" i="1"/>
  <c r="CN196" i="1" s="1"/>
  <c r="CN203" i="1" s="1"/>
  <c r="CN250" i="1" s="1"/>
  <c r="CK33" i="6"/>
  <c r="CM11" i="5"/>
  <c r="CL21" i="5"/>
  <c r="CL39" i="5" s="1"/>
  <c r="CL14" i="5"/>
  <c r="CK34" i="6"/>
  <c r="BN260" i="23" s="1"/>
  <c r="BN263" i="23" s="1"/>
  <c r="CK10" i="5"/>
  <c r="CJ20" i="5"/>
  <c r="CJ38" i="5" s="1"/>
  <c r="CJ13" i="5"/>
  <c r="CL9" i="5"/>
  <c r="CK28" i="5"/>
  <c r="CK19" i="5"/>
  <c r="CK37" i="5" s="1"/>
  <c r="CK12" i="5"/>
  <c r="CM286" i="1"/>
  <c r="CN286" i="1" s="1"/>
  <c r="CM310" i="1"/>
  <c r="CN310" i="1"/>
  <c r="CL42" i="1"/>
  <c r="CL49" i="1" s="1"/>
  <c r="CM36" i="1"/>
  <c r="BP176" i="23"/>
  <c r="BP179" i="23" s="1"/>
  <c r="CO217" i="1"/>
  <c r="CO310" i="1" s="1"/>
  <c r="BO222" i="23"/>
  <c r="BO225" i="23" s="1"/>
  <c r="CJ356" i="1"/>
  <c r="CJ281" i="1"/>
  <c r="AA304" i="23"/>
  <c r="AA307" i="23" s="1"/>
  <c r="AA353" i="23"/>
  <c r="AZ82" i="20"/>
  <c r="AW147" i="20"/>
  <c r="AW164" i="20" s="1"/>
  <c r="U435" i="23"/>
  <c r="U438" i="23" s="1"/>
  <c r="U481" i="23"/>
  <c r="AZ139" i="20"/>
  <c r="AZ156" i="20" s="1"/>
  <c r="AU165" i="20"/>
  <c r="BA76" i="20"/>
  <c r="AV148" i="20"/>
  <c r="AV149" i="20" s="1"/>
  <c r="AW144" i="20"/>
  <c r="AW161" i="20" s="1"/>
  <c r="BA348" i="1"/>
  <c r="CJ283" i="1"/>
  <c r="BB263" i="1"/>
  <c r="BB265" i="1" s="1"/>
  <c r="BB224" i="1"/>
  <c r="CK279" i="1"/>
  <c r="CK225" i="1"/>
  <c r="BB57" i="1"/>
  <c r="BB230" i="1" s="1"/>
  <c r="AY54" i="6"/>
  <c r="AY111" i="6" s="1"/>
  <c r="AB348" i="23" s="1"/>
  <c r="AQ91" i="6"/>
  <c r="AQ87" i="6"/>
  <c r="AQ88" i="6"/>
  <c r="AR59" i="6"/>
  <c r="AR62" i="6" s="1"/>
  <c r="AR91" i="6" s="1"/>
  <c r="AY87" i="20"/>
  <c r="AZ94" i="20"/>
  <c r="BA66" i="20"/>
  <c r="BC38" i="20"/>
  <c r="BC42" i="20"/>
  <c r="BC37" i="20"/>
  <c r="BC41" i="20"/>
  <c r="BC39" i="20"/>
  <c r="BC43" i="20"/>
  <c r="BC36" i="20"/>
  <c r="BC40" i="20"/>
  <c r="BB60" i="20"/>
  <c r="BB52" i="20"/>
  <c r="BB53" i="20"/>
  <c r="BB61" i="20"/>
  <c r="BB62" i="20"/>
  <c r="BB73" i="20" s="1"/>
  <c r="BB54" i="20"/>
  <c r="BB57" i="20"/>
  <c r="AY140" i="20"/>
  <c r="AY157" i="20" s="1"/>
  <c r="AY146" i="20"/>
  <c r="AY163" i="20" s="1"/>
  <c r="AX75" i="20"/>
  <c r="AY138" i="20"/>
  <c r="AY155" i="20" s="1"/>
  <c r="AY79" i="20"/>
  <c r="AY145" i="20"/>
  <c r="AY162" i="20" s="1"/>
  <c r="AY86" i="20"/>
  <c r="AY95" i="20" s="1"/>
  <c r="AY142" i="20"/>
  <c r="AY159" i="20" s="1"/>
  <c r="AY137" i="20"/>
  <c r="AY154" i="20" s="1"/>
  <c r="AY141" i="20"/>
  <c r="AY158" i="20" s="1"/>
  <c r="AY143" i="20"/>
  <c r="AY160" i="20" s="1"/>
  <c r="AY81" i="20"/>
  <c r="AZ85" i="20"/>
  <c r="AY80" i="20"/>
  <c r="AS57" i="6"/>
  <c r="AS112" i="6" s="1"/>
  <c r="V478" i="23" s="1"/>
  <c r="AY83" i="20"/>
  <c r="BA56" i="20"/>
  <c r="BA64" i="20" s="1"/>
  <c r="AY34" i="5"/>
  <c r="BC41" i="1"/>
  <c r="AU15" i="7"/>
  <c r="AV14" i="7"/>
  <c r="AU71" i="7"/>
  <c r="AU72" i="7" s="1"/>
  <c r="AU79" i="7" s="1"/>
  <c r="AJ96" i="3" s="1"/>
  <c r="AP83" i="6"/>
  <c r="BC81" i="1"/>
  <c r="BC122" i="1" s="1"/>
  <c r="BD95" i="7"/>
  <c r="BB65" i="20"/>
  <c r="BE26" i="1"/>
  <c r="BE5" i="1"/>
  <c r="BE6" i="1"/>
  <c r="BC373" i="1"/>
  <c r="BC374" i="1"/>
  <c r="AS70" i="5"/>
  <c r="AS74" i="5" s="1"/>
  <c r="AS76" i="5" s="1"/>
  <c r="AT70" i="5"/>
  <c r="AT74" i="5" s="1"/>
  <c r="BC112" i="1"/>
  <c r="CL196" i="1"/>
  <c r="CL203" i="1" s="1"/>
  <c r="CL250" i="1" s="1"/>
  <c r="BC45" i="20"/>
  <c r="BC46" i="20"/>
  <c r="AT67" i="5"/>
  <c r="BE320" i="1"/>
  <c r="BF293" i="1"/>
  <c r="AV64" i="5"/>
  <c r="AV66" i="5" s="1"/>
  <c r="BD322" i="1"/>
  <c r="BE295" i="1"/>
  <c r="AW63" i="5"/>
  <c r="AX49" i="6"/>
  <c r="BB122" i="1"/>
  <c r="BD94" i="7"/>
  <c r="BC375" i="1"/>
  <c r="BC80" i="1"/>
  <c r="AZ364" i="1"/>
  <c r="AY361" i="1"/>
  <c r="BB124" i="1"/>
  <c r="BB163" i="1" s="1"/>
  <c r="BB184" i="1" s="1"/>
  <c r="BB191" i="1" s="1"/>
  <c r="BB37" i="1"/>
  <c r="BB121" i="1"/>
  <c r="BB83" i="1"/>
  <c r="AY40" i="6"/>
  <c r="AX56" i="5"/>
  <c r="BC312" i="1"/>
  <c r="BD287" i="1"/>
  <c r="AU69" i="5"/>
  <c r="AU70" i="5" s="1"/>
  <c r="AV50" i="6"/>
  <c r="AV60" i="6" s="1"/>
  <c r="AW62" i="5"/>
  <c r="AW57" i="5"/>
  <c r="AW59" i="5" s="1"/>
  <c r="BF13" i="1"/>
  <c r="AT77" i="5"/>
  <c r="AZ330" i="1"/>
  <c r="BA303" i="1"/>
  <c r="AZ164" i="1"/>
  <c r="AZ407" i="1" s="1"/>
  <c r="AZ409" i="1" s="1"/>
  <c r="AZ181" i="1"/>
  <c r="AZ188" i="1" s="1"/>
  <c r="AX26" i="5"/>
  <c r="CH32" i="5"/>
  <c r="BA129" i="1"/>
  <c r="BA136" i="1" s="1"/>
  <c r="BA219" i="1" s="1"/>
  <c r="BA161" i="1"/>
  <c r="BA182" i="1" s="1"/>
  <c r="BA189" i="1" s="1"/>
  <c r="AY31" i="5"/>
  <c r="AY4" i="5"/>
  <c r="AY25" i="5" s="1"/>
  <c r="AX47" i="6"/>
  <c r="BA125" i="1"/>
  <c r="BA160" i="1"/>
  <c r="BC97" i="7"/>
  <c r="AX55" i="5"/>
  <c r="AX33" i="5"/>
  <c r="AX46" i="5" s="1"/>
  <c r="AV59" i="5"/>
  <c r="AV71" i="5"/>
  <c r="AV72" i="5" s="1"/>
  <c r="AV73" i="5" s="1"/>
  <c r="AU72" i="5"/>
  <c r="AU73" i="5" s="1"/>
  <c r="BC324" i="1"/>
  <c r="BD297" i="1"/>
  <c r="AU67" i="5"/>
  <c r="BF30" i="1" l="1"/>
  <c r="BF373" i="1" s="1"/>
  <c r="BF381" i="1"/>
  <c r="BC44" i="6"/>
  <c r="BB81" i="6"/>
  <c r="BB80" i="6"/>
  <c r="AQ73" i="6"/>
  <c r="AJ99" i="3"/>
  <c r="BD416" i="1"/>
  <c r="AD584" i="23"/>
  <c r="BE95" i="7"/>
  <c r="BD81" i="1"/>
  <c r="BD122" i="1" s="1"/>
  <c r="BE34" i="1"/>
  <c r="BA5" i="5"/>
  <c r="BA34" i="5" s="1"/>
  <c r="BE376" i="1"/>
  <c r="BE28" i="1"/>
  <c r="BF40" i="20"/>
  <c r="BF45" i="20"/>
  <c r="BF37" i="20"/>
  <c r="BF39" i="20"/>
  <c r="BF53" i="20" s="1"/>
  <c r="BF41" i="20"/>
  <c r="BF43" i="20"/>
  <c r="BF46" i="20"/>
  <c r="BF36" i="20"/>
  <c r="BF42" i="20"/>
  <c r="BF38" i="20"/>
  <c r="BF52" i="20" s="1"/>
  <c r="BC115" i="1"/>
  <c r="BD115" i="1"/>
  <c r="BC48" i="1"/>
  <c r="BC263" i="1" s="1"/>
  <c r="BC265" i="1" s="1"/>
  <c r="BA2" i="5"/>
  <c r="BE371" i="1"/>
  <c r="BE33" i="1"/>
  <c r="AZ4" i="5"/>
  <c r="AZ25" i="5" s="1"/>
  <c r="AZ31" i="5"/>
  <c r="BD375" i="1"/>
  <c r="BE94" i="7"/>
  <c r="BE97" i="7" s="1"/>
  <c r="BD80" i="1"/>
  <c r="AU86" i="3"/>
  <c r="AU91" i="3"/>
  <c r="BA72" i="6"/>
  <c r="AT90" i="3"/>
  <c r="BG32" i="20"/>
  <c r="BD15" i="1"/>
  <c r="CK356" i="1"/>
  <c r="CO169" i="1"/>
  <c r="CO196" i="1" s="1"/>
  <c r="CO203" i="1" s="1"/>
  <c r="CO250" i="1" s="1"/>
  <c r="CK6" i="5"/>
  <c r="CJ32" i="5"/>
  <c r="CP218" i="1"/>
  <c r="CP220" i="1" s="1"/>
  <c r="CO286" i="1"/>
  <c r="CM21" i="5"/>
  <c r="CM39" i="5" s="1"/>
  <c r="CM14" i="5"/>
  <c r="CK20" i="5"/>
  <c r="CK38" i="5" s="1"/>
  <c r="CK13" i="5"/>
  <c r="CL10" i="5"/>
  <c r="CL34" i="6"/>
  <c r="BO260" i="23" s="1"/>
  <c r="BO263" i="23" s="1"/>
  <c r="CM9" i="5"/>
  <c r="CL19" i="5"/>
  <c r="CL37" i="5" s="1"/>
  <c r="CL12" i="5"/>
  <c r="CL28" i="5"/>
  <c r="CN36" i="1"/>
  <c r="CM42" i="1"/>
  <c r="CM49" i="1" s="1"/>
  <c r="CM203" i="1"/>
  <c r="CM250" i="1" s="1"/>
  <c r="CP217" i="1"/>
  <c r="CP310" i="1" s="1"/>
  <c r="CL33" i="6"/>
  <c r="BQ176" i="23"/>
  <c r="BQ179" i="23" s="1"/>
  <c r="BP222" i="23"/>
  <c r="BP225" i="23" s="1"/>
  <c r="AX147" i="20"/>
  <c r="AX164" i="20" s="1"/>
  <c r="AB304" i="23"/>
  <c r="AB307" i="23" s="1"/>
  <c r="AB353" i="23"/>
  <c r="BA139" i="20"/>
  <c r="BA156" i="20" s="1"/>
  <c r="AV165" i="20"/>
  <c r="V435" i="23"/>
  <c r="V438" i="23" s="1"/>
  <c r="V481" i="23"/>
  <c r="BA82" i="20"/>
  <c r="BB76" i="20"/>
  <c r="AW148" i="20"/>
  <c r="AW149" i="20" s="1"/>
  <c r="AX144" i="20"/>
  <c r="AX161" i="20" s="1"/>
  <c r="BB348" i="1"/>
  <c r="CK283" i="1"/>
  <c r="CK281" i="1"/>
  <c r="CL279" i="1"/>
  <c r="CL281" i="1" s="1"/>
  <c r="CL225" i="1"/>
  <c r="BC57" i="1"/>
  <c r="AZ54" i="6"/>
  <c r="AZ111" i="6" s="1"/>
  <c r="AC348" i="23" s="1"/>
  <c r="AR87" i="6"/>
  <c r="AR63" i="6"/>
  <c r="AR88" i="6"/>
  <c r="AS59" i="6"/>
  <c r="AS62" i="6" s="1"/>
  <c r="AS63" i="6" s="1"/>
  <c r="AZ87" i="20"/>
  <c r="BA94" i="20"/>
  <c r="AT57" i="6"/>
  <c r="AT112" i="6" s="1"/>
  <c r="W478" i="23" s="1"/>
  <c r="BB66" i="20"/>
  <c r="BD37" i="20"/>
  <c r="BD41" i="20"/>
  <c r="BD38" i="20"/>
  <c r="BD42" i="20"/>
  <c r="BD40" i="20"/>
  <c r="BD39" i="20"/>
  <c r="BD43" i="20"/>
  <c r="BD36" i="20"/>
  <c r="BC53" i="20"/>
  <c r="BC61" i="20"/>
  <c r="BC60" i="20"/>
  <c r="BC52" i="20"/>
  <c r="BC62" i="20"/>
  <c r="BC73" i="20" s="1"/>
  <c r="BC57" i="20"/>
  <c r="BC54" i="20"/>
  <c r="AZ142" i="20"/>
  <c r="AZ159" i="20" s="1"/>
  <c r="AZ138" i="20"/>
  <c r="AZ155" i="20" s="1"/>
  <c r="AZ143" i="20"/>
  <c r="AZ160" i="20" s="1"/>
  <c r="AZ86" i="20"/>
  <c r="AZ95" i="20" s="1"/>
  <c r="AY75" i="20"/>
  <c r="AZ146" i="20"/>
  <c r="AZ163" i="20" s="1"/>
  <c r="AZ81" i="20"/>
  <c r="AZ137" i="20"/>
  <c r="AZ154" i="20" s="1"/>
  <c r="AZ145" i="20"/>
  <c r="AZ162" i="20" s="1"/>
  <c r="AZ79" i="20"/>
  <c r="AZ141" i="20"/>
  <c r="AZ158" i="20" s="1"/>
  <c r="AZ140" i="20"/>
  <c r="AZ157" i="20" s="1"/>
  <c r="BA85" i="20"/>
  <c r="AZ80" i="20"/>
  <c r="AZ83" i="20"/>
  <c r="BB56" i="20"/>
  <c r="BB64" i="20" s="1"/>
  <c r="BC129" i="1"/>
  <c r="BD41" i="1"/>
  <c r="BD48" i="1" s="1"/>
  <c r="BC161" i="1"/>
  <c r="BC182" i="1" s="1"/>
  <c r="BC189" i="1" s="1"/>
  <c r="AQ83" i="6"/>
  <c r="AW14" i="7"/>
  <c r="AV15" i="7"/>
  <c r="AV71" i="7"/>
  <c r="AV72" i="7" s="1"/>
  <c r="AV79" i="7" s="1"/>
  <c r="AK96" i="3" s="1"/>
  <c r="BD97" i="7"/>
  <c r="BC65" i="20"/>
  <c r="BF6" i="1"/>
  <c r="BF5" i="1"/>
  <c r="BF26" i="1"/>
  <c r="AT76" i="5"/>
  <c r="BD46" i="20"/>
  <c r="BD45" i="20"/>
  <c r="AU77" i="5"/>
  <c r="AW71" i="5"/>
  <c r="AW72" i="5" s="1"/>
  <c r="AW73" i="5" s="1"/>
  <c r="AW64" i="5"/>
  <c r="AW66" i="5" s="1"/>
  <c r="AW69" i="5" s="1"/>
  <c r="BG293" i="1"/>
  <c r="BF320" i="1"/>
  <c r="AU74" i="5"/>
  <c r="AU76" i="5" s="1"/>
  <c r="BE322" i="1"/>
  <c r="BF295" i="1"/>
  <c r="AV69" i="5"/>
  <c r="AV77" i="5" s="1"/>
  <c r="AW50" i="6"/>
  <c r="AW60" i="6" s="1"/>
  <c r="AX62" i="5"/>
  <c r="AX57" i="5"/>
  <c r="BA164" i="1"/>
  <c r="BA407" i="1" s="1"/>
  <c r="BA409" i="1" s="1"/>
  <c r="BA181" i="1"/>
  <c r="BA188" i="1" s="1"/>
  <c r="AZ40" i="6"/>
  <c r="AY56" i="5"/>
  <c r="BB303" i="1"/>
  <c r="BA330" i="1"/>
  <c r="BB160" i="1"/>
  <c r="BB125" i="1"/>
  <c r="BC37" i="1"/>
  <c r="BC83" i="1"/>
  <c r="BC124" i="1"/>
  <c r="BC163" i="1" s="1"/>
  <c r="BC184" i="1" s="1"/>
  <c r="BC191" i="1" s="1"/>
  <c r="BC121" i="1"/>
  <c r="AZ38" i="6"/>
  <c r="BE297" i="1"/>
  <c r="BD324" i="1"/>
  <c r="AY33" i="5"/>
  <c r="AY46" i="5" s="1"/>
  <c r="AY55" i="5"/>
  <c r="AY39" i="6"/>
  <c r="AX58" i="5"/>
  <c r="BG13" i="1"/>
  <c r="BD312" i="1"/>
  <c r="BE287" i="1"/>
  <c r="AV67" i="5"/>
  <c r="AX63" i="5"/>
  <c r="AY49" i="6"/>
  <c r="AY26" i="5"/>
  <c r="AY47" i="6"/>
  <c r="AX50" i="6"/>
  <c r="AX60" i="6" s="1"/>
  <c r="AZ361" i="1"/>
  <c r="BA364" i="1"/>
  <c r="BB129" i="1"/>
  <c r="BB136" i="1" s="1"/>
  <c r="BB219" i="1" s="1"/>
  <c r="BB161" i="1"/>
  <c r="BB182" i="1" s="1"/>
  <c r="BB189" i="1" s="1"/>
  <c r="BC224" i="1" l="1"/>
  <c r="BC81" i="6"/>
  <c r="BC80" i="6"/>
  <c r="BG30" i="1"/>
  <c r="BG373" i="1" s="1"/>
  <c r="BG381" i="1"/>
  <c r="BD44" i="6"/>
  <c r="AR73" i="6"/>
  <c r="AK99" i="3"/>
  <c r="BE416" i="1"/>
  <c r="AE584" i="23"/>
  <c r="BE81" i="1"/>
  <c r="BE122" i="1" s="1"/>
  <c r="BF95" i="7"/>
  <c r="BD161" i="1"/>
  <c r="BD182" i="1" s="1"/>
  <c r="BD189" i="1" s="1"/>
  <c r="BD129" i="1"/>
  <c r="BD136" i="1" s="1"/>
  <c r="BD219" i="1" s="1"/>
  <c r="BF34" i="1"/>
  <c r="BB5" i="5"/>
  <c r="BB34" i="5" s="1"/>
  <c r="BF376" i="1"/>
  <c r="BF28" i="1"/>
  <c r="BG36" i="20"/>
  <c r="BG38" i="20"/>
  <c r="BG40" i="20"/>
  <c r="BG42" i="20"/>
  <c r="BG45" i="20"/>
  <c r="BG37" i="20"/>
  <c r="BG39" i="20"/>
  <c r="BG41" i="20"/>
  <c r="BG43" i="20"/>
  <c r="BG46" i="20"/>
  <c r="BG65" i="20" s="1"/>
  <c r="BD57" i="1"/>
  <c r="BA54" i="6"/>
  <c r="BA111" i="6" s="1"/>
  <c r="AD348" i="23" s="1"/>
  <c r="BA57" i="6"/>
  <c r="BA112" i="6" s="1"/>
  <c r="AD478" i="23" s="1"/>
  <c r="BF54" i="20"/>
  <c r="BF57" i="20"/>
  <c r="BD121" i="1"/>
  <c r="BD83" i="1"/>
  <c r="BD124" i="1"/>
  <c r="BD163" i="1" s="1"/>
  <c r="BD184" i="1" s="1"/>
  <c r="BD191" i="1" s="1"/>
  <c r="AZ56" i="5"/>
  <c r="BE375" i="1"/>
  <c r="BF94" i="7"/>
  <c r="BE80" i="1"/>
  <c r="BB2" i="5"/>
  <c r="BF371" i="1"/>
  <c r="BF33" i="1"/>
  <c r="AZ26" i="5"/>
  <c r="AZ58" i="5" s="1"/>
  <c r="AZ55" i="5"/>
  <c r="AZ33" i="5"/>
  <c r="AZ46" i="5" s="1"/>
  <c r="BA4" i="5"/>
  <c r="BA25" i="5" s="1"/>
  <c r="BA31" i="5"/>
  <c r="B23" i="6"/>
  <c r="AV86" i="3"/>
  <c r="AV91" i="3"/>
  <c r="BA82" i="6"/>
  <c r="AU90" i="3"/>
  <c r="BB72" i="6"/>
  <c r="BA38" i="6"/>
  <c r="BA40" i="6"/>
  <c r="BH32" i="20"/>
  <c r="BE15" i="1"/>
  <c r="J6" i="6"/>
  <c r="J7" i="6" s="1"/>
  <c r="L6" i="6"/>
  <c r="L7" i="6" s="1"/>
  <c r="CQ218" i="1"/>
  <c r="CQ220" i="1" s="1"/>
  <c r="CL6" i="5"/>
  <c r="CK32" i="5"/>
  <c r="CP169" i="1"/>
  <c r="CP196" i="1" s="1"/>
  <c r="CP203" i="1" s="1"/>
  <c r="CP250" i="1" s="1"/>
  <c r="CM10" i="5"/>
  <c r="CL20" i="5"/>
  <c r="CL38" i="5" s="1"/>
  <c r="CL13" i="5"/>
  <c r="CM19" i="5"/>
  <c r="CM37" i="5" s="1"/>
  <c r="CM12" i="5"/>
  <c r="CM28" i="5"/>
  <c r="CN42" i="1"/>
  <c r="CN49" i="1" s="1"/>
  <c r="CO36" i="1"/>
  <c r="CM33" i="6"/>
  <c r="CP286" i="1"/>
  <c r="CM279" i="1"/>
  <c r="CM225" i="1"/>
  <c r="CM34" i="6"/>
  <c r="BP260" i="23" s="1"/>
  <c r="BP263" i="23" s="1"/>
  <c r="B25" i="6"/>
  <c r="AW165" i="20"/>
  <c r="BB82" i="20"/>
  <c r="AY147" i="20"/>
  <c r="AY164" i="20" s="1"/>
  <c r="H6" i="6"/>
  <c r="H7" i="6" s="1"/>
  <c r="AC353" i="23"/>
  <c r="BB139" i="20"/>
  <c r="BB156" i="20" s="1"/>
  <c r="W435" i="23"/>
  <c r="W438" i="23" s="1"/>
  <c r="W481" i="23"/>
  <c r="AX148" i="20"/>
  <c r="AX165" i="20" s="1"/>
  <c r="BC76" i="20"/>
  <c r="AS87" i="6"/>
  <c r="AY144" i="20"/>
  <c r="AY161" i="20" s="1"/>
  <c r="BC230" i="1"/>
  <c r="CL283" i="1"/>
  <c r="CL356" i="1"/>
  <c r="BD263" i="1"/>
  <c r="BD265" i="1" s="1"/>
  <c r="BD224" i="1"/>
  <c r="AC304" i="23"/>
  <c r="AC307" i="23" s="1"/>
  <c r="AS88" i="6"/>
  <c r="AS91" i="6"/>
  <c r="AT59" i="6"/>
  <c r="AT62" i="6" s="1"/>
  <c r="AT88" i="6" s="1"/>
  <c r="BA87" i="20"/>
  <c r="BB94" i="20"/>
  <c r="AU57" i="6"/>
  <c r="AU112" i="6" s="1"/>
  <c r="X478" i="23" s="1"/>
  <c r="BC66" i="20"/>
  <c r="BE36" i="20"/>
  <c r="BE40" i="20"/>
  <c r="BF62" i="20" s="1"/>
  <c r="BF73" i="20" s="1"/>
  <c r="BE37" i="20"/>
  <c r="BE41" i="20"/>
  <c r="BE43" i="20"/>
  <c r="BE38" i="20"/>
  <c r="BF60" i="20" s="1"/>
  <c r="BE42" i="20"/>
  <c r="BE39" i="20"/>
  <c r="BF61" i="20" s="1"/>
  <c r="BD60" i="20"/>
  <c r="BD52" i="20"/>
  <c r="BD53" i="20"/>
  <c r="BD61" i="20"/>
  <c r="BD62" i="20"/>
  <c r="BD73" i="20" s="1"/>
  <c r="BD54" i="20"/>
  <c r="BD57" i="20"/>
  <c r="AZ75" i="20"/>
  <c r="BC56" i="20"/>
  <c r="BC64" i="20" s="1"/>
  <c r="BA137" i="20"/>
  <c r="BA154" i="20" s="1"/>
  <c r="BA81" i="20"/>
  <c r="BA146" i="20"/>
  <c r="BA163" i="20" s="1"/>
  <c r="BA79" i="20"/>
  <c r="BA145" i="20"/>
  <c r="BA162" i="20" s="1"/>
  <c r="BA142" i="20"/>
  <c r="BA159" i="20" s="1"/>
  <c r="BA86" i="20"/>
  <c r="BA95" i="20" s="1"/>
  <c r="BA80" i="20"/>
  <c r="BA140" i="20"/>
  <c r="BA157" i="20" s="1"/>
  <c r="BA83" i="20"/>
  <c r="BA141" i="20"/>
  <c r="BA158" i="20" s="1"/>
  <c r="BA143" i="20"/>
  <c r="BA160" i="20" s="1"/>
  <c r="BA138" i="20"/>
  <c r="BA155" i="20" s="1"/>
  <c r="BB85" i="20"/>
  <c r="BE41" i="1"/>
  <c r="BE48" i="1" s="1"/>
  <c r="AW15" i="7"/>
  <c r="AW71" i="7"/>
  <c r="AW72" i="7" s="1"/>
  <c r="AW79" i="7" s="1"/>
  <c r="AL96" i="3" s="1"/>
  <c r="AX14" i="7"/>
  <c r="AR83" i="6"/>
  <c r="BG6" i="1"/>
  <c r="BG26" i="1"/>
  <c r="BG5" i="1"/>
  <c r="BD65" i="20"/>
  <c r="BE46" i="20"/>
  <c r="BF65" i="20" s="1"/>
  <c r="BF76" i="20" s="1"/>
  <c r="BE45" i="20"/>
  <c r="AW67" i="5"/>
  <c r="BC136" i="1"/>
  <c r="BC219" i="1" s="1"/>
  <c r="BG320" i="1"/>
  <c r="BH293" i="1"/>
  <c r="AX64" i="5"/>
  <c r="BF322" i="1"/>
  <c r="BG295" i="1"/>
  <c r="BF287" i="1"/>
  <c r="BE312" i="1"/>
  <c r="BH13" i="1"/>
  <c r="AX65" i="5"/>
  <c r="AY48" i="6"/>
  <c r="AY62" i="5"/>
  <c r="AY57" i="5"/>
  <c r="BC125" i="1"/>
  <c r="BC160" i="1"/>
  <c r="AZ47" i="6"/>
  <c r="BB164" i="1"/>
  <c r="BB407" i="1" s="1"/>
  <c r="BB409" i="1" s="1"/>
  <c r="BB181" i="1"/>
  <c r="BB188" i="1" s="1"/>
  <c r="AW77" i="5"/>
  <c r="BC303" i="1"/>
  <c r="BB330" i="1"/>
  <c r="AW70" i="5"/>
  <c r="AW74" i="5" s="1"/>
  <c r="BC348" i="1"/>
  <c r="BB364" i="1"/>
  <c r="BA361" i="1"/>
  <c r="AZ39" i="6"/>
  <c r="AY58" i="5"/>
  <c r="BF297" i="1"/>
  <c r="BE324" i="1"/>
  <c r="AV70" i="5"/>
  <c r="AV74" i="5" s="1"/>
  <c r="AV76" i="5" s="1"/>
  <c r="AY63" i="5"/>
  <c r="AZ49" i="6"/>
  <c r="AX71" i="5"/>
  <c r="AX59" i="5"/>
  <c r="BF56" i="20" l="1"/>
  <c r="BH30" i="1"/>
  <c r="BH373" i="1" s="1"/>
  <c r="BH381" i="1"/>
  <c r="BE44" i="6"/>
  <c r="BD81" i="6"/>
  <c r="BD80" i="6"/>
  <c r="BF97" i="7"/>
  <c r="AS73" i="6"/>
  <c r="AL99" i="3"/>
  <c r="BF416" i="1"/>
  <c r="AF584" i="23"/>
  <c r="B24" i="6"/>
  <c r="BQ222" i="23"/>
  <c r="BQ225" i="23" s="1"/>
  <c r="AD304" i="23"/>
  <c r="AD307" i="23" s="1"/>
  <c r="AD353" i="23"/>
  <c r="BA59" i="6"/>
  <c r="AD435" i="23"/>
  <c r="AD438" i="23" s="1"/>
  <c r="AD481" i="23"/>
  <c r="BG34" i="1"/>
  <c r="BC5" i="5"/>
  <c r="BC34" i="5" s="1"/>
  <c r="BG376" i="1"/>
  <c r="BG28" i="1"/>
  <c r="BF81" i="1"/>
  <c r="BF122" i="1" s="1"/>
  <c r="BG95" i="7"/>
  <c r="BE129" i="1"/>
  <c r="BE136" i="1" s="1"/>
  <c r="BE219" i="1" s="1"/>
  <c r="BE161" i="1"/>
  <c r="BE182" i="1" s="1"/>
  <c r="BE189" i="1" s="1"/>
  <c r="BG61" i="20"/>
  <c r="BG53" i="20"/>
  <c r="BG54" i="20"/>
  <c r="BG62" i="20"/>
  <c r="BG73" i="20" s="1"/>
  <c r="BG57" i="20"/>
  <c r="BE57" i="1"/>
  <c r="BB54" i="6"/>
  <c r="BB111" i="6" s="1"/>
  <c r="AE348" i="23" s="1"/>
  <c r="BB57" i="6"/>
  <c r="BB112" i="6" s="1"/>
  <c r="AE478" i="23" s="1"/>
  <c r="BG66" i="20"/>
  <c r="BG76" i="20"/>
  <c r="BG60" i="20"/>
  <c r="BG52" i="20"/>
  <c r="BH46" i="20"/>
  <c r="BH65" i="20" s="1"/>
  <c r="BH76" i="20" s="1"/>
  <c r="BH36" i="20"/>
  <c r="BH38" i="20"/>
  <c r="BH40" i="20"/>
  <c r="BH42" i="20"/>
  <c r="BH45" i="20"/>
  <c r="BH37" i="20"/>
  <c r="BH39" i="20"/>
  <c r="BH41" i="20"/>
  <c r="BH43" i="20"/>
  <c r="BA56" i="5"/>
  <c r="BG94" i="7"/>
  <c r="BF80" i="1"/>
  <c r="BF375" i="1"/>
  <c r="BC2" i="5"/>
  <c r="BG33" i="1"/>
  <c r="BG371" i="1"/>
  <c r="AZ57" i="5"/>
  <c r="AZ62" i="5"/>
  <c r="BB31" i="5"/>
  <c r="BB4" i="5"/>
  <c r="BB25" i="5" s="1"/>
  <c r="BA26" i="5"/>
  <c r="BD160" i="1"/>
  <c r="BD125" i="1"/>
  <c r="BA33" i="5"/>
  <c r="BA46" i="5" s="1"/>
  <c r="BA55" i="5"/>
  <c r="BA48" i="6"/>
  <c r="AZ65" i="5"/>
  <c r="BE121" i="1"/>
  <c r="BE83" i="1"/>
  <c r="BE124" i="1"/>
  <c r="BE163" i="1" s="1"/>
  <c r="BE184" i="1" s="1"/>
  <c r="BE191" i="1" s="1"/>
  <c r="AZ63" i="5"/>
  <c r="BA49" i="6"/>
  <c r="BA47" i="6"/>
  <c r="AW91" i="3"/>
  <c r="AW86" i="3"/>
  <c r="BB82" i="6"/>
  <c r="BC72" i="6"/>
  <c r="AV90" i="3"/>
  <c r="BB38" i="6"/>
  <c r="BB40" i="6"/>
  <c r="BA39" i="6"/>
  <c r="BI32" i="20"/>
  <c r="BF15" i="1"/>
  <c r="CM356" i="1"/>
  <c r="CM6" i="5"/>
  <c r="CL32" i="5"/>
  <c r="CQ169" i="1"/>
  <c r="CQ196" i="1" s="1"/>
  <c r="CQ203" i="1" s="1"/>
  <c r="CQ250" i="1" s="1"/>
  <c r="CM13" i="5"/>
  <c r="CM20" i="5"/>
  <c r="CM38" i="5" s="1"/>
  <c r="CO42" i="1"/>
  <c r="CO49" i="1" s="1"/>
  <c r="CP36" i="1"/>
  <c r="CN279" i="1"/>
  <c r="CN225" i="1"/>
  <c r="CN34" i="6"/>
  <c r="BQ260" i="23" s="1"/>
  <c r="BQ263" i="23" s="1"/>
  <c r="CQ217" i="1"/>
  <c r="CQ310" i="1" s="1"/>
  <c r="CM283" i="1"/>
  <c r="CM281" i="1"/>
  <c r="CN33" i="6"/>
  <c r="AZ147" i="20"/>
  <c r="AZ164" i="20" s="1"/>
  <c r="AX149" i="20"/>
  <c r="BC139" i="20"/>
  <c r="BC156" i="20" s="1"/>
  <c r="X435" i="23"/>
  <c r="X438" i="23" s="1"/>
  <c r="X481" i="23"/>
  <c r="BC82" i="20"/>
  <c r="AY148" i="20"/>
  <c r="AY165" i="20" s="1"/>
  <c r="AT87" i="6"/>
  <c r="BD76" i="20"/>
  <c r="AZ144" i="20"/>
  <c r="AZ161" i="20" s="1"/>
  <c r="BE263" i="1"/>
  <c r="BE265" i="1" s="1"/>
  <c r="BE224" i="1"/>
  <c r="AT91" i="6"/>
  <c r="AT63" i="6"/>
  <c r="AU59" i="6"/>
  <c r="AU62" i="6" s="1"/>
  <c r="AU63" i="6" s="1"/>
  <c r="BB87" i="20"/>
  <c r="BC94" i="20"/>
  <c r="BD66" i="20"/>
  <c r="BE53" i="20"/>
  <c r="BE61" i="20"/>
  <c r="BE60" i="20"/>
  <c r="BE52" i="20"/>
  <c r="BE62" i="20"/>
  <c r="BE73" i="20" s="1"/>
  <c r="BE57" i="20"/>
  <c r="BF66" i="20" s="1"/>
  <c r="BE54" i="20"/>
  <c r="BA75" i="20"/>
  <c r="BB81" i="20"/>
  <c r="AV57" i="6"/>
  <c r="AV112" i="6" s="1"/>
  <c r="Y478" i="23" s="1"/>
  <c r="BB138" i="20"/>
  <c r="BB155" i="20" s="1"/>
  <c r="BB146" i="20"/>
  <c r="BB163" i="20" s="1"/>
  <c r="BB86" i="20"/>
  <c r="BB95" i="20" s="1"/>
  <c r="BB141" i="20"/>
  <c r="BB158" i="20" s="1"/>
  <c r="BB145" i="20"/>
  <c r="BB162" i="20" s="1"/>
  <c r="BB80" i="20"/>
  <c r="BB83" i="20"/>
  <c r="BB143" i="20"/>
  <c r="BB160" i="20" s="1"/>
  <c r="BB142" i="20"/>
  <c r="BB159" i="20" s="1"/>
  <c r="BB79" i="20"/>
  <c r="BB140" i="20"/>
  <c r="BB157" i="20" s="1"/>
  <c r="BB137" i="20"/>
  <c r="BB154" i="20" s="1"/>
  <c r="BD56" i="20"/>
  <c r="BD64" i="20" s="1"/>
  <c r="BC85" i="20"/>
  <c r="BF41" i="1"/>
  <c r="BF48" i="1" s="1"/>
  <c r="AX71" i="7"/>
  <c r="AX72" i="7" s="1"/>
  <c r="AX79" i="7" s="1"/>
  <c r="AM96" i="3" s="1"/>
  <c r="AX15" i="7"/>
  <c r="AY14" i="7"/>
  <c r="AS83" i="6"/>
  <c r="BE65" i="20"/>
  <c r="BH26" i="1"/>
  <c r="BH5" i="1"/>
  <c r="BH6" i="1"/>
  <c r="AW76" i="5"/>
  <c r="AX66" i="5"/>
  <c r="AX67" i="5" s="1"/>
  <c r="BH320" i="1"/>
  <c r="BI293" i="1"/>
  <c r="AY64" i="5"/>
  <c r="BH295" i="1"/>
  <c r="BG322" i="1"/>
  <c r="AX72" i="5"/>
  <c r="AX73" i="5" s="1"/>
  <c r="BB361" i="1"/>
  <c r="BC364" i="1"/>
  <c r="BD303" i="1"/>
  <c r="BC330" i="1"/>
  <c r="BC164" i="1"/>
  <c r="BC407" i="1" s="1"/>
  <c r="BC409" i="1" s="1"/>
  <c r="BC181" i="1"/>
  <c r="BC188" i="1" s="1"/>
  <c r="BG287" i="1"/>
  <c r="BF312" i="1"/>
  <c r="AY50" i="6"/>
  <c r="AY60" i="6" s="1"/>
  <c r="BG297" i="1"/>
  <c r="BF324" i="1"/>
  <c r="AZ48" i="6"/>
  <c r="AY65" i="5"/>
  <c r="AY71" i="5"/>
  <c r="AY59" i="5"/>
  <c r="BI13" i="1"/>
  <c r="BE81" i="6" l="1"/>
  <c r="BE80" i="6"/>
  <c r="BI30" i="1"/>
  <c r="BI373" i="1" s="1"/>
  <c r="BI381" i="1"/>
  <c r="BF44" i="6"/>
  <c r="AT73" i="6"/>
  <c r="AT83" i="6" s="1"/>
  <c r="AM99" i="3"/>
  <c r="BG97" i="7"/>
  <c r="BG416" i="1"/>
  <c r="AG584" i="23"/>
  <c r="BB59" i="6"/>
  <c r="AE435" i="23"/>
  <c r="AE438" i="23" s="1"/>
  <c r="AE481" i="23"/>
  <c r="AE304" i="23"/>
  <c r="AE307" i="23" s="1"/>
  <c r="AE353" i="23"/>
  <c r="BD5" i="5"/>
  <c r="BD34" i="5" s="1"/>
  <c r="BH376" i="1"/>
  <c r="BH34" i="1"/>
  <c r="BH28" i="1"/>
  <c r="BF161" i="1"/>
  <c r="BF182" i="1" s="1"/>
  <c r="BF189" i="1" s="1"/>
  <c r="BF129" i="1"/>
  <c r="BF136" i="1" s="1"/>
  <c r="BF219" i="1" s="1"/>
  <c r="BH95" i="7"/>
  <c r="BG81" i="1"/>
  <c r="BG122" i="1" s="1"/>
  <c r="BI37" i="20"/>
  <c r="BI39" i="20"/>
  <c r="BI41" i="20"/>
  <c r="BI43" i="20"/>
  <c r="BI46" i="20"/>
  <c r="BI65" i="20" s="1"/>
  <c r="BI76" i="20" s="1"/>
  <c r="BI36" i="20"/>
  <c r="BI38" i="20"/>
  <c r="BI40" i="20"/>
  <c r="BI42" i="20"/>
  <c r="BI45" i="20"/>
  <c r="BH60" i="20"/>
  <c r="BH52" i="20"/>
  <c r="BF57" i="1"/>
  <c r="BC54" i="6"/>
  <c r="BC111" i="6" s="1"/>
  <c r="AF348" i="23" s="1"/>
  <c r="BC57" i="6"/>
  <c r="BC112" i="6" s="1"/>
  <c r="AF478" i="23" s="1"/>
  <c r="BH57" i="20"/>
  <c r="BH54" i="20"/>
  <c r="BH62" i="20"/>
  <c r="BH73" i="20" s="1"/>
  <c r="BH53" i="20"/>
  <c r="BH61" i="20"/>
  <c r="BG56" i="20"/>
  <c r="BG64" i="20" s="1"/>
  <c r="BD181" i="1"/>
  <c r="BD188" i="1" s="1"/>
  <c r="BD164" i="1"/>
  <c r="BD407" i="1" s="1"/>
  <c r="BD409" i="1" s="1"/>
  <c r="BB55" i="5"/>
  <c r="BB62" i="5" s="1"/>
  <c r="BB33" i="5"/>
  <c r="BB46" i="5" s="1"/>
  <c r="BH94" i="7"/>
  <c r="BG80" i="1"/>
  <c r="BG375" i="1"/>
  <c r="BF83" i="1"/>
  <c r="BF124" i="1"/>
  <c r="BF163" i="1" s="1"/>
  <c r="BF184" i="1" s="1"/>
  <c r="BF191" i="1" s="1"/>
  <c r="BF121" i="1"/>
  <c r="BH371" i="1"/>
  <c r="BH33" i="1"/>
  <c r="BD2" i="5"/>
  <c r="BA62" i="5"/>
  <c r="BA57" i="5"/>
  <c r="BC4" i="5"/>
  <c r="BC25" i="5" s="1"/>
  <c r="BC26" i="5" s="1"/>
  <c r="BC31" i="5"/>
  <c r="AZ64" i="5"/>
  <c r="AZ66" i="5" s="1"/>
  <c r="BE160" i="1"/>
  <c r="BE125" i="1"/>
  <c r="BA58" i="5"/>
  <c r="AZ71" i="5"/>
  <c r="AZ72" i="5" s="1"/>
  <c r="AZ73" i="5" s="1"/>
  <c r="AZ59" i="5"/>
  <c r="BA63" i="5"/>
  <c r="BB49" i="6"/>
  <c r="BB47" i="6"/>
  <c r="BB56" i="5"/>
  <c r="BB26" i="5"/>
  <c r="BB58" i="5" s="1"/>
  <c r="BC82" i="6"/>
  <c r="BD72" i="6"/>
  <c r="AW90" i="3"/>
  <c r="AX86" i="3"/>
  <c r="AX91" i="3"/>
  <c r="BB39" i="6"/>
  <c r="BC38" i="6"/>
  <c r="BC40" i="6"/>
  <c r="CN356" i="1"/>
  <c r="BJ32" i="20"/>
  <c r="BG15" i="1"/>
  <c r="CM32" i="5"/>
  <c r="CP42" i="1"/>
  <c r="CP49" i="1" s="1"/>
  <c r="CQ36" i="1"/>
  <c r="CO279" i="1"/>
  <c r="CO225" i="1"/>
  <c r="CN283" i="1"/>
  <c r="CN281" i="1"/>
  <c r="CQ286" i="1"/>
  <c r="BA147" i="20"/>
  <c r="BA164" i="20" s="1"/>
  <c r="BD139" i="20"/>
  <c r="BD156" i="20" s="1"/>
  <c r="Y435" i="23"/>
  <c r="Y438" i="23" s="1"/>
  <c r="Y481" i="23"/>
  <c r="AZ148" i="20"/>
  <c r="AZ165" i="20" s="1"/>
  <c r="BD82" i="20"/>
  <c r="AY149" i="20"/>
  <c r="BE76" i="20"/>
  <c r="BA144" i="20"/>
  <c r="BA161" i="20" s="1"/>
  <c r="BF263" i="1"/>
  <c r="BF265" i="1" s="1"/>
  <c r="BF224" i="1"/>
  <c r="AU87" i="6"/>
  <c r="AU91" i="6"/>
  <c r="AU88" i="6"/>
  <c r="AV59" i="6"/>
  <c r="AV62" i="6" s="1"/>
  <c r="AV63" i="6" s="1"/>
  <c r="BC87" i="20"/>
  <c r="BD94" i="20"/>
  <c r="BE66" i="20"/>
  <c r="BC83" i="20"/>
  <c r="BB75" i="20"/>
  <c r="AW57" i="6"/>
  <c r="AW112" i="6" s="1"/>
  <c r="Z478" i="23" s="1"/>
  <c r="BC140" i="20"/>
  <c r="BC157" i="20" s="1"/>
  <c r="BC138" i="20"/>
  <c r="BC155" i="20" s="1"/>
  <c r="BC143" i="20"/>
  <c r="BC160" i="20" s="1"/>
  <c r="BC141" i="20"/>
  <c r="BC158" i="20" s="1"/>
  <c r="BC145" i="20"/>
  <c r="BC162" i="20" s="1"/>
  <c r="BD85" i="20"/>
  <c r="BC79" i="20"/>
  <c r="BC86" i="20"/>
  <c r="BC95" i="20" s="1"/>
  <c r="BC137" i="20"/>
  <c r="BC154" i="20" s="1"/>
  <c r="BC80" i="20"/>
  <c r="BC142" i="20"/>
  <c r="BC159" i="20" s="1"/>
  <c r="BC146" i="20"/>
  <c r="BC163" i="20" s="1"/>
  <c r="BC81" i="20"/>
  <c r="BE56" i="20"/>
  <c r="BG41" i="1"/>
  <c r="BG48" i="1" s="1"/>
  <c r="AY15" i="7"/>
  <c r="AZ14" i="7"/>
  <c r="AZ71" i="7" s="1"/>
  <c r="AZ72" i="7" s="1"/>
  <c r="AZ79" i="7" s="1"/>
  <c r="AY71" i="7"/>
  <c r="AY72" i="7" s="1"/>
  <c r="AY79" i="7" s="1"/>
  <c r="AN96" i="3" s="1"/>
  <c r="BI26" i="1"/>
  <c r="BI5" i="1"/>
  <c r="BI6" i="1"/>
  <c r="AX69" i="5"/>
  <c r="AX77" i="5" s="1"/>
  <c r="AY66" i="5"/>
  <c r="BI320" i="1"/>
  <c r="BJ293" i="1"/>
  <c r="BI295" i="1"/>
  <c r="BH322" i="1"/>
  <c r="BG312" i="1"/>
  <c r="BH287" i="1"/>
  <c r="BD330" i="1"/>
  <c r="BE303" i="1"/>
  <c r="BC361" i="1"/>
  <c r="BD364" i="1"/>
  <c r="BJ13" i="1"/>
  <c r="AZ50" i="6"/>
  <c r="AZ60" i="6" s="1"/>
  <c r="BH297" i="1"/>
  <c r="BG324" i="1"/>
  <c r="AY72" i="5"/>
  <c r="AY73" i="5" s="1"/>
  <c r="BJ30" i="1" l="1"/>
  <c r="BJ373" i="1" s="1"/>
  <c r="BJ381" i="1"/>
  <c r="BG44" i="6"/>
  <c r="BF81" i="6"/>
  <c r="BF80" i="6"/>
  <c r="AU73" i="6"/>
  <c r="AN99" i="3"/>
  <c r="BH416" i="1"/>
  <c r="AH584" i="23"/>
  <c r="AF304" i="23"/>
  <c r="AF307" i="23" s="1"/>
  <c r="AF353" i="23"/>
  <c r="BC59" i="6"/>
  <c r="AF435" i="23"/>
  <c r="AF438" i="23" s="1"/>
  <c r="AF481" i="23"/>
  <c r="BI34" i="1"/>
  <c r="BE5" i="5"/>
  <c r="BE34" i="5" s="1"/>
  <c r="BI376" i="1"/>
  <c r="BI28" i="1"/>
  <c r="BG129" i="1"/>
  <c r="BG136" i="1" s="1"/>
  <c r="BG219" i="1" s="1"/>
  <c r="BG161" i="1"/>
  <c r="BG182" i="1" s="1"/>
  <c r="BG189" i="1" s="1"/>
  <c r="BI95" i="7"/>
  <c r="BH81" i="1"/>
  <c r="BH122" i="1" s="1"/>
  <c r="BH97" i="7"/>
  <c r="BH56" i="20"/>
  <c r="BH64" i="20" s="1"/>
  <c r="BH66" i="20"/>
  <c r="BI57" i="20"/>
  <c r="BI54" i="20"/>
  <c r="BI62" i="20"/>
  <c r="BI73" i="20" s="1"/>
  <c r="BI60" i="20"/>
  <c r="BI52" i="20"/>
  <c r="BI53" i="20"/>
  <c r="BI61" i="20"/>
  <c r="BJ36" i="20"/>
  <c r="BJ37" i="20"/>
  <c r="BJ39" i="20"/>
  <c r="BJ41" i="20"/>
  <c r="BJ43" i="20"/>
  <c r="BJ46" i="20"/>
  <c r="BJ65" i="20" s="1"/>
  <c r="BJ76" i="20" s="1"/>
  <c r="BJ38" i="20"/>
  <c r="BJ40" i="20"/>
  <c r="BJ42" i="20"/>
  <c r="BJ45" i="20"/>
  <c r="BG57" i="1"/>
  <c r="BD57" i="6"/>
  <c r="BD112" i="6" s="1"/>
  <c r="AG478" i="23" s="1"/>
  <c r="BD54" i="6"/>
  <c r="BD111" i="6" s="1"/>
  <c r="AG348" i="23" s="1"/>
  <c r="BE64" i="20"/>
  <c r="BF64" i="20"/>
  <c r="BA64" i="5"/>
  <c r="BB57" i="5"/>
  <c r="BB63" i="5"/>
  <c r="BB64" i="5" s="1"/>
  <c r="BC49" i="6"/>
  <c r="AZ69" i="5"/>
  <c r="AZ77" i="5" s="1"/>
  <c r="BA50" i="6"/>
  <c r="BE164" i="1"/>
  <c r="BE407" i="1" s="1"/>
  <c r="BE409" i="1" s="1"/>
  <c r="BE181" i="1"/>
  <c r="BE188" i="1" s="1"/>
  <c r="BC55" i="5"/>
  <c r="BC33" i="5"/>
  <c r="BC46" i="5" s="1"/>
  <c r="BF160" i="1"/>
  <c r="BF125" i="1"/>
  <c r="AY67" i="5"/>
  <c r="AZ67" i="5"/>
  <c r="BE2" i="5"/>
  <c r="BI371" i="1"/>
  <c r="BI33" i="1"/>
  <c r="BB65" i="5"/>
  <c r="BC48" i="6"/>
  <c r="BA65" i="5"/>
  <c r="BB48" i="6"/>
  <c r="BC56" i="5"/>
  <c r="BD4" i="5"/>
  <c r="BD25" i="5" s="1"/>
  <c r="BD31" i="5"/>
  <c r="BC47" i="6"/>
  <c r="BG83" i="1"/>
  <c r="BG124" i="1"/>
  <c r="BG163" i="1" s="1"/>
  <c r="BG184" i="1" s="1"/>
  <c r="BG191" i="1" s="1"/>
  <c r="BG121" i="1"/>
  <c r="BC58" i="5"/>
  <c r="BA59" i="5"/>
  <c r="BA71" i="5"/>
  <c r="BA72" i="5" s="1"/>
  <c r="BA73" i="5" s="1"/>
  <c r="BH375" i="1"/>
  <c r="BI94" i="7"/>
  <c r="BH80" i="1"/>
  <c r="AY86" i="3"/>
  <c r="AY91" i="3"/>
  <c r="BD82" i="6"/>
  <c r="BE72" i="6"/>
  <c r="AX90" i="3"/>
  <c r="BD40" i="6"/>
  <c r="BD38" i="6"/>
  <c r="BC39" i="6"/>
  <c r="BK32" i="20"/>
  <c r="BH15" i="1"/>
  <c r="CO283" i="1"/>
  <c r="CO281" i="1"/>
  <c r="CQ42" i="1"/>
  <c r="CQ49" i="1" s="1"/>
  <c r="CP225" i="1"/>
  <c r="CP279" i="1"/>
  <c r="CO356" i="1"/>
  <c r="BB147" i="20"/>
  <c r="BB164" i="20" s="1"/>
  <c r="BE139" i="20"/>
  <c r="AZ149" i="20"/>
  <c r="Z435" i="23"/>
  <c r="Z438" i="23" s="1"/>
  <c r="Z481" i="23"/>
  <c r="BA148" i="20"/>
  <c r="BA165" i="20" s="1"/>
  <c r="BE82" i="20"/>
  <c r="BB144" i="20"/>
  <c r="BB161" i="20" s="1"/>
  <c r="BG263" i="1"/>
  <c r="BG265" i="1" s="1"/>
  <c r="BG224" i="1"/>
  <c r="AV88" i="6"/>
  <c r="AV91" i="6"/>
  <c r="AV87" i="6"/>
  <c r="AW59" i="6"/>
  <c r="AW62" i="6" s="1"/>
  <c r="AW91" i="6" s="1"/>
  <c r="BD87" i="20"/>
  <c r="BE94" i="20"/>
  <c r="V94" i="20" s="1"/>
  <c r="BD141" i="20"/>
  <c r="BD158" i="20" s="1"/>
  <c r="BC75" i="20"/>
  <c r="BD79" i="20"/>
  <c r="BD138" i="20"/>
  <c r="BD155" i="20" s="1"/>
  <c r="BD143" i="20"/>
  <c r="BD160" i="20" s="1"/>
  <c r="BD137" i="20"/>
  <c r="BD154" i="20" s="1"/>
  <c r="BD145" i="20"/>
  <c r="BD162" i="20" s="1"/>
  <c r="BD146" i="20"/>
  <c r="BD163" i="20" s="1"/>
  <c r="BD80" i="20"/>
  <c r="BD81" i="20"/>
  <c r="BD83" i="20"/>
  <c r="BD142" i="20"/>
  <c r="BD159" i="20" s="1"/>
  <c r="BD86" i="20"/>
  <c r="BD95" i="20" s="1"/>
  <c r="BE85" i="20"/>
  <c r="BD140" i="20"/>
  <c r="BD157" i="20" s="1"/>
  <c r="BH41" i="1"/>
  <c r="BH48" i="1" s="1"/>
  <c r="AU83" i="6"/>
  <c r="AZ15" i="7"/>
  <c r="AO96" i="3"/>
  <c r="BA14" i="7"/>
  <c r="BA71" i="7" s="1"/>
  <c r="BA72" i="7" s="1"/>
  <c r="BA79" i="7" s="1"/>
  <c r="BJ6" i="1"/>
  <c r="BJ26" i="1"/>
  <c r="BJ5" i="1"/>
  <c r="AX70" i="5"/>
  <c r="AX74" i="5" s="1"/>
  <c r="AX76" i="5" s="1"/>
  <c r="AY69" i="5"/>
  <c r="BJ320" i="1"/>
  <c r="BK293" i="1"/>
  <c r="BJ295" i="1"/>
  <c r="BI322" i="1"/>
  <c r="BE330" i="1"/>
  <c r="BF303" i="1"/>
  <c r="BH324" i="1"/>
  <c r="BI297" i="1"/>
  <c r="BK13" i="1"/>
  <c r="BD361" i="1"/>
  <c r="BE364" i="1"/>
  <c r="BI287" i="1"/>
  <c r="BH312" i="1"/>
  <c r="BI97" i="7" l="1"/>
  <c r="BK30" i="1"/>
  <c r="BK373" i="1" s="1"/>
  <c r="BK381" i="1"/>
  <c r="BH44" i="6"/>
  <c r="BG81" i="6"/>
  <c r="BG80" i="6"/>
  <c r="BI416" i="1"/>
  <c r="AI584" i="23"/>
  <c r="BD59" i="6"/>
  <c r="AG435" i="23"/>
  <c r="AG438" i="23" s="1"/>
  <c r="AG481" i="23"/>
  <c r="AG304" i="23"/>
  <c r="AG307" i="23" s="1"/>
  <c r="AG353" i="23"/>
  <c r="BA66" i="5"/>
  <c r="BA69" i="5" s="1"/>
  <c r="BA70" i="5" s="1"/>
  <c r="BA74" i="5" s="1"/>
  <c r="BF5" i="5"/>
  <c r="BF34" i="5" s="1"/>
  <c r="BJ34" i="1"/>
  <c r="BJ376" i="1"/>
  <c r="BJ28" i="1"/>
  <c r="BH161" i="1"/>
  <c r="BH182" i="1" s="1"/>
  <c r="BH189" i="1" s="1"/>
  <c r="BH129" i="1"/>
  <c r="BI81" i="1"/>
  <c r="BI122" i="1" s="1"/>
  <c r="BJ95" i="7"/>
  <c r="BJ52" i="20"/>
  <c r="BJ60" i="20"/>
  <c r="BJ61" i="20"/>
  <c r="BJ53" i="20"/>
  <c r="BK36" i="20"/>
  <c r="BK38" i="20"/>
  <c r="BK40" i="20"/>
  <c r="BK42" i="20"/>
  <c r="BK45" i="20"/>
  <c r="BK37" i="20"/>
  <c r="BK39" i="20"/>
  <c r="BK41" i="20"/>
  <c r="BK43" i="20"/>
  <c r="BK46" i="20"/>
  <c r="BK65" i="20" s="1"/>
  <c r="BI66" i="20"/>
  <c r="BI56" i="20"/>
  <c r="BI64" i="20" s="1"/>
  <c r="BH57" i="1"/>
  <c r="BE57" i="6"/>
  <c r="BE112" i="6" s="1"/>
  <c r="AH478" i="23" s="1"/>
  <c r="BE54" i="6"/>
  <c r="BE111" i="6" s="1"/>
  <c r="AH348" i="23" s="1"/>
  <c r="BJ54" i="20"/>
  <c r="BJ62" i="20"/>
  <c r="BJ73" i="20" s="1"/>
  <c r="BJ57" i="20"/>
  <c r="BE87" i="20"/>
  <c r="BF94" i="20"/>
  <c r="BF85" i="20"/>
  <c r="BE156" i="20"/>
  <c r="BF139" i="20"/>
  <c r="BG139" i="20" s="1"/>
  <c r="BH139" i="20" s="1"/>
  <c r="BI139" i="20" s="1"/>
  <c r="BJ139" i="20" s="1"/>
  <c r="BH121" i="1"/>
  <c r="BH124" i="1"/>
  <c r="BH163" i="1" s="1"/>
  <c r="BH184" i="1" s="1"/>
  <c r="BH191" i="1" s="1"/>
  <c r="BH83" i="1"/>
  <c r="BB50" i="6"/>
  <c r="BD56" i="5"/>
  <c r="BC63" i="5"/>
  <c r="BD49" i="6"/>
  <c r="BE4" i="5"/>
  <c r="BE25" i="5" s="1"/>
  <c r="BE26" i="5" s="1"/>
  <c r="BE31" i="5"/>
  <c r="BC57" i="5"/>
  <c r="BC62" i="5"/>
  <c r="BF2" i="5"/>
  <c r="BJ371" i="1"/>
  <c r="BJ33" i="1"/>
  <c r="BD47" i="6"/>
  <c r="BD26" i="5"/>
  <c r="BB66" i="5"/>
  <c r="BF181" i="1"/>
  <c r="BF188" i="1" s="1"/>
  <c r="BF164" i="1"/>
  <c r="BF407" i="1" s="1"/>
  <c r="BF409" i="1" s="1"/>
  <c r="AY70" i="5"/>
  <c r="AY74" i="5" s="1"/>
  <c r="AY76" i="5" s="1"/>
  <c r="AZ70" i="5"/>
  <c r="AZ74" i="5" s="1"/>
  <c r="AZ76" i="5" s="1"/>
  <c r="BD48" i="6"/>
  <c r="BC65" i="5"/>
  <c r="BG160" i="1"/>
  <c r="BG125" i="1"/>
  <c r="BD55" i="5"/>
  <c r="BD33" i="5"/>
  <c r="BD46" i="5" s="1"/>
  <c r="BI375" i="1"/>
  <c r="BJ94" i="7"/>
  <c r="BI80" i="1"/>
  <c r="BB71" i="5"/>
  <c r="BB72" i="5" s="1"/>
  <c r="BB73" i="5" s="1"/>
  <c r="BB59" i="5"/>
  <c r="AZ86" i="3"/>
  <c r="AZ91" i="3"/>
  <c r="BE82" i="6"/>
  <c r="AY90" i="3"/>
  <c r="BF72" i="6"/>
  <c r="BD39" i="6"/>
  <c r="BE40" i="6"/>
  <c r="BE38" i="6"/>
  <c r="AV73" i="6"/>
  <c r="AV83" i="6" s="1"/>
  <c r="AO99" i="3"/>
  <c r="BL32" i="20"/>
  <c r="BI15" i="1"/>
  <c r="CP356" i="1"/>
  <c r="BC147" i="20"/>
  <c r="BC164" i="20" s="1"/>
  <c r="CQ225" i="1"/>
  <c r="CQ279" i="1"/>
  <c r="CP283" i="1"/>
  <c r="CP281" i="1"/>
  <c r="BA149" i="20"/>
  <c r="BB148" i="20"/>
  <c r="BB149" i="20" s="1"/>
  <c r="BC144" i="20"/>
  <c r="BC161" i="20" s="1"/>
  <c r="BH263" i="1"/>
  <c r="BH265" i="1" s="1"/>
  <c r="BH224" i="1"/>
  <c r="AW88" i="6"/>
  <c r="AW63" i="6"/>
  <c r="AW87" i="6"/>
  <c r="BE141" i="20"/>
  <c r="BE158" i="20" s="1"/>
  <c r="BD75" i="20"/>
  <c r="BE145" i="20"/>
  <c r="BE162" i="20" s="1"/>
  <c r="AY57" i="6"/>
  <c r="AY112" i="6" s="1"/>
  <c r="AB478" i="23" s="1"/>
  <c r="BE142" i="20"/>
  <c r="BE159" i="20" s="1"/>
  <c r="BE81" i="20"/>
  <c r="BE146" i="20"/>
  <c r="BE163" i="20" s="1"/>
  <c r="BE83" i="20"/>
  <c r="BE140" i="20"/>
  <c r="BE157" i="20" s="1"/>
  <c r="BE86" i="20"/>
  <c r="BE95" i="20" s="1"/>
  <c r="V95" i="20" s="1"/>
  <c r="V96" i="20" s="1"/>
  <c r="BE80" i="20"/>
  <c r="BE138" i="20"/>
  <c r="BE155" i="20" s="1"/>
  <c r="BE137" i="20"/>
  <c r="BE154" i="20" s="1"/>
  <c r="BE143" i="20"/>
  <c r="BE160" i="20" s="1"/>
  <c r="BE79" i="20"/>
  <c r="AX57" i="6"/>
  <c r="AX112" i="6" s="1"/>
  <c r="AA478" i="23" s="1"/>
  <c r="BI41" i="1"/>
  <c r="BI48" i="1" s="1"/>
  <c r="AP96" i="3"/>
  <c r="BB14" i="7"/>
  <c r="BB71" i="7" s="1"/>
  <c r="BB72" i="7" s="1"/>
  <c r="BB79" i="7" s="1"/>
  <c r="BA15" i="7"/>
  <c r="BK26" i="1"/>
  <c r="BK5" i="1"/>
  <c r="BK6" i="1"/>
  <c r="AY77" i="5"/>
  <c r="BK320" i="1"/>
  <c r="BL293" i="1"/>
  <c r="BK295" i="1"/>
  <c r="BJ322" i="1"/>
  <c r="BF364" i="1"/>
  <c r="BE361" i="1"/>
  <c r="BI312" i="1"/>
  <c r="BJ287" i="1"/>
  <c r="BL13" i="1"/>
  <c r="BJ297" i="1"/>
  <c r="BI324" i="1"/>
  <c r="BG303" i="1"/>
  <c r="BF330" i="1"/>
  <c r="BA67" i="5" l="1"/>
  <c r="BA76" i="5"/>
  <c r="BJ97" i="7"/>
  <c r="BH81" i="6"/>
  <c r="BH80" i="6"/>
  <c r="BL30" i="1"/>
  <c r="BL373" i="1" s="1"/>
  <c r="BL381" i="1"/>
  <c r="BI44" i="6"/>
  <c r="BJ416" i="1"/>
  <c r="AJ584" i="23"/>
  <c r="AH304" i="23"/>
  <c r="AH307" i="23" s="1"/>
  <c r="AH353" i="23"/>
  <c r="BE59" i="6"/>
  <c r="AH435" i="23"/>
  <c r="AH438" i="23" s="1"/>
  <c r="AH481" i="23"/>
  <c r="BC64" i="5"/>
  <c r="BC66" i="5" s="1"/>
  <c r="BC67" i="5" s="1"/>
  <c r="BI129" i="1"/>
  <c r="BI136" i="1" s="1"/>
  <c r="BI219" i="1" s="1"/>
  <c r="BI161" i="1"/>
  <c r="BI182" i="1" s="1"/>
  <c r="BI189" i="1" s="1"/>
  <c r="BK34" i="1"/>
  <c r="BK376" i="1"/>
  <c r="BG5" i="5"/>
  <c r="BG34" i="5" s="1"/>
  <c r="BK28" i="1"/>
  <c r="BH136" i="1"/>
  <c r="BH219" i="1" s="1"/>
  <c r="BJ81" i="1"/>
  <c r="BJ122" i="1" s="1"/>
  <c r="BK95" i="7"/>
  <c r="BJ56" i="20"/>
  <c r="BJ64" i="20" s="1"/>
  <c r="BJ66" i="20"/>
  <c r="BK61" i="20"/>
  <c r="BK53" i="20"/>
  <c r="BK54" i="20"/>
  <c r="BK62" i="20"/>
  <c r="BK73" i="20" s="1"/>
  <c r="BK57" i="20"/>
  <c r="BK66" i="20" s="1"/>
  <c r="BI57" i="1"/>
  <c r="BF54" i="6"/>
  <c r="BF111" i="6" s="1"/>
  <c r="AI348" i="23" s="1"/>
  <c r="BF57" i="6"/>
  <c r="BF112" i="6" s="1"/>
  <c r="AI478" i="23" s="1"/>
  <c r="BK76" i="20"/>
  <c r="BK139" i="20" s="1"/>
  <c r="BK52" i="20"/>
  <c r="BK60" i="20"/>
  <c r="BL37" i="20"/>
  <c r="BL41" i="20"/>
  <c r="BL36" i="20"/>
  <c r="BL38" i="20"/>
  <c r="BL40" i="20"/>
  <c r="BL42" i="20"/>
  <c r="BL45" i="20"/>
  <c r="BL43" i="20"/>
  <c r="BL46" i="20"/>
  <c r="BL65" i="20" s="1"/>
  <c r="BL76" i="20" s="1"/>
  <c r="BL39" i="20"/>
  <c r="BG85" i="20"/>
  <c r="BF137" i="20"/>
  <c r="BF86" i="20"/>
  <c r="BF95" i="20" s="1"/>
  <c r="BF140" i="20"/>
  <c r="BF142" i="20"/>
  <c r="BF146" i="20"/>
  <c r="BG94" i="20"/>
  <c r="BF138" i="20"/>
  <c r="BF141" i="20"/>
  <c r="BF143" i="20"/>
  <c r="BF145" i="20"/>
  <c r="BI121" i="1"/>
  <c r="BI83" i="1"/>
  <c r="BI124" i="1"/>
  <c r="BI163" i="1" s="1"/>
  <c r="BI184" i="1" s="1"/>
  <c r="BI191" i="1" s="1"/>
  <c r="BD62" i="5"/>
  <c r="BD57" i="5"/>
  <c r="BD58" i="5"/>
  <c r="BF31" i="5"/>
  <c r="BF4" i="5"/>
  <c r="BF25" i="5" s="1"/>
  <c r="BF26" i="5" s="1"/>
  <c r="BE56" i="5"/>
  <c r="BH160" i="1"/>
  <c r="BH125" i="1"/>
  <c r="BG2" i="5"/>
  <c r="BK371" i="1"/>
  <c r="BK33" i="1"/>
  <c r="BE58" i="5"/>
  <c r="BB69" i="5"/>
  <c r="BB77" i="5" s="1"/>
  <c r="BC50" i="6"/>
  <c r="BG164" i="1"/>
  <c r="BG407" i="1" s="1"/>
  <c r="BG409" i="1" s="1"/>
  <c r="BG181" i="1"/>
  <c r="BG188" i="1" s="1"/>
  <c r="BK94" i="7"/>
  <c r="BJ80" i="1"/>
  <c r="BJ375" i="1"/>
  <c r="BC59" i="5"/>
  <c r="BC71" i="5"/>
  <c r="BC72" i="5" s="1"/>
  <c r="BC73" i="5" s="1"/>
  <c r="BE49" i="6"/>
  <c r="BD63" i="5"/>
  <c r="BA77" i="5"/>
  <c r="BE33" i="5"/>
  <c r="BE46" i="5" s="1"/>
  <c r="BE55" i="5"/>
  <c r="BF47" i="6" s="1"/>
  <c r="BE47" i="6"/>
  <c r="BB67" i="5"/>
  <c r="BF82" i="6"/>
  <c r="BA91" i="3"/>
  <c r="BA86" i="3"/>
  <c r="BG72" i="6"/>
  <c r="AZ90" i="3"/>
  <c r="BF38" i="6"/>
  <c r="BF40" i="6"/>
  <c r="BE39" i="6"/>
  <c r="AW73" i="6"/>
  <c r="AP99" i="3"/>
  <c r="CQ356" i="1"/>
  <c r="BM32" i="20"/>
  <c r="BJ15" i="1"/>
  <c r="BD147" i="20"/>
  <c r="BD164" i="20" s="1"/>
  <c r="CQ281" i="1"/>
  <c r="CQ283" i="1"/>
  <c r="BB165" i="20"/>
  <c r="AA435" i="23"/>
  <c r="AA438" i="23" s="1"/>
  <c r="AB435" i="23"/>
  <c r="AB438" i="23" s="1"/>
  <c r="AB481" i="23"/>
  <c r="BC148" i="20"/>
  <c r="BC149" i="20" s="1"/>
  <c r="BD144" i="20"/>
  <c r="BD161" i="20" s="1"/>
  <c r="BI263" i="1"/>
  <c r="BI265" i="1" s="1"/>
  <c r="BI224" i="1"/>
  <c r="AY59" i="6"/>
  <c r="AY62" i="6" s="1"/>
  <c r="AY91" i="6" s="1"/>
  <c r="AX59" i="6"/>
  <c r="AX62" i="6" s="1"/>
  <c r="AX87" i="6" s="1"/>
  <c r="BE75" i="20"/>
  <c r="BJ41" i="1"/>
  <c r="BJ48" i="1" s="1"/>
  <c r="BB15" i="7"/>
  <c r="AQ96" i="3"/>
  <c r="BC14" i="7"/>
  <c r="BC71" i="7" s="1"/>
  <c r="BC72" i="7" s="1"/>
  <c r="BC79" i="7" s="1"/>
  <c r="AW83" i="6"/>
  <c r="BL26" i="1"/>
  <c r="BL5" i="1"/>
  <c r="BL6" i="1"/>
  <c r="BL320" i="1"/>
  <c r="BM293" i="1"/>
  <c r="BL295" i="1"/>
  <c r="BK322" i="1"/>
  <c r="BG330" i="1"/>
  <c r="BH303" i="1"/>
  <c r="BJ324" i="1"/>
  <c r="BK297" i="1"/>
  <c r="BM13" i="1"/>
  <c r="BJ312" i="1"/>
  <c r="BK287" i="1"/>
  <c r="BG364" i="1"/>
  <c r="BF361" i="1"/>
  <c r="BD64" i="5" l="1"/>
  <c r="BK97" i="7"/>
  <c r="BM30" i="1"/>
  <c r="BM373" i="1" s="1"/>
  <c r="BM381" i="1"/>
  <c r="BJ44" i="6"/>
  <c r="BI81" i="6"/>
  <c r="BI80" i="6"/>
  <c r="BK416" i="1"/>
  <c r="AK584" i="23"/>
  <c r="BF59" i="6"/>
  <c r="AI435" i="23"/>
  <c r="AI438" i="23" s="1"/>
  <c r="AI481" i="23"/>
  <c r="AI304" i="23"/>
  <c r="AI307" i="23" s="1"/>
  <c r="AI353" i="23"/>
  <c r="BL95" i="7"/>
  <c r="BK81" i="1"/>
  <c r="BK122" i="1" s="1"/>
  <c r="BH5" i="5"/>
  <c r="BH34" i="5" s="1"/>
  <c r="BL376" i="1"/>
  <c r="BL34" i="1"/>
  <c r="BL28" i="1"/>
  <c r="BJ161" i="1"/>
  <c r="BJ182" i="1" s="1"/>
  <c r="BJ189" i="1" s="1"/>
  <c r="BJ129" i="1"/>
  <c r="BJ136" i="1" s="1"/>
  <c r="BJ219" i="1" s="1"/>
  <c r="BJ57" i="1"/>
  <c r="BG54" i="6"/>
  <c r="BG111" i="6" s="1"/>
  <c r="AJ348" i="23" s="1"/>
  <c r="BG57" i="6"/>
  <c r="BG112" i="6" s="1"/>
  <c r="AJ478" i="23" s="1"/>
  <c r="BL60" i="20"/>
  <c r="BL52" i="20"/>
  <c r="BK56" i="20"/>
  <c r="BK64" i="20" s="1"/>
  <c r="BM37" i="20"/>
  <c r="BM39" i="20"/>
  <c r="BM41" i="20"/>
  <c r="BM43" i="20"/>
  <c r="BM46" i="20"/>
  <c r="BM65" i="20" s="1"/>
  <c r="BM76" i="20" s="1"/>
  <c r="BM36" i="20"/>
  <c r="BM38" i="20"/>
  <c r="BM40" i="20"/>
  <c r="BM42" i="20"/>
  <c r="BM45" i="20"/>
  <c r="BL57" i="20"/>
  <c r="BL54" i="20"/>
  <c r="BL62" i="20"/>
  <c r="BL73" i="20" s="1"/>
  <c r="BL139" i="20"/>
  <c r="BL53" i="20"/>
  <c r="BL61" i="20"/>
  <c r="BH85" i="20"/>
  <c r="BG141" i="20"/>
  <c r="BG143" i="20"/>
  <c r="BG145" i="20"/>
  <c r="BG137" i="20"/>
  <c r="BG86" i="20"/>
  <c r="BG95" i="20" s="1"/>
  <c r="BG140" i="20"/>
  <c r="BG142" i="20"/>
  <c r="BG146" i="20"/>
  <c r="BH94" i="20"/>
  <c r="BG138" i="20"/>
  <c r="BC69" i="5"/>
  <c r="BC70" i="5" s="1"/>
  <c r="BC74" i="5" s="1"/>
  <c r="BC76" i="5" s="1"/>
  <c r="BD50" i="6"/>
  <c r="BE63" i="5"/>
  <c r="BF49" i="6"/>
  <c r="BL371" i="1"/>
  <c r="BL33" i="1"/>
  <c r="BH2" i="5"/>
  <c r="BE65" i="5"/>
  <c r="BF48" i="6"/>
  <c r="BL94" i="7"/>
  <c r="BL97" i="7" s="1"/>
  <c r="BK80" i="1"/>
  <c r="BK375" i="1"/>
  <c r="BF58" i="5"/>
  <c r="BE48" i="6"/>
  <c r="BD65" i="5"/>
  <c r="BD66" i="5" s="1"/>
  <c r="BJ83" i="1"/>
  <c r="BJ124" i="1"/>
  <c r="BJ163" i="1" s="1"/>
  <c r="BJ184" i="1" s="1"/>
  <c r="BJ191" i="1" s="1"/>
  <c r="BJ121" i="1"/>
  <c r="BH164" i="1"/>
  <c r="BH407" i="1" s="1"/>
  <c r="BH409" i="1" s="1"/>
  <c r="BH181" i="1"/>
  <c r="BH188" i="1" s="1"/>
  <c r="BF56" i="5"/>
  <c r="BD71" i="5"/>
  <c r="BD72" i="5" s="1"/>
  <c r="BD73" i="5" s="1"/>
  <c r="BD59" i="5"/>
  <c r="BE62" i="5"/>
  <c r="BE57" i="5"/>
  <c r="BG4" i="5"/>
  <c r="BG25" i="5" s="1"/>
  <c r="BG31" i="5"/>
  <c r="BB70" i="5"/>
  <c r="BB74" i="5" s="1"/>
  <c r="BB76" i="5" s="1"/>
  <c r="BF33" i="5"/>
  <c r="BF46" i="5" s="1"/>
  <c r="BF55" i="5"/>
  <c r="BF62" i="5" s="1"/>
  <c r="BI160" i="1"/>
  <c r="BI125" i="1"/>
  <c r="BH72" i="6"/>
  <c r="BA90" i="3"/>
  <c r="BB86" i="3"/>
  <c r="BB91" i="3"/>
  <c r="BG82" i="6"/>
  <c r="BF39" i="6"/>
  <c r="BG40" i="6"/>
  <c r="BG38" i="6"/>
  <c r="AX73" i="6"/>
  <c r="AX83" i="6" s="1"/>
  <c r="AQ99" i="3"/>
  <c r="BN32" i="20"/>
  <c r="BK15" i="1"/>
  <c r="BE147" i="20"/>
  <c r="AA481" i="23"/>
  <c r="BC165" i="20"/>
  <c r="BD148" i="20"/>
  <c r="BD149" i="20" s="1"/>
  <c r="BE144" i="20"/>
  <c r="BJ263" i="1"/>
  <c r="BJ265" i="1" s="1"/>
  <c r="BJ224" i="1"/>
  <c r="AY88" i="6"/>
  <c r="AX63" i="6"/>
  <c r="AY63" i="6"/>
  <c r="AY87" i="6"/>
  <c r="AX88" i="6"/>
  <c r="AX91" i="6"/>
  <c r="AZ57" i="6"/>
  <c r="AZ112" i="6" s="1"/>
  <c r="AC478" i="23" s="1"/>
  <c r="BK41" i="1"/>
  <c r="BK48" i="1" s="1"/>
  <c r="BC15" i="7"/>
  <c r="BD14" i="7"/>
  <c r="AR96" i="3"/>
  <c r="BM26" i="1"/>
  <c r="BM5" i="1"/>
  <c r="BM6" i="1"/>
  <c r="BM320" i="1"/>
  <c r="BN293" i="1"/>
  <c r="BL322" i="1"/>
  <c r="BM295" i="1"/>
  <c r="BG361" i="1"/>
  <c r="BH364" i="1"/>
  <c r="BL287" i="1"/>
  <c r="BK312" i="1"/>
  <c r="BN13" i="1"/>
  <c r="BN30" i="1" s="1"/>
  <c r="BK324" i="1"/>
  <c r="BL297" i="1"/>
  <c r="BI303" i="1"/>
  <c r="BH330" i="1"/>
  <c r="BJ81" i="6" l="1"/>
  <c r="BJ80" i="6"/>
  <c r="BK44" i="6"/>
  <c r="BL44" i="6" s="1"/>
  <c r="BM44" i="6" s="1"/>
  <c r="BN44" i="6" s="1"/>
  <c r="BO44" i="6" s="1"/>
  <c r="BP44" i="6" s="1"/>
  <c r="BQ44" i="6" s="1"/>
  <c r="BR44" i="6" s="1"/>
  <c r="BS44" i="6" s="1"/>
  <c r="BT44" i="6" s="1"/>
  <c r="BU44" i="6" s="1"/>
  <c r="BV44" i="6" s="1"/>
  <c r="BW44" i="6" s="1"/>
  <c r="BX44" i="6" s="1"/>
  <c r="BY44" i="6" s="1"/>
  <c r="BZ44" i="6" s="1"/>
  <c r="CA44" i="6" s="1"/>
  <c r="CB44" i="6" s="1"/>
  <c r="CC44" i="6" s="1"/>
  <c r="CD44" i="6" s="1"/>
  <c r="CE44" i="6" s="1"/>
  <c r="CF44" i="6" s="1"/>
  <c r="CG44" i="6" s="1"/>
  <c r="CH44" i="6" s="1"/>
  <c r="CI44" i="6" s="1"/>
  <c r="CJ44" i="6" s="1"/>
  <c r="BE14" i="7"/>
  <c r="BD71" i="7"/>
  <c r="BD72" i="7" s="1"/>
  <c r="BD79" i="7" s="1"/>
  <c r="BL416" i="1"/>
  <c r="AL584" i="23"/>
  <c r="AJ304" i="23"/>
  <c r="AJ307" i="23" s="1"/>
  <c r="AJ353" i="23"/>
  <c r="BG59" i="6"/>
  <c r="AJ435" i="23"/>
  <c r="AJ438" i="23" s="1"/>
  <c r="AJ481" i="23"/>
  <c r="BM139" i="20"/>
  <c r="BM34" i="1"/>
  <c r="BI5" i="5"/>
  <c r="BI34" i="5" s="1"/>
  <c r="BM376" i="1"/>
  <c r="BM28" i="1"/>
  <c r="BK161" i="1"/>
  <c r="BK182" i="1" s="1"/>
  <c r="BK189" i="1" s="1"/>
  <c r="BK129" i="1"/>
  <c r="BK136" i="1" s="1"/>
  <c r="BK219" i="1" s="1"/>
  <c r="BL81" i="1"/>
  <c r="BL122" i="1" s="1"/>
  <c r="BM53" i="20"/>
  <c r="BM61" i="20"/>
  <c r="BK57" i="1"/>
  <c r="BH57" i="6"/>
  <c r="BH112" i="6" s="1"/>
  <c r="AK478" i="23" s="1"/>
  <c r="BH54" i="6"/>
  <c r="BH111" i="6" s="1"/>
  <c r="AK348" i="23" s="1"/>
  <c r="BM57" i="20"/>
  <c r="BM62" i="20"/>
  <c r="BM73" i="20" s="1"/>
  <c r="BM54" i="20"/>
  <c r="BN38" i="20"/>
  <c r="BN42" i="20"/>
  <c r="BN37" i="20"/>
  <c r="BN39" i="20"/>
  <c r="BN41" i="20"/>
  <c r="BN43" i="20"/>
  <c r="BN46" i="20"/>
  <c r="BN65" i="20" s="1"/>
  <c r="BN76" i="20" s="1"/>
  <c r="BN45" i="20"/>
  <c r="BN36" i="20"/>
  <c r="BN40" i="20"/>
  <c r="BL56" i="20"/>
  <c r="BL64" i="20" s="1"/>
  <c r="BL66" i="20"/>
  <c r="BM60" i="20"/>
  <c r="BM52" i="20"/>
  <c r="BE164" i="20"/>
  <c r="BI85" i="20"/>
  <c r="BH138" i="20"/>
  <c r="BH141" i="20"/>
  <c r="BH143" i="20"/>
  <c r="BH145" i="20"/>
  <c r="BH137" i="20"/>
  <c r="BH86" i="20"/>
  <c r="BH95" i="20" s="1"/>
  <c r="BH140" i="20"/>
  <c r="BH142" i="20"/>
  <c r="BH146" i="20"/>
  <c r="BI94" i="20"/>
  <c r="BE64" i="5"/>
  <c r="BE66" i="5" s="1"/>
  <c r="BE67" i="5" s="1"/>
  <c r="BD69" i="5"/>
  <c r="BD70" i="5" s="1"/>
  <c r="BD74" i="5" s="1"/>
  <c r="BE50" i="6"/>
  <c r="BK83" i="1"/>
  <c r="BK124" i="1"/>
  <c r="BK163" i="1" s="1"/>
  <c r="BK184" i="1" s="1"/>
  <c r="BK191" i="1" s="1"/>
  <c r="BK121" i="1"/>
  <c r="BH31" i="5"/>
  <c r="BH4" i="5"/>
  <c r="BH25" i="5" s="1"/>
  <c r="BH56" i="5" s="1"/>
  <c r="BI164" i="1"/>
  <c r="BI407" i="1" s="1"/>
  <c r="BI409" i="1" s="1"/>
  <c r="BI181" i="1"/>
  <c r="BI188" i="1" s="1"/>
  <c r="BG55" i="5"/>
  <c r="BG33" i="5"/>
  <c r="BG46" i="5" s="1"/>
  <c r="BE71" i="5"/>
  <c r="BE72" i="5" s="1"/>
  <c r="BE73" i="5" s="1"/>
  <c r="BE59" i="5"/>
  <c r="BF65" i="5"/>
  <c r="BG48" i="6"/>
  <c r="BL375" i="1"/>
  <c r="BM94" i="7"/>
  <c r="BL80" i="1"/>
  <c r="BI2" i="5"/>
  <c r="BM371" i="1"/>
  <c r="BM33" i="1"/>
  <c r="BG56" i="5"/>
  <c r="BG26" i="5"/>
  <c r="BG47" i="6"/>
  <c r="BF57" i="5"/>
  <c r="BG49" i="6"/>
  <c r="BF63" i="5"/>
  <c r="BF64" i="5" s="1"/>
  <c r="BJ160" i="1"/>
  <c r="BJ125" i="1"/>
  <c r="BD67" i="5"/>
  <c r="BC77" i="5"/>
  <c r="BC86" i="3"/>
  <c r="BC91" i="3"/>
  <c r="BI72" i="6"/>
  <c r="BB90" i="3"/>
  <c r="BH82" i="6"/>
  <c r="BH40" i="6"/>
  <c r="BH38" i="6"/>
  <c r="BG39" i="6"/>
  <c r="AY73" i="6"/>
  <c r="AY83" i="6" s="1"/>
  <c r="AR99" i="3"/>
  <c r="BO32" i="20"/>
  <c r="BL15" i="1"/>
  <c r="J9" i="6"/>
  <c r="J10" i="6" s="1"/>
  <c r="L9" i="6"/>
  <c r="L10" i="6" s="1"/>
  <c r="BE148" i="20"/>
  <c r="BE149" i="20" s="1"/>
  <c r="BE161" i="20"/>
  <c r="H9" i="6"/>
  <c r="H10" i="6" s="1"/>
  <c r="AC481" i="23"/>
  <c r="BD165" i="20"/>
  <c r="AC435" i="23"/>
  <c r="AC438" i="23" s="1"/>
  <c r="BK263" i="1"/>
  <c r="BK265" i="1" s="1"/>
  <c r="BK224" i="1"/>
  <c r="AZ59" i="6"/>
  <c r="AZ62" i="6" s="1"/>
  <c r="AZ87" i="6" s="1"/>
  <c r="BL41" i="1"/>
  <c r="BL48" i="1" s="1"/>
  <c r="AS96" i="3"/>
  <c r="BD15" i="7"/>
  <c r="BN6" i="1"/>
  <c r="BN28" i="1" s="1"/>
  <c r="BN26" i="1"/>
  <c r="BN5" i="1"/>
  <c r="BO293" i="1"/>
  <c r="BN320" i="1"/>
  <c r="BN295" i="1"/>
  <c r="BM322" i="1"/>
  <c r="BI364" i="1"/>
  <c r="BH361" i="1"/>
  <c r="BI330" i="1"/>
  <c r="BJ303" i="1"/>
  <c r="BL324" i="1"/>
  <c r="BM297" i="1"/>
  <c r="BO13" i="1"/>
  <c r="BO30" i="1" s="1"/>
  <c r="BM287" i="1"/>
  <c r="BL312" i="1"/>
  <c r="BJ5" i="5" l="1"/>
  <c r="CK44" i="6"/>
  <c r="CJ83" i="6"/>
  <c r="BM97" i="7"/>
  <c r="BF14" i="7"/>
  <c r="BE71" i="7"/>
  <c r="BE72" i="7" s="1"/>
  <c r="BE79" i="7" s="1"/>
  <c r="AT96" i="3" s="1"/>
  <c r="BE15" i="7"/>
  <c r="BN139" i="20"/>
  <c r="BM416" i="1"/>
  <c r="AM584" i="23"/>
  <c r="AK304" i="23"/>
  <c r="AK307" i="23" s="1"/>
  <c r="AK353" i="23"/>
  <c r="BH59" i="6"/>
  <c r="AK435" i="23"/>
  <c r="AK438" i="23" s="1"/>
  <c r="AK481" i="23"/>
  <c r="BL161" i="1"/>
  <c r="BL182" i="1" s="1"/>
  <c r="BL189" i="1" s="1"/>
  <c r="BL129" i="1"/>
  <c r="BL136" i="1" s="1"/>
  <c r="BL219" i="1" s="1"/>
  <c r="BM81" i="1"/>
  <c r="BM122" i="1" s="1"/>
  <c r="BN95" i="7"/>
  <c r="BO36" i="20"/>
  <c r="BO38" i="20"/>
  <c r="BO40" i="20"/>
  <c r="BO42" i="20"/>
  <c r="BO45" i="20"/>
  <c r="BO37" i="20"/>
  <c r="BO39" i="20"/>
  <c r="BO41" i="20"/>
  <c r="BO43" i="20"/>
  <c r="BO46" i="20"/>
  <c r="BO65" i="20" s="1"/>
  <c r="BN54" i="20"/>
  <c r="BN62" i="20"/>
  <c r="BN73" i="20" s="1"/>
  <c r="BN57" i="20"/>
  <c r="BN66" i="20" s="1"/>
  <c r="BM66" i="20"/>
  <c r="BM56" i="20"/>
  <c r="BM64" i="20" s="1"/>
  <c r="BN52" i="20"/>
  <c r="BN60" i="20"/>
  <c r="BL57" i="1"/>
  <c r="BI57" i="6"/>
  <c r="BI112" i="6" s="1"/>
  <c r="AL478" i="23" s="1"/>
  <c r="BI54" i="6"/>
  <c r="BI111" i="6" s="1"/>
  <c r="AL348" i="23" s="1"/>
  <c r="BN53" i="20"/>
  <c r="BN61" i="20"/>
  <c r="BJ85" i="20"/>
  <c r="BI140" i="20"/>
  <c r="BI142" i="20"/>
  <c r="BI146" i="20"/>
  <c r="BJ94" i="20"/>
  <c r="BI138" i="20"/>
  <c r="BI141" i="20"/>
  <c r="BI143" i="20"/>
  <c r="BI145" i="20"/>
  <c r="BI137" i="20"/>
  <c r="BI86" i="20"/>
  <c r="BI95" i="20" s="1"/>
  <c r="BD76" i="5"/>
  <c r="BM375" i="1"/>
  <c r="BM80" i="1"/>
  <c r="BN94" i="7"/>
  <c r="BN33" i="1"/>
  <c r="BO33" i="1" s="1"/>
  <c r="BP33" i="1" s="1"/>
  <c r="BH63" i="5"/>
  <c r="BI49" i="6"/>
  <c r="BH49" i="6"/>
  <c r="BG63" i="5"/>
  <c r="BG62" i="5"/>
  <c r="BG57" i="5"/>
  <c r="BH55" i="5"/>
  <c r="BH33" i="5"/>
  <c r="BH46" i="5" s="1"/>
  <c r="BG58" i="5"/>
  <c r="BH26" i="5"/>
  <c r="BI4" i="5"/>
  <c r="BI25" i="5" s="1"/>
  <c r="BI31" i="5"/>
  <c r="BE69" i="5"/>
  <c r="BE70" i="5" s="1"/>
  <c r="BE74" i="5" s="1"/>
  <c r="BE76" i="5" s="1"/>
  <c r="BF50" i="6"/>
  <c r="BH47" i="6"/>
  <c r="BJ181" i="1"/>
  <c r="BJ188" i="1" s="1"/>
  <c r="BJ164" i="1"/>
  <c r="BJ407" i="1" s="1"/>
  <c r="BJ409" i="1" s="1"/>
  <c r="BF71" i="5"/>
  <c r="BF72" i="5" s="1"/>
  <c r="BF73" i="5" s="1"/>
  <c r="BF59" i="5"/>
  <c r="BL121" i="1"/>
  <c r="BL83" i="1"/>
  <c r="BL124" i="1"/>
  <c r="BL163" i="1" s="1"/>
  <c r="BL184" i="1" s="1"/>
  <c r="BL191" i="1" s="1"/>
  <c r="BF66" i="5"/>
  <c r="BK160" i="1"/>
  <c r="BK125" i="1"/>
  <c r="BD77" i="5"/>
  <c r="BI82" i="6"/>
  <c r="BC90" i="3"/>
  <c r="BJ72" i="6"/>
  <c r="BH39" i="6"/>
  <c r="BI38" i="6"/>
  <c r="BI40" i="6"/>
  <c r="AZ73" i="6"/>
  <c r="AZ83" i="6" s="1"/>
  <c r="AS99" i="3"/>
  <c r="BP32" i="20"/>
  <c r="BM15" i="1"/>
  <c r="BE165" i="20"/>
  <c r="BL263" i="1"/>
  <c r="BL265" i="1" s="1"/>
  <c r="BL224" i="1"/>
  <c r="AZ91" i="6"/>
  <c r="AZ88" i="6"/>
  <c r="AZ63" i="6"/>
  <c r="BN34" i="1"/>
  <c r="BM41" i="1"/>
  <c r="BM48" i="1" s="1"/>
  <c r="BO6" i="1"/>
  <c r="BO28" i="1" s="1"/>
  <c r="BO26" i="1"/>
  <c r="BO5" i="1"/>
  <c r="BO320" i="1"/>
  <c r="BP293" i="1"/>
  <c r="BO295" i="1"/>
  <c r="BN322" i="1"/>
  <c r="BK303" i="1"/>
  <c r="BJ330" i="1"/>
  <c r="BN287" i="1"/>
  <c r="BM312" i="1"/>
  <c r="BP13" i="1"/>
  <c r="BP30" i="1" s="1"/>
  <c r="BK83" i="6"/>
  <c r="BM324" i="1"/>
  <c r="BN297" i="1"/>
  <c r="BJ43" i="5"/>
  <c r="BJ34" i="5"/>
  <c r="BK5" i="5"/>
  <c r="BI361" i="1"/>
  <c r="BJ364" i="1"/>
  <c r="BJ2" i="5"/>
  <c r="CK83" i="6" l="1"/>
  <c r="CL44" i="6"/>
  <c r="BA73" i="6"/>
  <c r="AT99" i="3"/>
  <c r="BF71" i="7"/>
  <c r="BF72" i="7" s="1"/>
  <c r="BF79" i="7" s="1"/>
  <c r="AU96" i="3" s="1"/>
  <c r="BF15" i="7"/>
  <c r="BG14" i="7"/>
  <c r="AL304" i="23"/>
  <c r="AL307" i="23" s="1"/>
  <c r="AL353" i="23"/>
  <c r="BI59" i="6"/>
  <c r="AL435" i="23"/>
  <c r="AL438" i="23" s="1"/>
  <c r="AL481" i="23"/>
  <c r="BM161" i="1"/>
  <c r="BM182" i="1" s="1"/>
  <c r="BM189" i="1" s="1"/>
  <c r="BM129" i="1"/>
  <c r="BM136" i="1" s="1"/>
  <c r="BM219" i="1" s="1"/>
  <c r="BN97" i="7"/>
  <c r="BO54" i="20"/>
  <c r="BO62" i="20"/>
  <c r="BO73" i="20" s="1"/>
  <c r="BO57" i="20"/>
  <c r="BO66" i="20" s="1"/>
  <c r="BM57" i="1"/>
  <c r="BJ54" i="6"/>
  <c r="BJ111" i="6" s="1"/>
  <c r="AM348" i="23" s="1"/>
  <c r="BJ57" i="6"/>
  <c r="BJ112" i="6" s="1"/>
  <c r="AM478" i="23" s="1"/>
  <c r="BO76" i="20"/>
  <c r="BO139" i="20" s="1"/>
  <c r="BO52" i="20"/>
  <c r="BO60" i="20"/>
  <c r="BO61" i="20"/>
  <c r="BO53" i="20"/>
  <c r="BN56" i="20"/>
  <c r="BN64" i="20" s="1"/>
  <c r="BK85" i="20"/>
  <c r="BJ137" i="20"/>
  <c r="BJ86" i="20"/>
  <c r="BJ95" i="20" s="1"/>
  <c r="BJ140" i="20"/>
  <c r="BJ142" i="20"/>
  <c r="BJ146" i="20"/>
  <c r="BK94" i="20"/>
  <c r="BJ138" i="20"/>
  <c r="BJ141" i="20"/>
  <c r="BJ143" i="20"/>
  <c r="BJ145" i="20"/>
  <c r="BH58" i="5"/>
  <c r="BL160" i="1"/>
  <c r="BL125" i="1"/>
  <c r="BE77" i="5"/>
  <c r="BG65" i="5"/>
  <c r="BH48" i="6"/>
  <c r="BH57" i="5"/>
  <c r="BH62" i="5"/>
  <c r="BH64" i="5" s="1"/>
  <c r="BF67" i="5"/>
  <c r="BI47" i="6"/>
  <c r="BI33" i="5"/>
  <c r="BI46" i="5" s="1"/>
  <c r="BI55" i="5"/>
  <c r="BG59" i="5"/>
  <c r="BG71" i="5"/>
  <c r="BG72" i="5" s="1"/>
  <c r="BG73" i="5" s="1"/>
  <c r="BM121" i="1"/>
  <c r="BM83" i="1"/>
  <c r="BM124" i="1"/>
  <c r="BM163" i="1" s="1"/>
  <c r="BM184" i="1" s="1"/>
  <c r="BM191" i="1" s="1"/>
  <c r="BK181" i="1"/>
  <c r="BK188" i="1" s="1"/>
  <c r="BK164" i="1"/>
  <c r="BK407" i="1" s="1"/>
  <c r="BK409" i="1" s="1"/>
  <c r="BF69" i="5"/>
  <c r="BG50" i="6"/>
  <c r="BI26" i="5"/>
  <c r="BI56" i="5"/>
  <c r="BG64" i="5"/>
  <c r="BJ82" i="6"/>
  <c r="BJ38" i="6"/>
  <c r="BJ40" i="6"/>
  <c r="BI39" i="6"/>
  <c r="BQ32" i="20"/>
  <c r="BN15" i="1"/>
  <c r="BM263" i="1"/>
  <c r="BM265" i="1" s="1"/>
  <c r="BM224" i="1"/>
  <c r="BO34" i="1"/>
  <c r="BN41" i="1"/>
  <c r="BN48" i="1" s="1"/>
  <c r="BQ33" i="1"/>
  <c r="BP26" i="1"/>
  <c r="BP5" i="1"/>
  <c r="BP6" i="1"/>
  <c r="BP28" i="1" s="1"/>
  <c r="BQ293" i="1"/>
  <c r="BP320" i="1"/>
  <c r="BO322" i="1"/>
  <c r="BP295" i="1"/>
  <c r="BK2" i="5"/>
  <c r="BJ4" i="5"/>
  <c r="BJ25" i="5" s="1"/>
  <c r="BJ31" i="5"/>
  <c r="BJ42" i="5"/>
  <c r="BK364" i="1"/>
  <c r="BJ361" i="1"/>
  <c r="BL5" i="5"/>
  <c r="BK43" i="5"/>
  <c r="BK34" i="5"/>
  <c r="BN324" i="1"/>
  <c r="BO297" i="1"/>
  <c r="BL83" i="6"/>
  <c r="BQ13" i="1"/>
  <c r="BQ30" i="1" s="1"/>
  <c r="BO287" i="1"/>
  <c r="BN312" i="1"/>
  <c r="BK330" i="1"/>
  <c r="BL303" i="1"/>
  <c r="CM44" i="6" l="1"/>
  <c r="CL83" i="6"/>
  <c r="BB73" i="6"/>
  <c r="AU99" i="3"/>
  <c r="BD417" i="1"/>
  <c r="AD536" i="23"/>
  <c r="AD539" i="23" s="1"/>
  <c r="BG71" i="7"/>
  <c r="BG72" i="7" s="1"/>
  <c r="BG79" i="7" s="1"/>
  <c r="AV96" i="3" s="1"/>
  <c r="BG15" i="7"/>
  <c r="BH14" i="7"/>
  <c r="BA83" i="6"/>
  <c r="BA74" i="6"/>
  <c r="BA84" i="6" s="1"/>
  <c r="AM435" i="23"/>
  <c r="AM438" i="23" s="1"/>
  <c r="AM481" i="23"/>
  <c r="BK54" i="6"/>
  <c r="BK111" i="6" s="1"/>
  <c r="AN348" i="23" s="1"/>
  <c r="AM304" i="23"/>
  <c r="AM307" i="23" s="1"/>
  <c r="AM353" i="23"/>
  <c r="BO56" i="20"/>
  <c r="BO64" i="20" s="1"/>
  <c r="BJ59" i="6"/>
  <c r="BK57" i="6"/>
  <c r="BK112" i="6" s="1"/>
  <c r="AN478" i="23" s="1"/>
  <c r="BL85" i="20"/>
  <c r="BK141" i="20"/>
  <c r="BK143" i="20"/>
  <c r="BK145" i="20"/>
  <c r="BK137" i="20"/>
  <c r="BK86" i="20"/>
  <c r="BK95" i="20" s="1"/>
  <c r="BK140" i="20"/>
  <c r="BK142" i="20"/>
  <c r="BK146" i="20"/>
  <c r="BL94" i="20"/>
  <c r="BK138" i="20"/>
  <c r="BG66" i="5"/>
  <c r="BG69" i="5" s="1"/>
  <c r="BG70" i="5" s="1"/>
  <c r="BG74" i="5" s="1"/>
  <c r="BH50" i="6"/>
  <c r="BH71" i="5"/>
  <c r="BH72" i="5" s="1"/>
  <c r="BH73" i="5" s="1"/>
  <c r="BH59" i="5"/>
  <c r="BF70" i="5"/>
  <c r="BF74" i="5" s="1"/>
  <c r="BF76" i="5" s="1"/>
  <c r="BH65" i="5"/>
  <c r="BH66" i="5" s="1"/>
  <c r="BI48" i="6"/>
  <c r="BI57" i="5"/>
  <c r="BI62" i="5"/>
  <c r="BF77" i="5"/>
  <c r="BI58" i="5"/>
  <c r="BM160" i="1"/>
  <c r="BM125" i="1"/>
  <c r="BL164" i="1"/>
  <c r="BL407" i="1" s="1"/>
  <c r="BL409" i="1" s="1"/>
  <c r="BL181" i="1"/>
  <c r="BL188" i="1" s="1"/>
  <c r="BI63" i="5"/>
  <c r="BJ49" i="6"/>
  <c r="BJ47" i="6"/>
  <c r="BJ39" i="6"/>
  <c r="BR32" i="20"/>
  <c r="BO15" i="1"/>
  <c r="BN263" i="1"/>
  <c r="BN265" i="1" s="1"/>
  <c r="BN224" i="1"/>
  <c r="BR33" i="1"/>
  <c r="BP34" i="1"/>
  <c r="BO41" i="1"/>
  <c r="BO48" i="1" s="1"/>
  <c r="BQ26" i="1"/>
  <c r="BQ5" i="1"/>
  <c r="BQ6" i="1"/>
  <c r="BQ28" i="1" s="1"/>
  <c r="BQ320" i="1"/>
  <c r="BR293" i="1"/>
  <c r="BP322" i="1"/>
  <c r="BQ295" i="1"/>
  <c r="BM303" i="1"/>
  <c r="BL330" i="1"/>
  <c r="BP297" i="1"/>
  <c r="BO324" i="1"/>
  <c r="BL43" i="5"/>
  <c r="BM5" i="5"/>
  <c r="BL34" i="5"/>
  <c r="BL364" i="1"/>
  <c r="BK361" i="1"/>
  <c r="BJ33" i="5"/>
  <c r="BJ46" i="5" s="1"/>
  <c r="BJ55" i="5"/>
  <c r="BK40" i="6"/>
  <c r="BK49" i="6" s="1"/>
  <c r="BN82" i="1" s="1"/>
  <c r="BJ56" i="5"/>
  <c r="BJ63" i="5" s="1"/>
  <c r="BJ26" i="5"/>
  <c r="BO312" i="1"/>
  <c r="BP287" i="1"/>
  <c r="BR13" i="1"/>
  <c r="BR30" i="1" s="1"/>
  <c r="BM83" i="6"/>
  <c r="BJ50" i="5"/>
  <c r="BK38" i="6"/>
  <c r="BK47" i="6" s="1"/>
  <c r="BN80" i="1" s="1"/>
  <c r="BK4" i="5"/>
  <c r="BK25" i="5" s="1"/>
  <c r="BK26" i="5" s="1"/>
  <c r="BL2" i="5"/>
  <c r="BK31" i="5"/>
  <c r="BK42" i="5"/>
  <c r="CN44" i="6" l="1"/>
  <c r="CN83" i="6" s="1"/>
  <c r="CM83" i="6"/>
  <c r="BH71" i="7"/>
  <c r="BH72" i="7" s="1"/>
  <c r="BH79" i="7" s="1"/>
  <c r="AW96" i="3" s="1"/>
  <c r="BH15" i="7"/>
  <c r="BI14" i="7"/>
  <c r="BC73" i="6"/>
  <c r="AV99" i="3"/>
  <c r="BE417" i="1"/>
  <c r="AE536" i="23"/>
  <c r="AE539" i="23" s="1"/>
  <c r="BA76" i="6"/>
  <c r="BB83" i="6"/>
  <c r="BB74" i="6"/>
  <c r="BB84" i="6" s="1"/>
  <c r="BL54" i="6"/>
  <c r="BL111" i="6" s="1"/>
  <c r="AO348" i="23" s="1"/>
  <c r="AN304" i="23"/>
  <c r="AN307" i="23" s="1"/>
  <c r="AN353" i="23"/>
  <c r="BL57" i="6"/>
  <c r="BL112" i="6" s="1"/>
  <c r="AO478" i="23" s="1"/>
  <c r="AN435" i="23"/>
  <c r="AN438" i="23" s="1"/>
  <c r="AN481" i="23"/>
  <c r="BG67" i="5"/>
  <c r="BG76" i="5" s="1"/>
  <c r="BH67" i="5"/>
  <c r="BM85" i="20"/>
  <c r="BL138" i="20"/>
  <c r="BL141" i="20"/>
  <c r="BL143" i="20"/>
  <c r="BL145" i="20"/>
  <c r="BL137" i="20"/>
  <c r="BL86" i="20"/>
  <c r="BL95" i="20" s="1"/>
  <c r="BL140" i="20"/>
  <c r="BL142" i="20"/>
  <c r="BL146" i="20"/>
  <c r="BM94" i="20"/>
  <c r="BI71" i="5"/>
  <c r="BI72" i="5" s="1"/>
  <c r="BI73" i="5" s="1"/>
  <c r="BI59" i="5"/>
  <c r="BM181" i="1"/>
  <c r="BM188" i="1" s="1"/>
  <c r="BM164" i="1"/>
  <c r="BM407" i="1" s="1"/>
  <c r="BM409" i="1" s="1"/>
  <c r="BH69" i="5"/>
  <c r="BH70" i="5" s="1"/>
  <c r="BH74" i="5" s="1"/>
  <c r="BH76" i="5" s="1"/>
  <c r="BI50" i="6"/>
  <c r="BI65" i="5"/>
  <c r="BJ48" i="6"/>
  <c r="BI64" i="5"/>
  <c r="BG77" i="5"/>
  <c r="BS32" i="20"/>
  <c r="BP15" i="1"/>
  <c r="BO263" i="1"/>
  <c r="BO265" i="1" s="1"/>
  <c r="BO224" i="1"/>
  <c r="BN37" i="1"/>
  <c r="BQ34" i="1"/>
  <c r="BP41" i="1"/>
  <c r="BP48" i="1" s="1"/>
  <c r="BS33" i="1"/>
  <c r="BR6" i="1"/>
  <c r="BR28" i="1" s="1"/>
  <c r="BR5" i="1"/>
  <c r="BR26" i="1"/>
  <c r="BR320" i="1"/>
  <c r="BS293" i="1"/>
  <c r="BK50" i="5"/>
  <c r="BL38" i="6"/>
  <c r="BL47" i="6" s="1"/>
  <c r="BO80" i="1" s="1"/>
  <c r="BL39" i="6"/>
  <c r="BL48" i="6" s="1"/>
  <c r="BO81" i="1" s="1"/>
  <c r="BK51" i="5"/>
  <c r="BR295" i="1"/>
  <c r="BQ322" i="1"/>
  <c r="BM2" i="5"/>
  <c r="BL4" i="5"/>
  <c r="BL25" i="5" s="1"/>
  <c r="BL26" i="5" s="1"/>
  <c r="BM39" i="6" s="1"/>
  <c r="BM48" i="6" s="1"/>
  <c r="BP81" i="1" s="1"/>
  <c r="BL31" i="5"/>
  <c r="BL42" i="5"/>
  <c r="BN83" i="6"/>
  <c r="BS13" i="1"/>
  <c r="BS30" i="1" s="1"/>
  <c r="BK58" i="5"/>
  <c r="BK65" i="5" s="1"/>
  <c r="BQ297" i="1"/>
  <c r="BP324" i="1"/>
  <c r="BK33" i="5"/>
  <c r="BK46" i="5" s="1"/>
  <c r="BK55" i="5"/>
  <c r="BL40" i="6"/>
  <c r="BL49" i="6" s="1"/>
  <c r="BO82" i="1" s="1"/>
  <c r="BK56" i="5"/>
  <c r="BK63" i="5" s="1"/>
  <c r="BP312" i="1"/>
  <c r="BQ287" i="1"/>
  <c r="BK39" i="6"/>
  <c r="BK48" i="6" s="1"/>
  <c r="BJ51" i="5"/>
  <c r="BJ52" i="5" s="1"/>
  <c r="BJ58" i="5"/>
  <c r="BJ65" i="5" s="1"/>
  <c r="BJ62" i="5"/>
  <c r="BJ64" i="5" s="1"/>
  <c r="BJ57" i="5"/>
  <c r="BL361" i="1"/>
  <c r="BM364" i="1"/>
  <c r="BM43" i="5"/>
  <c r="BM34" i="5"/>
  <c r="BN5" i="5"/>
  <c r="BM330" i="1"/>
  <c r="BN303" i="1"/>
  <c r="BB76" i="6" l="1"/>
  <c r="BC83" i="6"/>
  <c r="BC74" i="6"/>
  <c r="BC84" i="6" s="1"/>
  <c r="BI71" i="7"/>
  <c r="BI72" i="7" s="1"/>
  <c r="BI79" i="7" s="1"/>
  <c r="AX96" i="3" s="1"/>
  <c r="BJ14" i="7"/>
  <c r="BI15" i="7"/>
  <c r="AF536" i="23"/>
  <c r="AF539" i="23" s="1"/>
  <c r="BF417" i="1"/>
  <c r="BD73" i="6"/>
  <c r="AW99" i="3"/>
  <c r="BM54" i="6"/>
  <c r="BM111" i="6" s="1"/>
  <c r="AP348" i="23" s="1"/>
  <c r="AO304" i="23"/>
  <c r="AO307" i="23" s="1"/>
  <c r="AO353" i="23"/>
  <c r="BM57" i="6"/>
  <c r="BM112" i="6" s="1"/>
  <c r="AP478" i="23" s="1"/>
  <c r="AO435" i="23"/>
  <c r="AO438" i="23" s="1"/>
  <c r="AO481" i="23"/>
  <c r="BH77" i="5"/>
  <c r="BN85" i="20"/>
  <c r="BM140" i="20"/>
  <c r="BM142" i="20"/>
  <c r="BM146" i="20"/>
  <c r="BN94" i="20"/>
  <c r="BM138" i="20"/>
  <c r="BM141" i="20"/>
  <c r="BM143" i="20"/>
  <c r="BM145" i="20"/>
  <c r="BM137" i="20"/>
  <c r="BM86" i="20"/>
  <c r="BM95" i="20" s="1"/>
  <c r="BI66" i="5"/>
  <c r="BI69" i="5" s="1"/>
  <c r="BI70" i="5" s="1"/>
  <c r="BI74" i="5" s="1"/>
  <c r="BJ50" i="6"/>
  <c r="BT32" i="20"/>
  <c r="BQ15" i="1"/>
  <c r="BP263" i="1"/>
  <c r="BP265" i="1" s="1"/>
  <c r="BP224" i="1"/>
  <c r="BK50" i="6"/>
  <c r="BN81" i="1"/>
  <c r="BN83" i="1" s="1"/>
  <c r="BO83" i="1"/>
  <c r="BO37" i="1"/>
  <c r="BT33" i="1"/>
  <c r="BR34" i="1"/>
  <c r="BQ41" i="1"/>
  <c r="BQ48" i="1" s="1"/>
  <c r="BS6" i="1"/>
  <c r="BS28" i="1" s="1"/>
  <c r="BS26" i="1"/>
  <c r="BS5" i="1"/>
  <c r="BK52" i="5"/>
  <c r="BJ66" i="5"/>
  <c r="BL50" i="6"/>
  <c r="BS320" i="1"/>
  <c r="BT293" i="1"/>
  <c r="BS295" i="1"/>
  <c r="BR322" i="1"/>
  <c r="BN330" i="1"/>
  <c r="BO303" i="1"/>
  <c r="BN34" i="5"/>
  <c r="BN43" i="5"/>
  <c r="BO5" i="5"/>
  <c r="BM361" i="1"/>
  <c r="BN364" i="1"/>
  <c r="BJ71" i="5"/>
  <c r="BJ72" i="5" s="1"/>
  <c r="BJ73" i="5" s="1"/>
  <c r="BJ59" i="5"/>
  <c r="BR287" i="1"/>
  <c r="BQ312" i="1"/>
  <c r="BT13" i="1"/>
  <c r="BT30" i="1" s="1"/>
  <c r="BL55" i="5"/>
  <c r="BL33" i="5"/>
  <c r="BL46" i="5" s="1"/>
  <c r="BM40" i="6"/>
  <c r="BM49" i="6" s="1"/>
  <c r="BP82" i="1" s="1"/>
  <c r="BL56" i="5"/>
  <c r="BL63" i="5" s="1"/>
  <c r="BL51" i="5"/>
  <c r="BK57" i="5"/>
  <c r="BK62" i="5"/>
  <c r="BK64" i="5" s="1"/>
  <c r="BK66" i="5" s="1"/>
  <c r="BQ324" i="1"/>
  <c r="BR297" i="1"/>
  <c r="BL58" i="5"/>
  <c r="BL65" i="5" s="1"/>
  <c r="BO83" i="6"/>
  <c r="BL50" i="5"/>
  <c r="BM38" i="6"/>
  <c r="BM47" i="6" s="1"/>
  <c r="BP80" i="1" s="1"/>
  <c r="BM4" i="5"/>
  <c r="BM25" i="5" s="1"/>
  <c r="BN2" i="5"/>
  <c r="BM31" i="5"/>
  <c r="BM42" i="5"/>
  <c r="BC76" i="6" l="1"/>
  <c r="BJ71" i="7"/>
  <c r="BJ72" i="7" s="1"/>
  <c r="BJ79" i="7" s="1"/>
  <c r="AY96" i="3" s="1"/>
  <c r="BK14" i="7"/>
  <c r="BJ15" i="7"/>
  <c r="BE73" i="6"/>
  <c r="AX99" i="3"/>
  <c r="BG417" i="1"/>
  <c r="AG536" i="23"/>
  <c r="AG539" i="23" s="1"/>
  <c r="BD83" i="6"/>
  <c r="BD74" i="6"/>
  <c r="BD84" i="6" s="1"/>
  <c r="BN54" i="6"/>
  <c r="BN111" i="6" s="1"/>
  <c r="AQ348" i="23" s="1"/>
  <c r="AP304" i="23"/>
  <c r="AP307" i="23" s="1"/>
  <c r="AP353" i="23"/>
  <c r="BN57" i="6"/>
  <c r="BN112" i="6" s="1"/>
  <c r="AQ478" i="23" s="1"/>
  <c r="AP435" i="23"/>
  <c r="AP438" i="23" s="1"/>
  <c r="AP481" i="23"/>
  <c r="BJ67" i="5"/>
  <c r="BO85" i="20"/>
  <c r="BN137" i="20"/>
  <c r="BN86" i="20"/>
  <c r="BN95" i="20" s="1"/>
  <c r="BN140" i="20"/>
  <c r="BN142" i="20"/>
  <c r="BN146" i="20"/>
  <c r="BO94" i="20"/>
  <c r="BN138" i="20"/>
  <c r="BN141" i="20"/>
  <c r="BN143" i="20"/>
  <c r="BN145" i="20"/>
  <c r="BI77" i="5"/>
  <c r="BI67" i="5"/>
  <c r="BI76" i="5" s="1"/>
  <c r="BU32" i="20"/>
  <c r="BR15" i="1"/>
  <c r="BQ263" i="1"/>
  <c r="BQ265" i="1" s="1"/>
  <c r="BQ224" i="1"/>
  <c r="BP83" i="1"/>
  <c r="BP37" i="1"/>
  <c r="BS34" i="1"/>
  <c r="BR41" i="1"/>
  <c r="BR48" i="1" s="1"/>
  <c r="BU33" i="1"/>
  <c r="BT26" i="1"/>
  <c r="BT5" i="1"/>
  <c r="BT6" i="1"/>
  <c r="BT28" i="1" s="1"/>
  <c r="BM50" i="6"/>
  <c r="BJ69" i="5"/>
  <c r="BJ77" i="5" s="1"/>
  <c r="BM50" i="5"/>
  <c r="BU293" i="1"/>
  <c r="BT320" i="1"/>
  <c r="BL52" i="5"/>
  <c r="BT295" i="1"/>
  <c r="BS322" i="1"/>
  <c r="BK67" i="5"/>
  <c r="BO2" i="5"/>
  <c r="BN4" i="5"/>
  <c r="BN25" i="5" s="1"/>
  <c r="BN26" i="5" s="1"/>
  <c r="BN31" i="5"/>
  <c r="BN42" i="5"/>
  <c r="BN40" i="6"/>
  <c r="BN49" i="6" s="1"/>
  <c r="BQ82" i="1" s="1"/>
  <c r="BM56" i="5"/>
  <c r="BM63" i="5" s="1"/>
  <c r="BS297" i="1"/>
  <c r="BR324" i="1"/>
  <c r="BM26" i="5"/>
  <c r="BL57" i="5"/>
  <c r="BL62" i="5"/>
  <c r="BL64" i="5" s="1"/>
  <c r="BL66" i="5" s="1"/>
  <c r="BU13" i="1"/>
  <c r="BU30" i="1" s="1"/>
  <c r="BP303" i="1"/>
  <c r="BO330" i="1"/>
  <c r="BM55" i="5"/>
  <c r="BM33" i="5"/>
  <c r="BM46" i="5" s="1"/>
  <c r="BN38" i="6"/>
  <c r="BN47" i="6" s="1"/>
  <c r="BQ80" i="1" s="1"/>
  <c r="BP83" i="6"/>
  <c r="BK71" i="5"/>
  <c r="BK59" i="5"/>
  <c r="BK69" i="5" s="1"/>
  <c r="BS287" i="1"/>
  <c r="BR312" i="1"/>
  <c r="BO364" i="1"/>
  <c r="BN361" i="1"/>
  <c r="BO43" i="5"/>
  <c r="BP5" i="5"/>
  <c r="BO34" i="5"/>
  <c r="BD76" i="6" l="1"/>
  <c r="BK71" i="7"/>
  <c r="BK72" i="7" s="1"/>
  <c r="BK79" i="7" s="1"/>
  <c r="AZ96" i="3" s="1"/>
  <c r="BK15" i="7"/>
  <c r="BL14" i="7"/>
  <c r="BE83" i="6"/>
  <c r="BE74" i="6"/>
  <c r="BE84" i="6" s="1"/>
  <c r="BH417" i="1"/>
  <c r="AH536" i="23"/>
  <c r="AH539" i="23" s="1"/>
  <c r="BF73" i="6"/>
  <c r="AY99" i="3"/>
  <c r="BO54" i="6"/>
  <c r="BO111" i="6" s="1"/>
  <c r="AR348" i="23" s="1"/>
  <c r="AQ304" i="23"/>
  <c r="AQ307" i="23" s="1"/>
  <c r="AQ353" i="23"/>
  <c r="BO57" i="6"/>
  <c r="BO112" i="6" s="1"/>
  <c r="AR478" i="23" s="1"/>
  <c r="AQ435" i="23"/>
  <c r="AQ438" i="23" s="1"/>
  <c r="AQ481" i="23"/>
  <c r="BO141" i="20"/>
  <c r="BO143" i="20"/>
  <c r="BO145" i="20"/>
  <c r="BO137" i="20"/>
  <c r="BO86" i="20"/>
  <c r="BO95" i="20" s="1"/>
  <c r="BO140" i="20"/>
  <c r="BO142" i="20"/>
  <c r="BO146" i="20"/>
  <c r="BO138" i="20"/>
  <c r="BV32" i="20"/>
  <c r="BS15" i="1"/>
  <c r="BR263" i="1"/>
  <c r="BR265" i="1" s="1"/>
  <c r="BR224" i="1"/>
  <c r="BQ37" i="1"/>
  <c r="BV33" i="1"/>
  <c r="BT34" i="1"/>
  <c r="BS41" i="1"/>
  <c r="BS48" i="1" s="1"/>
  <c r="BU26" i="1"/>
  <c r="BU5" i="1"/>
  <c r="BU6" i="1"/>
  <c r="BU28" i="1" s="1"/>
  <c r="BK70" i="5"/>
  <c r="BJ70" i="5"/>
  <c r="BJ74" i="5" s="1"/>
  <c r="BJ76" i="5" s="1"/>
  <c r="BK76" i="6" s="1"/>
  <c r="BV293" i="1"/>
  <c r="BU320" i="1"/>
  <c r="BO39" i="6"/>
  <c r="BO48" i="6" s="1"/>
  <c r="BR81" i="1" s="1"/>
  <c r="BN51" i="5"/>
  <c r="BN58" i="5"/>
  <c r="BN65" i="5" s="1"/>
  <c r="BT322" i="1"/>
  <c r="BU295" i="1"/>
  <c r="BQ5" i="5"/>
  <c r="BP34" i="5"/>
  <c r="BP43" i="5"/>
  <c r="BO361" i="1"/>
  <c r="BP364" i="1"/>
  <c r="BQ83" i="6"/>
  <c r="BM62" i="5"/>
  <c r="BM64" i="5" s="1"/>
  <c r="BM57" i="5"/>
  <c r="BN39" i="6"/>
  <c r="BN48" i="6" s="1"/>
  <c r="BM58" i="5"/>
  <c r="BM65" i="5" s="1"/>
  <c r="BM51" i="5"/>
  <c r="BM52" i="5" s="1"/>
  <c r="BN55" i="5"/>
  <c r="BN33" i="5"/>
  <c r="BN46" i="5" s="1"/>
  <c r="BO40" i="6"/>
  <c r="BO49" i="6" s="1"/>
  <c r="BR82" i="1" s="1"/>
  <c r="BN56" i="5"/>
  <c r="BN63" i="5" s="1"/>
  <c r="BK77" i="5"/>
  <c r="BT287" i="1"/>
  <c r="BS312" i="1"/>
  <c r="BQ303" i="1"/>
  <c r="BP330" i="1"/>
  <c r="BK72" i="5"/>
  <c r="BK73" i="5" s="1"/>
  <c r="BV13" i="1"/>
  <c r="BV30" i="1" s="1"/>
  <c r="BL71" i="5"/>
  <c r="BL59" i="5"/>
  <c r="BL69" i="5" s="1"/>
  <c r="BT297" i="1"/>
  <c r="BS324" i="1"/>
  <c r="BN50" i="5"/>
  <c r="BO38" i="6"/>
  <c r="BO47" i="6" s="1"/>
  <c r="BR80" i="1" s="1"/>
  <c r="BO4" i="5"/>
  <c r="BO25" i="5" s="1"/>
  <c r="BP38" i="6" s="1"/>
  <c r="BP47" i="6" s="1"/>
  <c r="BS80" i="1" s="1"/>
  <c r="BP2" i="5"/>
  <c r="BO31" i="5"/>
  <c r="BO42" i="5"/>
  <c r="BL67" i="5"/>
  <c r="BE76" i="6" l="1"/>
  <c r="BL71" i="7"/>
  <c r="BL72" i="7" s="1"/>
  <c r="BL79" i="7" s="1"/>
  <c r="BA96" i="3" s="1"/>
  <c r="BM14" i="7"/>
  <c r="BL15" i="7"/>
  <c r="BI417" i="1"/>
  <c r="AI536" i="23"/>
  <c r="AI539" i="23" s="1"/>
  <c r="BF83" i="6"/>
  <c r="BF74" i="6"/>
  <c r="BF84" i="6" s="1"/>
  <c r="BG73" i="6"/>
  <c r="AZ99" i="3"/>
  <c r="BP54" i="6"/>
  <c r="BP111" i="6" s="1"/>
  <c r="AS348" i="23" s="1"/>
  <c r="AR304" i="23"/>
  <c r="AR307" i="23" s="1"/>
  <c r="AR353" i="23"/>
  <c r="BP57" i="6"/>
  <c r="BP112" i="6" s="1"/>
  <c r="AS478" i="23" s="1"/>
  <c r="AR435" i="23"/>
  <c r="AR438" i="23" s="1"/>
  <c r="AR481" i="23"/>
  <c r="BW32" i="20"/>
  <c r="BT15" i="1"/>
  <c r="BS263" i="1"/>
  <c r="BS265" i="1" s="1"/>
  <c r="BS224" i="1"/>
  <c r="BN50" i="6"/>
  <c r="BQ81" i="1"/>
  <c r="BQ83" i="1" s="1"/>
  <c r="BR83" i="1"/>
  <c r="BR37" i="1"/>
  <c r="BU34" i="1"/>
  <c r="BT41" i="1"/>
  <c r="BT48" i="1" s="1"/>
  <c r="BW33" i="1"/>
  <c r="BV6" i="1"/>
  <c r="BV28" i="1" s="1"/>
  <c r="BV26" i="1"/>
  <c r="BV5" i="1"/>
  <c r="BO50" i="6"/>
  <c r="BN52" i="5"/>
  <c r="BM66" i="5"/>
  <c r="BM67" i="5" s="1"/>
  <c r="BW293" i="1"/>
  <c r="BV320" i="1"/>
  <c r="BO50" i="5"/>
  <c r="BV295" i="1"/>
  <c r="BU322" i="1"/>
  <c r="BO33" i="5"/>
  <c r="BO46" i="5" s="1"/>
  <c r="BO55" i="5"/>
  <c r="BK74" i="5"/>
  <c r="BK76" i="5" s="1"/>
  <c r="BL76" i="6" s="1"/>
  <c r="BM71" i="5"/>
  <c r="BM72" i="5" s="1"/>
  <c r="BM73" i="5" s="1"/>
  <c r="BM59" i="5"/>
  <c r="BR83" i="6"/>
  <c r="BP361" i="1"/>
  <c r="BQ364" i="1"/>
  <c r="BR5" i="5"/>
  <c r="BQ34" i="5"/>
  <c r="BQ43" i="5"/>
  <c r="BP4" i="5"/>
  <c r="BP25" i="5" s="1"/>
  <c r="BP26" i="5" s="1"/>
  <c r="BQ2" i="5"/>
  <c r="BP31" i="5"/>
  <c r="BP42" i="5"/>
  <c r="BP40" i="6"/>
  <c r="BP49" i="6" s="1"/>
  <c r="BS82" i="1" s="1"/>
  <c r="BS37" i="1" s="1"/>
  <c r="BO56" i="5"/>
  <c r="BO63" i="5" s="1"/>
  <c r="BT324" i="1"/>
  <c r="BU297" i="1"/>
  <c r="BW13" i="1"/>
  <c r="BW30" i="1" s="1"/>
  <c r="BQ330" i="1"/>
  <c r="BR303" i="1"/>
  <c r="BL70" i="5"/>
  <c r="BU287" i="1"/>
  <c r="BT312" i="1"/>
  <c r="BO26" i="5"/>
  <c r="BN57" i="5"/>
  <c r="BN62" i="5"/>
  <c r="BN64" i="5" s="1"/>
  <c r="BN66" i="5" s="1"/>
  <c r="BL77" i="5"/>
  <c r="BL72" i="5"/>
  <c r="BL73" i="5" s="1"/>
  <c r="BJ417" i="1" l="1"/>
  <c r="AJ536" i="23"/>
  <c r="AJ539" i="23" s="1"/>
  <c r="BF76" i="6"/>
  <c r="BM71" i="7"/>
  <c r="BM72" i="7" s="1"/>
  <c r="BM79" i="7" s="1"/>
  <c r="BB96" i="3" s="1"/>
  <c r="BM15" i="7"/>
  <c r="BN14" i="7"/>
  <c r="BG83" i="6"/>
  <c r="BG74" i="6"/>
  <c r="BG84" i="6" s="1"/>
  <c r="BH73" i="6"/>
  <c r="BA99" i="3"/>
  <c r="BQ54" i="6"/>
  <c r="BQ111" i="6" s="1"/>
  <c r="AT348" i="23" s="1"/>
  <c r="AS304" i="23"/>
  <c r="AS307" i="23" s="1"/>
  <c r="AS353" i="23"/>
  <c r="BQ57" i="6"/>
  <c r="BQ112" i="6" s="1"/>
  <c r="AT478" i="23" s="1"/>
  <c r="AS435" i="23"/>
  <c r="AS438" i="23" s="1"/>
  <c r="AS481" i="23"/>
  <c r="BX32" i="20"/>
  <c r="BU15" i="1"/>
  <c r="BT263" i="1"/>
  <c r="BT265" i="1" s="1"/>
  <c r="BT224" i="1"/>
  <c r="BX33" i="1"/>
  <c r="BV34" i="1"/>
  <c r="BU41" i="1"/>
  <c r="BU48" i="1" s="1"/>
  <c r="BW26" i="1"/>
  <c r="BW5" i="1"/>
  <c r="BW6" i="1"/>
  <c r="BW28" i="1" s="1"/>
  <c r="BP50" i="5"/>
  <c r="BQ38" i="6"/>
  <c r="BQ47" i="6" s="1"/>
  <c r="BT80" i="1" s="1"/>
  <c r="BQ39" i="6"/>
  <c r="BQ48" i="6" s="1"/>
  <c r="BT81" i="1" s="1"/>
  <c r="BP58" i="5"/>
  <c r="BP65" i="5" s="1"/>
  <c r="BM69" i="5"/>
  <c r="BX293" i="1"/>
  <c r="BW320" i="1"/>
  <c r="BW295" i="1"/>
  <c r="BV322" i="1"/>
  <c r="BN71" i="5"/>
  <c r="BN72" i="5" s="1"/>
  <c r="BN73" i="5" s="1"/>
  <c r="BN59" i="5"/>
  <c r="BN69" i="5" s="1"/>
  <c r="BL74" i="5"/>
  <c r="BL76" i="5" s="1"/>
  <c r="BM76" i="6" s="1"/>
  <c r="BR330" i="1"/>
  <c r="BS303" i="1"/>
  <c r="BQ40" i="6"/>
  <c r="BQ49" i="6" s="1"/>
  <c r="BT82" i="1" s="1"/>
  <c r="BP56" i="5"/>
  <c r="BP63" i="5" s="1"/>
  <c r="BP51" i="5"/>
  <c r="BS83" i="6"/>
  <c r="BO57" i="5"/>
  <c r="BO62" i="5"/>
  <c r="BO64" i="5" s="1"/>
  <c r="BP39" i="6"/>
  <c r="BP48" i="6" s="1"/>
  <c r="BO58" i="5"/>
  <c r="BO65" i="5" s="1"/>
  <c r="BO51" i="5"/>
  <c r="BO52" i="5" s="1"/>
  <c r="BU312" i="1"/>
  <c r="BV287" i="1"/>
  <c r="BX13" i="1"/>
  <c r="BX30" i="1" s="1"/>
  <c r="BU324" i="1"/>
  <c r="BV297" i="1"/>
  <c r="BP33" i="5"/>
  <c r="BP46" i="5" s="1"/>
  <c r="BP55" i="5"/>
  <c r="BQ4" i="5"/>
  <c r="BQ25" i="5" s="1"/>
  <c r="BR2" i="5"/>
  <c r="BQ42" i="5"/>
  <c r="BQ31" i="5"/>
  <c r="BS5" i="5"/>
  <c r="BR43" i="5"/>
  <c r="BR34" i="5"/>
  <c r="BQ361" i="1"/>
  <c r="BR364" i="1"/>
  <c r="BN67" i="5"/>
  <c r="BK417" i="1" l="1"/>
  <c r="AK536" i="23"/>
  <c r="AK539" i="23" s="1"/>
  <c r="BN15" i="7"/>
  <c r="BN71" i="7"/>
  <c r="BN72" i="7" s="1"/>
  <c r="BN79" i="7" s="1"/>
  <c r="BC96" i="3" s="1"/>
  <c r="BG76" i="6"/>
  <c r="BH83" i="6"/>
  <c r="BH74" i="6"/>
  <c r="BH84" i="6" s="1"/>
  <c r="BI73" i="6"/>
  <c r="BB99" i="3"/>
  <c r="BR54" i="6"/>
  <c r="BR111" i="6" s="1"/>
  <c r="AU348" i="23" s="1"/>
  <c r="AT304" i="23"/>
  <c r="AT307" i="23" s="1"/>
  <c r="AT353" i="23"/>
  <c r="BR57" i="6"/>
  <c r="BR112" i="6" s="1"/>
  <c r="AU478" i="23" s="1"/>
  <c r="AT435" i="23"/>
  <c r="AT438" i="23" s="1"/>
  <c r="AT481" i="23"/>
  <c r="BY32" i="20"/>
  <c r="BV15" i="1"/>
  <c r="BU263" i="1"/>
  <c r="BU265" i="1" s="1"/>
  <c r="BU224" i="1"/>
  <c r="BP50" i="6"/>
  <c r="BS81" i="1"/>
  <c r="BS83" i="1" s="1"/>
  <c r="BT83" i="1"/>
  <c r="BT37" i="1"/>
  <c r="BW34" i="1"/>
  <c r="BV41" i="1"/>
  <c r="BV48" i="1" s="1"/>
  <c r="BY33" i="1"/>
  <c r="BX26" i="1"/>
  <c r="BX5" i="1"/>
  <c r="BX6" i="1"/>
  <c r="BX28" i="1" s="1"/>
  <c r="BP52" i="5"/>
  <c r="BN70" i="5"/>
  <c r="BN74" i="5" s="1"/>
  <c r="BN76" i="5" s="1"/>
  <c r="BO76" i="6" s="1"/>
  <c r="BQ50" i="6"/>
  <c r="BX320" i="1"/>
  <c r="BY293" i="1"/>
  <c r="BN77" i="5"/>
  <c r="BM77" i="5"/>
  <c r="BM70" i="5"/>
  <c r="BM74" i="5" s="1"/>
  <c r="BM76" i="5" s="1"/>
  <c r="BN76" i="6" s="1"/>
  <c r="BO66" i="5"/>
  <c r="BO67" i="5" s="1"/>
  <c r="BW322" i="1"/>
  <c r="BX295" i="1"/>
  <c r="BS364" i="1"/>
  <c r="BR361" i="1"/>
  <c r="BQ33" i="5"/>
  <c r="BQ46" i="5" s="1"/>
  <c r="BQ55" i="5"/>
  <c r="BR4" i="5"/>
  <c r="BR25" i="5" s="1"/>
  <c r="BS38" i="6" s="1"/>
  <c r="BS47" i="6" s="1"/>
  <c r="BV80" i="1" s="1"/>
  <c r="BS2" i="5"/>
  <c r="BR42" i="5"/>
  <c r="BR31" i="5"/>
  <c r="BR40" i="6"/>
  <c r="BR49" i="6" s="1"/>
  <c r="BU82" i="1" s="1"/>
  <c r="BQ56" i="5"/>
  <c r="BQ63" i="5" s="1"/>
  <c r="BW297" i="1"/>
  <c r="BV324" i="1"/>
  <c r="BV312" i="1"/>
  <c r="BW287" i="1"/>
  <c r="BO71" i="5"/>
  <c r="BO59" i="5"/>
  <c r="BQ26" i="5"/>
  <c r="BS330" i="1"/>
  <c r="BT303" i="1"/>
  <c r="BS34" i="5"/>
  <c r="BT5" i="5"/>
  <c r="BS43" i="5"/>
  <c r="BQ50" i="5"/>
  <c r="BR38" i="6"/>
  <c r="BR47" i="6" s="1"/>
  <c r="BU80" i="1" s="1"/>
  <c r="BP57" i="5"/>
  <c r="BP62" i="5"/>
  <c r="BP64" i="5" s="1"/>
  <c r="BP66" i="5" s="1"/>
  <c r="BY13" i="1"/>
  <c r="BY30" i="1" s="1"/>
  <c r="BT83" i="6"/>
  <c r="BH76" i="6" l="1"/>
  <c r="BL417" i="1"/>
  <c r="AL536" i="23"/>
  <c r="AL539" i="23" s="1"/>
  <c r="BI83" i="6"/>
  <c r="BI74" i="6"/>
  <c r="BI84" i="6" s="1"/>
  <c r="BJ73" i="6"/>
  <c r="BS54" i="6"/>
  <c r="BS111" i="6" s="1"/>
  <c r="AV348" i="23" s="1"/>
  <c r="AU304" i="23"/>
  <c r="AU307" i="23" s="1"/>
  <c r="AU353" i="23"/>
  <c r="BS57" i="6"/>
  <c r="BS112" i="6" s="1"/>
  <c r="AV478" i="23" s="1"/>
  <c r="AU435" i="23"/>
  <c r="AU438" i="23" s="1"/>
  <c r="AU481" i="23"/>
  <c r="BZ32" i="20"/>
  <c r="BW15" i="1"/>
  <c r="BV263" i="1"/>
  <c r="BV265" i="1" s="1"/>
  <c r="BV224" i="1"/>
  <c r="BU37" i="1"/>
  <c r="BZ33" i="1"/>
  <c r="BX34" i="1"/>
  <c r="BW41" i="1"/>
  <c r="BW48" i="1" s="1"/>
  <c r="BY26" i="1"/>
  <c r="BY5" i="1"/>
  <c r="BY6" i="1"/>
  <c r="BY28" i="1" s="1"/>
  <c r="BR26" i="5"/>
  <c r="BR58" i="5" s="1"/>
  <c r="BR65" i="5" s="1"/>
  <c r="BR50" i="5"/>
  <c r="BP67" i="5"/>
  <c r="BO69" i="5"/>
  <c r="BO77" i="5" s="1"/>
  <c r="BY320" i="1"/>
  <c r="BZ293" i="1"/>
  <c r="BX322" i="1"/>
  <c r="BY295" i="1"/>
  <c r="BU83" i="6"/>
  <c r="BO72" i="5"/>
  <c r="BO73" i="5" s="1"/>
  <c r="BW324" i="1"/>
  <c r="BX297" i="1"/>
  <c r="BR55" i="5"/>
  <c r="BR33" i="5"/>
  <c r="BR46" i="5" s="1"/>
  <c r="BT2" i="5"/>
  <c r="BS4" i="5"/>
  <c r="BS25" i="5" s="1"/>
  <c r="BT38" i="6" s="1"/>
  <c r="BT47" i="6" s="1"/>
  <c r="BW80" i="1" s="1"/>
  <c r="BS42" i="5"/>
  <c r="BS31" i="5"/>
  <c r="BS40" i="6"/>
  <c r="BS49" i="6" s="1"/>
  <c r="BV82" i="1" s="1"/>
  <c r="BV37" i="1" s="1"/>
  <c r="BR56" i="5"/>
  <c r="BR63" i="5" s="1"/>
  <c r="BZ13" i="1"/>
  <c r="BZ30" i="1" s="1"/>
  <c r="BP71" i="5"/>
  <c r="BP59" i="5"/>
  <c r="BP69" i="5" s="1"/>
  <c r="BT34" i="5"/>
  <c r="BT43" i="5"/>
  <c r="BU5" i="5"/>
  <c r="BU303" i="1"/>
  <c r="BT330" i="1"/>
  <c r="BR39" i="6"/>
  <c r="BR48" i="6" s="1"/>
  <c r="BQ58" i="5"/>
  <c r="BQ65" i="5" s="1"/>
  <c r="BQ51" i="5"/>
  <c r="BQ52" i="5" s="1"/>
  <c r="BW312" i="1"/>
  <c r="BX287" i="1"/>
  <c r="BQ62" i="5"/>
  <c r="BQ64" i="5" s="1"/>
  <c r="BQ57" i="5"/>
  <c r="BT364" i="1"/>
  <c r="BS361" i="1"/>
  <c r="BM417" i="1" l="1"/>
  <c r="AM536" i="23"/>
  <c r="AM539" i="23" s="1"/>
  <c r="BI76" i="6"/>
  <c r="BJ83" i="6"/>
  <c r="BJ74" i="6"/>
  <c r="BJ84" i="6" s="1"/>
  <c r="BT54" i="6"/>
  <c r="BT111" i="6" s="1"/>
  <c r="AW348" i="23" s="1"/>
  <c r="AV304" i="23"/>
  <c r="AV307" i="23" s="1"/>
  <c r="AV353" i="23"/>
  <c r="BT57" i="6"/>
  <c r="BT112" i="6" s="1"/>
  <c r="AW478" i="23" s="1"/>
  <c r="AV435" i="23"/>
  <c r="AV438" i="23" s="1"/>
  <c r="AV481" i="23"/>
  <c r="CA32" i="20"/>
  <c r="BX15" i="1"/>
  <c r="BW263" i="1"/>
  <c r="BW265" i="1" s="1"/>
  <c r="BW224" i="1"/>
  <c r="BR50" i="6"/>
  <c r="BU81" i="1"/>
  <c r="BU83" i="1" s="1"/>
  <c r="BY34" i="1"/>
  <c r="BX41" i="1"/>
  <c r="BX48" i="1" s="1"/>
  <c r="CA33" i="1"/>
  <c r="BZ6" i="1"/>
  <c r="BZ28" i="1" s="1"/>
  <c r="BZ5" i="1"/>
  <c r="BZ26" i="1"/>
  <c r="BP70" i="5"/>
  <c r="BS39" i="6"/>
  <c r="BS48" i="6" s="1"/>
  <c r="BR51" i="5"/>
  <c r="BR52" i="5" s="1"/>
  <c r="BO70" i="5"/>
  <c r="BO74" i="5" s="1"/>
  <c r="BO76" i="5" s="1"/>
  <c r="BP76" i="6" s="1"/>
  <c r="BZ320" i="1"/>
  <c r="CA293" i="1"/>
  <c r="BP77" i="5"/>
  <c r="BY322" i="1"/>
  <c r="BZ295" i="1"/>
  <c r="BS26" i="5"/>
  <c r="BS51" i="5" s="1"/>
  <c r="BS50" i="5"/>
  <c r="BX312" i="1"/>
  <c r="BY287" i="1"/>
  <c r="CA13" i="1"/>
  <c r="CA30" i="1" s="1"/>
  <c r="BS33" i="5"/>
  <c r="BS46" i="5" s="1"/>
  <c r="BS55" i="5"/>
  <c r="BT40" i="6"/>
  <c r="BT49" i="6" s="1"/>
  <c r="BW82" i="1" s="1"/>
  <c r="BW37" i="1" s="1"/>
  <c r="BS56" i="5"/>
  <c r="BS63" i="5" s="1"/>
  <c r="BU2" i="5"/>
  <c r="BT4" i="5"/>
  <c r="BT25" i="5" s="1"/>
  <c r="BT26" i="5" s="1"/>
  <c r="BT31" i="5"/>
  <c r="BT42" i="5"/>
  <c r="BR57" i="5"/>
  <c r="BR62" i="5"/>
  <c r="BR64" i="5" s="1"/>
  <c r="BR66" i="5" s="1"/>
  <c r="BT361" i="1"/>
  <c r="BU364" i="1"/>
  <c r="BQ71" i="5"/>
  <c r="BQ59" i="5"/>
  <c r="BQ66" i="5"/>
  <c r="BU330" i="1"/>
  <c r="BV303" i="1"/>
  <c r="BU34" i="5"/>
  <c r="BU43" i="5"/>
  <c r="BV5" i="5"/>
  <c r="BY297" i="1"/>
  <c r="BX324" i="1"/>
  <c r="BP72" i="5"/>
  <c r="BP73" i="5" s="1"/>
  <c r="BV83" i="6"/>
  <c r="BJ76" i="6" l="1"/>
  <c r="BU54" i="6"/>
  <c r="BU111" i="6" s="1"/>
  <c r="AX348" i="23" s="1"/>
  <c r="AW304" i="23"/>
  <c r="AW307" i="23" s="1"/>
  <c r="AW353" i="23"/>
  <c r="BU57" i="6"/>
  <c r="BU112" i="6" s="1"/>
  <c r="AX478" i="23" s="1"/>
  <c r="AW435" i="23"/>
  <c r="AW438" i="23" s="1"/>
  <c r="AW481" i="23"/>
  <c r="CB32" i="20"/>
  <c r="BY15" i="1"/>
  <c r="BX263" i="1"/>
  <c r="BX265" i="1" s="1"/>
  <c r="BX224" i="1"/>
  <c r="BS50" i="6"/>
  <c r="BV81" i="1"/>
  <c r="BV83" i="1" s="1"/>
  <c r="CB33" i="1"/>
  <c r="BZ34" i="1"/>
  <c r="BY41" i="1"/>
  <c r="BY48" i="1" s="1"/>
  <c r="CA6" i="1"/>
  <c r="CA28" i="1" s="1"/>
  <c r="CA26" i="1"/>
  <c r="CA5" i="1"/>
  <c r="BS52" i="5"/>
  <c r="BT50" i="5"/>
  <c r="CA320" i="1"/>
  <c r="CB293" i="1"/>
  <c r="BZ322" i="1"/>
  <c r="CA295" i="1"/>
  <c r="BT39" i="6"/>
  <c r="BT48" i="6" s="1"/>
  <c r="BS58" i="5"/>
  <c r="BS65" i="5" s="1"/>
  <c r="BU39" i="6"/>
  <c r="BU48" i="6" s="1"/>
  <c r="BX81" i="1" s="1"/>
  <c r="BT58" i="5"/>
  <c r="BT65" i="5" s="1"/>
  <c r="BT51" i="5"/>
  <c r="BV330" i="1"/>
  <c r="BW303" i="1"/>
  <c r="BR71" i="5"/>
  <c r="BR59" i="5"/>
  <c r="BR69" i="5" s="1"/>
  <c r="BT55" i="5"/>
  <c r="BT33" i="5"/>
  <c r="BT46" i="5" s="1"/>
  <c r="BU38" i="6"/>
  <c r="BU47" i="6" s="1"/>
  <c r="BX80" i="1" s="1"/>
  <c r="BQ72" i="5"/>
  <c r="BQ73" i="5" s="1"/>
  <c r="BP74" i="5"/>
  <c r="BP76" i="5" s="1"/>
  <c r="BQ76" i="6" s="1"/>
  <c r="BW83" i="6"/>
  <c r="BY324" i="1"/>
  <c r="BZ297" i="1"/>
  <c r="BW5" i="5"/>
  <c r="BV43" i="5"/>
  <c r="BV34" i="5"/>
  <c r="BR67" i="5"/>
  <c r="BQ67" i="5"/>
  <c r="BQ69" i="5"/>
  <c r="BV364" i="1"/>
  <c r="BU361" i="1"/>
  <c r="A90" i="6"/>
  <c r="A209" i="1"/>
  <c r="BU40" i="6"/>
  <c r="BU49" i="6" s="1"/>
  <c r="BX82" i="1" s="1"/>
  <c r="BT56" i="5"/>
  <c r="BT63" i="5" s="1"/>
  <c r="BV2" i="5"/>
  <c r="BU4" i="5"/>
  <c r="BU25" i="5" s="1"/>
  <c r="BU31" i="5"/>
  <c r="BU42" i="5"/>
  <c r="BS57" i="5"/>
  <c r="BS62" i="5"/>
  <c r="BS64" i="5" s="1"/>
  <c r="CB13" i="1"/>
  <c r="CB30" i="1" s="1"/>
  <c r="BY312" i="1"/>
  <c r="BZ287" i="1"/>
  <c r="BV54" i="6" l="1"/>
  <c r="BV111" i="6" s="1"/>
  <c r="AY348" i="23" s="1"/>
  <c r="AX304" i="23"/>
  <c r="AX307" i="23" s="1"/>
  <c r="AX353" i="23"/>
  <c r="BV57" i="6"/>
  <c r="BV112" i="6" s="1"/>
  <c r="AY478" i="23" s="1"/>
  <c r="AX435" i="23"/>
  <c r="AX438" i="23" s="1"/>
  <c r="AX481" i="23"/>
  <c r="CC32" i="20"/>
  <c r="BZ15" i="1"/>
  <c r="BY263" i="1"/>
  <c r="BY265" i="1" s="1"/>
  <c r="BY224" i="1"/>
  <c r="D25" i="6"/>
  <c r="E25" i="6"/>
  <c r="BT50" i="6"/>
  <c r="BW81" i="1"/>
  <c r="BW83" i="1" s="1"/>
  <c r="E23" i="6"/>
  <c r="D23" i="6"/>
  <c r="B26" i="6"/>
  <c r="BX83" i="1"/>
  <c r="BX37" i="1"/>
  <c r="CA34" i="1"/>
  <c r="BZ41" i="1"/>
  <c r="BZ48" i="1" s="1"/>
  <c r="CC33" i="1"/>
  <c r="CB26" i="1"/>
  <c r="CB5" i="1"/>
  <c r="CB6" i="1"/>
  <c r="CB28" i="1" s="1"/>
  <c r="BT52" i="5"/>
  <c r="BU50" i="5"/>
  <c r="CB320" i="1"/>
  <c r="CC293" i="1"/>
  <c r="BS66" i="5"/>
  <c r="BS67" i="5" s="1"/>
  <c r="CA322" i="1"/>
  <c r="CB295" i="1"/>
  <c r="CC13" i="1"/>
  <c r="CC30" i="1" s="1"/>
  <c r="BV40" i="6"/>
  <c r="BV49" i="6" s="1"/>
  <c r="BY82" i="1" s="1"/>
  <c r="BU56" i="5"/>
  <c r="BU63" i="5" s="1"/>
  <c r="BV4" i="5"/>
  <c r="BV25" i="5" s="1"/>
  <c r="BW38" i="6" s="1"/>
  <c r="BW47" i="6" s="1"/>
  <c r="BZ80" i="1" s="1"/>
  <c r="BW2" i="5"/>
  <c r="BV31" i="5"/>
  <c r="BV42" i="5"/>
  <c r="BQ70" i="5"/>
  <c r="BQ74" i="5" s="1"/>
  <c r="BQ76" i="5" s="1"/>
  <c r="BR76" i="6" s="1"/>
  <c r="BR70" i="5"/>
  <c r="BZ324" i="1"/>
  <c r="CA297" i="1"/>
  <c r="BT62" i="5"/>
  <c r="BT64" i="5" s="1"/>
  <c r="BT66" i="5" s="1"/>
  <c r="BT57" i="5"/>
  <c r="BW330" i="1"/>
  <c r="BX303" i="1"/>
  <c r="BU50" i="6"/>
  <c r="CA287" i="1"/>
  <c r="BZ312" i="1"/>
  <c r="BS71" i="5"/>
  <c r="BS72" i="5" s="1"/>
  <c r="BS73" i="5" s="1"/>
  <c r="BS59" i="5"/>
  <c r="BU33" i="5"/>
  <c r="BU46" i="5" s="1"/>
  <c r="BU55" i="5"/>
  <c r="BV38" i="6"/>
  <c r="BV47" i="6" s="1"/>
  <c r="BY80" i="1" s="1"/>
  <c r="BU26" i="5"/>
  <c r="BV361" i="1"/>
  <c r="BW364" i="1"/>
  <c r="BQ77" i="5"/>
  <c r="BX5" i="5"/>
  <c r="BW43" i="5"/>
  <c r="BW34" i="5"/>
  <c r="BX83" i="6"/>
  <c r="BR77" i="5"/>
  <c r="BR72" i="5"/>
  <c r="BR73" i="5" s="1"/>
  <c r="BW54" i="6" l="1"/>
  <c r="BW111" i="6" s="1"/>
  <c r="AZ348" i="23" s="1"/>
  <c r="AY304" i="23"/>
  <c r="AY307" i="23" s="1"/>
  <c r="AY353" i="23"/>
  <c r="BW57" i="6"/>
  <c r="BW112" i="6" s="1"/>
  <c r="AZ478" i="23" s="1"/>
  <c r="AY435" i="23"/>
  <c r="AY438" i="23" s="1"/>
  <c r="AY481" i="23"/>
  <c r="CD32" i="20"/>
  <c r="CA15" i="1"/>
  <c r="BZ263" i="1"/>
  <c r="BZ265" i="1" s="1"/>
  <c r="BZ224" i="1"/>
  <c r="E24" i="6"/>
  <c r="D24" i="6"/>
  <c r="E26" i="6"/>
  <c r="D26" i="6"/>
  <c r="BY37" i="1"/>
  <c r="CD33" i="1"/>
  <c r="CB34" i="1"/>
  <c r="CA41" i="1"/>
  <c r="CA48" i="1" s="1"/>
  <c r="CC26" i="1"/>
  <c r="CC5" i="1"/>
  <c r="CC6" i="1"/>
  <c r="CC28" i="1" s="1"/>
  <c r="BS69" i="5"/>
  <c r="BS70" i="5" s="1"/>
  <c r="BS74" i="5" s="1"/>
  <c r="BS76" i="5" s="1"/>
  <c r="BT76" i="6" s="1"/>
  <c r="CD293" i="1"/>
  <c r="CC320" i="1"/>
  <c r="BV50" i="5"/>
  <c r="CC295" i="1"/>
  <c r="CB322" i="1"/>
  <c r="BY83" i="6"/>
  <c r="BX364" i="1"/>
  <c r="BW361" i="1"/>
  <c r="BV39" i="6"/>
  <c r="BV48" i="6" s="1"/>
  <c r="BU51" i="5"/>
  <c r="BU52" i="5" s="1"/>
  <c r="BU58" i="5"/>
  <c r="BU65" i="5" s="1"/>
  <c r="BU62" i="5"/>
  <c r="BU64" i="5" s="1"/>
  <c r="BU57" i="5"/>
  <c r="CB287" i="1"/>
  <c r="CA312" i="1"/>
  <c r="BR74" i="5"/>
  <c r="BR76" i="5" s="1"/>
  <c r="BS76" i="6" s="1"/>
  <c r="BX2" i="5"/>
  <c r="BW4" i="5"/>
  <c r="BW25" i="5" s="1"/>
  <c r="BW26" i="5" s="1"/>
  <c r="BW42" i="5"/>
  <c r="BW31" i="5"/>
  <c r="BW40" i="6"/>
  <c r="BW49" i="6" s="1"/>
  <c r="BZ82" i="1" s="1"/>
  <c r="BZ37" i="1" s="1"/>
  <c r="BV56" i="5"/>
  <c r="BV63" i="5" s="1"/>
  <c r="BX43" i="5"/>
  <c r="BY5" i="5"/>
  <c r="BX34" i="5"/>
  <c r="BY303" i="1"/>
  <c r="BX330" i="1"/>
  <c r="BT71" i="5"/>
  <c r="BT59" i="5"/>
  <c r="BT69" i="5" s="1"/>
  <c r="CB297" i="1"/>
  <c r="CA324" i="1"/>
  <c r="BV33" i="5"/>
  <c r="BV46" i="5" s="1"/>
  <c r="BV55" i="5"/>
  <c r="BV26" i="5"/>
  <c r="BT67" i="5"/>
  <c r="CD13" i="1"/>
  <c r="CD30" i="1" s="1"/>
  <c r="BX54" i="6" l="1"/>
  <c r="BX111" i="6" s="1"/>
  <c r="BA348" i="23" s="1"/>
  <c r="AZ304" i="23"/>
  <c r="AZ307" i="23" s="1"/>
  <c r="AZ353" i="23"/>
  <c r="BX57" i="6"/>
  <c r="BX112" i="6" s="1"/>
  <c r="BA478" i="23" s="1"/>
  <c r="AZ435" i="23"/>
  <c r="AZ438" i="23" s="1"/>
  <c r="AZ481" i="23"/>
  <c r="CE32" i="20"/>
  <c r="CB15" i="1"/>
  <c r="CA263" i="1"/>
  <c r="CA265" i="1" s="1"/>
  <c r="CA224" i="1"/>
  <c r="BV50" i="6"/>
  <c r="BY81" i="1"/>
  <c r="BY83" i="1" s="1"/>
  <c r="CC34" i="1"/>
  <c r="CB41" i="1"/>
  <c r="CB48" i="1" s="1"/>
  <c r="CE33" i="1"/>
  <c r="CD6" i="1"/>
  <c r="CD28" i="1" s="1"/>
  <c r="CD5" i="1"/>
  <c r="CD26" i="1"/>
  <c r="BS77" i="5"/>
  <c r="BU66" i="5"/>
  <c r="BU67" i="5" s="1"/>
  <c r="CD320" i="1"/>
  <c r="CE293" i="1"/>
  <c r="BX39" i="6"/>
  <c r="BX48" i="6" s="1"/>
  <c r="CA81" i="1" s="1"/>
  <c r="BW58" i="5"/>
  <c r="BW65" i="5" s="1"/>
  <c r="BT77" i="5"/>
  <c r="BW50" i="5"/>
  <c r="CC322" i="1"/>
  <c r="CD295" i="1"/>
  <c r="BV62" i="5"/>
  <c r="BV64" i="5" s="1"/>
  <c r="BV57" i="5"/>
  <c r="BZ303" i="1"/>
  <c r="BY330" i="1"/>
  <c r="BX4" i="5"/>
  <c r="BX25" i="5" s="1"/>
  <c r="BY38" i="6" s="1"/>
  <c r="BY47" i="6" s="1"/>
  <c r="CB80" i="1" s="1"/>
  <c r="BY2" i="5"/>
  <c r="BX31" i="5"/>
  <c r="BX42" i="5"/>
  <c r="BU71" i="5"/>
  <c r="BU72" i="5" s="1"/>
  <c r="BU73" i="5" s="1"/>
  <c r="BU59" i="5"/>
  <c r="BX361" i="1"/>
  <c r="BY364" i="1"/>
  <c r="CE13" i="1"/>
  <c r="CE30" i="1" s="1"/>
  <c r="BW39" i="6"/>
  <c r="BW48" i="6" s="1"/>
  <c r="BV51" i="5"/>
  <c r="BV52" i="5" s="1"/>
  <c r="BV58" i="5"/>
  <c r="BV65" i="5" s="1"/>
  <c r="CC297" i="1"/>
  <c r="CB324" i="1"/>
  <c r="BT72" i="5"/>
  <c r="BT73" i="5" s="1"/>
  <c r="BZ5" i="5"/>
  <c r="BY34" i="5"/>
  <c r="BY43" i="5"/>
  <c r="BW33" i="5"/>
  <c r="BW46" i="5" s="1"/>
  <c r="BW55" i="5"/>
  <c r="BX40" i="6"/>
  <c r="BX49" i="6" s="1"/>
  <c r="CA82" i="1" s="1"/>
  <c r="BW56" i="5"/>
  <c r="BW63" i="5" s="1"/>
  <c r="BX38" i="6"/>
  <c r="BX47" i="6" s="1"/>
  <c r="CA80" i="1" s="1"/>
  <c r="CC287" i="1"/>
  <c r="CB312" i="1"/>
  <c r="BT70" i="5"/>
  <c r="BW51" i="5"/>
  <c r="BZ83" i="6"/>
  <c r="BY54" i="6" l="1"/>
  <c r="BY111" i="6" s="1"/>
  <c r="BB348" i="23" s="1"/>
  <c r="BA304" i="23"/>
  <c r="BA307" i="23" s="1"/>
  <c r="BA353" i="23"/>
  <c r="BY57" i="6"/>
  <c r="BY112" i="6" s="1"/>
  <c r="BB478" i="23" s="1"/>
  <c r="BA435" i="23"/>
  <c r="BA438" i="23" s="1"/>
  <c r="BA481" i="23"/>
  <c r="CF32" i="20"/>
  <c r="CC15" i="1"/>
  <c r="CB263" i="1"/>
  <c r="CB265" i="1" s="1"/>
  <c r="CB224" i="1"/>
  <c r="BW50" i="6"/>
  <c r="BZ81" i="1"/>
  <c r="BZ83" i="1" s="1"/>
  <c r="CA83" i="1"/>
  <c r="CA37" i="1"/>
  <c r="CF33" i="1"/>
  <c r="CD34" i="1"/>
  <c r="CC41" i="1"/>
  <c r="CC48" i="1" s="1"/>
  <c r="CE6" i="1"/>
  <c r="CE28" i="1" s="1"/>
  <c r="CE26" i="1"/>
  <c r="CE5" i="1"/>
  <c r="BV66" i="5"/>
  <c r="BV67" i="5" s="1"/>
  <c r="BW52" i="5"/>
  <c r="BX26" i="5"/>
  <c r="BY39" i="6" s="1"/>
  <c r="BY48" i="6" s="1"/>
  <c r="CB81" i="1" s="1"/>
  <c r="BU69" i="5"/>
  <c r="BU70" i="5" s="1"/>
  <c r="BU74" i="5" s="1"/>
  <c r="BU76" i="5" s="1"/>
  <c r="BV76" i="6" s="1"/>
  <c r="BX50" i="5"/>
  <c r="BX50" i="6"/>
  <c r="BT74" i="5"/>
  <c r="BT76" i="5" s="1"/>
  <c r="BU76" i="6" s="1"/>
  <c r="CE320" i="1"/>
  <c r="CF293" i="1"/>
  <c r="CE295" i="1"/>
  <c r="CD322" i="1"/>
  <c r="CD287" i="1"/>
  <c r="CC312" i="1"/>
  <c r="CA5" i="5"/>
  <c r="BZ43" i="5"/>
  <c r="BZ34" i="5"/>
  <c r="CC324" i="1"/>
  <c r="CD297" i="1"/>
  <c r="BY361" i="1"/>
  <c r="BZ364" i="1"/>
  <c r="BZ2" i="5"/>
  <c r="BY4" i="5"/>
  <c r="BY25" i="5" s="1"/>
  <c r="BZ38" i="6" s="1"/>
  <c r="BZ47" i="6" s="1"/>
  <c r="CC80" i="1" s="1"/>
  <c r="BY31" i="5"/>
  <c r="BY42" i="5"/>
  <c r="BY40" i="6"/>
  <c r="BY49" i="6" s="1"/>
  <c r="CB82" i="1" s="1"/>
  <c r="CB37" i="1" s="1"/>
  <c r="BX56" i="5"/>
  <c r="BX63" i="5" s="1"/>
  <c r="CA303" i="1"/>
  <c r="BZ330" i="1"/>
  <c r="BV71" i="5"/>
  <c r="BV59" i="5"/>
  <c r="CA83" i="6"/>
  <c r="BW62" i="5"/>
  <c r="BW64" i="5" s="1"/>
  <c r="BW66" i="5" s="1"/>
  <c r="BW57" i="5"/>
  <c r="CF13" i="1"/>
  <c r="CF30" i="1" s="1"/>
  <c r="BX55" i="5"/>
  <c r="BX33" i="5"/>
  <c r="BX46" i="5" s="1"/>
  <c r="BZ54" i="6" l="1"/>
  <c r="BZ111" i="6" s="1"/>
  <c r="BC348" i="23" s="1"/>
  <c r="BB304" i="23"/>
  <c r="BB307" i="23" s="1"/>
  <c r="BB353" i="23"/>
  <c r="BZ57" i="6"/>
  <c r="BZ112" i="6" s="1"/>
  <c r="BC478" i="23" s="1"/>
  <c r="BB435" i="23"/>
  <c r="BB438" i="23" s="1"/>
  <c r="BB481" i="23"/>
  <c r="CG32" i="20"/>
  <c r="CD15" i="1"/>
  <c r="CC263" i="1"/>
  <c r="CC265" i="1" s="1"/>
  <c r="CC224" i="1"/>
  <c r="CB83" i="1"/>
  <c r="CE34" i="1"/>
  <c r="CD41" i="1"/>
  <c r="CD48" i="1" s="1"/>
  <c r="CG33" i="1"/>
  <c r="CF26" i="1"/>
  <c r="CF5" i="1"/>
  <c r="CF6" i="1"/>
  <c r="CF28" i="1" s="1"/>
  <c r="BV69" i="5"/>
  <c r="BV70" i="5" s="1"/>
  <c r="BW67" i="5"/>
  <c r="BX58" i="5"/>
  <c r="BX65" i="5" s="1"/>
  <c r="BY50" i="6"/>
  <c r="BX51" i="5"/>
  <c r="BX52" i="5" s="1"/>
  <c r="BU77" i="5"/>
  <c r="BY50" i="5"/>
  <c r="CF320" i="1"/>
  <c r="CG293" i="1"/>
  <c r="CF295" i="1"/>
  <c r="CE322" i="1"/>
  <c r="BY26" i="5"/>
  <c r="BY33" i="5"/>
  <c r="BY46" i="5" s="1"/>
  <c r="BY55" i="5"/>
  <c r="CA43" i="5"/>
  <c r="CB5" i="5"/>
  <c r="CA34" i="5"/>
  <c r="BX57" i="5"/>
  <c r="BX62" i="5"/>
  <c r="BX64" i="5" s="1"/>
  <c r="CG13" i="1"/>
  <c r="CG30" i="1" s="1"/>
  <c r="BW71" i="5"/>
  <c r="BW72" i="5" s="1"/>
  <c r="BW73" i="5" s="1"/>
  <c r="BW59" i="5"/>
  <c r="BW69" i="5" s="1"/>
  <c r="CB83" i="6"/>
  <c r="CB303" i="1"/>
  <c r="CA330" i="1"/>
  <c r="BZ40" i="6"/>
  <c r="BZ49" i="6" s="1"/>
  <c r="CC82" i="1" s="1"/>
  <c r="CC37" i="1" s="1"/>
  <c r="BY56" i="5"/>
  <c r="BY63" i="5" s="1"/>
  <c r="CA2" i="5"/>
  <c r="BZ4" i="5"/>
  <c r="BZ25" i="5" s="1"/>
  <c r="BZ26" i="5" s="1"/>
  <c r="BZ31" i="5"/>
  <c r="BZ42" i="5"/>
  <c r="BV72" i="5"/>
  <c r="BV73" i="5" s="1"/>
  <c r="CA364" i="1"/>
  <c r="BZ361" i="1"/>
  <c r="CE297" i="1"/>
  <c r="CD324" i="1"/>
  <c r="CE287" i="1"/>
  <c r="CD312" i="1"/>
  <c r="CA54" i="6" l="1"/>
  <c r="CA111" i="6" s="1"/>
  <c r="BD348" i="23" s="1"/>
  <c r="BC304" i="23"/>
  <c r="BC307" i="23" s="1"/>
  <c r="BC353" i="23"/>
  <c r="CA57" i="6"/>
  <c r="CA112" i="6" s="1"/>
  <c r="BD478" i="23" s="1"/>
  <c r="BC435" i="23"/>
  <c r="BC438" i="23" s="1"/>
  <c r="BC481" i="23"/>
  <c r="CH32" i="20"/>
  <c r="CE15" i="1"/>
  <c r="CD263" i="1"/>
  <c r="CD265" i="1" s="1"/>
  <c r="CD224" i="1"/>
  <c r="CH33" i="1"/>
  <c r="CF34" i="1"/>
  <c r="CE41" i="1"/>
  <c r="CE48" i="1" s="1"/>
  <c r="CG26" i="1"/>
  <c r="CG5" i="1"/>
  <c r="CG6" i="1"/>
  <c r="CG28" i="1" s="1"/>
  <c r="BW70" i="5"/>
  <c r="BW74" i="5" s="1"/>
  <c r="BW76" i="5" s="1"/>
  <c r="BX76" i="6" s="1"/>
  <c r="BV77" i="5"/>
  <c r="BX66" i="5"/>
  <c r="BX67" i="5" s="1"/>
  <c r="BZ50" i="5"/>
  <c r="CH293" i="1"/>
  <c r="CG320" i="1"/>
  <c r="CA39" i="6"/>
  <c r="CA48" i="6" s="1"/>
  <c r="CD81" i="1" s="1"/>
  <c r="BZ58" i="5"/>
  <c r="BZ65" i="5" s="1"/>
  <c r="CF322" i="1"/>
  <c r="CG295" i="1"/>
  <c r="CF297" i="1"/>
  <c r="CE324" i="1"/>
  <c r="CA361" i="1"/>
  <c r="CB364" i="1"/>
  <c r="CA40" i="6"/>
  <c r="CA49" i="6" s="1"/>
  <c r="CD82" i="1" s="1"/>
  <c r="BZ56" i="5"/>
  <c r="BZ63" i="5" s="1"/>
  <c r="CA38" i="6"/>
  <c r="CA47" i="6" s="1"/>
  <c r="CD80" i="1" s="1"/>
  <c r="CC303" i="1"/>
  <c r="CB330" i="1"/>
  <c r="CH13" i="1"/>
  <c r="CH30" i="1" s="1"/>
  <c r="BX71" i="5"/>
  <c r="BX59" i="5"/>
  <c r="BZ51" i="5"/>
  <c r="BY57" i="5"/>
  <c r="BY62" i="5"/>
  <c r="BY64" i="5" s="1"/>
  <c r="BZ39" i="6"/>
  <c r="BZ48" i="6" s="1"/>
  <c r="BY51" i="5"/>
  <c r="BY52" i="5" s="1"/>
  <c r="BY58" i="5"/>
  <c r="BY65" i="5" s="1"/>
  <c r="BV74" i="5"/>
  <c r="BV76" i="5" s="1"/>
  <c r="BW76" i="6" s="1"/>
  <c r="CF287" i="1"/>
  <c r="CE312" i="1"/>
  <c r="BZ55" i="5"/>
  <c r="BZ33" i="5"/>
  <c r="BZ46" i="5" s="1"/>
  <c r="CB2" i="5"/>
  <c r="CA4" i="5"/>
  <c r="CA25" i="5" s="1"/>
  <c r="CA42" i="5"/>
  <c r="CA31" i="5"/>
  <c r="CC83" i="6"/>
  <c r="CC5" i="5"/>
  <c r="CB43" i="5"/>
  <c r="CB34" i="5"/>
  <c r="BW77" i="5"/>
  <c r="CB54" i="6" l="1"/>
  <c r="CB111" i="6" s="1"/>
  <c r="BE348" i="23" s="1"/>
  <c r="BD304" i="23"/>
  <c r="BD307" i="23" s="1"/>
  <c r="BD353" i="23"/>
  <c r="CB57" i="6"/>
  <c r="CB112" i="6" s="1"/>
  <c r="BE478" i="23" s="1"/>
  <c r="BD435" i="23"/>
  <c r="BD438" i="23" s="1"/>
  <c r="BD481" i="23"/>
  <c r="CI32" i="20"/>
  <c r="CF15" i="1"/>
  <c r="CE263" i="1"/>
  <c r="CE265" i="1" s="1"/>
  <c r="CE224" i="1"/>
  <c r="BZ50" i="6"/>
  <c r="CC81" i="1"/>
  <c r="CC83" i="1" s="1"/>
  <c r="CD83" i="1"/>
  <c r="CD37" i="1"/>
  <c r="CG34" i="1"/>
  <c r="CF41" i="1"/>
  <c r="CF48" i="1" s="1"/>
  <c r="CI33" i="1"/>
  <c r="CH26" i="1"/>
  <c r="CH6" i="1"/>
  <c r="CH28" i="1" s="1"/>
  <c r="CH5" i="1"/>
  <c r="BX69" i="5"/>
  <c r="BX70" i="5" s="1"/>
  <c r="BZ52" i="5"/>
  <c r="CA50" i="6"/>
  <c r="CA50" i="5"/>
  <c r="BY66" i="5"/>
  <c r="BY67" i="5" s="1"/>
  <c r="CH320" i="1"/>
  <c r="CI293" i="1"/>
  <c r="CH295" i="1"/>
  <c r="CG322" i="1"/>
  <c r="CC34" i="5"/>
  <c r="CC43" i="5"/>
  <c r="CD5" i="5"/>
  <c r="CA33" i="5"/>
  <c r="CA46" i="5" s="1"/>
  <c r="CA55" i="5"/>
  <c r="CB40" i="6"/>
  <c r="CB49" i="6" s="1"/>
  <c r="CE82" i="1" s="1"/>
  <c r="CA56" i="5"/>
  <c r="CA63" i="5" s="1"/>
  <c r="CB38" i="6"/>
  <c r="CB47" i="6" s="1"/>
  <c r="CE80" i="1" s="1"/>
  <c r="BZ57" i="5"/>
  <c r="BZ62" i="5"/>
  <c r="BZ64" i="5" s="1"/>
  <c r="BZ66" i="5" s="1"/>
  <c r="CG287" i="1"/>
  <c r="CF312" i="1"/>
  <c r="BY71" i="5"/>
  <c r="BY72" i="5" s="1"/>
  <c r="BY73" i="5" s="1"/>
  <c r="BY59" i="5"/>
  <c r="CC330" i="1"/>
  <c r="CD303" i="1"/>
  <c r="CB361" i="1"/>
  <c r="CC364" i="1"/>
  <c r="CD83" i="6"/>
  <c r="CB4" i="5"/>
  <c r="CB25" i="5" s="1"/>
  <c r="CC2" i="5"/>
  <c r="CB31" i="5"/>
  <c r="CB42" i="5"/>
  <c r="BX72" i="5"/>
  <c r="BX73" i="5" s="1"/>
  <c r="CI13" i="1"/>
  <c r="CI30" i="1" s="1"/>
  <c r="CA26" i="5"/>
  <c r="CF324" i="1"/>
  <c r="CG297" i="1"/>
  <c r="CC54" i="6" l="1"/>
  <c r="CC111" i="6" s="1"/>
  <c r="BF348" i="23" s="1"/>
  <c r="BE304" i="23"/>
  <c r="BE307" i="23" s="1"/>
  <c r="BE353" i="23"/>
  <c r="CC57" i="6"/>
  <c r="CC112" i="6" s="1"/>
  <c r="BF478" i="23" s="1"/>
  <c r="BE435" i="23"/>
  <c r="BE438" i="23" s="1"/>
  <c r="BE481" i="23"/>
  <c r="CJ32" i="20"/>
  <c r="CG15" i="1"/>
  <c r="CF263" i="1"/>
  <c r="CF265" i="1" s="1"/>
  <c r="CF224" i="1"/>
  <c r="CE37" i="1"/>
  <c r="CJ33" i="1"/>
  <c r="CH34" i="1"/>
  <c r="CG41" i="1"/>
  <c r="CG48" i="1" s="1"/>
  <c r="CI26" i="1"/>
  <c r="CI5" i="1"/>
  <c r="CI6" i="1"/>
  <c r="CI28" i="1" s="1"/>
  <c r="BX77" i="5"/>
  <c r="BY69" i="5"/>
  <c r="BY70" i="5" s="1"/>
  <c r="BY74" i="5" s="1"/>
  <c r="BY76" i="5" s="1"/>
  <c r="BZ76" i="6" s="1"/>
  <c r="BZ67" i="5"/>
  <c r="CI320" i="1"/>
  <c r="CJ293" i="1"/>
  <c r="CB50" i="5"/>
  <c r="CH322" i="1"/>
  <c r="CI295" i="1"/>
  <c r="CC4" i="5"/>
  <c r="CC25" i="5" s="1"/>
  <c r="CC26" i="5" s="1"/>
  <c r="CD2" i="5"/>
  <c r="CC31" i="5"/>
  <c r="CC42" i="5"/>
  <c r="CC40" i="6"/>
  <c r="CC49" i="6" s="1"/>
  <c r="CF82" i="1" s="1"/>
  <c r="CB56" i="5"/>
  <c r="CB63" i="5" s="1"/>
  <c r="CD364" i="1"/>
  <c r="CC361" i="1"/>
  <c r="BX74" i="5"/>
  <c r="BX76" i="5" s="1"/>
  <c r="BY76" i="6" s="1"/>
  <c r="CA62" i="5"/>
  <c r="CA64" i="5" s="1"/>
  <c r="CA57" i="5"/>
  <c r="CE5" i="5"/>
  <c r="CD34" i="5"/>
  <c r="CD43" i="5"/>
  <c r="CG324" i="1"/>
  <c r="CH297" i="1"/>
  <c r="CB39" i="6"/>
  <c r="CB48" i="6" s="1"/>
  <c r="CA58" i="5"/>
  <c r="CA65" i="5" s="1"/>
  <c r="CA51" i="5"/>
  <c r="CA52" i="5" s="1"/>
  <c r="CJ13" i="1"/>
  <c r="CJ30" i="1" s="1"/>
  <c r="CB55" i="5"/>
  <c r="CB33" i="5"/>
  <c r="CB46" i="5" s="1"/>
  <c r="CC38" i="6"/>
  <c r="CC47" i="6" s="1"/>
  <c r="CF80" i="1" s="1"/>
  <c r="CE83" i="6"/>
  <c r="CD330" i="1"/>
  <c r="CE303" i="1"/>
  <c r="CG312" i="1"/>
  <c r="CH287" i="1"/>
  <c r="BZ71" i="5"/>
  <c r="BZ72" i="5" s="1"/>
  <c r="BZ73" i="5" s="1"/>
  <c r="BZ59" i="5"/>
  <c r="BZ69" i="5" s="1"/>
  <c r="CB26" i="5"/>
  <c r="CD54" i="6" l="1"/>
  <c r="CD111" i="6" s="1"/>
  <c r="BG348" i="23" s="1"/>
  <c r="BF304" i="23"/>
  <c r="BF307" i="23" s="1"/>
  <c r="BF353" i="23"/>
  <c r="CD57" i="6"/>
  <c r="CD112" i="6" s="1"/>
  <c r="BG478" i="23" s="1"/>
  <c r="BF435" i="23"/>
  <c r="BF438" i="23" s="1"/>
  <c r="BF481" i="23"/>
  <c r="CK32" i="20"/>
  <c r="CH15" i="1"/>
  <c r="CG263" i="1"/>
  <c r="CG265" i="1" s="1"/>
  <c r="CG224" i="1"/>
  <c r="CB50" i="6"/>
  <c r="CE81" i="1"/>
  <c r="CE83" i="1" s="1"/>
  <c r="CF37" i="1"/>
  <c r="CI34" i="1"/>
  <c r="CH41" i="1"/>
  <c r="CH48" i="1" s="1"/>
  <c r="CK33" i="1"/>
  <c r="CJ26" i="1"/>
  <c r="CJ5" i="1"/>
  <c r="CJ6" i="1"/>
  <c r="CJ28" i="1" s="1"/>
  <c r="CA66" i="5"/>
  <c r="CA67" i="5" s="1"/>
  <c r="BY77" i="5"/>
  <c r="CC50" i="5"/>
  <c r="CD38" i="6"/>
  <c r="CD47" i="6" s="1"/>
  <c r="CG80" i="1" s="1"/>
  <c r="CJ320" i="1"/>
  <c r="CK293" i="1"/>
  <c r="CI322" i="1"/>
  <c r="CJ295" i="1"/>
  <c r="CD39" i="6"/>
  <c r="CD48" i="6" s="1"/>
  <c r="CG81" i="1" s="1"/>
  <c r="CC51" i="5"/>
  <c r="CC58" i="5"/>
  <c r="CC65" i="5" s="1"/>
  <c r="CC39" i="6"/>
  <c r="CC48" i="6" s="1"/>
  <c r="CB58" i="5"/>
  <c r="CB65" i="5" s="1"/>
  <c r="CB51" i="5"/>
  <c r="CB52" i="5" s="1"/>
  <c r="CE330" i="1"/>
  <c r="CF303" i="1"/>
  <c r="CA71" i="5"/>
  <c r="CA59" i="5"/>
  <c r="CC33" i="5"/>
  <c r="CC46" i="5" s="1"/>
  <c r="CC55" i="5"/>
  <c r="CD4" i="5"/>
  <c r="CD25" i="5" s="1"/>
  <c r="CE38" i="6" s="1"/>
  <c r="CE47" i="6" s="1"/>
  <c r="CH80" i="1" s="1"/>
  <c r="CE2" i="5"/>
  <c r="CD42" i="5"/>
  <c r="CD31" i="5"/>
  <c r="BZ70" i="5"/>
  <c r="BZ74" i="5" s="1"/>
  <c r="BZ76" i="5" s="1"/>
  <c r="CA76" i="6" s="1"/>
  <c r="CH312" i="1"/>
  <c r="CI287" i="1"/>
  <c r="CF83" i="6"/>
  <c r="CB62" i="5"/>
  <c r="CB64" i="5" s="1"/>
  <c r="CB57" i="5"/>
  <c r="CK13" i="1"/>
  <c r="CK30" i="1" s="1"/>
  <c r="CI297" i="1"/>
  <c r="CH324" i="1"/>
  <c r="CE43" i="5"/>
  <c r="CF5" i="5"/>
  <c r="CE34" i="5"/>
  <c r="BZ77" i="5"/>
  <c r="CD361" i="1"/>
  <c r="CE364" i="1"/>
  <c r="CD40" i="6"/>
  <c r="CD49" i="6" s="1"/>
  <c r="CG82" i="1" s="1"/>
  <c r="CC56" i="5"/>
  <c r="CC63" i="5" s="1"/>
  <c r="CE54" i="6" l="1"/>
  <c r="CE111" i="6" s="1"/>
  <c r="BH348" i="23" s="1"/>
  <c r="BG304" i="23"/>
  <c r="BG307" i="23" s="1"/>
  <c r="BG353" i="23"/>
  <c r="CE57" i="6"/>
  <c r="CE112" i="6" s="1"/>
  <c r="BH478" i="23" s="1"/>
  <c r="BG435" i="23"/>
  <c r="BG438" i="23" s="1"/>
  <c r="BG481" i="23"/>
  <c r="CL32" i="20"/>
  <c r="CI15" i="1"/>
  <c r="CH263" i="1"/>
  <c r="CH265" i="1" s="1"/>
  <c r="CH224" i="1"/>
  <c r="CC50" i="6"/>
  <c r="CF81" i="1"/>
  <c r="CF83" i="1" s="1"/>
  <c r="CG83" i="1"/>
  <c r="CG37" i="1"/>
  <c r="CL33" i="1"/>
  <c r="CM33" i="1" s="1"/>
  <c r="CJ34" i="1"/>
  <c r="CI41" i="1"/>
  <c r="CI48" i="1" s="1"/>
  <c r="CK26" i="1"/>
  <c r="CK5" i="1"/>
  <c r="CK6" i="1"/>
  <c r="CK28" i="1" s="1"/>
  <c r="CA69" i="5"/>
  <c r="CA70" i="5" s="1"/>
  <c r="CC52" i="5"/>
  <c r="CD26" i="5"/>
  <c r="CE39" i="6" s="1"/>
  <c r="CE48" i="6" s="1"/>
  <c r="CH81" i="1" s="1"/>
  <c r="CD50" i="5"/>
  <c r="CL293" i="1"/>
  <c r="CM293" i="1" s="1"/>
  <c r="CK320" i="1"/>
  <c r="CK295" i="1"/>
  <c r="CJ322" i="1"/>
  <c r="CJ297" i="1"/>
  <c r="CI324" i="1"/>
  <c r="CL13" i="1"/>
  <c r="CI312" i="1"/>
  <c r="CJ287" i="1"/>
  <c r="CC62" i="5"/>
  <c r="CC64" i="5" s="1"/>
  <c r="CC66" i="5" s="1"/>
  <c r="CC57" i="5"/>
  <c r="CB66" i="5"/>
  <c r="CD50" i="6"/>
  <c r="CF364" i="1"/>
  <c r="CE361" i="1"/>
  <c r="CF34" i="5"/>
  <c r="CG5" i="5"/>
  <c r="CF43" i="5"/>
  <c r="CB71" i="5"/>
  <c r="CB72" i="5" s="1"/>
  <c r="CB73" i="5" s="1"/>
  <c r="CB59" i="5"/>
  <c r="CG83" i="6"/>
  <c r="CD33" i="5"/>
  <c r="CD46" i="5" s="1"/>
  <c r="CD55" i="5"/>
  <c r="CE4" i="5"/>
  <c r="CE25" i="5" s="1"/>
  <c r="CF2" i="5"/>
  <c r="CE31" i="5"/>
  <c r="CE42" i="5"/>
  <c r="CE40" i="6"/>
  <c r="CE49" i="6" s="1"/>
  <c r="CH82" i="1" s="1"/>
  <c r="CH37" i="1" s="1"/>
  <c r="CD56" i="5"/>
  <c r="CD63" i="5" s="1"/>
  <c r="CA72" i="5"/>
  <c r="CA73" i="5" s="1"/>
  <c r="CF330" i="1"/>
  <c r="CG303" i="1"/>
  <c r="CF54" i="6" l="1"/>
  <c r="CF111" i="6" s="1"/>
  <c r="BI348" i="23" s="1"/>
  <c r="BH304" i="23"/>
  <c r="BH307" i="23" s="1"/>
  <c r="BH353" i="23"/>
  <c r="CF57" i="6"/>
  <c r="CF112" i="6" s="1"/>
  <c r="BI478" i="23" s="1"/>
  <c r="BH435" i="23"/>
  <c r="BH438" i="23" s="1"/>
  <c r="BH481" i="23"/>
  <c r="CM32" i="20"/>
  <c r="CJ15" i="1"/>
  <c r="CM13" i="1"/>
  <c r="CM30" i="1" s="1"/>
  <c r="CL30" i="1"/>
  <c r="CN33" i="1"/>
  <c r="CM320" i="1"/>
  <c r="CN293" i="1"/>
  <c r="CI263" i="1"/>
  <c r="CI265" i="1" s="1"/>
  <c r="CI224" i="1"/>
  <c r="CL320" i="1"/>
  <c r="CH83" i="1"/>
  <c r="CK34" i="1"/>
  <c r="CJ41" i="1"/>
  <c r="CJ48" i="1" s="1"/>
  <c r="CL6" i="1"/>
  <c r="CL28" i="1" s="1"/>
  <c r="CL5" i="1"/>
  <c r="CL26" i="1"/>
  <c r="CA77" i="5"/>
  <c r="CE50" i="6"/>
  <c r="CD58" i="5"/>
  <c r="CD65" i="5" s="1"/>
  <c r="CD51" i="5"/>
  <c r="CD52" i="5" s="1"/>
  <c r="CE50" i="5"/>
  <c r="CB69" i="5"/>
  <c r="CB70" i="5" s="1"/>
  <c r="CB74" i="5" s="1"/>
  <c r="CL295" i="1"/>
  <c r="CK322" i="1"/>
  <c r="CG2" i="5"/>
  <c r="CF4" i="5"/>
  <c r="CF25" i="5" s="1"/>
  <c r="CG38" i="6" s="1"/>
  <c r="CG47" i="6" s="1"/>
  <c r="CJ80" i="1" s="1"/>
  <c r="CF31" i="5"/>
  <c r="CF42" i="5"/>
  <c r="CF40" i="6"/>
  <c r="CF49" i="6" s="1"/>
  <c r="CI82" i="1" s="1"/>
  <c r="CE56" i="5"/>
  <c r="CE63" i="5" s="1"/>
  <c r="CC67" i="5"/>
  <c r="CB67" i="5"/>
  <c r="CA74" i="5"/>
  <c r="CA76" i="5" s="1"/>
  <c r="CB76" i="6" s="1"/>
  <c r="CK297" i="1"/>
  <c r="CJ324" i="1"/>
  <c r="CG330" i="1"/>
  <c r="CH303" i="1"/>
  <c r="CE26" i="5"/>
  <c r="CE55" i="5"/>
  <c r="CE33" i="5"/>
  <c r="CE46" i="5" s="1"/>
  <c r="CF38" i="6"/>
  <c r="CF47" i="6" s="1"/>
  <c r="CI80" i="1" s="1"/>
  <c r="CD62" i="5"/>
  <c r="CD64" i="5" s="1"/>
  <c r="CD57" i="5"/>
  <c r="CH83" i="6"/>
  <c r="CI83" i="6"/>
  <c r="B99" i="6" s="1"/>
  <c r="CG34" i="5"/>
  <c r="CH5" i="5"/>
  <c r="CI5" i="5" s="1"/>
  <c r="CG43" i="5"/>
  <c r="CF361" i="1"/>
  <c r="CG364" i="1"/>
  <c r="CC71" i="5"/>
  <c r="CC59" i="5"/>
  <c r="CC69" i="5" s="1"/>
  <c r="CK287" i="1"/>
  <c r="CJ312" i="1"/>
  <c r="CG54" i="6" l="1"/>
  <c r="CG111" i="6" s="1"/>
  <c r="BJ348" i="23" s="1"/>
  <c r="BI304" i="23"/>
  <c r="BI307" i="23" s="1"/>
  <c r="BI353" i="23"/>
  <c r="CG57" i="6"/>
  <c r="CG112" i="6" s="1"/>
  <c r="BJ478" i="23" s="1"/>
  <c r="BI435" i="23"/>
  <c r="BI438" i="23" s="1"/>
  <c r="BI481" i="23"/>
  <c r="CM5" i="1"/>
  <c r="CM6" i="1"/>
  <c r="CM28" i="1" s="1"/>
  <c r="CM26" i="1"/>
  <c r="CN32" i="20"/>
  <c r="CK15" i="1"/>
  <c r="CN13" i="1"/>
  <c r="CN30" i="1" s="1"/>
  <c r="CJ5" i="5"/>
  <c r="CI34" i="5"/>
  <c r="CI43" i="5"/>
  <c r="CO293" i="1"/>
  <c r="CN320" i="1"/>
  <c r="CO33" i="1"/>
  <c r="CL322" i="1"/>
  <c r="CM295" i="1"/>
  <c r="CJ263" i="1"/>
  <c r="CJ265" i="1" s="1"/>
  <c r="CJ224" i="1"/>
  <c r="CI37" i="1"/>
  <c r="CL34" i="1"/>
  <c r="CK41" i="1"/>
  <c r="CK48" i="1" s="1"/>
  <c r="CD66" i="5"/>
  <c r="CD67" i="5" s="1"/>
  <c r="CF50" i="5"/>
  <c r="CC70" i="5"/>
  <c r="CB76" i="5"/>
  <c r="CC76" i="6" s="1"/>
  <c r="CB77" i="5"/>
  <c r="CF26" i="5"/>
  <c r="CL287" i="1"/>
  <c r="CK312" i="1"/>
  <c r="CC77" i="5"/>
  <c r="CH364" i="1"/>
  <c r="CG361" i="1"/>
  <c r="CF39" i="6"/>
  <c r="CF48" i="6" s="1"/>
  <c r="CE51" i="5"/>
  <c r="CE52" i="5" s="1"/>
  <c r="CE58" i="5"/>
  <c r="CE65" i="5" s="1"/>
  <c r="CH330" i="1"/>
  <c r="CI303" i="1"/>
  <c r="CF55" i="5"/>
  <c r="CF33" i="5"/>
  <c r="CF46" i="5" s="1"/>
  <c r="CG40" i="6"/>
  <c r="CG49" i="6" s="1"/>
  <c r="CJ82" i="1" s="1"/>
  <c r="CJ37" i="1" s="1"/>
  <c r="CF56" i="5"/>
  <c r="CF63" i="5" s="1"/>
  <c r="CH43" i="5"/>
  <c r="CH34" i="5"/>
  <c r="CD71" i="5"/>
  <c r="CD72" i="5" s="1"/>
  <c r="CD73" i="5" s="1"/>
  <c r="CD59" i="5"/>
  <c r="CE57" i="5"/>
  <c r="CE62" i="5"/>
  <c r="CE64" i="5" s="1"/>
  <c r="CK324" i="1"/>
  <c r="CL297" i="1"/>
  <c r="CC72" i="5"/>
  <c r="CC73" i="5" s="1"/>
  <c r="CG4" i="5"/>
  <c r="CG25" i="5" s="1"/>
  <c r="CG26" i="5" s="1"/>
  <c r="CH2" i="5"/>
  <c r="CI2" i="5" s="1"/>
  <c r="CG31" i="5"/>
  <c r="CG42" i="5"/>
  <c r="CH54" i="6" l="1"/>
  <c r="CH111" i="6" s="1"/>
  <c r="BK348" i="23" s="1"/>
  <c r="BJ304" i="23"/>
  <c r="BJ307" i="23" s="1"/>
  <c r="BJ353" i="23"/>
  <c r="CH57" i="6"/>
  <c r="CH112" i="6" s="1"/>
  <c r="BK478" i="23" s="1"/>
  <c r="BJ435" i="23"/>
  <c r="BJ438" i="23" s="1"/>
  <c r="BJ481" i="23"/>
  <c r="CO32" i="20"/>
  <c r="CL15" i="1"/>
  <c r="CN5" i="1"/>
  <c r="CO13" i="1"/>
  <c r="CO30" i="1" s="1"/>
  <c r="CN6" i="1"/>
  <c r="CN28" i="1" s="1"/>
  <c r="CN26" i="1"/>
  <c r="CJ2" i="5"/>
  <c r="CI4" i="5"/>
  <c r="CI25" i="5" s="1"/>
  <c r="CJ38" i="6" s="1"/>
  <c r="CJ47" i="6" s="1"/>
  <c r="CI31" i="5"/>
  <c r="CI42" i="5"/>
  <c r="CK5" i="5"/>
  <c r="CJ34" i="5"/>
  <c r="CJ43" i="5"/>
  <c r="CM322" i="1"/>
  <c r="CN295" i="1"/>
  <c r="CL41" i="1"/>
  <c r="CL48" i="1" s="1"/>
  <c r="CM34" i="1"/>
  <c r="CL312" i="1"/>
  <c r="CM287" i="1"/>
  <c r="CP33" i="1"/>
  <c r="CL324" i="1"/>
  <c r="CM297" i="1"/>
  <c r="CP293" i="1"/>
  <c r="CO320" i="1"/>
  <c r="CK263" i="1"/>
  <c r="CK265" i="1" s="1"/>
  <c r="CK224" i="1"/>
  <c r="CF50" i="6"/>
  <c r="CI81" i="1"/>
  <c r="CI83" i="1" s="1"/>
  <c r="CD69" i="5"/>
  <c r="CD70" i="5" s="1"/>
  <c r="CD74" i="5" s="1"/>
  <c r="CD76" i="5" s="1"/>
  <c r="CE76" i="6" s="1"/>
  <c r="CG39" i="6"/>
  <c r="CG48" i="6" s="1"/>
  <c r="CF58" i="5"/>
  <c r="CF65" i="5" s="1"/>
  <c r="CF51" i="5"/>
  <c r="CF52" i="5" s="1"/>
  <c r="CG50" i="5"/>
  <c r="CH39" i="6"/>
  <c r="CH48" i="6" s="1"/>
  <c r="CK81" i="1" s="1"/>
  <c r="CG51" i="5"/>
  <c r="CG58" i="5"/>
  <c r="CG65" i="5" s="1"/>
  <c r="CG55" i="5"/>
  <c r="CG33" i="5"/>
  <c r="CG46" i="5" s="1"/>
  <c r="CH38" i="6"/>
  <c r="CH47" i="6" s="1"/>
  <c r="CK80" i="1" s="1"/>
  <c r="CF57" i="5"/>
  <c r="CF62" i="5"/>
  <c r="CF64" i="5" s="1"/>
  <c r="CI364" i="1"/>
  <c r="CH361" i="1"/>
  <c r="CH4" i="5"/>
  <c r="CH25" i="5" s="1"/>
  <c r="CH42" i="5"/>
  <c r="CH31" i="5"/>
  <c r="CH40" i="6"/>
  <c r="CH49" i="6" s="1"/>
  <c r="CK82" i="1" s="1"/>
  <c r="CG56" i="5"/>
  <c r="CG63" i="5" s="1"/>
  <c r="CE71" i="5"/>
  <c r="CE72" i="5" s="1"/>
  <c r="CE73" i="5" s="1"/>
  <c r="CE59" i="5"/>
  <c r="CJ303" i="1"/>
  <c r="CI330" i="1"/>
  <c r="CE66" i="5"/>
  <c r="CC74" i="5"/>
  <c r="CC76" i="5" s="1"/>
  <c r="CD76" i="6" s="1"/>
  <c r="CO26" i="1" l="1"/>
  <c r="CI54" i="6"/>
  <c r="CI111" i="6" s="1"/>
  <c r="BL348" i="23" s="1"/>
  <c r="BK304" i="23"/>
  <c r="BK307" i="23" s="1"/>
  <c r="BK353" i="23"/>
  <c r="CI57" i="6"/>
  <c r="CI112" i="6" s="1"/>
  <c r="BL478" i="23" s="1"/>
  <c r="BK435" i="23"/>
  <c r="BK438" i="23" s="1"/>
  <c r="BK481" i="23"/>
  <c r="CO6" i="1"/>
  <c r="CO28" i="1" s="1"/>
  <c r="CP13" i="1"/>
  <c r="CP30" i="1" s="1"/>
  <c r="CP32" i="20"/>
  <c r="CM15" i="1"/>
  <c r="CO5" i="1"/>
  <c r="CI26" i="5"/>
  <c r="CJ39" i="6" s="1"/>
  <c r="CJ48" i="6" s="1"/>
  <c r="CM81" i="1" s="1"/>
  <c r="CI50" i="5"/>
  <c r="CM80" i="1"/>
  <c r="CI55" i="5"/>
  <c r="CI33" i="5"/>
  <c r="CI46" i="5" s="1"/>
  <c r="CJ40" i="6"/>
  <c r="CJ49" i="6" s="1"/>
  <c r="CM82" i="1" s="1"/>
  <c r="CI56" i="5"/>
  <c r="CI63" i="5" s="1"/>
  <c r="CL5" i="5"/>
  <c r="CK34" i="5"/>
  <c r="CK43" i="5"/>
  <c r="CK2" i="5"/>
  <c r="CJ4" i="5"/>
  <c r="CJ25" i="5" s="1"/>
  <c r="CJ26" i="5" s="1"/>
  <c r="CJ31" i="5"/>
  <c r="CJ42" i="5"/>
  <c r="CM324" i="1"/>
  <c r="CN297" i="1"/>
  <c r="CN34" i="1"/>
  <c r="CM41" i="1"/>
  <c r="CM48" i="1" s="1"/>
  <c r="CQ33" i="1"/>
  <c r="CM312" i="1"/>
  <c r="CN287" i="1"/>
  <c r="CN322" i="1"/>
  <c r="CO295" i="1"/>
  <c r="CP320" i="1"/>
  <c r="CQ293" i="1"/>
  <c r="CL263" i="1"/>
  <c r="CL265" i="1" s="1"/>
  <c r="CL224" i="1"/>
  <c r="CI38" i="6"/>
  <c r="CI47" i="6" s="1"/>
  <c r="CL80" i="1" s="1"/>
  <c r="CG50" i="6"/>
  <c r="CJ81" i="1"/>
  <c r="CJ83" i="1" s="1"/>
  <c r="CK83" i="1"/>
  <c r="CK37" i="1"/>
  <c r="CD77" i="5"/>
  <c r="CG52" i="5"/>
  <c r="CH26" i="5"/>
  <c r="CI39" i="6" s="1"/>
  <c r="CI48" i="6" s="1"/>
  <c r="CL81" i="1" s="1"/>
  <c r="CF66" i="5"/>
  <c r="CF67" i="5" s="1"/>
  <c r="CH50" i="5"/>
  <c r="CE67" i="5"/>
  <c r="CE69" i="5"/>
  <c r="CE77" i="5" s="1"/>
  <c r="CI40" i="6"/>
  <c r="CI49" i="6" s="1"/>
  <c r="CL82" i="1" s="1"/>
  <c r="CH56" i="5"/>
  <c r="CH63" i="5" s="1"/>
  <c r="CI361" i="1"/>
  <c r="CJ364" i="1"/>
  <c r="CG62" i="5"/>
  <c r="CG64" i="5" s="1"/>
  <c r="CG66" i="5" s="1"/>
  <c r="CG57" i="5"/>
  <c r="CJ330" i="1"/>
  <c r="CK303" i="1"/>
  <c r="CH55" i="5"/>
  <c r="CH33" i="5"/>
  <c r="CH46" i="5" s="1"/>
  <c r="CF71" i="5"/>
  <c r="CF59" i="5"/>
  <c r="CH50" i="6"/>
  <c r="CP26" i="1" l="1"/>
  <c r="CQ13" i="1"/>
  <c r="CQ30" i="1" s="1"/>
  <c r="CP5" i="1"/>
  <c r="CP6" i="1"/>
  <c r="CP28" i="1" s="1"/>
  <c r="CJ54" i="6"/>
  <c r="BL304" i="23"/>
  <c r="BL307" i="23" s="1"/>
  <c r="BL353" i="23"/>
  <c r="CJ57" i="6"/>
  <c r="CJ112" i="6" s="1"/>
  <c r="BM478" i="23" s="1"/>
  <c r="BL435" i="23"/>
  <c r="BL438" i="23" s="1"/>
  <c r="BL481" i="23"/>
  <c r="CQ32" i="20"/>
  <c r="CN15" i="1"/>
  <c r="CJ50" i="5"/>
  <c r="CI51" i="5"/>
  <c r="CI52" i="5" s="1"/>
  <c r="CI58" i="5"/>
  <c r="CI65" i="5" s="1"/>
  <c r="CK38" i="6"/>
  <c r="CK47" i="6" s="1"/>
  <c r="CN80" i="1" s="1"/>
  <c r="CM37" i="1"/>
  <c r="CK39" i="6"/>
  <c r="CK48" i="6" s="1"/>
  <c r="CN81" i="1" s="1"/>
  <c r="CJ58" i="5"/>
  <c r="CJ65" i="5" s="1"/>
  <c r="CJ51" i="5"/>
  <c r="CJ55" i="5"/>
  <c r="CJ33" i="5"/>
  <c r="CJ46" i="5" s="1"/>
  <c r="CK40" i="6"/>
  <c r="CK49" i="6" s="1"/>
  <c r="CN82" i="1" s="1"/>
  <c r="CJ56" i="5"/>
  <c r="CJ63" i="5" s="1"/>
  <c r="CL2" i="5"/>
  <c r="CK4" i="5"/>
  <c r="CK25" i="5" s="1"/>
  <c r="CL38" i="6" s="1"/>
  <c r="CL47" i="6" s="1"/>
  <c r="CK42" i="5"/>
  <c r="CK31" i="5"/>
  <c r="CI57" i="5"/>
  <c r="CI62" i="5"/>
  <c r="CI64" i="5" s="1"/>
  <c r="CM5" i="5"/>
  <c r="CL34" i="5"/>
  <c r="CL43" i="5"/>
  <c r="CJ50" i="6"/>
  <c r="CM83" i="1"/>
  <c r="CQ320" i="1"/>
  <c r="CO322" i="1"/>
  <c r="CP295" i="1"/>
  <c r="CO287" i="1"/>
  <c r="CN312" i="1"/>
  <c r="CM224" i="1"/>
  <c r="CM263" i="1"/>
  <c r="CM265" i="1" s="1"/>
  <c r="CN41" i="1"/>
  <c r="CN48" i="1" s="1"/>
  <c r="CO34" i="1"/>
  <c r="CQ26" i="1"/>
  <c r="CQ6" i="1"/>
  <c r="CQ28" i="1" s="1"/>
  <c r="CQ5" i="1"/>
  <c r="CN324" i="1"/>
  <c r="CO297" i="1"/>
  <c r="CL37" i="1"/>
  <c r="CL83" i="1"/>
  <c r="CF69" i="5"/>
  <c r="CF77" i="5" s="1"/>
  <c r="CH58" i="5"/>
  <c r="CH65" i="5" s="1"/>
  <c r="CH51" i="5"/>
  <c r="CH52" i="5" s="1"/>
  <c r="CI50" i="6"/>
  <c r="CF72" i="5"/>
  <c r="CF73" i="5" s="1"/>
  <c r="CH62" i="5"/>
  <c r="CH64" i="5" s="1"/>
  <c r="CH57" i="5"/>
  <c r="CL303" i="1"/>
  <c r="CM303" i="1" s="1"/>
  <c r="CK330" i="1"/>
  <c r="CK364" i="1"/>
  <c r="CJ361" i="1"/>
  <c r="CG71" i="5"/>
  <c r="CG59" i="5"/>
  <c r="CG69" i="5" s="1"/>
  <c r="CG67" i="5"/>
  <c r="CE70" i="5"/>
  <c r="CE74" i="5" s="1"/>
  <c r="CE76" i="5" s="1"/>
  <c r="CF76" i="6" s="1"/>
  <c r="CJ55" i="6" l="1"/>
  <c r="CJ111" i="6"/>
  <c r="BM348" i="23" s="1"/>
  <c r="BM353" i="23" s="1"/>
  <c r="CK54" i="6"/>
  <c r="BM304" i="23"/>
  <c r="BM307" i="23" s="1"/>
  <c r="CK57" i="6"/>
  <c r="CK112" i="6" s="1"/>
  <c r="BN478" i="23" s="1"/>
  <c r="BM435" i="23"/>
  <c r="BM438" i="23" s="1"/>
  <c r="BM481" i="23"/>
  <c r="CR32" i="20"/>
  <c r="CO15" i="1"/>
  <c r="CI66" i="5"/>
  <c r="CJ52" i="5"/>
  <c r="CN37" i="1"/>
  <c r="CK50" i="5"/>
  <c r="CK55" i="5"/>
  <c r="CK33" i="5"/>
  <c r="CK46" i="5" s="1"/>
  <c r="CL40" i="6"/>
  <c r="CL49" i="6" s="1"/>
  <c r="CO82" i="1" s="1"/>
  <c r="CK56" i="5"/>
  <c r="CK63" i="5" s="1"/>
  <c r="CJ62" i="5"/>
  <c r="CJ64" i="5" s="1"/>
  <c r="CJ66" i="5" s="1"/>
  <c r="CJ57" i="5"/>
  <c r="CL4" i="5"/>
  <c r="CL25" i="5" s="1"/>
  <c r="CM2" i="5"/>
  <c r="CL31" i="5"/>
  <c r="CL42" i="5"/>
  <c r="CI71" i="5"/>
  <c r="CI59" i="5"/>
  <c r="CO80" i="1"/>
  <c r="CM34" i="5"/>
  <c r="CM43" i="5"/>
  <c r="CK50" i="6"/>
  <c r="CK26" i="5"/>
  <c r="CN83" i="1"/>
  <c r="CM330" i="1"/>
  <c r="CN303" i="1"/>
  <c r="CO41" i="1"/>
  <c r="CO48" i="1" s="1"/>
  <c r="CP34" i="1"/>
  <c r="CP322" i="1"/>
  <c r="CQ295" i="1"/>
  <c r="CO312" i="1"/>
  <c r="CP287" i="1"/>
  <c r="CN263" i="1"/>
  <c r="CN265" i="1" s="1"/>
  <c r="CN224" i="1"/>
  <c r="CP297" i="1"/>
  <c r="CO324" i="1"/>
  <c r="CF70" i="5"/>
  <c r="CF74" i="5" s="1"/>
  <c r="CF76" i="5" s="1"/>
  <c r="CG76" i="6" s="1"/>
  <c r="CH66" i="5"/>
  <c r="CG70" i="5"/>
  <c r="CL364" i="1"/>
  <c r="CM364" i="1" s="1"/>
  <c r="CK361" i="1"/>
  <c r="CL330" i="1"/>
  <c r="CH71" i="5"/>
  <c r="CH59" i="5"/>
  <c r="CG72" i="5"/>
  <c r="CG73" i="5" s="1"/>
  <c r="CG77" i="5"/>
  <c r="CK55" i="6" l="1"/>
  <c r="CK111" i="6"/>
  <c r="BN348" i="23" s="1"/>
  <c r="CL54" i="6"/>
  <c r="CL111" i="6" s="1"/>
  <c r="BO348" i="23" s="1"/>
  <c r="BN304" i="23"/>
  <c r="BN307" i="23" s="1"/>
  <c r="BN353" i="23"/>
  <c r="CL57" i="6"/>
  <c r="CL112" i="6" s="1"/>
  <c r="BO478" i="23" s="1"/>
  <c r="BN435" i="23"/>
  <c r="BN438" i="23" s="1"/>
  <c r="BN481" i="23"/>
  <c r="CJ67" i="5"/>
  <c r="CS32" i="20"/>
  <c r="CQ15" i="1" s="1"/>
  <c r="CP15" i="1"/>
  <c r="CI69" i="5"/>
  <c r="CI77" i="5" s="1"/>
  <c r="CI67" i="5"/>
  <c r="CL39" i="6"/>
  <c r="CL48" i="6" s="1"/>
  <c r="CK51" i="5"/>
  <c r="CK52" i="5" s="1"/>
  <c r="CK58" i="5"/>
  <c r="CK65" i="5" s="1"/>
  <c r="CJ59" i="5"/>
  <c r="CJ69" i="5" s="1"/>
  <c r="CJ71" i="5"/>
  <c r="CL26" i="5"/>
  <c r="CM40" i="6"/>
  <c r="CM49" i="6" s="1"/>
  <c r="CP82" i="1" s="1"/>
  <c r="CL56" i="5"/>
  <c r="CL63" i="5" s="1"/>
  <c r="CL50" i="5"/>
  <c r="CO37" i="1"/>
  <c r="CL33" i="5"/>
  <c r="CL46" i="5" s="1"/>
  <c r="CL55" i="5"/>
  <c r="CM38" i="6"/>
  <c r="CM47" i="6" s="1"/>
  <c r="CI72" i="5"/>
  <c r="CI73" i="5" s="1"/>
  <c r="CM4" i="5"/>
  <c r="CM25" i="5" s="1"/>
  <c r="CM31" i="5"/>
  <c r="CM42" i="5"/>
  <c r="CK62" i="5"/>
  <c r="CK64" i="5" s="1"/>
  <c r="CK57" i="5"/>
  <c r="CQ34" i="1"/>
  <c r="CP41" i="1"/>
  <c r="CP48" i="1" s="1"/>
  <c r="CN364" i="1"/>
  <c r="CM361" i="1"/>
  <c r="CO263" i="1"/>
  <c r="CO265" i="1" s="1"/>
  <c r="CO224" i="1"/>
  <c r="CP312" i="1"/>
  <c r="CQ287" i="1"/>
  <c r="CQ322" i="1"/>
  <c r="CP324" i="1"/>
  <c r="CQ297" i="1"/>
  <c r="CO303" i="1"/>
  <c r="CN330" i="1"/>
  <c r="CL55" i="6"/>
  <c r="CL361" i="1"/>
  <c r="CH72" i="5"/>
  <c r="CH73" i="5" s="1"/>
  <c r="CH67" i="5"/>
  <c r="CH69" i="5"/>
  <c r="CG74" i="5"/>
  <c r="CG76" i="5" s="1"/>
  <c r="CH76" i="6" s="1"/>
  <c r="CM54" i="6" l="1"/>
  <c r="BO304" i="23"/>
  <c r="BO307" i="23" s="1"/>
  <c r="BO353" i="23"/>
  <c r="CM57" i="6"/>
  <c r="CM112" i="6" s="1"/>
  <c r="BP478" i="23" s="1"/>
  <c r="BO435" i="23"/>
  <c r="BO438" i="23" s="1"/>
  <c r="BO481" i="23"/>
  <c r="CJ70" i="5"/>
  <c r="CI70" i="5"/>
  <c r="CI74" i="5" s="1"/>
  <c r="CI76" i="5" s="1"/>
  <c r="CJ76" i="6" s="1"/>
  <c r="CK66" i="5"/>
  <c r="CK67" i="5" s="1"/>
  <c r="CM50" i="5"/>
  <c r="CJ77" i="5"/>
  <c r="CJ72" i="5"/>
  <c r="CJ73" i="5" s="1"/>
  <c r="CP80" i="1"/>
  <c r="CP37" i="1" s="1"/>
  <c r="CN40" i="6"/>
  <c r="CN49" i="6" s="1"/>
  <c r="CQ82" i="1" s="1"/>
  <c r="CM56" i="5"/>
  <c r="CM63" i="5" s="1"/>
  <c r="CM26" i="5"/>
  <c r="CM33" i="5"/>
  <c r="CM46" i="5" s="1"/>
  <c r="CM55" i="5"/>
  <c r="CN38" i="6"/>
  <c r="CN47" i="6" s="1"/>
  <c r="CL62" i="5"/>
  <c r="CL64" i="5" s="1"/>
  <c r="CL57" i="5"/>
  <c r="CM39" i="6"/>
  <c r="CM48" i="6" s="1"/>
  <c r="CP81" i="1" s="1"/>
  <c r="CL58" i="5"/>
  <c r="CL65" i="5" s="1"/>
  <c r="CL51" i="5"/>
  <c r="CL52" i="5" s="1"/>
  <c r="CK71" i="5"/>
  <c r="CK72" i="5" s="1"/>
  <c r="CK73" i="5" s="1"/>
  <c r="CK59" i="5"/>
  <c r="CO81" i="1"/>
  <c r="CO83" i="1" s="1"/>
  <c r="CL50" i="6"/>
  <c r="CO364" i="1"/>
  <c r="CN361" i="1"/>
  <c r="CO330" i="1"/>
  <c r="CP303" i="1"/>
  <c r="CQ324" i="1"/>
  <c r="CQ312" i="1"/>
  <c r="CP224" i="1"/>
  <c r="CP263" i="1"/>
  <c r="CP265" i="1" s="1"/>
  <c r="CQ41" i="1"/>
  <c r="CQ48" i="1" s="1"/>
  <c r="CH70" i="5"/>
  <c r="CH74" i="5" s="1"/>
  <c r="CH76" i="5" s="1"/>
  <c r="CI76" i="6" s="1"/>
  <c r="CH77" i="5"/>
  <c r="CM55" i="6" l="1"/>
  <c r="CM111" i="6"/>
  <c r="BP348" i="23" s="1"/>
  <c r="CN54" i="6"/>
  <c r="CN111" i="6" s="1"/>
  <c r="BQ348" i="23" s="1"/>
  <c r="BP304" i="23"/>
  <c r="BP307" i="23" s="1"/>
  <c r="BP353" i="23"/>
  <c r="CN57" i="6"/>
  <c r="CN112" i="6" s="1"/>
  <c r="BQ478" i="23" s="1"/>
  <c r="BP435" i="23"/>
  <c r="BP438" i="23" s="1"/>
  <c r="BP481" i="23"/>
  <c r="CK69" i="5"/>
  <c r="CK70" i="5" s="1"/>
  <c r="CK74" i="5" s="1"/>
  <c r="CK76" i="5" s="1"/>
  <c r="CL76" i="6" s="1"/>
  <c r="CN39" i="6"/>
  <c r="CN48" i="6" s="1"/>
  <c r="CQ81" i="1" s="1"/>
  <c r="CM58" i="5"/>
  <c r="CM65" i="5" s="1"/>
  <c r="CM51" i="5"/>
  <c r="CM52" i="5" s="1"/>
  <c r="CQ80" i="1"/>
  <c r="CM57" i="5"/>
  <c r="CM62" i="5"/>
  <c r="CM64" i="5" s="1"/>
  <c r="CM50" i="6"/>
  <c r="CL59" i="5"/>
  <c r="CL71" i="5"/>
  <c r="CL66" i="5"/>
  <c r="CP83" i="1"/>
  <c r="CJ74" i="5"/>
  <c r="CJ76" i="5" s="1"/>
  <c r="CK76" i="6" s="1"/>
  <c r="CQ224" i="1"/>
  <c r="CQ263" i="1"/>
  <c r="CQ265" i="1" s="1"/>
  <c r="CQ303" i="1"/>
  <c r="CP330" i="1"/>
  <c r="CP364" i="1"/>
  <c r="CO361" i="1"/>
  <c r="CN55" i="6" l="1"/>
  <c r="BQ304" i="23"/>
  <c r="BQ307" i="23" s="1"/>
  <c r="BQ353" i="23"/>
  <c r="BQ435" i="23"/>
  <c r="BQ438" i="23" s="1"/>
  <c r="BQ481" i="23"/>
  <c r="CK77" i="5"/>
  <c r="CM66" i="5"/>
  <c r="CM67" i="5" s="1"/>
  <c r="CQ83" i="1"/>
  <c r="CL67" i="5"/>
  <c r="CL72" i="5"/>
  <c r="CL73" i="5" s="1"/>
  <c r="CL69" i="5"/>
  <c r="CL70" i="5" s="1"/>
  <c r="CM59" i="5"/>
  <c r="CM71" i="5"/>
  <c r="CQ37" i="1"/>
  <c r="CN50" i="6"/>
  <c r="CQ364" i="1"/>
  <c r="CP361" i="1"/>
  <c r="CQ330" i="1"/>
  <c r="CM69" i="5" l="1"/>
  <c r="CM70" i="5" s="1"/>
  <c r="CL77" i="5"/>
  <c r="CL74" i="5"/>
  <c r="CL76" i="5" s="1"/>
  <c r="CM76" i="6" s="1"/>
  <c r="CM72" i="5"/>
  <c r="CM73" i="5" s="1"/>
  <c r="CQ361" i="1"/>
  <c r="CM77" i="5" l="1"/>
  <c r="CM74" i="5"/>
  <c r="CM76" i="5" s="1"/>
  <c r="CN76" i="6" s="1"/>
  <c r="R371" i="1"/>
  <c r="H91" i="3"/>
  <c r="R373" i="1"/>
  <c r="R33" i="1"/>
  <c r="N2" i="5"/>
  <c r="N4" i="5" s="1"/>
  <c r="N25" i="5" s="1"/>
  <c r="S33" i="1"/>
  <c r="S80" i="1" s="1"/>
  <c r="S83" i="1" s="1"/>
  <c r="S79" i="1" s="1"/>
  <c r="F86" i="1" l="1"/>
  <c r="J86" i="1"/>
  <c r="N86" i="1"/>
  <c r="R86" i="1"/>
  <c r="V86" i="1"/>
  <c r="Z86" i="1"/>
  <c r="U86" i="1"/>
  <c r="G86" i="1"/>
  <c r="K86" i="1"/>
  <c r="O86" i="1"/>
  <c r="S86" i="1"/>
  <c r="W86" i="1"/>
  <c r="I86" i="1"/>
  <c r="Q86" i="1"/>
  <c r="R80" i="1"/>
  <c r="R83" i="1" s="1"/>
  <c r="R79" i="1" s="1"/>
  <c r="H86" i="1"/>
  <c r="L86" i="1"/>
  <c r="P86" i="1"/>
  <c r="T86" i="1"/>
  <c r="X86" i="1"/>
  <c r="M86" i="1"/>
  <c r="Y86" i="1"/>
  <c r="CM40" i="1"/>
  <c r="CN40" i="1"/>
  <c r="CO40" i="1"/>
  <c r="CP40" i="1"/>
  <c r="CQ40" i="1"/>
  <c r="CJ58" i="6"/>
  <c r="CJ59" i="6" s="1"/>
  <c r="CJ62" i="6" s="1"/>
  <c r="T40" i="1"/>
  <c r="V40" i="1"/>
  <c r="V128" i="1" s="1"/>
  <c r="R40" i="1"/>
  <c r="S40" i="1"/>
  <c r="U40" i="1"/>
  <c r="W40" i="1"/>
  <c r="K40" i="1"/>
  <c r="M40" i="1"/>
  <c r="Q40" i="1"/>
  <c r="O40" i="1"/>
  <c r="J40" i="1"/>
  <c r="I40" i="1"/>
  <c r="G40" i="1"/>
  <c r="G128" i="1" s="1"/>
  <c r="L40" i="1"/>
  <c r="P40" i="1"/>
  <c r="H40" i="1"/>
  <c r="N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W40" i="1"/>
  <c r="AV40" i="1"/>
  <c r="AX40" i="1"/>
  <c r="AY40" i="1"/>
  <c r="AZ40" i="1"/>
  <c r="BA40" i="1"/>
  <c r="BC40" i="1"/>
  <c r="BB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N31" i="5"/>
  <c r="N33" i="5" s="1"/>
  <c r="N46" i="5" s="1"/>
  <c r="R375" i="1"/>
  <c r="AD86" i="1"/>
  <c r="AH86" i="1"/>
  <c r="AL86" i="1"/>
  <c r="AP86" i="1"/>
  <c r="AT86" i="1"/>
  <c r="AX86" i="1"/>
  <c r="BB86" i="1"/>
  <c r="AB86" i="1"/>
  <c r="AF86" i="1"/>
  <c r="AJ86" i="1"/>
  <c r="AN86" i="1"/>
  <c r="AR86" i="1"/>
  <c r="AV86" i="1"/>
  <c r="AZ86" i="1"/>
  <c r="AG86" i="1"/>
  <c r="AO86" i="1"/>
  <c r="AW86" i="1"/>
  <c r="F89" i="1"/>
  <c r="AE86" i="1"/>
  <c r="AM86" i="1"/>
  <c r="AU86" i="1"/>
  <c r="BC86" i="1"/>
  <c r="BD92" i="1" s="1"/>
  <c r="AC86" i="1"/>
  <c r="AS86" i="1"/>
  <c r="AK86" i="1"/>
  <c r="AI86" i="1"/>
  <c r="AY86" i="1"/>
  <c r="BA86" i="1"/>
  <c r="AA86" i="1"/>
  <c r="AQ86" i="1"/>
  <c r="S121" i="1"/>
  <c r="S375" i="1"/>
  <c r="T94" i="7"/>
  <c r="T97" i="7" s="1"/>
  <c r="S371" i="1"/>
  <c r="S373" i="1"/>
  <c r="J91" i="3"/>
  <c r="I91" i="3"/>
  <c r="O2" i="5"/>
  <c r="O4" i="5" s="1"/>
  <c r="O25" i="5" s="1"/>
  <c r="N56" i="5"/>
  <c r="N50" i="5"/>
  <c r="N26" i="5"/>
  <c r="O40" i="6"/>
  <c r="O38" i="6"/>
  <c r="S94" i="7"/>
  <c r="S97" i="7" s="1"/>
  <c r="R121" i="1" l="1"/>
  <c r="R160" i="1" s="1"/>
  <c r="BI47" i="1"/>
  <c r="BI128" i="1"/>
  <c r="BL47" i="1"/>
  <c r="BL128" i="1"/>
  <c r="BH47" i="1"/>
  <c r="BH128" i="1"/>
  <c r="BD47" i="1"/>
  <c r="BD128" i="1"/>
  <c r="BM47" i="1"/>
  <c r="BM128" i="1"/>
  <c r="BK47" i="1"/>
  <c r="BK128" i="1"/>
  <c r="BG47" i="1"/>
  <c r="BG128" i="1"/>
  <c r="BE47" i="1"/>
  <c r="BE128" i="1"/>
  <c r="BJ47" i="1"/>
  <c r="BJ128" i="1"/>
  <c r="BF47" i="1"/>
  <c r="BF128" i="1"/>
  <c r="CP47" i="1"/>
  <c r="CP257" i="1" s="1"/>
  <c r="CP259" i="1" s="1"/>
  <c r="CO47" i="1"/>
  <c r="CO257" i="1" s="1"/>
  <c r="CO259" i="1" s="1"/>
  <c r="CN47" i="1"/>
  <c r="CN257" i="1" s="1"/>
  <c r="CN259" i="1" s="1"/>
  <c r="CQ47" i="1"/>
  <c r="CQ257" i="1" s="1"/>
  <c r="CQ259" i="1" s="1"/>
  <c r="CJ60" i="6"/>
  <c r="CO86" i="20"/>
  <c r="CO85" i="20" s="1"/>
  <c r="CM47" i="1"/>
  <c r="CK58" i="6"/>
  <c r="CK59" i="6" s="1"/>
  <c r="CK62" i="6" s="1"/>
  <c r="CJ63" i="6"/>
  <c r="R37" i="1"/>
  <c r="U128" i="1"/>
  <c r="V135" i="1" s="1"/>
  <c r="V47" i="1"/>
  <c r="V257" i="1" s="1"/>
  <c r="V259" i="1" s="1"/>
  <c r="U47" i="1"/>
  <c r="AW47" i="1"/>
  <c r="R124" i="1"/>
  <c r="R163" i="1" s="1"/>
  <c r="R184" i="1" s="1"/>
  <c r="R191" i="1" s="1"/>
  <c r="R125" i="1"/>
  <c r="R128" i="1"/>
  <c r="T47" i="1"/>
  <c r="T128" i="1"/>
  <c r="N55" i="5"/>
  <c r="N57" i="5" s="1"/>
  <c r="N71" i="5" s="1"/>
  <c r="S37" i="1"/>
  <c r="S47" i="1"/>
  <c r="CI47" i="1"/>
  <c r="CE47" i="1"/>
  <c r="CA47" i="1"/>
  <c r="BW47" i="1"/>
  <c r="BS47" i="1"/>
  <c r="BO47" i="1"/>
  <c r="BC47" i="1"/>
  <c r="BC128" i="1"/>
  <c r="AY47" i="1"/>
  <c r="AY128" i="1"/>
  <c r="AU47" i="1"/>
  <c r="AU128" i="1"/>
  <c r="AM47" i="1"/>
  <c r="AM128" i="1"/>
  <c r="AI47" i="1"/>
  <c r="AI128" i="1"/>
  <c r="AE47" i="1"/>
  <c r="AE128" i="1"/>
  <c r="AA47" i="1"/>
  <c r="AA128" i="1"/>
  <c r="K47" i="1"/>
  <c r="K128" i="1"/>
  <c r="G131" i="1"/>
  <c r="G132" i="1"/>
  <c r="H89" i="1"/>
  <c r="H92" i="1"/>
  <c r="AY89" i="1"/>
  <c r="AY92" i="1"/>
  <c r="U89" i="1"/>
  <c r="U92" i="1"/>
  <c r="AC89" i="1"/>
  <c r="AC92" i="1"/>
  <c r="AM89" i="1"/>
  <c r="AM92" i="1"/>
  <c r="Y89" i="1"/>
  <c r="Y92" i="1"/>
  <c r="S89" i="1"/>
  <c r="S92" i="1"/>
  <c r="AN89" i="1"/>
  <c r="AN92" i="1"/>
  <c r="X89" i="1"/>
  <c r="X92" i="1"/>
  <c r="G89" i="1"/>
  <c r="G95" i="1" s="1"/>
  <c r="G92" i="1"/>
  <c r="AP89" i="1"/>
  <c r="AP92" i="1"/>
  <c r="Z89" i="1"/>
  <c r="Z92" i="1"/>
  <c r="CL47" i="1"/>
  <c r="CH47" i="1"/>
  <c r="CD47" i="1"/>
  <c r="BZ47" i="1"/>
  <c r="BV47" i="1"/>
  <c r="BR47" i="1"/>
  <c r="BN47" i="1"/>
  <c r="BB47" i="1"/>
  <c r="BB128" i="1"/>
  <c r="AX47" i="1"/>
  <c r="AX128" i="1"/>
  <c r="AT47" i="1"/>
  <c r="AT128" i="1"/>
  <c r="AP47" i="1"/>
  <c r="AP128" i="1"/>
  <c r="AL47" i="1"/>
  <c r="AL128" i="1"/>
  <c r="AH47" i="1"/>
  <c r="AH128" i="1"/>
  <c r="AD47" i="1"/>
  <c r="AD128" i="1"/>
  <c r="Z47" i="1"/>
  <c r="Z128" i="1"/>
  <c r="O47" i="1"/>
  <c r="O128" i="1"/>
  <c r="L128" i="1"/>
  <c r="L47" i="1"/>
  <c r="M47" i="1"/>
  <c r="M128" i="1"/>
  <c r="AA89" i="1"/>
  <c r="AA92" i="1"/>
  <c r="AI89" i="1"/>
  <c r="AI92" i="1"/>
  <c r="R47" i="1"/>
  <c r="L89" i="1"/>
  <c r="L92" i="1"/>
  <c r="AE89" i="1"/>
  <c r="AE92" i="1"/>
  <c r="AW89" i="1"/>
  <c r="AW92" i="1"/>
  <c r="M89" i="1"/>
  <c r="M92" i="1"/>
  <c r="AZ89" i="1"/>
  <c r="AZ92" i="1"/>
  <c r="AJ89" i="1"/>
  <c r="AJ92" i="1"/>
  <c r="T89" i="1"/>
  <c r="T92" i="1"/>
  <c r="BB89" i="1"/>
  <c r="BB92" i="1"/>
  <c r="AL89" i="1"/>
  <c r="AL92" i="1"/>
  <c r="V89" i="1"/>
  <c r="V92" i="1"/>
  <c r="AQ47" i="1"/>
  <c r="AQ128" i="1"/>
  <c r="CK47" i="1"/>
  <c r="CG47" i="1"/>
  <c r="CC47" i="1"/>
  <c r="BY47" i="1"/>
  <c r="BU47" i="1"/>
  <c r="BQ47" i="1"/>
  <c r="BA47" i="1"/>
  <c r="BA128" i="1"/>
  <c r="AW128" i="1"/>
  <c r="AS47" i="1"/>
  <c r="AS128" i="1"/>
  <c r="AO47" i="1"/>
  <c r="AO128" i="1"/>
  <c r="AK47" i="1"/>
  <c r="AK128" i="1"/>
  <c r="AG47" i="1"/>
  <c r="AG128" i="1"/>
  <c r="AC47" i="1"/>
  <c r="AC128" i="1"/>
  <c r="Y128" i="1"/>
  <c r="N47" i="1"/>
  <c r="N128" i="1"/>
  <c r="H47" i="1"/>
  <c r="H128" i="1"/>
  <c r="I47" i="1"/>
  <c r="I128" i="1"/>
  <c r="W47" i="1"/>
  <c r="W128" i="1"/>
  <c r="BA89" i="1"/>
  <c r="BA92" i="1"/>
  <c r="Q89" i="1"/>
  <c r="Q92" i="1"/>
  <c r="J89" i="1"/>
  <c r="J92" i="1"/>
  <c r="BC89" i="1"/>
  <c r="BD95" i="1" s="1"/>
  <c r="BC92" i="1"/>
  <c r="W89" i="1"/>
  <c r="W92" i="1"/>
  <c r="AO89" i="1"/>
  <c r="AO92" i="1"/>
  <c r="I89" i="1"/>
  <c r="I92" i="1"/>
  <c r="AV89" i="1"/>
  <c r="AV92" i="1"/>
  <c r="AF89" i="1"/>
  <c r="AF92" i="1"/>
  <c r="O89" i="1"/>
  <c r="O92" i="1"/>
  <c r="AX89" i="1"/>
  <c r="AX92" i="1"/>
  <c r="AH89" i="1"/>
  <c r="AH92" i="1"/>
  <c r="S128" i="1"/>
  <c r="CJ47" i="1"/>
  <c r="CF47" i="1"/>
  <c r="CB47" i="1"/>
  <c r="BX47" i="1"/>
  <c r="BT47" i="1"/>
  <c r="BP47" i="1"/>
  <c r="AZ47" i="1"/>
  <c r="AZ128" i="1"/>
  <c r="AV47" i="1"/>
  <c r="AV128" i="1"/>
  <c r="AR47" i="1"/>
  <c r="AR128" i="1"/>
  <c r="AN47" i="1"/>
  <c r="AN128" i="1"/>
  <c r="AJ47" i="1"/>
  <c r="AJ128" i="1"/>
  <c r="AF47" i="1"/>
  <c r="AF128" i="1"/>
  <c r="AB47" i="1"/>
  <c r="AB128" i="1"/>
  <c r="J47" i="1"/>
  <c r="J128" i="1"/>
  <c r="P128" i="1"/>
  <c r="P47" i="1"/>
  <c r="Q47" i="1"/>
  <c r="Q128" i="1"/>
  <c r="AQ89" i="1"/>
  <c r="AQ92" i="1"/>
  <c r="P89" i="1"/>
  <c r="P92" i="1"/>
  <c r="AK89" i="1"/>
  <c r="AK92" i="1"/>
  <c r="AS89" i="1"/>
  <c r="AS92" i="1"/>
  <c r="AU89" i="1"/>
  <c r="AU92" i="1"/>
  <c r="N89" i="1"/>
  <c r="N92" i="1"/>
  <c r="AG89" i="1"/>
  <c r="AG92" i="1"/>
  <c r="R89" i="1"/>
  <c r="R92" i="1"/>
  <c r="AR89" i="1"/>
  <c r="AR92" i="1"/>
  <c r="AB89" i="1"/>
  <c r="AB92" i="1"/>
  <c r="K89" i="1"/>
  <c r="K92" i="1"/>
  <c r="AT89" i="1"/>
  <c r="AT92" i="1"/>
  <c r="AD89" i="1"/>
  <c r="AD92" i="1"/>
  <c r="S124" i="1"/>
  <c r="S163" i="1" s="1"/>
  <c r="S184" i="1" s="1"/>
  <c r="S191" i="1" s="1"/>
  <c r="O31" i="5"/>
  <c r="O39" i="6"/>
  <c r="N58" i="5"/>
  <c r="N51" i="5"/>
  <c r="N52" i="5" s="1"/>
  <c r="R164" i="1"/>
  <c r="R407" i="1" s="1"/>
  <c r="R409" i="1" s="1"/>
  <c r="R181" i="1"/>
  <c r="N63" i="5"/>
  <c r="O49" i="6"/>
  <c r="BF195" i="1" l="1"/>
  <c r="BL195" i="1"/>
  <c r="BE195" i="1"/>
  <c r="BM195" i="1"/>
  <c r="BK195" i="1"/>
  <c r="BG195" i="1"/>
  <c r="BI195" i="1"/>
  <c r="BJ195" i="1"/>
  <c r="BD195" i="1"/>
  <c r="BH195" i="1"/>
  <c r="BE135" i="1"/>
  <c r="BE132" i="1"/>
  <c r="BE131" i="1"/>
  <c r="BL131" i="1"/>
  <c r="BL135" i="1"/>
  <c r="BL132" i="1"/>
  <c r="BK135" i="1"/>
  <c r="BK132" i="1"/>
  <c r="BK131" i="1"/>
  <c r="BJ135" i="1"/>
  <c r="BJ131" i="1"/>
  <c r="BJ132" i="1"/>
  <c r="BG131" i="1"/>
  <c r="BG135" i="1"/>
  <c r="BG132" i="1"/>
  <c r="BM131" i="1"/>
  <c r="BM135" i="1"/>
  <c r="BM132" i="1"/>
  <c r="BH131" i="1"/>
  <c r="BH135" i="1"/>
  <c r="BH132" i="1"/>
  <c r="BI131" i="1"/>
  <c r="BI132" i="1"/>
  <c r="BI135" i="1"/>
  <c r="BF135" i="1"/>
  <c r="BF131" i="1"/>
  <c r="BF132" i="1"/>
  <c r="BD131" i="1"/>
  <c r="BD135" i="1"/>
  <c r="BD132" i="1"/>
  <c r="AT95" i="1"/>
  <c r="CP223" i="1"/>
  <c r="CQ223" i="1"/>
  <c r="CO223" i="1"/>
  <c r="CN223" i="1"/>
  <c r="CK60" i="6"/>
  <c r="CP86" i="20"/>
  <c r="CP85" i="20" s="1"/>
  <c r="CO141" i="20"/>
  <c r="CO142" i="20"/>
  <c r="CO145" i="20"/>
  <c r="CO137" i="20"/>
  <c r="CO139" i="20"/>
  <c r="CO138" i="20"/>
  <c r="CO143" i="20"/>
  <c r="CO146" i="20"/>
  <c r="CO140" i="20"/>
  <c r="CN43" i="1"/>
  <c r="CM43" i="1"/>
  <c r="CO43" i="1"/>
  <c r="CP43" i="1"/>
  <c r="CQ43" i="1"/>
  <c r="CM257" i="1"/>
  <c r="CM259" i="1" s="1"/>
  <c r="CM223" i="1"/>
  <c r="CK63" i="6"/>
  <c r="CL58" i="6"/>
  <c r="CL59" i="6" s="1"/>
  <c r="CL62" i="6" s="1"/>
  <c r="AR95" i="1"/>
  <c r="Z95" i="1"/>
  <c r="AC257" i="1"/>
  <c r="AC259" i="1" s="1"/>
  <c r="AD257" i="1"/>
  <c r="AD259" i="1" s="1"/>
  <c r="AD223" i="1"/>
  <c r="AE257" i="1"/>
  <c r="AE259" i="1" s="1"/>
  <c r="AE223" i="1"/>
  <c r="W257" i="1"/>
  <c r="W259" i="1" s="1"/>
  <c r="Z257" i="1"/>
  <c r="Z259" i="1" s="1"/>
  <c r="AB257" i="1"/>
  <c r="AB259" i="1" s="1"/>
  <c r="AA257" i="1"/>
  <c r="AA259" i="1" s="1"/>
  <c r="BH257" i="1"/>
  <c r="BH259" i="1" s="1"/>
  <c r="BH223" i="1"/>
  <c r="AS257" i="1"/>
  <c r="AS259" i="1" s="1"/>
  <c r="AS223" i="1"/>
  <c r="AT257" i="1"/>
  <c r="AT259" i="1" s="1"/>
  <c r="AT223" i="1"/>
  <c r="CH257" i="1"/>
  <c r="CH259" i="1" s="1"/>
  <c r="CH223" i="1"/>
  <c r="AF257" i="1"/>
  <c r="AF259" i="1" s="1"/>
  <c r="AF223" i="1"/>
  <c r="AN257" i="1"/>
  <c r="AN259" i="1" s="1"/>
  <c r="AN223" i="1"/>
  <c r="AV257" i="1"/>
  <c r="AV259" i="1" s="1"/>
  <c r="AV223" i="1"/>
  <c r="BL257" i="1"/>
  <c r="BL259" i="1" s="1"/>
  <c r="BL223" i="1"/>
  <c r="CB257" i="1"/>
  <c r="CB259" i="1" s="1"/>
  <c r="CB223" i="1"/>
  <c r="BM257" i="1"/>
  <c r="BM259" i="1" s="1"/>
  <c r="BM223" i="1"/>
  <c r="CC257" i="1"/>
  <c r="CC259" i="1" s="1"/>
  <c r="CC223" i="1"/>
  <c r="AQ257" i="1"/>
  <c r="AQ259" i="1" s="1"/>
  <c r="AQ223" i="1"/>
  <c r="BF257" i="1"/>
  <c r="BF259" i="1" s="1"/>
  <c r="BF223" i="1"/>
  <c r="BV257" i="1"/>
  <c r="BV259" i="1" s="1"/>
  <c r="BV223" i="1"/>
  <c r="CL257" i="1"/>
  <c r="CL259" i="1" s="1"/>
  <c r="CL223" i="1"/>
  <c r="AM257" i="1"/>
  <c r="AM259" i="1" s="1"/>
  <c r="AM223" i="1"/>
  <c r="AY257" i="1"/>
  <c r="AY259" i="1" s="1"/>
  <c r="AY223" i="1"/>
  <c r="BK257" i="1"/>
  <c r="BK259" i="1" s="1"/>
  <c r="BK223" i="1"/>
  <c r="CA257" i="1"/>
  <c r="CA259" i="1" s="1"/>
  <c r="CA223" i="1"/>
  <c r="BE257" i="1"/>
  <c r="BE259" i="1" s="1"/>
  <c r="BE223" i="1"/>
  <c r="BX257" i="1"/>
  <c r="BX259" i="1" s="1"/>
  <c r="BX223" i="1"/>
  <c r="BI257" i="1"/>
  <c r="BI259" i="1" s="1"/>
  <c r="BI223" i="1"/>
  <c r="AL257" i="1"/>
  <c r="AL259" i="1" s="1"/>
  <c r="AL223" i="1"/>
  <c r="BR257" i="1"/>
  <c r="BR259" i="1" s="1"/>
  <c r="BR223" i="1"/>
  <c r="BG257" i="1"/>
  <c r="BG259" i="1" s="1"/>
  <c r="BG223" i="1"/>
  <c r="BW257" i="1"/>
  <c r="BW259" i="1" s="1"/>
  <c r="BW223" i="1"/>
  <c r="BP257" i="1"/>
  <c r="BP259" i="1" s="1"/>
  <c r="BP223" i="1"/>
  <c r="CF257" i="1"/>
  <c r="CF259" i="1" s="1"/>
  <c r="CF223" i="1"/>
  <c r="AG257" i="1"/>
  <c r="AG259" i="1" s="1"/>
  <c r="AG223" i="1"/>
  <c r="AO257" i="1"/>
  <c r="AO259" i="1" s="1"/>
  <c r="AO223" i="1"/>
  <c r="BQ257" i="1"/>
  <c r="BQ259" i="1" s="1"/>
  <c r="BQ223" i="1"/>
  <c r="CG257" i="1"/>
  <c r="CG259" i="1" s="1"/>
  <c r="CG223" i="1"/>
  <c r="AH257" i="1"/>
  <c r="AH259" i="1" s="1"/>
  <c r="AH223" i="1"/>
  <c r="AP257" i="1"/>
  <c r="AP259" i="1" s="1"/>
  <c r="AP223" i="1"/>
  <c r="AX257" i="1"/>
  <c r="AX259" i="1" s="1"/>
  <c r="AX223" i="1"/>
  <c r="BJ257" i="1"/>
  <c r="BJ259" i="1" s="1"/>
  <c r="BJ223" i="1"/>
  <c r="BZ257" i="1"/>
  <c r="BZ259" i="1" s="1"/>
  <c r="BZ223" i="1"/>
  <c r="BO257" i="1"/>
  <c r="BO259" i="1" s="1"/>
  <c r="BO223" i="1"/>
  <c r="CE257" i="1"/>
  <c r="CE259" i="1" s="1"/>
  <c r="CE223" i="1"/>
  <c r="BD257" i="1"/>
  <c r="BD259" i="1" s="1"/>
  <c r="BD223" i="1"/>
  <c r="AK257" i="1"/>
  <c r="AK259" i="1" s="1"/>
  <c r="AK223" i="1"/>
  <c r="BY257" i="1"/>
  <c r="BY259" i="1" s="1"/>
  <c r="BY223" i="1"/>
  <c r="BB257" i="1"/>
  <c r="BB259" i="1" s="1"/>
  <c r="BB223" i="1"/>
  <c r="AJ257" i="1"/>
  <c r="AJ259" i="1" s="1"/>
  <c r="AJ223" i="1"/>
  <c r="AR257" i="1"/>
  <c r="AR259" i="1" s="1"/>
  <c r="AR223" i="1"/>
  <c r="AZ257" i="1"/>
  <c r="AZ259" i="1" s="1"/>
  <c r="AZ223" i="1"/>
  <c r="BT257" i="1"/>
  <c r="BT259" i="1" s="1"/>
  <c r="BT223" i="1"/>
  <c r="CJ257" i="1"/>
  <c r="CJ259" i="1" s="1"/>
  <c r="CJ223" i="1"/>
  <c r="BA257" i="1"/>
  <c r="BA259" i="1" s="1"/>
  <c r="BA223" i="1"/>
  <c r="BU257" i="1"/>
  <c r="BU259" i="1" s="1"/>
  <c r="BU223" i="1"/>
  <c r="CK257" i="1"/>
  <c r="CK259" i="1" s="1"/>
  <c r="CK223" i="1"/>
  <c r="BN257" i="1"/>
  <c r="BN259" i="1" s="1"/>
  <c r="BN223" i="1"/>
  <c r="CD257" i="1"/>
  <c r="CD259" i="1" s="1"/>
  <c r="CD223" i="1"/>
  <c r="AI257" i="1"/>
  <c r="AI259" i="1" s="1"/>
  <c r="AI223" i="1"/>
  <c r="AU257" i="1"/>
  <c r="AU259" i="1" s="1"/>
  <c r="AU223" i="1"/>
  <c r="BC257" i="1"/>
  <c r="BC259" i="1" s="1"/>
  <c r="BC223" i="1"/>
  <c r="BS257" i="1"/>
  <c r="BS259" i="1" s="1"/>
  <c r="BS223" i="1"/>
  <c r="CI257" i="1"/>
  <c r="CI259" i="1" s="1"/>
  <c r="CI223" i="1"/>
  <c r="AW257" i="1"/>
  <c r="AW259" i="1" s="1"/>
  <c r="AW223" i="1"/>
  <c r="K95" i="1"/>
  <c r="AG95" i="1"/>
  <c r="P95" i="1"/>
  <c r="R95" i="1"/>
  <c r="U131" i="1"/>
  <c r="U135" i="1"/>
  <c r="V288" i="1"/>
  <c r="S43" i="1"/>
  <c r="T43" i="1"/>
  <c r="H43" i="1"/>
  <c r="O43" i="1"/>
  <c r="N43" i="1"/>
  <c r="P43" i="1"/>
  <c r="L43" i="1"/>
  <c r="I43" i="1"/>
  <c r="J43" i="1"/>
  <c r="G43" i="1"/>
  <c r="M43" i="1"/>
  <c r="K43" i="1"/>
  <c r="Q43" i="1"/>
  <c r="U43" i="1"/>
  <c r="V43" i="1"/>
  <c r="W43" i="1"/>
  <c r="Y43" i="1"/>
  <c r="Z43" i="1"/>
  <c r="AA43" i="1"/>
  <c r="BO43" i="1"/>
  <c r="AB43" i="1"/>
  <c r="BN43" i="1"/>
  <c r="AC43" i="1"/>
  <c r="BP43" i="1"/>
  <c r="AD43" i="1"/>
  <c r="BQ43" i="1"/>
  <c r="AE43" i="1"/>
  <c r="AF43" i="1"/>
  <c r="BR43" i="1"/>
  <c r="BS43" i="1"/>
  <c r="AG43" i="1"/>
  <c r="AH43" i="1"/>
  <c r="BT43" i="1"/>
  <c r="BU43" i="1"/>
  <c r="AI43" i="1"/>
  <c r="AJ43" i="1"/>
  <c r="BV43" i="1"/>
  <c r="BX43" i="1"/>
  <c r="BW43" i="1"/>
  <c r="AK43" i="1"/>
  <c r="AL43" i="1"/>
  <c r="BY43" i="1"/>
  <c r="AM43" i="1"/>
  <c r="AN43" i="1"/>
  <c r="BZ43" i="1"/>
  <c r="CA43" i="1"/>
  <c r="AO43" i="1"/>
  <c r="CB43" i="1"/>
  <c r="AP43" i="1"/>
  <c r="AQ43" i="1"/>
  <c r="CC43" i="1"/>
  <c r="CD43" i="1"/>
  <c r="AR43" i="1"/>
  <c r="CE43" i="1"/>
  <c r="AS43" i="1"/>
  <c r="AT43" i="1"/>
  <c r="CF43" i="1"/>
  <c r="AU43" i="1"/>
  <c r="CG43" i="1"/>
  <c r="CH43" i="1"/>
  <c r="AV43" i="1"/>
  <c r="AW43" i="1"/>
  <c r="CI43" i="1"/>
  <c r="AX43" i="1"/>
  <c r="CJ43" i="1"/>
  <c r="CK43" i="1"/>
  <c r="AY43" i="1"/>
  <c r="AZ43" i="1"/>
  <c r="CL43" i="1"/>
  <c r="BA43" i="1"/>
  <c r="BB43" i="1"/>
  <c r="BC43" i="1"/>
  <c r="R43" i="1"/>
  <c r="AB95" i="1"/>
  <c r="N95" i="1"/>
  <c r="AZ95" i="1"/>
  <c r="AD95" i="1"/>
  <c r="AK95" i="1"/>
  <c r="AF95" i="1"/>
  <c r="W95" i="1"/>
  <c r="T135" i="1"/>
  <c r="N62" i="5"/>
  <c r="N64" i="5" s="1"/>
  <c r="O47" i="6"/>
  <c r="V95" i="1"/>
  <c r="AQ95" i="1"/>
  <c r="I95" i="1"/>
  <c r="AN95" i="1"/>
  <c r="T95" i="1"/>
  <c r="AU95" i="1"/>
  <c r="AI95" i="1"/>
  <c r="Y95" i="1"/>
  <c r="AL95" i="1"/>
  <c r="AW95" i="1"/>
  <c r="AC95" i="1"/>
  <c r="AY95" i="1"/>
  <c r="Q131" i="1"/>
  <c r="Q132" i="1"/>
  <c r="Q135" i="1"/>
  <c r="AB131" i="1"/>
  <c r="AB132" i="1"/>
  <c r="AB135" i="1"/>
  <c r="AR131" i="1"/>
  <c r="AR135" i="1"/>
  <c r="AR132" i="1"/>
  <c r="AZ132" i="1"/>
  <c r="AZ131" i="1"/>
  <c r="AZ135" i="1"/>
  <c r="W135" i="1"/>
  <c r="W132" i="1"/>
  <c r="W131" i="1"/>
  <c r="Y131" i="1"/>
  <c r="Y132" i="1"/>
  <c r="AG131" i="1"/>
  <c r="AG135" i="1"/>
  <c r="AG218" i="1" s="1"/>
  <c r="AG220" i="1" s="1"/>
  <c r="AG132" i="1"/>
  <c r="AW135" i="1"/>
  <c r="AW132" i="1"/>
  <c r="AW131" i="1"/>
  <c r="P135" i="1"/>
  <c r="O131" i="1"/>
  <c r="O132" i="1"/>
  <c r="O135" i="1"/>
  <c r="AL135" i="1"/>
  <c r="AL131" i="1"/>
  <c r="AL132" i="1"/>
  <c r="AS95" i="1"/>
  <c r="AH95" i="1"/>
  <c r="O95" i="1"/>
  <c r="AV95" i="1"/>
  <c r="AO95" i="1"/>
  <c r="BC95" i="1"/>
  <c r="Q95" i="1"/>
  <c r="V131" i="1"/>
  <c r="AA95" i="1"/>
  <c r="AA135" i="1"/>
  <c r="AA132" i="1"/>
  <c r="AA131" i="1"/>
  <c r="AI132" i="1"/>
  <c r="AI135" i="1"/>
  <c r="AI218" i="1" s="1"/>
  <c r="AI220" i="1" s="1"/>
  <c r="AI131" i="1"/>
  <c r="AU135" i="1"/>
  <c r="AU132" i="1"/>
  <c r="AU131" i="1"/>
  <c r="BC135" i="1"/>
  <c r="BC132" i="1"/>
  <c r="BC131" i="1"/>
  <c r="J132" i="1"/>
  <c r="J131" i="1"/>
  <c r="J135" i="1"/>
  <c r="AJ132" i="1"/>
  <c r="AJ135" i="1"/>
  <c r="AJ131" i="1"/>
  <c r="H135" i="1"/>
  <c r="H132" i="1"/>
  <c r="H139" i="1" s="1"/>
  <c r="H131" i="1"/>
  <c r="H138" i="1" s="1"/>
  <c r="AO131" i="1"/>
  <c r="AO132" i="1"/>
  <c r="AO135" i="1"/>
  <c r="L95" i="1"/>
  <c r="M132" i="1"/>
  <c r="M131" i="1"/>
  <c r="M135" i="1"/>
  <c r="AD135" i="1"/>
  <c r="AD218" i="1" s="1"/>
  <c r="AD220" i="1" s="1"/>
  <c r="AD132" i="1"/>
  <c r="AD131" i="1"/>
  <c r="AT131" i="1"/>
  <c r="AT135" i="1"/>
  <c r="AT132" i="1"/>
  <c r="BB132" i="1"/>
  <c r="BB135" i="1"/>
  <c r="BB131" i="1"/>
  <c r="AF135" i="1"/>
  <c r="AF218" i="1" s="1"/>
  <c r="AF220" i="1" s="1"/>
  <c r="AF131" i="1"/>
  <c r="AF132" i="1"/>
  <c r="AN135" i="1"/>
  <c r="AN132" i="1"/>
  <c r="AN131" i="1"/>
  <c r="AV131" i="1"/>
  <c r="AV132" i="1"/>
  <c r="AV135" i="1"/>
  <c r="I135" i="1"/>
  <c r="I132" i="1"/>
  <c r="I131" i="1"/>
  <c r="N135" i="1"/>
  <c r="N132" i="1"/>
  <c r="N131" i="1"/>
  <c r="AC135" i="1"/>
  <c r="AC132" i="1"/>
  <c r="AC131" i="1"/>
  <c r="AK131" i="1"/>
  <c r="AK135" i="1"/>
  <c r="AK132" i="1"/>
  <c r="AS135" i="1"/>
  <c r="AS131" i="1"/>
  <c r="AS132" i="1"/>
  <c r="BA131" i="1"/>
  <c r="BA135" i="1"/>
  <c r="BA132" i="1"/>
  <c r="BB95" i="1"/>
  <c r="AJ95" i="1"/>
  <c r="M95" i="1"/>
  <c r="AE95" i="1"/>
  <c r="T132" i="1"/>
  <c r="T131" i="1"/>
  <c r="Z131" i="1"/>
  <c r="Z132" i="1"/>
  <c r="Z135" i="1"/>
  <c r="AH131" i="1"/>
  <c r="AH135" i="1"/>
  <c r="AH218" i="1" s="1"/>
  <c r="AH220" i="1" s="1"/>
  <c r="AH132" i="1"/>
  <c r="AP135" i="1"/>
  <c r="AP131" i="1"/>
  <c r="AP132" i="1"/>
  <c r="AX132" i="1"/>
  <c r="AX135" i="1"/>
  <c r="AX131" i="1"/>
  <c r="AP95" i="1"/>
  <c r="X95" i="1"/>
  <c r="S95" i="1"/>
  <c r="AM95" i="1"/>
  <c r="U95" i="1"/>
  <c r="H95" i="1"/>
  <c r="R188" i="1"/>
  <c r="BC195" i="1"/>
  <c r="V195" i="1"/>
  <c r="Z195" i="1"/>
  <c r="AD195" i="1"/>
  <c r="AH195" i="1"/>
  <c r="AL195" i="1"/>
  <c r="AP195" i="1"/>
  <c r="AT195" i="1"/>
  <c r="AX195" i="1"/>
  <c r="BB195" i="1"/>
  <c r="D195" i="1"/>
  <c r="H195" i="1"/>
  <c r="L195" i="1"/>
  <c r="P195" i="1"/>
  <c r="T195" i="1"/>
  <c r="X195" i="1"/>
  <c r="AB195" i="1"/>
  <c r="AF195" i="1"/>
  <c r="AJ195" i="1"/>
  <c r="AN195" i="1"/>
  <c r="AR195" i="1"/>
  <c r="AV195" i="1"/>
  <c r="AZ195" i="1"/>
  <c r="B195" i="1"/>
  <c r="F195" i="1"/>
  <c r="J195" i="1"/>
  <c r="N195" i="1"/>
  <c r="R195" i="1"/>
  <c r="U195" i="1"/>
  <c r="AC195" i="1"/>
  <c r="AK195" i="1"/>
  <c r="AS195" i="1"/>
  <c r="BA195" i="1"/>
  <c r="G195" i="1"/>
  <c r="O195" i="1"/>
  <c r="Y195" i="1"/>
  <c r="AG195" i="1"/>
  <c r="AO195" i="1"/>
  <c r="AW195" i="1"/>
  <c r="C195" i="1"/>
  <c r="K195" i="1"/>
  <c r="AE195" i="1"/>
  <c r="AU195" i="1"/>
  <c r="I195" i="1"/>
  <c r="AA195" i="1"/>
  <c r="AQ195" i="1"/>
  <c r="E195" i="1"/>
  <c r="AM195" i="1"/>
  <c r="Q195" i="1"/>
  <c r="W195" i="1"/>
  <c r="S195" i="1"/>
  <c r="AY195" i="1"/>
  <c r="AI195" i="1"/>
  <c r="M195" i="1"/>
  <c r="P132" i="1"/>
  <c r="P131" i="1"/>
  <c r="AX95" i="1"/>
  <c r="J95" i="1"/>
  <c r="BA95" i="1"/>
  <c r="AQ135" i="1"/>
  <c r="AQ132" i="1"/>
  <c r="AQ131" i="1"/>
  <c r="L131" i="1"/>
  <c r="L132" i="1"/>
  <c r="U132" i="1"/>
  <c r="L135" i="1"/>
  <c r="K131" i="1"/>
  <c r="K132" i="1"/>
  <c r="K135" i="1"/>
  <c r="AE131" i="1"/>
  <c r="AE135" i="1"/>
  <c r="AE218" i="1" s="1"/>
  <c r="AE220" i="1" s="1"/>
  <c r="AE132" i="1"/>
  <c r="AM135" i="1"/>
  <c r="AM132" i="1"/>
  <c r="AM131" i="1"/>
  <c r="AY132" i="1"/>
  <c r="AY131" i="1"/>
  <c r="AY135" i="1"/>
  <c r="T354" i="1"/>
  <c r="S135" i="1"/>
  <c r="N65" i="5"/>
  <c r="O48" i="6"/>
  <c r="S160" i="1"/>
  <c r="S125" i="1"/>
  <c r="R135" i="1"/>
  <c r="R132" i="1"/>
  <c r="R131" i="1"/>
  <c r="P40" i="6"/>
  <c r="O56" i="5"/>
  <c r="P26" i="5"/>
  <c r="P38" i="6"/>
  <c r="O26" i="5"/>
  <c r="N72" i="5"/>
  <c r="N73" i="5" s="1"/>
  <c r="O33" i="5"/>
  <c r="O46" i="5" s="1"/>
  <c r="O55" i="5"/>
  <c r="N59" i="5"/>
  <c r="BD202" i="1" l="1"/>
  <c r="BM139" i="1"/>
  <c r="BL138" i="1"/>
  <c r="BF139" i="1"/>
  <c r="BI139" i="1"/>
  <c r="BH138" i="1"/>
  <c r="BJ198" i="1"/>
  <c r="BJ199" i="1"/>
  <c r="BJ202" i="1"/>
  <c r="BI199" i="1"/>
  <c r="BI198" i="1"/>
  <c r="BI202" i="1"/>
  <c r="BE198" i="1"/>
  <c r="BE199" i="1"/>
  <c r="BH198" i="1"/>
  <c r="BH199" i="1"/>
  <c r="BH202" i="1"/>
  <c r="BG202" i="1"/>
  <c r="BG198" i="1"/>
  <c r="BG199" i="1"/>
  <c r="BL202" i="1"/>
  <c r="BL199" i="1"/>
  <c r="BL198" i="1"/>
  <c r="BM198" i="1"/>
  <c r="BM199" i="1"/>
  <c r="BM202" i="1"/>
  <c r="BE202" i="1"/>
  <c r="BD199" i="1"/>
  <c r="BD198" i="1"/>
  <c r="BK199" i="1"/>
  <c r="BK198" i="1"/>
  <c r="BK205" i="1" s="1"/>
  <c r="BK202" i="1"/>
  <c r="BF202" i="1"/>
  <c r="BF198" i="1"/>
  <c r="BF199" i="1"/>
  <c r="BM138" i="1"/>
  <c r="BF138" i="1"/>
  <c r="BI138" i="1"/>
  <c r="BJ139" i="1"/>
  <c r="BH139" i="1"/>
  <c r="BD138" i="1"/>
  <c r="BK139" i="1"/>
  <c r="BG139" i="1"/>
  <c r="BJ138" i="1"/>
  <c r="BE138" i="1"/>
  <c r="BD139" i="1"/>
  <c r="BL139" i="1"/>
  <c r="BE139" i="1"/>
  <c r="BG138" i="1"/>
  <c r="BK138" i="1"/>
  <c r="M50" i="1"/>
  <c r="CO50" i="1"/>
  <c r="CP50" i="1"/>
  <c r="CQ50" i="1"/>
  <c r="CP142" i="20"/>
  <c r="CP159" i="20" s="1"/>
  <c r="CP143" i="20"/>
  <c r="CP160" i="20" s="1"/>
  <c r="CP146" i="20"/>
  <c r="CP163" i="20" s="1"/>
  <c r="CP138" i="20"/>
  <c r="CP155" i="20" s="1"/>
  <c r="CP137" i="20"/>
  <c r="CP141" i="20"/>
  <c r="CP158" i="20" s="1"/>
  <c r="CP140" i="20"/>
  <c r="CP157" i="20" s="1"/>
  <c r="CP145" i="20"/>
  <c r="CP162" i="20" s="1"/>
  <c r="CP139" i="20"/>
  <c r="CP156" i="20" s="1"/>
  <c r="CL60" i="6"/>
  <c r="CQ86" i="20"/>
  <c r="CQ85" i="20" s="1"/>
  <c r="N138" i="1"/>
  <c r="CM50" i="1"/>
  <c r="CN50" i="1"/>
  <c r="CL63" i="6"/>
  <c r="CM58" i="6"/>
  <c r="CM59" i="6" s="1"/>
  <c r="CM62" i="6" s="1"/>
  <c r="N139" i="1"/>
  <c r="H50" i="1"/>
  <c r="AU50" i="1"/>
  <c r="Q50" i="1"/>
  <c r="BP50" i="1"/>
  <c r="AK50" i="1"/>
  <c r="N50" i="1"/>
  <c r="S50" i="1"/>
  <c r="K50" i="1"/>
  <c r="J50" i="1"/>
  <c r="T50" i="1"/>
  <c r="BY50" i="1"/>
  <c r="CE50" i="1"/>
  <c r="CK50" i="1"/>
  <c r="CA50" i="1"/>
  <c r="BU50" i="1"/>
  <c r="BS50" i="1"/>
  <c r="CI50" i="1"/>
  <c r="BO50" i="1"/>
  <c r="CG50" i="1"/>
  <c r="CC50" i="1"/>
  <c r="BW50" i="1"/>
  <c r="BX50" i="1"/>
  <c r="BQ50" i="1"/>
  <c r="CL50" i="1"/>
  <c r="CJ50" i="1"/>
  <c r="CF50" i="1"/>
  <c r="BZ50" i="1"/>
  <c r="BV50" i="1"/>
  <c r="BT50" i="1"/>
  <c r="BR50" i="1"/>
  <c r="CH50" i="1"/>
  <c r="CD50" i="1"/>
  <c r="CB50" i="1"/>
  <c r="P139" i="1"/>
  <c r="AX50" i="1"/>
  <c r="BB50" i="1"/>
  <c r="AV50" i="1"/>
  <c r="AR50" i="1"/>
  <c r="AQ50" i="1"/>
  <c r="AL50" i="1"/>
  <c r="U50" i="1"/>
  <c r="AQ139" i="1"/>
  <c r="V50" i="1"/>
  <c r="BA50" i="1"/>
  <c r="AS50" i="1"/>
  <c r="AP50" i="1"/>
  <c r="AE50" i="1"/>
  <c r="AC50" i="1"/>
  <c r="AW50" i="1"/>
  <c r="O50" i="1"/>
  <c r="W288" i="1"/>
  <c r="V301" i="1"/>
  <c r="V249" i="1" s="1"/>
  <c r="Z50" i="1"/>
  <c r="AJ138" i="1"/>
  <c r="BC50" i="1"/>
  <c r="AY50" i="1"/>
  <c r="AN50" i="1"/>
  <c r="AI50" i="1"/>
  <c r="AG50" i="1"/>
  <c r="AA50" i="1"/>
  <c r="AV139" i="1"/>
  <c r="AJ139" i="1"/>
  <c r="R138" i="1"/>
  <c r="W50" i="1"/>
  <c r="AB50" i="1"/>
  <c r="AM50" i="1"/>
  <c r="R50" i="1"/>
  <c r="AF50" i="1"/>
  <c r="AO50" i="1"/>
  <c r="P50" i="1"/>
  <c r="AX138" i="1"/>
  <c r="AD50" i="1"/>
  <c r="AT50" i="1"/>
  <c r="L50" i="1"/>
  <c r="AJ50" i="1"/>
  <c r="AZ50" i="1"/>
  <c r="AH50" i="1"/>
  <c r="I50" i="1"/>
  <c r="P138" i="1"/>
  <c r="R139" i="1"/>
  <c r="Z139" i="1"/>
  <c r="BA139" i="1"/>
  <c r="Z138" i="1"/>
  <c r="AY139" i="1"/>
  <c r="AM138" i="1"/>
  <c r="AE138" i="1"/>
  <c r="N66" i="5"/>
  <c r="N67" i="5" s="1"/>
  <c r="AP139" i="1"/>
  <c r="U139" i="1"/>
  <c r="AY138" i="1"/>
  <c r="I138" i="1"/>
  <c r="AQ138" i="1"/>
  <c r="AV138" i="1"/>
  <c r="AC138" i="1"/>
  <c r="AP138" i="1"/>
  <c r="AC139" i="1"/>
  <c r="AS139" i="1"/>
  <c r="O139" i="1"/>
  <c r="AE139" i="1"/>
  <c r="AH139" i="1"/>
  <c r="AK138" i="1"/>
  <c r="AT138" i="1"/>
  <c r="BC138" i="1"/>
  <c r="AU139" i="1"/>
  <c r="AI139" i="1"/>
  <c r="AL139" i="1"/>
  <c r="AG138" i="1"/>
  <c r="W138" i="1"/>
  <c r="AR138" i="1"/>
  <c r="U138" i="1"/>
  <c r="E198" i="1"/>
  <c r="E199" i="1"/>
  <c r="E202" i="1"/>
  <c r="O198" i="1"/>
  <c r="O199" i="1"/>
  <c r="O202" i="1"/>
  <c r="N198" i="1"/>
  <c r="N199" i="1"/>
  <c r="N202" i="1"/>
  <c r="T199" i="1"/>
  <c r="T198" i="1"/>
  <c r="T202" i="1"/>
  <c r="AP198" i="1"/>
  <c r="AP199" i="1"/>
  <c r="AP202" i="1"/>
  <c r="AW139" i="1"/>
  <c r="AZ138" i="1"/>
  <c r="AM139" i="1"/>
  <c r="AY199" i="1"/>
  <c r="AY198" i="1"/>
  <c r="AY202" i="1"/>
  <c r="AM199" i="1"/>
  <c r="AM198" i="1"/>
  <c r="AM202" i="1"/>
  <c r="I198" i="1"/>
  <c r="I199" i="1"/>
  <c r="I202" i="1"/>
  <c r="C198" i="1"/>
  <c r="C199" i="1"/>
  <c r="C202" i="1"/>
  <c r="Y198" i="1"/>
  <c r="Y199" i="1"/>
  <c r="Y202" i="1"/>
  <c r="AS198" i="1"/>
  <c r="AS199" i="1"/>
  <c r="AS202" i="1"/>
  <c r="R199" i="1"/>
  <c r="R198" i="1"/>
  <c r="R202" i="1"/>
  <c r="B198" i="1"/>
  <c r="B199" i="1"/>
  <c r="AN198" i="1"/>
  <c r="AN199" i="1"/>
  <c r="AN202" i="1"/>
  <c r="X198" i="1"/>
  <c r="X199" i="1"/>
  <c r="X202" i="1"/>
  <c r="H198" i="1"/>
  <c r="H199" i="1"/>
  <c r="H202" i="1"/>
  <c r="AT198" i="1"/>
  <c r="AT199" i="1"/>
  <c r="AT202" i="1"/>
  <c r="AD198" i="1"/>
  <c r="AD199" i="1"/>
  <c r="AD202" i="1"/>
  <c r="AH138" i="1"/>
  <c r="BA138" i="1"/>
  <c r="AK139" i="1"/>
  <c r="AN139" i="1"/>
  <c r="BB138" i="1"/>
  <c r="J139" i="1"/>
  <c r="AU138" i="1"/>
  <c r="AW138" i="1"/>
  <c r="AB138" i="1"/>
  <c r="AU199" i="1"/>
  <c r="AU198" i="1"/>
  <c r="AU202" i="1"/>
  <c r="AK198" i="1"/>
  <c r="AK199" i="1"/>
  <c r="AK202" i="1"/>
  <c r="AJ198" i="1"/>
  <c r="AJ199" i="1"/>
  <c r="AJ202" i="1"/>
  <c r="Z198" i="1"/>
  <c r="Z199" i="1"/>
  <c r="Z202" i="1"/>
  <c r="L139" i="1"/>
  <c r="K139" i="1"/>
  <c r="M198" i="1"/>
  <c r="M199" i="1"/>
  <c r="M202" i="1"/>
  <c r="W199" i="1"/>
  <c r="W198" i="1"/>
  <c r="W202" i="1"/>
  <c r="AQ199" i="1"/>
  <c r="AQ198" i="1"/>
  <c r="AQ202" i="1"/>
  <c r="AE199" i="1"/>
  <c r="AE198" i="1"/>
  <c r="AE202" i="1"/>
  <c r="AO199" i="1"/>
  <c r="AO198" i="1"/>
  <c r="AO202" i="1"/>
  <c r="G198" i="1"/>
  <c r="G199" i="1"/>
  <c r="G202" i="1"/>
  <c r="AC198" i="1"/>
  <c r="AC199" i="1"/>
  <c r="AC202" i="1"/>
  <c r="J198" i="1"/>
  <c r="J199" i="1"/>
  <c r="J202" i="1"/>
  <c r="AV198" i="1"/>
  <c r="AV199" i="1"/>
  <c r="AV202" i="1"/>
  <c r="AF198" i="1"/>
  <c r="AF199" i="1"/>
  <c r="AF202" i="1"/>
  <c r="P198" i="1"/>
  <c r="P199" i="1"/>
  <c r="P202" i="1"/>
  <c r="BB198" i="1"/>
  <c r="BB199" i="1"/>
  <c r="BB202" i="1"/>
  <c r="AL198" i="1"/>
  <c r="AL199" i="1"/>
  <c r="AL202" i="1"/>
  <c r="V198" i="1"/>
  <c r="V199" i="1"/>
  <c r="V202" i="1"/>
  <c r="AX139" i="1"/>
  <c r="AS138" i="1"/>
  <c r="I139" i="1"/>
  <c r="AF139" i="1"/>
  <c r="BB139" i="1"/>
  <c r="AD138" i="1"/>
  <c r="M138" i="1"/>
  <c r="AO139" i="1"/>
  <c r="BC139" i="1"/>
  <c r="AA138" i="1"/>
  <c r="AL138" i="1"/>
  <c r="O138" i="1"/>
  <c r="AZ139" i="1"/>
  <c r="Q139" i="1"/>
  <c r="S199" i="1"/>
  <c r="S202" i="1"/>
  <c r="S198" i="1"/>
  <c r="AW198" i="1"/>
  <c r="AW199" i="1"/>
  <c r="AW202" i="1"/>
  <c r="AZ199" i="1"/>
  <c r="AZ198" i="1"/>
  <c r="AZ202" i="1"/>
  <c r="D198" i="1"/>
  <c r="D199" i="1"/>
  <c r="D202" i="1"/>
  <c r="L138" i="1"/>
  <c r="K138" i="1"/>
  <c r="AI199" i="1"/>
  <c r="AI198" i="1"/>
  <c r="AI202" i="1"/>
  <c r="Q199" i="1"/>
  <c r="Q198" i="1"/>
  <c r="Q202" i="1"/>
  <c r="AA199" i="1"/>
  <c r="AA198" i="1"/>
  <c r="AA202" i="1"/>
  <c r="K198" i="1"/>
  <c r="K199" i="1"/>
  <c r="K202" i="1"/>
  <c r="AG198" i="1"/>
  <c r="AG199" i="1"/>
  <c r="AG202" i="1"/>
  <c r="BA198" i="1"/>
  <c r="BA199" i="1"/>
  <c r="BA202" i="1"/>
  <c r="U198" i="1"/>
  <c r="U199" i="1"/>
  <c r="U202" i="1"/>
  <c r="F198" i="1"/>
  <c r="F199" i="1"/>
  <c r="F202" i="1"/>
  <c r="AR199" i="1"/>
  <c r="AR198" i="1"/>
  <c r="AR202" i="1"/>
  <c r="AB198" i="1"/>
  <c r="AB199" i="1"/>
  <c r="AB202" i="1"/>
  <c r="L198" i="1"/>
  <c r="L199" i="1"/>
  <c r="L202" i="1"/>
  <c r="AX198" i="1"/>
  <c r="AX199" i="1"/>
  <c r="AX202" i="1"/>
  <c r="AH198" i="1"/>
  <c r="AH199" i="1"/>
  <c r="AH202" i="1"/>
  <c r="BC199" i="1"/>
  <c r="BD206" i="1" s="1"/>
  <c r="BC198" i="1"/>
  <c r="BC202" i="1"/>
  <c r="AN138" i="1"/>
  <c r="AF138" i="1"/>
  <c r="AT139" i="1"/>
  <c r="AD139" i="1"/>
  <c r="M139" i="1"/>
  <c r="AO138" i="1"/>
  <c r="J138" i="1"/>
  <c r="AI138" i="1"/>
  <c r="AA139" i="1"/>
  <c r="V138" i="1"/>
  <c r="AG139" i="1"/>
  <c r="AR139" i="1"/>
  <c r="AB139" i="1"/>
  <c r="Q138" i="1"/>
  <c r="P58" i="5"/>
  <c r="P51" i="5"/>
  <c r="Q39" i="6"/>
  <c r="S131" i="1"/>
  <c r="S132" i="1"/>
  <c r="O50" i="6"/>
  <c r="O57" i="5"/>
  <c r="O62" i="5"/>
  <c r="P47" i="6"/>
  <c r="O63" i="5"/>
  <c r="P49" i="6"/>
  <c r="P39" i="6"/>
  <c r="O51" i="5"/>
  <c r="O58" i="5"/>
  <c r="S181" i="1"/>
  <c r="S188" i="1" s="1"/>
  <c r="S164" i="1"/>
  <c r="S407" i="1" s="1"/>
  <c r="S409" i="1" s="1"/>
  <c r="BE205" i="1" l="1"/>
  <c r="BD205" i="1"/>
  <c r="BK206" i="1"/>
  <c r="BG206" i="1"/>
  <c r="BF205" i="1"/>
  <c r="BM206" i="1"/>
  <c r="BL206" i="1"/>
  <c r="BE206" i="1"/>
  <c r="BI206" i="1"/>
  <c r="BH206" i="1"/>
  <c r="BJ206" i="1"/>
  <c r="BF206" i="1"/>
  <c r="BM205" i="1"/>
  <c r="BL205" i="1"/>
  <c r="BG205" i="1"/>
  <c r="BI205" i="1"/>
  <c r="BH205" i="1"/>
  <c r="BJ205" i="1"/>
  <c r="AH206" i="1"/>
  <c r="AH205" i="1"/>
  <c r="BA206" i="1"/>
  <c r="CP154" i="20"/>
  <c r="CM60" i="6"/>
  <c r="CR86" i="20"/>
  <c r="CR85" i="20" s="1"/>
  <c r="CQ143" i="20"/>
  <c r="CQ160" i="20" s="1"/>
  <c r="CQ139" i="20"/>
  <c r="CQ156" i="20" s="1"/>
  <c r="CQ138" i="20"/>
  <c r="CQ155" i="20" s="1"/>
  <c r="CQ137" i="20"/>
  <c r="CQ142" i="20"/>
  <c r="CQ159" i="20" s="1"/>
  <c r="CQ141" i="20"/>
  <c r="CQ158" i="20" s="1"/>
  <c r="CQ146" i="20"/>
  <c r="CQ163" i="20" s="1"/>
  <c r="CQ140" i="20"/>
  <c r="CQ157" i="20" s="1"/>
  <c r="CQ145" i="20"/>
  <c r="CQ162" i="20" s="1"/>
  <c r="CM63" i="6"/>
  <c r="CN58" i="6"/>
  <c r="AX205" i="1"/>
  <c r="AX206" i="1"/>
  <c r="AB205" i="1"/>
  <c r="N69" i="5"/>
  <c r="N70" i="5" s="1"/>
  <c r="N74" i="5" s="1"/>
  <c r="N76" i="5" s="1"/>
  <c r="K206" i="1"/>
  <c r="K205" i="1"/>
  <c r="O60" i="6"/>
  <c r="D206" i="1"/>
  <c r="W301" i="1"/>
  <c r="W249" i="1" s="1"/>
  <c r="AA206" i="1"/>
  <c r="S206" i="1"/>
  <c r="F206" i="1"/>
  <c r="U206" i="1"/>
  <c r="AQ206" i="1"/>
  <c r="AR206" i="1"/>
  <c r="AZ206" i="1"/>
  <c r="AO206" i="1"/>
  <c r="AZ205" i="1"/>
  <c r="V291" i="1"/>
  <c r="V318" i="1" s="1"/>
  <c r="U318" i="1"/>
  <c r="F205" i="1"/>
  <c r="J205" i="1"/>
  <c r="BC206" i="1"/>
  <c r="P206" i="1"/>
  <c r="AQ205" i="1"/>
  <c r="AN205" i="1"/>
  <c r="U205" i="1"/>
  <c r="AG206" i="1"/>
  <c r="AW205" i="1"/>
  <c r="AL206" i="1"/>
  <c r="AV206" i="1"/>
  <c r="AE206" i="1"/>
  <c r="Z205" i="1"/>
  <c r="AU205" i="1"/>
  <c r="BC205" i="1"/>
  <c r="Q205" i="1"/>
  <c r="AF206" i="1"/>
  <c r="AV205" i="1"/>
  <c r="AU206" i="1"/>
  <c r="T205" i="1"/>
  <c r="N205" i="1"/>
  <c r="BA205" i="1"/>
  <c r="AA205" i="1"/>
  <c r="D205" i="1"/>
  <c r="AF205" i="1"/>
  <c r="AC206" i="1"/>
  <c r="G205" i="1"/>
  <c r="W206" i="1"/>
  <c r="AJ206" i="1"/>
  <c r="AK205" i="1"/>
  <c r="AD205" i="1"/>
  <c r="R205" i="1"/>
  <c r="AS205" i="1"/>
  <c r="I206" i="1"/>
  <c r="AM206" i="1"/>
  <c r="L205" i="1"/>
  <c r="AW206" i="1"/>
  <c r="P205" i="1"/>
  <c r="Z206" i="1"/>
  <c r="X206" i="1"/>
  <c r="L206" i="1"/>
  <c r="Q206" i="1"/>
  <c r="S205" i="1"/>
  <c r="V206" i="1"/>
  <c r="AL205" i="1"/>
  <c r="G206" i="1"/>
  <c r="W205" i="1"/>
  <c r="M205" i="1"/>
  <c r="AK206" i="1"/>
  <c r="AD206" i="1"/>
  <c r="AT205" i="1"/>
  <c r="AN206" i="1"/>
  <c r="AS206" i="1"/>
  <c r="Y205" i="1"/>
  <c r="AM205" i="1"/>
  <c r="AY206" i="1"/>
  <c r="N206" i="1"/>
  <c r="O205" i="1"/>
  <c r="V205" i="1"/>
  <c r="AR205" i="1"/>
  <c r="AI205" i="1"/>
  <c r="BB206" i="1"/>
  <c r="J206" i="1"/>
  <c r="AC205" i="1"/>
  <c r="AE205" i="1"/>
  <c r="AJ205" i="1"/>
  <c r="H206" i="1"/>
  <c r="X205" i="1"/>
  <c r="R206" i="1"/>
  <c r="C206" i="1"/>
  <c r="I205" i="1"/>
  <c r="AP206" i="1"/>
  <c r="T206" i="1"/>
  <c r="E206" i="1"/>
  <c r="AB206" i="1"/>
  <c r="AG205" i="1"/>
  <c r="AI206" i="1"/>
  <c r="BB205" i="1"/>
  <c r="AO205" i="1"/>
  <c r="M206" i="1"/>
  <c r="AT206" i="1"/>
  <c r="H205" i="1"/>
  <c r="Y206" i="1"/>
  <c r="C205" i="1"/>
  <c r="AY205" i="1"/>
  <c r="AP205" i="1"/>
  <c r="O206" i="1"/>
  <c r="E205" i="1"/>
  <c r="U354" i="1"/>
  <c r="O65" i="5"/>
  <c r="P48" i="6"/>
  <c r="P59" i="5"/>
  <c r="Q48" i="6"/>
  <c r="P65" i="5"/>
  <c r="P66" i="5" s="1"/>
  <c r="S138" i="1"/>
  <c r="T138" i="1"/>
  <c r="O64" i="5"/>
  <c r="O59" i="5"/>
  <c r="O71" i="5"/>
  <c r="S139" i="1"/>
  <c r="T139" i="1"/>
  <c r="N77" i="5" l="1"/>
  <c r="CQ154" i="20"/>
  <c r="CR145" i="20"/>
  <c r="CR162" i="20" s="1"/>
  <c r="CR137" i="20"/>
  <c r="CR146" i="20"/>
  <c r="CR163" i="20" s="1"/>
  <c r="CR140" i="20"/>
  <c r="CR157" i="20" s="1"/>
  <c r="CR142" i="20"/>
  <c r="CR159" i="20" s="1"/>
  <c r="CR141" i="20"/>
  <c r="CR158" i="20" s="1"/>
  <c r="CR139" i="20"/>
  <c r="CR156" i="20" s="1"/>
  <c r="CR143" i="20"/>
  <c r="CR160" i="20" s="1"/>
  <c r="CR138" i="20"/>
  <c r="CR155" i="20" s="1"/>
  <c r="CN60" i="6"/>
  <c r="CS86" i="20"/>
  <c r="CS85" i="20" s="1"/>
  <c r="CN59" i="6"/>
  <c r="CN62" i="6" s="1"/>
  <c r="CN63" i="6" s="1"/>
  <c r="W291" i="1"/>
  <c r="W318" i="1" s="1"/>
  <c r="P72" i="5"/>
  <c r="P73" i="5" s="1"/>
  <c r="O72" i="5"/>
  <c r="O73" i="5" s="1"/>
  <c r="P69" i="5"/>
  <c r="Q70" i="5" s="1"/>
  <c r="Q74" i="5" s="1"/>
  <c r="Q50" i="6"/>
  <c r="T314" i="1"/>
  <c r="T337" i="1" s="1"/>
  <c r="P50" i="6"/>
  <c r="Q67" i="5"/>
  <c r="O66" i="5"/>
  <c r="V354" i="1"/>
  <c r="CR154" i="20" l="1"/>
  <c r="CS145" i="20"/>
  <c r="CS162" i="20" s="1"/>
  <c r="CS137" i="20"/>
  <c r="CS146" i="20"/>
  <c r="CS163" i="20" s="1"/>
  <c r="CS138" i="20"/>
  <c r="CS155" i="20" s="1"/>
  <c r="CS141" i="20"/>
  <c r="CS158" i="20" s="1"/>
  <c r="CS143" i="20"/>
  <c r="CS160" i="20" s="1"/>
  <c r="CS142" i="20"/>
  <c r="CS159" i="20" s="1"/>
  <c r="CS140" i="20"/>
  <c r="CS157" i="20" s="1"/>
  <c r="CS139" i="20"/>
  <c r="CS156" i="20" s="1"/>
  <c r="P60" i="6"/>
  <c r="Q60" i="6"/>
  <c r="X291" i="1"/>
  <c r="X318" i="1" s="1"/>
  <c r="P77" i="5"/>
  <c r="W354" i="1"/>
  <c r="T328" i="1"/>
  <c r="T339" i="1" s="1"/>
  <c r="T341" i="1" s="1"/>
  <c r="T359" i="1"/>
  <c r="P67" i="5"/>
  <c r="O67" i="5"/>
  <c r="O69" i="5"/>
  <c r="Q76" i="5"/>
  <c r="U314" i="1"/>
  <c r="U337" i="1" s="1"/>
  <c r="O42" i="5"/>
  <c r="O50" i="5" s="1"/>
  <c r="O52" i="5" s="1"/>
  <c r="S362" i="1"/>
  <c r="CS154" i="20" l="1"/>
  <c r="P70" i="5"/>
  <c r="P74" i="5" s="1"/>
  <c r="P76" i="5" s="1"/>
  <c r="O70" i="5"/>
  <c r="O74" i="5" s="1"/>
  <c r="O76" i="5" s="1"/>
  <c r="V314" i="1"/>
  <c r="V337" i="1" s="1"/>
  <c r="T362" i="1"/>
  <c r="P42" i="5"/>
  <c r="P50" i="5" s="1"/>
  <c r="P52" i="5" s="1"/>
  <c r="O77" i="5"/>
  <c r="U328" i="1"/>
  <c r="U339" i="1" s="1"/>
  <c r="U341" i="1" s="1"/>
  <c r="U345" i="1" s="1"/>
  <c r="U359" i="1"/>
  <c r="U362" i="1" l="1"/>
  <c r="Q42" i="5"/>
  <c r="Q50" i="5" s="1"/>
  <c r="Q52" i="5" s="1"/>
  <c r="W314" i="1"/>
  <c r="W337" i="1" s="1"/>
  <c r="X288" i="1"/>
  <c r="V328" i="1"/>
  <c r="V339" i="1" s="1"/>
  <c r="V341" i="1" s="1"/>
  <c r="V345" i="1" s="1"/>
  <c r="V359" i="1"/>
  <c r="R42" i="5" l="1"/>
  <c r="R50" i="5" s="1"/>
  <c r="X314" i="1"/>
  <c r="X337" i="1" s="1"/>
  <c r="W328" i="1"/>
  <c r="W339" i="1" s="1"/>
  <c r="W341" i="1" s="1"/>
  <c r="W345" i="1" s="1"/>
  <c r="X301" i="1"/>
  <c r="X249" i="1" s="1"/>
  <c r="W359" i="1"/>
  <c r="X328" i="1" l="1"/>
  <c r="X339" i="1" s="1"/>
  <c r="X341" i="1" s="1"/>
  <c r="X345" i="1" s="1"/>
  <c r="S42" i="5"/>
  <c r="S50" i="5" s="1"/>
  <c r="I60" i="3" l="1"/>
  <c r="I62" i="3" s="1"/>
  <c r="P69" i="6" l="1"/>
  <c r="P79" i="6" s="1"/>
  <c r="S413" i="1"/>
  <c r="R5" i="5" l="1"/>
  <c r="R34" i="5" s="1"/>
  <c r="R58" i="5" s="1"/>
  <c r="V34" i="1" l="1"/>
  <c r="R59" i="5"/>
  <c r="R65" i="5"/>
  <c r="R66" i="5" s="1"/>
  <c r="V376" i="1"/>
  <c r="S39" i="6" l="1"/>
  <c r="V81" i="1"/>
  <c r="W95" i="7"/>
  <c r="W97" i="7" s="1"/>
  <c r="V41" i="1"/>
  <c r="W48" i="1" s="1"/>
  <c r="S67" i="5"/>
  <c r="R67" i="5"/>
  <c r="R69" i="5"/>
  <c r="V83" i="1" l="1"/>
  <c r="V79" i="1" s="1"/>
  <c r="S50" i="6"/>
  <c r="W263" i="1"/>
  <c r="W265" i="1" s="1"/>
  <c r="S48" i="6"/>
  <c r="V122" i="1"/>
  <c r="V129" i="1" s="1"/>
  <c r="V48" i="1"/>
  <c r="V263" i="1" s="1"/>
  <c r="V265" i="1" s="1"/>
  <c r="R70" i="5"/>
  <c r="R74" i="5" s="1"/>
  <c r="R76" i="5" s="1"/>
  <c r="S70" i="5"/>
  <c r="S74" i="5" s="1"/>
  <c r="S76" i="5" s="1"/>
  <c r="R77" i="5"/>
  <c r="S60" i="6" l="1"/>
  <c r="V125" i="1"/>
  <c r="V161" i="1"/>
  <c r="V182" i="1" s="1"/>
  <c r="V189" i="1" s="1"/>
  <c r="V355" i="1"/>
  <c r="V132" i="1"/>
  <c r="W136" i="1"/>
  <c r="V136" i="1"/>
  <c r="V289" i="1" s="1"/>
  <c r="V164" i="1" l="1"/>
  <c r="V407" i="1" s="1"/>
  <c r="V409" i="1" s="1"/>
  <c r="V360" i="1"/>
  <c r="W355" i="1"/>
  <c r="V316" i="1"/>
  <c r="V305" i="1"/>
  <c r="W289" i="1"/>
  <c r="V139" i="1"/>
  <c r="W139" i="1"/>
  <c r="R43" i="5" l="1"/>
  <c r="R51" i="5" s="1"/>
  <c r="R52" i="5" s="1"/>
  <c r="V362" i="1"/>
  <c r="X355" i="1"/>
  <c r="W360" i="1"/>
  <c r="W316" i="1"/>
  <c r="X289" i="1"/>
  <c r="V332" i="1"/>
  <c r="W305" i="1"/>
  <c r="W362" i="1" l="1"/>
  <c r="S43" i="5"/>
  <c r="S51" i="5" s="1"/>
  <c r="S52" i="5" s="1"/>
  <c r="Y355" i="1"/>
  <c r="X360" i="1"/>
  <c r="W332" i="1"/>
  <c r="X305" i="1"/>
  <c r="X316" i="1"/>
  <c r="Y289" i="1"/>
  <c r="T43" i="5" l="1"/>
  <c r="Z355" i="1"/>
  <c r="Y360" i="1"/>
  <c r="Y316" i="1"/>
  <c r="Z289" i="1"/>
  <c r="Y305" i="1"/>
  <c r="X332" i="1"/>
  <c r="U43" i="5" l="1"/>
  <c r="AA355" i="1"/>
  <c r="Z360" i="1"/>
  <c r="Y332" i="1"/>
  <c r="Z305" i="1"/>
  <c r="Z316" i="1"/>
  <c r="AA289" i="1"/>
  <c r="V43" i="5" l="1"/>
  <c r="V51" i="5" s="1"/>
  <c r="AB355" i="1"/>
  <c r="AA360" i="1"/>
  <c r="Z332" i="1"/>
  <c r="AA305" i="1"/>
  <c r="AA316" i="1"/>
  <c r="AB289" i="1"/>
  <c r="W43" i="5" l="1"/>
  <c r="W51" i="5" s="1"/>
  <c r="AC355" i="1"/>
  <c r="AB360" i="1"/>
  <c r="AB316" i="1"/>
  <c r="AC289" i="1"/>
  <c r="AA332" i="1"/>
  <c r="AB305" i="1"/>
  <c r="X43" i="5" l="1"/>
  <c r="X51" i="5" s="1"/>
  <c r="AC360" i="1"/>
  <c r="AD355" i="1"/>
  <c r="AC316" i="1"/>
  <c r="AD289" i="1"/>
  <c r="AC305" i="1"/>
  <c r="AB332" i="1"/>
  <c r="AE355" i="1" l="1"/>
  <c r="AD360" i="1"/>
  <c r="Y43" i="5"/>
  <c r="Y51" i="5" s="1"/>
  <c r="AC332" i="1"/>
  <c r="AD305" i="1"/>
  <c r="AD316" i="1"/>
  <c r="AE289" i="1"/>
  <c r="AF355" i="1" l="1"/>
  <c r="AE360" i="1"/>
  <c r="Z43" i="5"/>
  <c r="Z51" i="5" s="1"/>
  <c r="AE316" i="1"/>
  <c r="AF289" i="1"/>
  <c r="AD332" i="1"/>
  <c r="AE305" i="1"/>
  <c r="AA43" i="5" l="1"/>
  <c r="AA51" i="5" s="1"/>
  <c r="AG355" i="1"/>
  <c r="AF360" i="1"/>
  <c r="AF316" i="1"/>
  <c r="AG289" i="1"/>
  <c r="AF305" i="1"/>
  <c r="AE332" i="1"/>
  <c r="AB43" i="5" l="1"/>
  <c r="AB51" i="5" s="1"/>
  <c r="AG360" i="1"/>
  <c r="AH355" i="1"/>
  <c r="AG305" i="1"/>
  <c r="AF332" i="1"/>
  <c r="AG316" i="1"/>
  <c r="AH289" i="1"/>
  <c r="AH360" i="1" l="1"/>
  <c r="AI355" i="1"/>
  <c r="AC43" i="5"/>
  <c r="AC51" i="5" s="1"/>
  <c r="AH305" i="1"/>
  <c r="AG332" i="1"/>
  <c r="AH316" i="1"/>
  <c r="AI289" i="1"/>
  <c r="AI360" i="1" l="1"/>
  <c r="AJ355" i="1"/>
  <c r="AD43" i="5"/>
  <c r="AD51" i="5" s="1"/>
  <c r="AI316" i="1"/>
  <c r="AJ289" i="1"/>
  <c r="AH332" i="1"/>
  <c r="AI305" i="1"/>
  <c r="AJ360" i="1" l="1"/>
  <c r="AK355" i="1"/>
  <c r="AE43" i="5"/>
  <c r="AE51" i="5" s="1"/>
  <c r="AJ305" i="1"/>
  <c r="AI332" i="1"/>
  <c r="AJ316" i="1"/>
  <c r="AK289" i="1"/>
  <c r="AK360" i="1" l="1"/>
  <c r="AL355" i="1"/>
  <c r="AF43" i="5"/>
  <c r="AF51" i="5" s="1"/>
  <c r="AK316" i="1"/>
  <c r="AL289" i="1"/>
  <c r="AJ332" i="1"/>
  <c r="AK305" i="1"/>
  <c r="AL360" i="1" l="1"/>
  <c r="AM355" i="1"/>
  <c r="AG43" i="5"/>
  <c r="AG51" i="5" s="1"/>
  <c r="AM289" i="1"/>
  <c r="AL316" i="1"/>
  <c r="AK332" i="1"/>
  <c r="AL305" i="1"/>
  <c r="AM360" i="1" l="1"/>
  <c r="AN355" i="1"/>
  <c r="AH43" i="5"/>
  <c r="AH51" i="5" s="1"/>
  <c r="AL332" i="1"/>
  <c r="AM305" i="1"/>
  <c r="AM316" i="1"/>
  <c r="AN289" i="1"/>
  <c r="AO355" i="1" l="1"/>
  <c r="AN360" i="1"/>
  <c r="AI43" i="5"/>
  <c r="AI51" i="5" s="1"/>
  <c r="AN316" i="1"/>
  <c r="AO289" i="1"/>
  <c r="AN305" i="1"/>
  <c r="AM332" i="1"/>
  <c r="AO360" i="1" l="1"/>
  <c r="AP355" i="1"/>
  <c r="AJ43" i="5"/>
  <c r="AJ51" i="5" s="1"/>
  <c r="AO316" i="1"/>
  <c r="AP289" i="1"/>
  <c r="AN332" i="1"/>
  <c r="AO305" i="1"/>
  <c r="AK43" i="5" l="1"/>
  <c r="AK51" i="5" s="1"/>
  <c r="AP360" i="1"/>
  <c r="AQ355" i="1"/>
  <c r="AO332" i="1"/>
  <c r="AP305" i="1"/>
  <c r="AP316" i="1"/>
  <c r="AQ289" i="1"/>
  <c r="AR355" i="1" l="1"/>
  <c r="AQ360" i="1"/>
  <c r="AL43" i="5"/>
  <c r="AL51" i="5" s="1"/>
  <c r="AP332" i="1"/>
  <c r="AQ305" i="1"/>
  <c r="AQ316" i="1"/>
  <c r="AR289" i="1"/>
  <c r="AM43" i="5" l="1"/>
  <c r="AM51" i="5" s="1"/>
  <c r="AR360" i="1"/>
  <c r="AS355" i="1"/>
  <c r="AR305" i="1"/>
  <c r="AQ332" i="1"/>
  <c r="AR316" i="1"/>
  <c r="AS289" i="1"/>
  <c r="AS360" i="1" l="1"/>
  <c r="AT355" i="1"/>
  <c r="AN43" i="5"/>
  <c r="AN51" i="5" s="1"/>
  <c r="AS316" i="1"/>
  <c r="AT289" i="1"/>
  <c r="AR332" i="1"/>
  <c r="AS305" i="1"/>
  <c r="AO43" i="5" l="1"/>
  <c r="AO51" i="5" s="1"/>
  <c r="AT360" i="1"/>
  <c r="AU355" i="1"/>
  <c r="AS332" i="1"/>
  <c r="AT305" i="1"/>
  <c r="AT316" i="1"/>
  <c r="AU289" i="1"/>
  <c r="AV355" i="1" l="1"/>
  <c r="AU360" i="1"/>
  <c r="AP43" i="5"/>
  <c r="AP51" i="5" s="1"/>
  <c r="AT332" i="1"/>
  <c r="AU305" i="1"/>
  <c r="AU316" i="1"/>
  <c r="AV289" i="1"/>
  <c r="AW355" i="1" l="1"/>
  <c r="AV360" i="1"/>
  <c r="AQ43" i="5"/>
  <c r="AQ51" i="5" s="1"/>
  <c r="AV316" i="1"/>
  <c r="AW289" i="1"/>
  <c r="AV305" i="1"/>
  <c r="AU332" i="1"/>
  <c r="AR43" i="5" l="1"/>
  <c r="AR51" i="5" s="1"/>
  <c r="AX355" i="1"/>
  <c r="AW360" i="1"/>
  <c r="AW305" i="1"/>
  <c r="AV332" i="1"/>
  <c r="AW316" i="1"/>
  <c r="AX289" i="1"/>
  <c r="AS43" i="5" l="1"/>
  <c r="AS51" i="5" s="1"/>
  <c r="AX360" i="1"/>
  <c r="AY355" i="1"/>
  <c r="AX316" i="1"/>
  <c r="AY289" i="1"/>
  <c r="AX305" i="1"/>
  <c r="AW332" i="1"/>
  <c r="AY360" i="1" l="1"/>
  <c r="AZ355" i="1"/>
  <c r="AT43" i="5"/>
  <c r="AT51" i="5" s="1"/>
  <c r="AY316" i="1"/>
  <c r="AZ289" i="1"/>
  <c r="AX332" i="1"/>
  <c r="AY305" i="1"/>
  <c r="AU43" i="5" l="1"/>
  <c r="AU51" i="5" s="1"/>
  <c r="BA355" i="1"/>
  <c r="AZ360" i="1"/>
  <c r="AZ316" i="1"/>
  <c r="BA289" i="1"/>
  <c r="AZ305" i="1"/>
  <c r="AY332" i="1"/>
  <c r="AV43" i="5" l="1"/>
  <c r="AV51" i="5" s="1"/>
  <c r="BB355" i="1"/>
  <c r="BA360" i="1"/>
  <c r="BA305" i="1"/>
  <c r="AZ332" i="1"/>
  <c r="BA316" i="1"/>
  <c r="BB289" i="1"/>
  <c r="AW43" i="5" l="1"/>
  <c r="AW51" i="5" s="1"/>
  <c r="BB360" i="1"/>
  <c r="BC355" i="1"/>
  <c r="BB316" i="1"/>
  <c r="BC289" i="1"/>
  <c r="BA332" i="1"/>
  <c r="BB305" i="1"/>
  <c r="BC360" i="1" l="1"/>
  <c r="BD355" i="1"/>
  <c r="AX43" i="5"/>
  <c r="AX51" i="5" s="1"/>
  <c r="BB332" i="1"/>
  <c r="BC305" i="1"/>
  <c r="BC316" i="1"/>
  <c r="BD289" i="1"/>
  <c r="AY43" i="5" l="1"/>
  <c r="AY51" i="5" s="1"/>
  <c r="BE355" i="1"/>
  <c r="BD360" i="1"/>
  <c r="AZ43" i="5" s="1"/>
  <c r="AZ51" i="5" s="1"/>
  <c r="BD316" i="1"/>
  <c r="BE289" i="1"/>
  <c r="BD305" i="1"/>
  <c r="BC332" i="1"/>
  <c r="BF355" i="1" l="1"/>
  <c r="BE360" i="1"/>
  <c r="BA43" i="5" s="1"/>
  <c r="BA51" i="5" s="1"/>
  <c r="BE316" i="1"/>
  <c r="BF289" i="1"/>
  <c r="BD332" i="1"/>
  <c r="BE305" i="1"/>
  <c r="BG355" i="1" l="1"/>
  <c r="BF360" i="1"/>
  <c r="BB43" i="5" s="1"/>
  <c r="BB51" i="5" s="1"/>
  <c r="BE332" i="1"/>
  <c r="BF305" i="1"/>
  <c r="BF316" i="1"/>
  <c r="BG289" i="1"/>
  <c r="BH355" i="1" l="1"/>
  <c r="BG360" i="1"/>
  <c r="BC43" i="5" s="1"/>
  <c r="BC51" i="5" s="1"/>
  <c r="BF332" i="1"/>
  <c r="BG305" i="1"/>
  <c r="BG316" i="1"/>
  <c r="BH289" i="1"/>
  <c r="BH360" i="1" l="1"/>
  <c r="BD43" i="5" s="1"/>
  <c r="BD51" i="5" s="1"/>
  <c r="BI355" i="1"/>
  <c r="BH316" i="1"/>
  <c r="BI289" i="1"/>
  <c r="BG332" i="1"/>
  <c r="BH305" i="1"/>
  <c r="BJ355" i="1" l="1"/>
  <c r="BI360" i="1"/>
  <c r="BE43" i="5" s="1"/>
  <c r="BE51" i="5" s="1"/>
  <c r="BI316" i="1"/>
  <c r="BJ289" i="1"/>
  <c r="BI305" i="1"/>
  <c r="BH332" i="1"/>
  <c r="BJ360" i="1" l="1"/>
  <c r="BF43" i="5" s="1"/>
  <c r="BF51" i="5" s="1"/>
  <c r="BK355" i="1"/>
  <c r="BJ316" i="1"/>
  <c r="BK289" i="1"/>
  <c r="BI332" i="1"/>
  <c r="BJ305" i="1"/>
  <c r="BK360" i="1" l="1"/>
  <c r="BG43" i="5" s="1"/>
  <c r="BG51" i="5" s="1"/>
  <c r="BL355" i="1"/>
  <c r="BK316" i="1"/>
  <c r="BL289" i="1"/>
  <c r="BJ332" i="1"/>
  <c r="BK305" i="1"/>
  <c r="BL360" i="1" l="1"/>
  <c r="BH43" i="5" s="1"/>
  <c r="BH51" i="5" s="1"/>
  <c r="BM355" i="1"/>
  <c r="BK332" i="1"/>
  <c r="BL305" i="1"/>
  <c r="BL316" i="1"/>
  <c r="BM289" i="1"/>
  <c r="BM360" i="1" l="1"/>
  <c r="BI43" i="5" s="1"/>
  <c r="BI51" i="5" s="1"/>
  <c r="BN355" i="1"/>
  <c r="BL332" i="1"/>
  <c r="BM305" i="1"/>
  <c r="BM316" i="1"/>
  <c r="BN289" i="1"/>
  <c r="BN360" i="1" l="1"/>
  <c r="BO355" i="1"/>
  <c r="BN316" i="1"/>
  <c r="BO289" i="1"/>
  <c r="BN305" i="1"/>
  <c r="BM332" i="1"/>
  <c r="BO360" i="1" l="1"/>
  <c r="BP355" i="1"/>
  <c r="BO316" i="1"/>
  <c r="BP289" i="1"/>
  <c r="BN332" i="1"/>
  <c r="BO305" i="1"/>
  <c r="BP360" i="1" l="1"/>
  <c r="BQ355" i="1"/>
  <c r="BP305" i="1"/>
  <c r="BO332" i="1"/>
  <c r="BP316" i="1"/>
  <c r="BQ289" i="1"/>
  <c r="BR355" i="1" l="1"/>
  <c r="BQ360" i="1"/>
  <c r="BQ305" i="1"/>
  <c r="BP332" i="1"/>
  <c r="BQ316" i="1"/>
  <c r="BR289" i="1"/>
  <c r="BR360" i="1" l="1"/>
  <c r="BS355" i="1"/>
  <c r="BR316" i="1"/>
  <c r="BS289" i="1"/>
  <c r="BQ332" i="1"/>
  <c r="BR305" i="1"/>
  <c r="BS360" i="1" l="1"/>
  <c r="BT355" i="1"/>
  <c r="BS316" i="1"/>
  <c r="BT289" i="1"/>
  <c r="BR332" i="1"/>
  <c r="BS305" i="1"/>
  <c r="BT360" i="1" l="1"/>
  <c r="BU355" i="1"/>
  <c r="BT305" i="1"/>
  <c r="BS332" i="1"/>
  <c r="BT316" i="1"/>
  <c r="BU289" i="1"/>
  <c r="BU360" i="1" l="1"/>
  <c r="BV355" i="1"/>
  <c r="BU316" i="1"/>
  <c r="BV289" i="1"/>
  <c r="BT332" i="1"/>
  <c r="BU305" i="1"/>
  <c r="BV360" i="1" l="1"/>
  <c r="BW355" i="1"/>
  <c r="BV316" i="1"/>
  <c r="BW289" i="1"/>
  <c r="BU332" i="1"/>
  <c r="BV305" i="1"/>
  <c r="BW360" i="1" l="1"/>
  <c r="BX355" i="1"/>
  <c r="BV332" i="1"/>
  <c r="BW305" i="1"/>
  <c r="BW316" i="1"/>
  <c r="BX289" i="1"/>
  <c r="BX360" i="1" l="1"/>
  <c r="BY355" i="1"/>
  <c r="BX316" i="1"/>
  <c r="BY289" i="1"/>
  <c r="BX305" i="1"/>
  <c r="BW332" i="1"/>
  <c r="BY360" i="1" l="1"/>
  <c r="BZ355" i="1"/>
  <c r="BY305" i="1"/>
  <c r="BX332" i="1"/>
  <c r="BY316" i="1"/>
  <c r="BZ289" i="1"/>
  <c r="BZ360" i="1" l="1"/>
  <c r="CA355" i="1"/>
  <c r="BZ316" i="1"/>
  <c r="CA289" i="1"/>
  <c r="BY332" i="1"/>
  <c r="BZ305" i="1"/>
  <c r="CB355" i="1" l="1"/>
  <c r="CA360" i="1"/>
  <c r="BZ332" i="1"/>
  <c r="CA305" i="1"/>
  <c r="CA316" i="1"/>
  <c r="CB289" i="1"/>
  <c r="CB360" i="1" l="1"/>
  <c r="CC355" i="1"/>
  <c r="CB316" i="1"/>
  <c r="CC289" i="1"/>
  <c r="CB305" i="1"/>
  <c r="CA332" i="1"/>
  <c r="CC360" i="1" l="1"/>
  <c r="CD355" i="1"/>
  <c r="CB332" i="1"/>
  <c r="CC305" i="1"/>
  <c r="CC316" i="1"/>
  <c r="CD289" i="1"/>
  <c r="CD360" i="1" l="1"/>
  <c r="CE355" i="1"/>
  <c r="CD316" i="1"/>
  <c r="CE289" i="1"/>
  <c r="CD305" i="1"/>
  <c r="CC332" i="1"/>
  <c r="CF355" i="1" l="1"/>
  <c r="CE360" i="1"/>
  <c r="CE316" i="1"/>
  <c r="CF289" i="1"/>
  <c r="CD332" i="1"/>
  <c r="CE305" i="1"/>
  <c r="CF360" i="1" l="1"/>
  <c r="CG355" i="1"/>
  <c r="CF316" i="1"/>
  <c r="CG289" i="1"/>
  <c r="CF305" i="1"/>
  <c r="CE332" i="1"/>
  <c r="CH355" i="1" l="1"/>
  <c r="CG360" i="1"/>
  <c r="CG316" i="1"/>
  <c r="CH289" i="1"/>
  <c r="CG305" i="1"/>
  <c r="CF332" i="1"/>
  <c r="CH360" i="1" l="1"/>
  <c r="CI355" i="1"/>
  <c r="CG332" i="1"/>
  <c r="CH305" i="1"/>
  <c r="CH316" i="1"/>
  <c r="CI289" i="1"/>
  <c r="CJ355" i="1" l="1"/>
  <c r="CI360" i="1"/>
  <c r="CI316" i="1"/>
  <c r="CJ289" i="1"/>
  <c r="CH332" i="1"/>
  <c r="CI305" i="1"/>
  <c r="CJ360" i="1" l="1"/>
  <c r="CK355" i="1"/>
  <c r="CI332" i="1"/>
  <c r="CJ305" i="1"/>
  <c r="CJ316" i="1"/>
  <c r="CK289" i="1"/>
  <c r="CL355" i="1" l="1"/>
  <c r="CK360" i="1"/>
  <c r="CK316" i="1"/>
  <c r="CL289" i="1"/>
  <c r="CJ332" i="1"/>
  <c r="CK305" i="1"/>
  <c r="CL316" i="1" l="1"/>
  <c r="CM289" i="1"/>
  <c r="CL360" i="1"/>
  <c r="CM355" i="1"/>
  <c r="CL305" i="1"/>
  <c r="CK332" i="1"/>
  <c r="CM305" i="1" l="1"/>
  <c r="CM332" i="1" s="1"/>
  <c r="CN355" i="1"/>
  <c r="CM360" i="1"/>
  <c r="CM316" i="1"/>
  <c r="CN289" i="1"/>
  <c r="CL332" i="1"/>
  <c r="CO289" i="1" l="1"/>
  <c r="CN316" i="1"/>
  <c r="CN360" i="1"/>
  <c r="CO355" i="1"/>
  <c r="CN305" i="1"/>
  <c r="CP355" i="1" l="1"/>
  <c r="CO360" i="1"/>
  <c r="CN332" i="1"/>
  <c r="CO305" i="1"/>
  <c r="CP289" i="1"/>
  <c r="CO316" i="1"/>
  <c r="CQ289" i="1" l="1"/>
  <c r="CP316" i="1"/>
  <c r="CP305" i="1"/>
  <c r="CO332" i="1"/>
  <c r="CQ355" i="1"/>
  <c r="CP360" i="1"/>
  <c r="BD230" i="1"/>
  <c r="BD348" i="1"/>
  <c r="CQ360" i="1" l="1"/>
  <c r="CP332" i="1"/>
  <c r="CQ305" i="1"/>
  <c r="CQ316" i="1"/>
  <c r="BE230" i="1"/>
  <c r="BE348" i="1"/>
  <c r="CQ332" i="1" l="1"/>
  <c r="BF348" i="1"/>
  <c r="BF230" i="1"/>
  <c r="BG230" i="1" l="1"/>
  <c r="BG348" i="1"/>
  <c r="BH348" i="1" l="1"/>
  <c r="BH230" i="1"/>
  <c r="BI230" i="1" l="1"/>
  <c r="BI348" i="1"/>
  <c r="BJ230" i="1" l="1"/>
  <c r="BJ348" i="1"/>
  <c r="BK348" i="1" l="1"/>
  <c r="BK230" i="1"/>
  <c r="BL230" i="1" l="1"/>
  <c r="BL348" i="1"/>
  <c r="BK55" i="6" l="1"/>
  <c r="BM230" i="1"/>
  <c r="BM348" i="1"/>
  <c r="BN57" i="1"/>
  <c r="BN230" i="1" l="1"/>
  <c r="BO57" i="1"/>
  <c r="BN348" i="1"/>
  <c r="BL55" i="6"/>
  <c r="BM55" i="6" l="1"/>
  <c r="BP57" i="1"/>
  <c r="BO230" i="1"/>
  <c r="BO348" i="1"/>
  <c r="BP348" i="1" l="1"/>
  <c r="BP230" i="1"/>
  <c r="BQ57" i="1"/>
  <c r="BN55" i="6"/>
  <c r="BO55" i="6" l="1"/>
  <c r="BQ230" i="1"/>
  <c r="BR57" i="1"/>
  <c r="BQ348" i="1"/>
  <c r="BR230" i="1" l="1"/>
  <c r="BS57" i="1"/>
  <c r="BR348" i="1"/>
  <c r="BP55" i="6"/>
  <c r="BQ55" i="6" l="1"/>
  <c r="BS230" i="1"/>
  <c r="BS348" i="1"/>
  <c r="BT57" i="1"/>
  <c r="BT230" i="1" l="1"/>
  <c r="BT348" i="1"/>
  <c r="BU57" i="1"/>
  <c r="BR55" i="6"/>
  <c r="BS55" i="6" l="1"/>
  <c r="BV57" i="1"/>
  <c r="BU348" i="1"/>
  <c r="BU230" i="1"/>
  <c r="BW57" i="1" l="1"/>
  <c r="BV230" i="1"/>
  <c r="BV348" i="1"/>
  <c r="BT55" i="6"/>
  <c r="BU55" i="6" l="1"/>
  <c r="BW348" i="1"/>
  <c r="BX57" i="1"/>
  <c r="BW230" i="1"/>
  <c r="BX230" i="1" l="1"/>
  <c r="BY57" i="1"/>
  <c r="BX348" i="1"/>
  <c r="BV55" i="6"/>
  <c r="BY230" i="1" l="1"/>
  <c r="BZ57" i="1"/>
  <c r="BY348" i="1"/>
  <c r="BW55" i="6"/>
  <c r="BX55" i="6" l="1"/>
  <c r="BZ230" i="1"/>
  <c r="CA57" i="1"/>
  <c r="BZ348" i="1"/>
  <c r="CA230" i="1" l="1"/>
  <c r="CB57" i="1"/>
  <c r="CA348" i="1"/>
  <c r="BY55" i="6"/>
  <c r="BZ55" i="6" l="1"/>
  <c r="CB230" i="1"/>
  <c r="CC57" i="1"/>
  <c r="CB348" i="1"/>
  <c r="CC230" i="1" l="1"/>
  <c r="CD57" i="1"/>
  <c r="CC348" i="1"/>
  <c r="CA55" i="6"/>
  <c r="CE57" i="1" l="1"/>
  <c r="CD348" i="1"/>
  <c r="CD230" i="1"/>
  <c r="CB55" i="6"/>
  <c r="CC55" i="6" l="1"/>
  <c r="CF57" i="1"/>
  <c r="CE230" i="1"/>
  <c r="CE348" i="1"/>
  <c r="CF230" i="1" l="1"/>
  <c r="CG57" i="1"/>
  <c r="CF348" i="1"/>
  <c r="CD55" i="6"/>
  <c r="CE55" i="6" l="1"/>
  <c r="CG230" i="1"/>
  <c r="CH57" i="1"/>
  <c r="CG348" i="1"/>
  <c r="CH348" i="1" l="1"/>
  <c r="CH230" i="1"/>
  <c r="CI57" i="1"/>
  <c r="CF55" i="6"/>
  <c r="CG55" i="6" l="1"/>
  <c r="CI230" i="1"/>
  <c r="CJ57" i="1"/>
  <c r="CI348" i="1"/>
  <c r="CJ230" i="1" l="1"/>
  <c r="CK57" i="1"/>
  <c r="CJ348" i="1"/>
  <c r="CH55" i="6"/>
  <c r="CL57" i="1" l="1"/>
  <c r="CM57" i="1" s="1"/>
  <c r="CK348" i="1"/>
  <c r="CK230" i="1"/>
  <c r="CI55" i="6"/>
  <c r="CM348" i="1" l="1"/>
  <c r="CN57" i="1"/>
  <c r="CM230" i="1"/>
  <c r="CL230" i="1"/>
  <c r="CL348" i="1"/>
  <c r="CN348" i="1" l="1"/>
  <c r="CO57" i="1"/>
  <c r="CN230" i="1"/>
  <c r="CO348" i="1" l="1"/>
  <c r="CO230" i="1"/>
  <c r="CP57" i="1"/>
  <c r="CP348" i="1" l="1"/>
  <c r="CP230" i="1"/>
  <c r="CQ57" i="1"/>
  <c r="CQ230" i="1" l="1"/>
  <c r="CQ348" i="1"/>
  <c r="BK58" i="6" l="1"/>
  <c r="BK59" i="6" l="1"/>
  <c r="BK62" i="6" s="1"/>
  <c r="BK63" i="6" s="1"/>
  <c r="BP86" i="20"/>
  <c r="BL58" i="6"/>
  <c r="BL59" i="6" s="1"/>
  <c r="BL62" i="6" s="1"/>
  <c r="BK60" i="6"/>
  <c r="BL63" i="6" l="1"/>
  <c r="BL60" i="6"/>
  <c r="BQ86" i="20"/>
  <c r="BQ85" i="20" s="1"/>
  <c r="BM58" i="6"/>
  <c r="BN58" i="6" l="1"/>
  <c r="BM60" i="6"/>
  <c r="BR86" i="20"/>
  <c r="BR85" i="20" s="1"/>
  <c r="BQ146" i="20"/>
  <c r="BQ138" i="20"/>
  <c r="BQ143" i="20"/>
  <c r="BQ145" i="20"/>
  <c r="BQ139" i="20"/>
  <c r="BQ142" i="20"/>
  <c r="BQ141" i="20"/>
  <c r="BQ137" i="20"/>
  <c r="BQ140" i="20"/>
  <c r="BM59" i="6"/>
  <c r="BM62" i="6" s="1"/>
  <c r="BN60" i="6" l="1"/>
  <c r="BS86" i="20"/>
  <c r="BS85" i="20" s="1"/>
  <c r="BM63" i="6"/>
  <c r="BR146" i="20"/>
  <c r="BR163" i="20" s="1"/>
  <c r="BR142" i="20"/>
  <c r="BR159" i="20" s="1"/>
  <c r="BR140" i="20"/>
  <c r="BR157" i="20" s="1"/>
  <c r="BR139" i="20"/>
  <c r="BR156" i="20" s="1"/>
  <c r="BR138" i="20"/>
  <c r="BR155" i="20" s="1"/>
  <c r="BR143" i="20"/>
  <c r="BR160" i="20" s="1"/>
  <c r="BR141" i="20"/>
  <c r="BR158" i="20" s="1"/>
  <c r="BR137" i="20"/>
  <c r="BR154" i="20" s="1"/>
  <c r="BR145" i="20"/>
  <c r="BR162" i="20" s="1"/>
  <c r="BO58" i="6"/>
  <c r="BO59" i="6" s="1"/>
  <c r="BO62" i="6" s="1"/>
  <c r="BN59" i="6"/>
  <c r="BN62" i="6" s="1"/>
  <c r="BO60" i="6" l="1"/>
  <c r="BT86" i="20"/>
  <c r="BT85" i="20" s="1"/>
  <c r="BP58" i="6"/>
  <c r="BP59" i="6" s="1"/>
  <c r="BP62" i="6" s="1"/>
  <c r="BS142" i="20"/>
  <c r="BS159" i="20" s="1"/>
  <c r="BS141" i="20"/>
  <c r="BS158" i="20" s="1"/>
  <c r="BS137" i="20"/>
  <c r="BS154" i="20" s="1"/>
  <c r="BS146" i="20"/>
  <c r="BS163" i="20" s="1"/>
  <c r="BS140" i="20"/>
  <c r="BS157" i="20" s="1"/>
  <c r="BS143" i="20"/>
  <c r="BS160" i="20" s="1"/>
  <c r="BS139" i="20"/>
  <c r="BS156" i="20" s="1"/>
  <c r="BS138" i="20"/>
  <c r="BS155" i="20" s="1"/>
  <c r="BS145" i="20"/>
  <c r="BS162" i="20" s="1"/>
  <c r="BN63" i="6"/>
  <c r="BO63" i="6"/>
  <c r="BP63" i="6" l="1"/>
  <c r="BP60" i="6"/>
  <c r="BU86" i="20"/>
  <c r="BU85" i="20" s="1"/>
  <c r="BT142" i="20"/>
  <c r="BT159" i="20" s="1"/>
  <c r="BT145" i="20"/>
  <c r="BT162" i="20" s="1"/>
  <c r="BT140" i="20"/>
  <c r="BT157" i="20" s="1"/>
  <c r="BT143" i="20"/>
  <c r="BT160" i="20" s="1"/>
  <c r="BT141" i="20"/>
  <c r="BT158" i="20" s="1"/>
  <c r="BT138" i="20"/>
  <c r="BT155" i="20" s="1"/>
  <c r="BT139" i="20"/>
  <c r="BT156" i="20" s="1"/>
  <c r="BT146" i="20"/>
  <c r="BT163" i="20" s="1"/>
  <c r="BT137" i="20"/>
  <c r="BT154" i="20" s="1"/>
  <c r="BQ58" i="6"/>
  <c r="BQ59" i="6" s="1"/>
  <c r="BQ62" i="6" s="1"/>
  <c r="BQ63" i="6" l="1"/>
  <c r="BR58" i="6"/>
  <c r="BR59" i="6" s="1"/>
  <c r="BR62" i="6" s="1"/>
  <c r="BU138" i="20"/>
  <c r="BU155" i="20" s="1"/>
  <c r="BU142" i="20"/>
  <c r="BU159" i="20" s="1"/>
  <c r="BU145" i="20"/>
  <c r="BU162" i="20" s="1"/>
  <c r="BU137" i="20"/>
  <c r="BU154" i="20" s="1"/>
  <c r="BU146" i="20"/>
  <c r="BU163" i="20" s="1"/>
  <c r="BU140" i="20"/>
  <c r="BU157" i="20" s="1"/>
  <c r="BU139" i="20"/>
  <c r="BU156" i="20" s="1"/>
  <c r="BU143" i="20"/>
  <c r="BU160" i="20" s="1"/>
  <c r="BU141" i="20"/>
  <c r="BU158" i="20" s="1"/>
  <c r="BQ60" i="6"/>
  <c r="BV86" i="20"/>
  <c r="BV85" i="20" s="1"/>
  <c r="BR63" i="6" l="1"/>
  <c r="BR60" i="6"/>
  <c r="BW86" i="20"/>
  <c r="BW85" i="20" s="1"/>
  <c r="BV138" i="20"/>
  <c r="BV155" i="20" s="1"/>
  <c r="BV141" i="20"/>
  <c r="BV158" i="20" s="1"/>
  <c r="BV142" i="20"/>
  <c r="BV159" i="20" s="1"/>
  <c r="BV139" i="20"/>
  <c r="BV156" i="20" s="1"/>
  <c r="BV137" i="20"/>
  <c r="BV154" i="20" s="1"/>
  <c r="BV146" i="20"/>
  <c r="BV163" i="20" s="1"/>
  <c r="BV140" i="20"/>
  <c r="BV157" i="20" s="1"/>
  <c r="BV143" i="20"/>
  <c r="BV160" i="20" s="1"/>
  <c r="BV145" i="20"/>
  <c r="BV162" i="20" s="1"/>
  <c r="BS58" i="6"/>
  <c r="BS59" i="6" s="1"/>
  <c r="BS62" i="6" s="1"/>
  <c r="BT58" i="6" l="1"/>
  <c r="BS63" i="6"/>
  <c r="BW145" i="20"/>
  <c r="BW162" i="20" s="1"/>
  <c r="BW146" i="20"/>
  <c r="BW163" i="20" s="1"/>
  <c r="BW143" i="20"/>
  <c r="BW160" i="20" s="1"/>
  <c r="BW137" i="20"/>
  <c r="BW154" i="20" s="1"/>
  <c r="BW140" i="20"/>
  <c r="BW157" i="20" s="1"/>
  <c r="BW139" i="20"/>
  <c r="BW156" i="20" s="1"/>
  <c r="BW142" i="20"/>
  <c r="BW159" i="20" s="1"/>
  <c r="BW141" i="20"/>
  <c r="BW158" i="20" s="1"/>
  <c r="BW138" i="20"/>
  <c r="BW155" i="20" s="1"/>
  <c r="BS60" i="6"/>
  <c r="BX86" i="20"/>
  <c r="BX85" i="20" s="1"/>
  <c r="BT60" i="6" l="1"/>
  <c r="BY86" i="20"/>
  <c r="BY85" i="20" s="1"/>
  <c r="BU58" i="6"/>
  <c r="BU59" i="6" s="1"/>
  <c r="BU62" i="6" s="1"/>
  <c r="BX140" i="20"/>
  <c r="BX157" i="20" s="1"/>
  <c r="BX145" i="20"/>
  <c r="BX162" i="20" s="1"/>
  <c r="BX141" i="20"/>
  <c r="BX158" i="20" s="1"/>
  <c r="BX142" i="20"/>
  <c r="BX159" i="20" s="1"/>
  <c r="BX138" i="20"/>
  <c r="BX155" i="20" s="1"/>
  <c r="BX143" i="20"/>
  <c r="BX160" i="20" s="1"/>
  <c r="BX146" i="20"/>
  <c r="BX163" i="20" s="1"/>
  <c r="BX137" i="20"/>
  <c r="BX154" i="20" s="1"/>
  <c r="BX139" i="20"/>
  <c r="BX156" i="20" s="1"/>
  <c r="BT59" i="6"/>
  <c r="BT62" i="6" s="1"/>
  <c r="BV58" i="6" l="1"/>
  <c r="BU63" i="6"/>
  <c r="BT63" i="6"/>
  <c r="BU60" i="6"/>
  <c r="BZ86" i="20"/>
  <c r="BZ85" i="20" s="1"/>
  <c r="BY143" i="20"/>
  <c r="BY160" i="20" s="1"/>
  <c r="BY140" i="20"/>
  <c r="BY157" i="20" s="1"/>
  <c r="BY141" i="20"/>
  <c r="BY158" i="20" s="1"/>
  <c r="BY145" i="20"/>
  <c r="BY162" i="20" s="1"/>
  <c r="BY137" i="20"/>
  <c r="BY154" i="20" s="1"/>
  <c r="BY139" i="20"/>
  <c r="BY156" i="20" s="1"/>
  <c r="BY146" i="20"/>
  <c r="BY163" i="20" s="1"/>
  <c r="BY142" i="20"/>
  <c r="BY159" i="20" s="1"/>
  <c r="BY138" i="20"/>
  <c r="BY155" i="20" s="1"/>
  <c r="BZ138" i="20" l="1"/>
  <c r="BZ155" i="20" s="1"/>
  <c r="BZ142" i="20"/>
  <c r="BZ159" i="20" s="1"/>
  <c r="BZ141" i="20"/>
  <c r="BZ158" i="20" s="1"/>
  <c r="BZ145" i="20"/>
  <c r="BZ162" i="20" s="1"/>
  <c r="BZ139" i="20"/>
  <c r="BZ156" i="20" s="1"/>
  <c r="BZ140" i="20"/>
  <c r="BZ157" i="20" s="1"/>
  <c r="BZ137" i="20"/>
  <c r="BZ154" i="20" s="1"/>
  <c r="BZ143" i="20"/>
  <c r="BZ160" i="20" s="1"/>
  <c r="BZ146" i="20"/>
  <c r="BZ163" i="20" s="1"/>
  <c r="BV60" i="6"/>
  <c r="CA86" i="20"/>
  <c r="CA85" i="20" s="1"/>
  <c r="BV59" i="6"/>
  <c r="BV62" i="6" s="1"/>
  <c r="BW58" i="6"/>
  <c r="BW59" i="6" s="1"/>
  <c r="BW62" i="6" s="1"/>
  <c r="BW60" i="6" l="1"/>
  <c r="CB86" i="20"/>
  <c r="CB85" i="20" s="1"/>
  <c r="BV63" i="6"/>
  <c r="CA140" i="20"/>
  <c r="CA157" i="20" s="1"/>
  <c r="CA142" i="20"/>
  <c r="CA159" i="20" s="1"/>
  <c r="CA145" i="20"/>
  <c r="CA162" i="20" s="1"/>
  <c r="CA139" i="20"/>
  <c r="CA156" i="20" s="1"/>
  <c r="CA141" i="20"/>
  <c r="CA158" i="20" s="1"/>
  <c r="CA138" i="20"/>
  <c r="CA155" i="20" s="1"/>
  <c r="CA143" i="20"/>
  <c r="CA160" i="20" s="1"/>
  <c r="CA137" i="20"/>
  <c r="CA154" i="20" s="1"/>
  <c r="CA146" i="20"/>
  <c r="CA163" i="20" s="1"/>
  <c r="BX58" i="6"/>
  <c r="BX59" i="6" s="1"/>
  <c r="BX62" i="6" s="1"/>
  <c r="BW63" i="6"/>
  <c r="BX63" i="6" l="1"/>
  <c r="CB137" i="20"/>
  <c r="CB154" i="20" s="1"/>
  <c r="CB145" i="20"/>
  <c r="CB162" i="20" s="1"/>
  <c r="CB138" i="20"/>
  <c r="CB155" i="20" s="1"/>
  <c r="CB146" i="20"/>
  <c r="CB163" i="20" s="1"/>
  <c r="CB141" i="20"/>
  <c r="CB158" i="20" s="1"/>
  <c r="CB143" i="20"/>
  <c r="CB160" i="20" s="1"/>
  <c r="CB140" i="20"/>
  <c r="CB157" i="20" s="1"/>
  <c r="CB139" i="20"/>
  <c r="CB156" i="20" s="1"/>
  <c r="CB142" i="20"/>
  <c r="CB159" i="20" s="1"/>
  <c r="BY58" i="6"/>
  <c r="BX60" i="6"/>
  <c r="CC86" i="20"/>
  <c r="CC85" i="20" s="1"/>
  <c r="BY60" i="6" l="1"/>
  <c r="CD86" i="20"/>
  <c r="CD85" i="20" s="1"/>
  <c r="CC145" i="20"/>
  <c r="CC162" i="20" s="1"/>
  <c r="CC140" i="20"/>
  <c r="CC157" i="20" s="1"/>
  <c r="CC141" i="20"/>
  <c r="CC158" i="20" s="1"/>
  <c r="CC139" i="20"/>
  <c r="CC156" i="20" s="1"/>
  <c r="CC138" i="20"/>
  <c r="CC155" i="20" s="1"/>
  <c r="CC143" i="20"/>
  <c r="CC160" i="20" s="1"/>
  <c r="CC137" i="20"/>
  <c r="CC154" i="20" s="1"/>
  <c r="CC146" i="20"/>
  <c r="CC163" i="20" s="1"/>
  <c r="CC142" i="20"/>
  <c r="CC159" i="20" s="1"/>
  <c r="BZ58" i="6"/>
  <c r="BZ59" i="6" s="1"/>
  <c r="BZ62" i="6" s="1"/>
  <c r="BY59" i="6"/>
  <c r="BY62" i="6" s="1"/>
  <c r="CD140" i="20" l="1"/>
  <c r="CD157" i="20" s="1"/>
  <c r="CD146" i="20"/>
  <c r="CD163" i="20" s="1"/>
  <c r="CD143" i="20"/>
  <c r="CD160" i="20" s="1"/>
  <c r="CD137" i="20"/>
  <c r="CD154" i="20" s="1"/>
  <c r="CD139" i="20"/>
  <c r="CD156" i="20" s="1"/>
  <c r="CD141" i="20"/>
  <c r="CD158" i="20" s="1"/>
  <c r="CD145" i="20"/>
  <c r="CD162" i="20" s="1"/>
  <c r="CD142" i="20"/>
  <c r="CD159" i="20" s="1"/>
  <c r="CD138" i="20"/>
  <c r="CD155" i="20" s="1"/>
  <c r="CA58" i="6"/>
  <c r="CA59" i="6" s="1"/>
  <c r="CA62" i="6" s="1"/>
  <c r="BY63" i="6"/>
  <c r="BZ60" i="6"/>
  <c r="CE86" i="20"/>
  <c r="CE85" i="20" s="1"/>
  <c r="BZ63" i="6"/>
  <c r="CE138" i="20" l="1"/>
  <c r="CE155" i="20" s="1"/>
  <c r="CE141" i="20"/>
  <c r="CE158" i="20" s="1"/>
  <c r="CE143" i="20"/>
  <c r="CE160" i="20" s="1"/>
  <c r="CE137" i="20"/>
  <c r="CE154" i="20" s="1"/>
  <c r="CE145" i="20"/>
  <c r="CE162" i="20" s="1"/>
  <c r="CE139" i="20"/>
  <c r="CE156" i="20" s="1"/>
  <c r="CE142" i="20"/>
  <c r="CE159" i="20" s="1"/>
  <c r="CE140" i="20"/>
  <c r="CE157" i="20" s="1"/>
  <c r="CE146" i="20"/>
  <c r="CE163" i="20" s="1"/>
  <c r="CB58" i="6"/>
  <c r="CB59" i="6" s="1"/>
  <c r="CB62" i="6" s="1"/>
  <c r="CA63" i="6"/>
  <c r="CA60" i="6"/>
  <c r="CF86" i="20"/>
  <c r="CF85" i="20" s="1"/>
  <c r="CB60" i="6" l="1"/>
  <c r="CG86" i="20"/>
  <c r="CG85" i="20" s="1"/>
  <c r="CF140" i="20"/>
  <c r="CF157" i="20" s="1"/>
  <c r="CF145" i="20"/>
  <c r="CF162" i="20" s="1"/>
  <c r="CF138" i="20"/>
  <c r="CF155" i="20" s="1"/>
  <c r="CF139" i="20"/>
  <c r="CF156" i="20" s="1"/>
  <c r="CF143" i="20"/>
  <c r="CF160" i="20" s="1"/>
  <c r="CF141" i="20"/>
  <c r="CF158" i="20" s="1"/>
  <c r="CF142" i="20"/>
  <c r="CF159" i="20" s="1"/>
  <c r="CF146" i="20"/>
  <c r="CF163" i="20" s="1"/>
  <c r="CF137" i="20"/>
  <c r="CF154" i="20" s="1"/>
  <c r="CC58" i="6"/>
  <c r="CB63" i="6"/>
  <c r="CC60" i="6" l="1"/>
  <c r="CH86" i="20"/>
  <c r="CH85" i="20" s="1"/>
  <c r="CC59" i="6"/>
  <c r="CC62" i="6" s="1"/>
  <c r="CG138" i="20"/>
  <c r="CG155" i="20" s="1"/>
  <c r="CG143" i="20"/>
  <c r="CG160" i="20" s="1"/>
  <c r="CG142" i="20"/>
  <c r="CG159" i="20" s="1"/>
  <c r="CG141" i="20"/>
  <c r="CG158" i="20" s="1"/>
  <c r="CG139" i="20"/>
  <c r="CG156" i="20" s="1"/>
  <c r="CG137" i="20"/>
  <c r="CG154" i="20" s="1"/>
  <c r="CG146" i="20"/>
  <c r="CG163" i="20" s="1"/>
  <c r="CG140" i="20"/>
  <c r="CG157" i="20" s="1"/>
  <c r="CG145" i="20"/>
  <c r="CG162" i="20" s="1"/>
  <c r="CD58" i="6"/>
  <c r="CD59" i="6" s="1"/>
  <c r="CD62" i="6" s="1"/>
  <c r="CD63" i="6" l="1"/>
  <c r="CE58" i="6"/>
  <c r="CC63" i="6"/>
  <c r="CH140" i="20"/>
  <c r="CH157" i="20" s="1"/>
  <c r="CH141" i="20"/>
  <c r="CH158" i="20" s="1"/>
  <c r="CH142" i="20"/>
  <c r="CH159" i="20" s="1"/>
  <c r="CH143" i="20"/>
  <c r="CH160" i="20" s="1"/>
  <c r="CH145" i="20"/>
  <c r="CH162" i="20" s="1"/>
  <c r="CH137" i="20"/>
  <c r="CH154" i="20" s="1"/>
  <c r="CH138" i="20"/>
  <c r="CH155" i="20" s="1"/>
  <c r="CH146" i="20"/>
  <c r="CH163" i="20" s="1"/>
  <c r="CH139" i="20"/>
  <c r="CH156" i="20" s="1"/>
  <c r="CD60" i="6"/>
  <c r="CI86" i="20"/>
  <c r="CI85" i="20" s="1"/>
  <c r="CE60" i="6" l="1"/>
  <c r="CJ86" i="20"/>
  <c r="CJ85" i="20" s="1"/>
  <c r="CF58" i="6"/>
  <c r="CF59" i="6" s="1"/>
  <c r="CF62" i="6" s="1"/>
  <c r="CI141" i="20"/>
  <c r="CI158" i="20" s="1"/>
  <c r="CI138" i="20"/>
  <c r="CI155" i="20" s="1"/>
  <c r="CI140" i="20"/>
  <c r="CI157" i="20" s="1"/>
  <c r="CI142" i="20"/>
  <c r="CI159" i="20" s="1"/>
  <c r="CI143" i="20"/>
  <c r="CI160" i="20" s="1"/>
  <c r="CI146" i="20"/>
  <c r="CI163" i="20" s="1"/>
  <c r="CI145" i="20"/>
  <c r="CI162" i="20" s="1"/>
  <c r="CI137" i="20"/>
  <c r="CI154" i="20" s="1"/>
  <c r="CI139" i="20"/>
  <c r="CI156" i="20" s="1"/>
  <c r="CE59" i="6"/>
  <c r="CE62" i="6" s="1"/>
  <c r="CF63" i="6" l="1"/>
  <c r="CJ138" i="20"/>
  <c r="CJ155" i="20" s="1"/>
  <c r="CJ143" i="20"/>
  <c r="CJ160" i="20" s="1"/>
  <c r="CJ137" i="20"/>
  <c r="CJ154" i="20" s="1"/>
  <c r="CJ141" i="20"/>
  <c r="CJ158" i="20" s="1"/>
  <c r="CJ140" i="20"/>
  <c r="CJ157" i="20" s="1"/>
  <c r="CJ145" i="20"/>
  <c r="CJ162" i="20" s="1"/>
  <c r="CJ139" i="20"/>
  <c r="CJ156" i="20" s="1"/>
  <c r="CJ146" i="20"/>
  <c r="CJ163" i="20" s="1"/>
  <c r="CJ142" i="20"/>
  <c r="CJ159" i="20" s="1"/>
  <c r="CF60" i="6"/>
  <c r="CK86" i="20"/>
  <c r="CK85" i="20" s="1"/>
  <c r="CE63" i="6"/>
  <c r="CG58" i="6"/>
  <c r="CG59" i="6" s="1"/>
  <c r="CG62" i="6" s="1"/>
  <c r="CG63" i="6" l="1"/>
  <c r="CK141" i="20"/>
  <c r="CK158" i="20" s="1"/>
  <c r="CK143" i="20"/>
  <c r="CK160" i="20" s="1"/>
  <c r="CK137" i="20"/>
  <c r="CK154" i="20" s="1"/>
  <c r="CK140" i="20"/>
  <c r="CK157" i="20" s="1"/>
  <c r="CK142" i="20"/>
  <c r="CK159" i="20" s="1"/>
  <c r="CK145" i="20"/>
  <c r="CK162" i="20" s="1"/>
  <c r="CK139" i="20"/>
  <c r="CK156" i="20" s="1"/>
  <c r="CK138" i="20"/>
  <c r="CK155" i="20" s="1"/>
  <c r="CK146" i="20"/>
  <c r="CK163" i="20" s="1"/>
  <c r="CG60" i="6"/>
  <c r="CL86" i="20"/>
  <c r="CL85" i="20" s="1"/>
  <c r="CH58" i="6"/>
  <c r="CH59" i="6" s="1"/>
  <c r="CH62" i="6" s="1"/>
  <c r="CH63" i="6" l="1"/>
  <c r="CH60" i="6"/>
  <c r="CM86" i="20"/>
  <c r="CM85" i="20" s="1"/>
  <c r="CL139" i="20"/>
  <c r="CL156" i="20" s="1"/>
  <c r="CL138" i="20"/>
  <c r="CL155" i="20" s="1"/>
  <c r="CL145" i="20"/>
  <c r="CL162" i="20" s="1"/>
  <c r="CL137" i="20"/>
  <c r="CL154" i="20" s="1"/>
  <c r="CL140" i="20"/>
  <c r="CL157" i="20" s="1"/>
  <c r="CL141" i="20"/>
  <c r="CL158" i="20" s="1"/>
  <c r="CL146" i="20"/>
  <c r="CL163" i="20" s="1"/>
  <c r="CL143" i="20"/>
  <c r="CL160" i="20" s="1"/>
  <c r="CL142" i="20"/>
  <c r="CL159" i="20" s="1"/>
  <c r="CI58" i="6"/>
  <c r="CI60" i="6" l="1"/>
  <c r="CN86" i="20"/>
  <c r="CN85" i="20" s="1"/>
  <c r="CM140" i="20"/>
  <c r="CM157" i="20" s="1"/>
  <c r="CM141" i="20"/>
  <c r="CM158" i="20" s="1"/>
  <c r="CM142" i="20"/>
  <c r="CM159" i="20" s="1"/>
  <c r="CM138" i="20"/>
  <c r="CM155" i="20" s="1"/>
  <c r="CM145" i="20"/>
  <c r="CM162" i="20" s="1"/>
  <c r="CM137" i="20"/>
  <c r="CM154" i="20" s="1"/>
  <c r="CM143" i="20"/>
  <c r="CM160" i="20" s="1"/>
  <c r="CM139" i="20"/>
  <c r="CM156" i="20" s="1"/>
  <c r="CM146" i="20"/>
  <c r="CM163" i="20" s="1"/>
  <c r="CI59" i="6"/>
  <c r="CI62" i="6" s="1"/>
  <c r="CN146" i="20" l="1"/>
  <c r="CN139" i="20"/>
  <c r="CN137" i="20"/>
  <c r="CN145" i="20"/>
  <c r="CN141" i="20"/>
  <c r="CN140" i="20"/>
  <c r="CN143" i="20"/>
  <c r="CN138" i="20"/>
  <c r="CN142" i="20"/>
  <c r="CI63" i="6"/>
  <c r="CN160" i="20" l="1"/>
  <c r="CO160" i="20"/>
  <c r="CN157" i="20"/>
  <c r="CO157" i="20"/>
  <c r="CN158" i="20"/>
  <c r="CO158" i="20"/>
  <c r="CN162" i="20"/>
  <c r="CO162" i="20"/>
  <c r="CN154" i="20"/>
  <c r="CO154" i="20"/>
  <c r="CN156" i="20"/>
  <c r="CO156" i="20"/>
  <c r="CN159" i="20"/>
  <c r="CO159" i="20"/>
  <c r="CN163" i="20"/>
  <c r="CO163" i="20"/>
  <c r="CN155" i="20"/>
  <c r="CO155" i="20"/>
  <c r="X371" i="1" l="1"/>
  <c r="N91" i="3"/>
  <c r="O91" i="3"/>
  <c r="X373" i="1"/>
  <c r="X372" i="1"/>
  <c r="U41" i="6"/>
  <c r="X374" i="1"/>
  <c r="T2" i="5"/>
  <c r="T31" i="5" s="1"/>
  <c r="X33" i="1"/>
  <c r="S85" i="3"/>
  <c r="T85" i="3" s="1"/>
  <c r="X40" i="1" l="1"/>
  <c r="X80" i="1"/>
  <c r="X83" i="1" s="1"/>
  <c r="X79" i="1" s="1"/>
  <c r="Y47" i="1"/>
  <c r="X47" i="1"/>
  <c r="X257" i="1" s="1"/>
  <c r="T4" i="5"/>
  <c r="T25" i="5" s="1"/>
  <c r="U38" i="6" s="1"/>
  <c r="X375" i="1"/>
  <c r="Y94" i="7"/>
  <c r="Y97" i="7" s="1"/>
  <c r="T33" i="5"/>
  <c r="T46" i="5" s="1"/>
  <c r="X121" i="1" l="1"/>
  <c r="X125" i="1" s="1"/>
  <c r="X37" i="1"/>
  <c r="X43" i="1" s="1"/>
  <c r="Y50" i="1" s="1"/>
  <c r="X124" i="1"/>
  <c r="X163" i="1" s="1"/>
  <c r="X184" i="1" s="1"/>
  <c r="X191" i="1" s="1"/>
  <c r="X128" i="1"/>
  <c r="X131" i="1" s="1"/>
  <c r="X160" i="1"/>
  <c r="X181" i="1" s="1"/>
  <c r="X188" i="1" s="1"/>
  <c r="X259" i="1"/>
  <c r="X354" i="1"/>
  <c r="T56" i="5"/>
  <c r="T26" i="5"/>
  <c r="U40" i="6"/>
  <c r="U26" i="5"/>
  <c r="Y257" i="1"/>
  <c r="Y259" i="1" s="1"/>
  <c r="S109" i="3"/>
  <c r="S90" i="3"/>
  <c r="AC416" i="1"/>
  <c r="S92" i="3"/>
  <c r="Z72" i="6"/>
  <c r="U85" i="3"/>
  <c r="T55" i="5"/>
  <c r="X50" i="1" l="1"/>
  <c r="D584" i="23"/>
  <c r="S115" i="3"/>
  <c r="S117" i="3"/>
  <c r="S116" i="3"/>
  <c r="X164" i="1"/>
  <c r="X407" i="1" s="1"/>
  <c r="X409" i="1" s="1"/>
  <c r="Y135" i="1"/>
  <c r="Y291" i="1" s="1"/>
  <c r="X132" i="1"/>
  <c r="X139" i="1" s="1"/>
  <c r="X135" i="1"/>
  <c r="T63" i="5"/>
  <c r="U49" i="6"/>
  <c r="Z82" i="6"/>
  <c r="Z74" i="6"/>
  <c r="U51" i="5"/>
  <c r="V39" i="6"/>
  <c r="U58" i="5"/>
  <c r="U39" i="6"/>
  <c r="T51" i="5"/>
  <c r="T58" i="5"/>
  <c r="V85" i="3"/>
  <c r="X359" i="1"/>
  <c r="Y354" i="1"/>
  <c r="Y138" i="1"/>
  <c r="X138" i="1"/>
  <c r="T62" i="5"/>
  <c r="T57" i="5"/>
  <c r="U47" i="6"/>
  <c r="AD416" i="1"/>
  <c r="T109" i="3"/>
  <c r="T92" i="3"/>
  <c r="AA72" i="6"/>
  <c r="T90" i="3"/>
  <c r="S105" i="3"/>
  <c r="C536" i="23"/>
  <c r="C539" i="23" s="1"/>
  <c r="AC417" i="1"/>
  <c r="E584" i="23" l="1"/>
  <c r="T117" i="3"/>
  <c r="Y288" i="1"/>
  <c r="Y314" i="1" s="1"/>
  <c r="Y337" i="1" s="1"/>
  <c r="T115" i="3"/>
  <c r="T116" i="3"/>
  <c r="Y139" i="1"/>
  <c r="T64" i="5"/>
  <c r="Z86" i="6"/>
  <c r="C624" i="23" s="1"/>
  <c r="Z84" i="6"/>
  <c r="W85" i="3"/>
  <c r="AB72" i="6"/>
  <c r="U90" i="3"/>
  <c r="AE416" i="1"/>
  <c r="U92" i="3"/>
  <c r="U99" i="3"/>
  <c r="T59" i="5"/>
  <c r="T71" i="5"/>
  <c r="T65" i="5"/>
  <c r="U48" i="6"/>
  <c r="AA74" i="6"/>
  <c r="AA76" i="6" s="1"/>
  <c r="AA82" i="6"/>
  <c r="Z76" i="6"/>
  <c r="Z354" i="1"/>
  <c r="AD417" i="1"/>
  <c r="D536" i="23"/>
  <c r="D539" i="23" s="1"/>
  <c r="T105" i="3"/>
  <c r="X362" i="1"/>
  <c r="T42" i="5"/>
  <c r="T50" i="5" s="1"/>
  <c r="T52" i="5" s="1"/>
  <c r="U65" i="5"/>
  <c r="U66" i="5" s="1"/>
  <c r="V48" i="6"/>
  <c r="U59" i="5"/>
  <c r="Y318" i="1"/>
  <c r="Z291" i="1"/>
  <c r="U109" i="3" l="1"/>
  <c r="F584" i="23"/>
  <c r="Y301" i="1"/>
  <c r="Y249" i="1" s="1"/>
  <c r="Z288" i="1"/>
  <c r="Z314" i="1" s="1"/>
  <c r="Z337" i="1" s="1"/>
  <c r="T66" i="5"/>
  <c r="T69" i="5" s="1"/>
  <c r="T77" i="5" s="1"/>
  <c r="AB74" i="6"/>
  <c r="AB76" i="6" s="1"/>
  <c r="AB82" i="6"/>
  <c r="Z318" i="1"/>
  <c r="AA291" i="1"/>
  <c r="AA354" i="1"/>
  <c r="U50" i="6"/>
  <c r="V99" i="3"/>
  <c r="V109" i="3" s="1"/>
  <c r="AC72" i="6"/>
  <c r="V90" i="3"/>
  <c r="AF416" i="1"/>
  <c r="V92" i="3"/>
  <c r="U105" i="3"/>
  <c r="AE417" i="1"/>
  <c r="E536" i="23"/>
  <c r="E539" i="23" s="1"/>
  <c r="Z107" i="6"/>
  <c r="G584" i="23"/>
  <c r="X85" i="3"/>
  <c r="T72" i="5"/>
  <c r="T73" i="5" s="1"/>
  <c r="U72" i="5"/>
  <c r="U73" i="5" s="1"/>
  <c r="U69" i="5"/>
  <c r="V70" i="5" s="1"/>
  <c r="V74" i="5" s="1"/>
  <c r="V50" i="6"/>
  <c r="V67" i="5"/>
  <c r="AA86" i="6"/>
  <c r="D624" i="23" s="1"/>
  <c r="AA84" i="6"/>
  <c r="AA107" i="6" s="1"/>
  <c r="Y328" i="1" l="1"/>
  <c r="Y339" i="1" s="1"/>
  <c r="Y341" i="1" s="1"/>
  <c r="Y345" i="1" s="1"/>
  <c r="Z301" i="1"/>
  <c r="Z328" i="1" s="1"/>
  <c r="Z339" i="1" s="1"/>
  <c r="Z341" i="1" s="1"/>
  <c r="Y359" i="1"/>
  <c r="Y362" i="1" s="1"/>
  <c r="AA288" i="1"/>
  <c r="AB288" i="1" s="1"/>
  <c r="T67" i="5"/>
  <c r="U67" i="5"/>
  <c r="V76" i="5"/>
  <c r="U77" i="5"/>
  <c r="V105" i="3"/>
  <c r="AF417" i="1"/>
  <c r="F536" i="23"/>
  <c r="F539" i="23" s="1"/>
  <c r="AB84" i="6"/>
  <c r="AB86" i="6"/>
  <c r="E624" i="23" s="1"/>
  <c r="AA318" i="1"/>
  <c r="AB291" i="1"/>
  <c r="W99" i="3"/>
  <c r="W109" i="3" s="1"/>
  <c r="W90" i="3"/>
  <c r="AG416" i="1"/>
  <c r="W92" i="3"/>
  <c r="AD72" i="6"/>
  <c r="V60" i="6"/>
  <c r="V62" i="6"/>
  <c r="U62" i="6"/>
  <c r="U60" i="6"/>
  <c r="U70" i="5"/>
  <c r="U74" i="5" s="1"/>
  <c r="T70" i="5"/>
  <c r="T74" i="5" s="1"/>
  <c r="H584" i="23"/>
  <c r="Y85" i="3"/>
  <c r="AC82" i="6"/>
  <c r="AC74" i="6"/>
  <c r="AC76" i="6" s="1"/>
  <c r="AB354" i="1"/>
  <c r="U42" i="5" l="1"/>
  <c r="U50" i="5" s="1"/>
  <c r="U52" i="5" s="1"/>
  <c r="Z345" i="1"/>
  <c r="Z359" i="1"/>
  <c r="V42" i="5" s="1"/>
  <c r="V50" i="5" s="1"/>
  <c r="V52" i="5" s="1"/>
  <c r="Z249" i="1"/>
  <c r="AA301" i="1"/>
  <c r="AA359" i="1" s="1"/>
  <c r="W42" i="5" s="1"/>
  <c r="W50" i="5" s="1"/>
  <c r="W52" i="5" s="1"/>
  <c r="AA314" i="1"/>
  <c r="AA337" i="1" s="1"/>
  <c r="U76" i="5"/>
  <c r="T76" i="5"/>
  <c r="AC354" i="1"/>
  <c r="G536" i="23"/>
  <c r="G539" i="23" s="1"/>
  <c r="W105" i="3"/>
  <c r="AG417" i="1"/>
  <c r="V88" i="6"/>
  <c r="V87" i="6"/>
  <c r="V86" i="6"/>
  <c r="V91" i="6"/>
  <c r="V63" i="6"/>
  <c r="AB318" i="1"/>
  <c r="AC291" i="1"/>
  <c r="AB314" i="1"/>
  <c r="AB337" i="1" s="1"/>
  <c r="AC288" i="1"/>
  <c r="I584" i="23"/>
  <c r="Z85" i="3"/>
  <c r="AC86" i="6"/>
  <c r="F624" i="23" s="1"/>
  <c r="AC84" i="6"/>
  <c r="U63" i="6"/>
  <c r="U86" i="6"/>
  <c r="U91" i="6"/>
  <c r="U88" i="6"/>
  <c r="U87" i="6"/>
  <c r="X90" i="3"/>
  <c r="X92" i="3"/>
  <c r="X99" i="3"/>
  <c r="X109" i="3" s="1"/>
  <c r="AE72" i="6"/>
  <c r="AH416" i="1"/>
  <c r="AD74" i="6"/>
  <c r="AD76" i="6" s="1"/>
  <c r="AD82" i="6"/>
  <c r="AB107" i="6"/>
  <c r="Z362" i="1" l="1"/>
  <c r="AA362" i="1"/>
  <c r="AB301" i="1"/>
  <c r="AB359" i="1" s="1"/>
  <c r="AB362" i="1" s="1"/>
  <c r="AA328" i="1"/>
  <c r="AA339" i="1" s="1"/>
  <c r="AA341" i="1" s="1"/>
  <c r="AA345" i="1" s="1"/>
  <c r="AA249" i="1"/>
  <c r="AC107" i="6"/>
  <c r="X105" i="3"/>
  <c r="H536" i="23"/>
  <c r="H539" i="23" s="1"/>
  <c r="AH417" i="1"/>
  <c r="J584" i="23"/>
  <c r="AA85" i="3"/>
  <c r="Y90" i="3"/>
  <c r="AI416" i="1"/>
  <c r="Y92" i="3"/>
  <c r="Y99" i="3"/>
  <c r="Y109" i="3" s="1"/>
  <c r="AF72" i="6"/>
  <c r="AD354" i="1"/>
  <c r="AC314" i="1"/>
  <c r="AC337" i="1" s="1"/>
  <c r="AD288" i="1"/>
  <c r="AC318" i="1"/>
  <c r="AD291" i="1"/>
  <c r="AE82" i="6"/>
  <c r="AE74" i="6"/>
  <c r="AE76" i="6" s="1"/>
  <c r="AD84" i="6"/>
  <c r="AD86" i="6"/>
  <c r="G624" i="23" s="1"/>
  <c r="I127" i="3" l="1"/>
  <c r="AB249" i="1"/>
  <c r="X42" i="5"/>
  <c r="X50" i="5" s="1"/>
  <c r="X52" i="5" s="1"/>
  <c r="AC301" i="1"/>
  <c r="AC359" i="1" s="1"/>
  <c r="AC362" i="1" s="1"/>
  <c r="AB328" i="1"/>
  <c r="AB339" i="1" s="1"/>
  <c r="AB341" i="1" s="1"/>
  <c r="AB345" i="1" s="1"/>
  <c r="AJ416" i="1"/>
  <c r="Z92" i="3"/>
  <c r="Z90" i="3"/>
  <c r="AG72" i="6"/>
  <c r="AD107" i="6"/>
  <c r="AE354" i="1"/>
  <c r="AD314" i="1"/>
  <c r="AD337" i="1" s="1"/>
  <c r="AE288" i="1"/>
  <c r="AF82" i="6"/>
  <c r="AF74" i="6"/>
  <c r="K584" i="23"/>
  <c r="AB85" i="3"/>
  <c r="AE84" i="6"/>
  <c r="AE107" i="6" s="1"/>
  <c r="AE86" i="6"/>
  <c r="Y105" i="3"/>
  <c r="I536" i="23"/>
  <c r="I539" i="23" s="1"/>
  <c r="AI417" i="1"/>
  <c r="AD318" i="1"/>
  <c r="AE291" i="1"/>
  <c r="AC249" i="1" l="1"/>
  <c r="AC328" i="1"/>
  <c r="AC339" i="1" s="1"/>
  <c r="AC341" i="1" s="1"/>
  <c r="AC345" i="1" s="1"/>
  <c r="AD301" i="1"/>
  <c r="AE301" i="1" s="1"/>
  <c r="Y42" i="5"/>
  <c r="Y50" i="5" s="1"/>
  <c r="Y52" i="5" s="1"/>
  <c r="H624" i="23"/>
  <c r="AF86" i="6"/>
  <c r="I624" i="23" s="1"/>
  <c r="AF84" i="6"/>
  <c r="L584" i="23"/>
  <c r="AC85" i="3"/>
  <c r="AG82" i="6"/>
  <c r="AG74" i="6"/>
  <c r="AE314" i="1"/>
  <c r="AE337" i="1" s="1"/>
  <c r="AF288" i="1"/>
  <c r="AF76" i="6"/>
  <c r="AA90" i="3"/>
  <c r="AK416" i="1"/>
  <c r="AH72" i="6"/>
  <c r="AE318" i="1"/>
  <c r="AF291" i="1"/>
  <c r="AF354" i="1"/>
  <c r="AD328" i="1" l="1"/>
  <c r="AD339" i="1" s="1"/>
  <c r="AD341" i="1" s="1"/>
  <c r="AD345" i="1" s="1"/>
  <c r="AD249" i="1"/>
  <c r="AD359" i="1"/>
  <c r="AD362" i="1" s="1"/>
  <c r="AF107" i="6"/>
  <c r="M584" i="23"/>
  <c r="AD85" i="3"/>
  <c r="AB90" i="3"/>
  <c r="AL416" i="1"/>
  <c r="AI72" i="6"/>
  <c r="AF318" i="1"/>
  <c r="AG291" i="1"/>
  <c r="AE249" i="1"/>
  <c r="AE328" i="1"/>
  <c r="AE339" i="1" s="1"/>
  <c r="AE341" i="1" s="1"/>
  <c r="AF301" i="1"/>
  <c r="AF359" i="1" s="1"/>
  <c r="AG354" i="1"/>
  <c r="AG84" i="6"/>
  <c r="AG86" i="6"/>
  <c r="Z109" i="3"/>
  <c r="AE359" i="1"/>
  <c r="AH74" i="6"/>
  <c r="AH82" i="6"/>
  <c r="AF314" i="1"/>
  <c r="AF337" i="1" s="1"/>
  <c r="AG288" i="1"/>
  <c r="AE345" i="1" l="1"/>
  <c r="Z42" i="5"/>
  <c r="Z50" i="5" s="1"/>
  <c r="Z52" i="5" s="1"/>
  <c r="J624" i="23"/>
  <c r="AE362" i="1"/>
  <c r="AA42" i="5"/>
  <c r="AA50" i="5" s="1"/>
  <c r="AA52" i="5" s="1"/>
  <c r="AG314" i="1"/>
  <c r="AG337" i="1" s="1"/>
  <c r="AH288" i="1"/>
  <c r="AG107" i="6"/>
  <c r="AH354" i="1"/>
  <c r="AF362" i="1"/>
  <c r="AB42" i="5"/>
  <c r="AB50" i="5" s="1"/>
  <c r="AB52" i="5" s="1"/>
  <c r="AF249" i="1"/>
  <c r="AF328" i="1"/>
  <c r="AF339" i="1" s="1"/>
  <c r="AF341" i="1" s="1"/>
  <c r="AF345" i="1" s="1"/>
  <c r="AG301" i="1"/>
  <c r="AG359" i="1" s="1"/>
  <c r="N584" i="23"/>
  <c r="AE85" i="3"/>
  <c r="AH86" i="6"/>
  <c r="K624" i="23" s="1"/>
  <c r="AH84" i="6"/>
  <c r="AH107" i="6" s="1"/>
  <c r="AA109" i="3"/>
  <c r="AC90" i="3"/>
  <c r="AM416" i="1"/>
  <c r="AJ72" i="6"/>
  <c r="AI82" i="6"/>
  <c r="AI74" i="6"/>
  <c r="Z105" i="3"/>
  <c r="J536" i="23"/>
  <c r="J539" i="23" s="1"/>
  <c r="AG76" i="6"/>
  <c r="AJ417" i="1"/>
  <c r="AA92" i="3"/>
  <c r="AG318" i="1"/>
  <c r="AH291" i="1"/>
  <c r="AH314" i="1" l="1"/>
  <c r="AH337" i="1" s="1"/>
  <c r="AI288" i="1"/>
  <c r="O584" i="23"/>
  <c r="AF85" i="3"/>
  <c r="AN416" i="1"/>
  <c r="AD90" i="3"/>
  <c r="AK72" i="6"/>
  <c r="AG362" i="1"/>
  <c r="AC42" i="5"/>
  <c r="AC50" i="5" s="1"/>
  <c r="AC52" i="5" s="1"/>
  <c r="AJ82" i="6"/>
  <c r="AJ74" i="6"/>
  <c r="AG249" i="1"/>
  <c r="AG328" i="1"/>
  <c r="AG339" i="1" s="1"/>
  <c r="AG341" i="1" s="1"/>
  <c r="AG345" i="1" s="1"/>
  <c r="AH301" i="1"/>
  <c r="AI86" i="6"/>
  <c r="AB109" i="3"/>
  <c r="AI84" i="6"/>
  <c r="AI107" i="6" s="1"/>
  <c r="AH318" i="1"/>
  <c r="AI291" i="1"/>
  <c r="AH76" i="6"/>
  <c r="AA105" i="3"/>
  <c r="AK417" i="1"/>
  <c r="K536" i="23"/>
  <c r="K539" i="23" s="1"/>
  <c r="AB92" i="3"/>
  <c r="AI354" i="1"/>
  <c r="L624" i="23" l="1"/>
  <c r="AJ84" i="6"/>
  <c r="AJ107" i="6" s="1"/>
  <c r="AJ86" i="6"/>
  <c r="M624" i="23" s="1"/>
  <c r="AC109" i="3"/>
  <c r="AJ354" i="1"/>
  <c r="AH328" i="1"/>
  <c r="AH339" i="1" s="1"/>
  <c r="AH341" i="1" s="1"/>
  <c r="AH345" i="1" s="1"/>
  <c r="AH249" i="1"/>
  <c r="AI301" i="1"/>
  <c r="AI359" i="1" s="1"/>
  <c r="P584" i="23"/>
  <c r="AG85" i="3"/>
  <c r="AE90" i="3"/>
  <c r="AO416" i="1"/>
  <c r="AL72" i="6"/>
  <c r="AH359" i="1"/>
  <c r="AI318" i="1"/>
  <c r="AJ291" i="1"/>
  <c r="AI314" i="1"/>
  <c r="AI337" i="1" s="1"/>
  <c r="AJ288" i="1"/>
  <c r="AI76" i="6"/>
  <c r="L536" i="23"/>
  <c r="L539" i="23" s="1"/>
  <c r="AB105" i="3"/>
  <c r="AL417" i="1"/>
  <c r="AC92" i="3"/>
  <c r="AK82" i="6"/>
  <c r="AK74" i="6"/>
  <c r="AK354" i="1" l="1"/>
  <c r="AI362" i="1"/>
  <c r="AE42" i="5"/>
  <c r="AE50" i="5" s="1"/>
  <c r="AE52" i="5" s="1"/>
  <c r="AJ76" i="6"/>
  <c r="AC105" i="3"/>
  <c r="AM417" i="1"/>
  <c r="M536" i="23"/>
  <c r="M539" i="23" s="1"/>
  <c r="AD92" i="3"/>
  <c r="Q584" i="23"/>
  <c r="AH85" i="3"/>
  <c r="AK84" i="6"/>
  <c r="AK107" i="6" s="1"/>
  <c r="AD109" i="3"/>
  <c r="AK86" i="6"/>
  <c r="AP416" i="1"/>
  <c r="AM72" i="6"/>
  <c r="AF90" i="3"/>
  <c r="AH362" i="1"/>
  <c r="AD42" i="5"/>
  <c r="AD50" i="5" s="1"/>
  <c r="AD52" i="5" s="1"/>
  <c r="AL82" i="6"/>
  <c r="AL74" i="6"/>
  <c r="AJ314" i="1"/>
  <c r="AJ337" i="1" s="1"/>
  <c r="AK288" i="1"/>
  <c r="AJ318" i="1"/>
  <c r="AK291" i="1"/>
  <c r="AI249" i="1"/>
  <c r="AI328" i="1"/>
  <c r="AI339" i="1" s="1"/>
  <c r="AI341" i="1" s="1"/>
  <c r="AI345" i="1" s="1"/>
  <c r="AJ301" i="1"/>
  <c r="N624" i="23" l="1"/>
  <c r="R584" i="23"/>
  <c r="AI85" i="3"/>
  <c r="AL354" i="1"/>
  <c r="AE109" i="3"/>
  <c r="AL84" i="6"/>
  <c r="AL107" i="6" s="1"/>
  <c r="AL86" i="6"/>
  <c r="O624" i="23" s="1"/>
  <c r="AJ249" i="1"/>
  <c r="AJ328" i="1"/>
  <c r="AJ339" i="1" s="1"/>
  <c r="AJ341" i="1" s="1"/>
  <c r="AJ345" i="1" s="1"/>
  <c r="AK301" i="1"/>
  <c r="AK359" i="1" s="1"/>
  <c r="AK318" i="1"/>
  <c r="AL291" i="1"/>
  <c r="AM82" i="6"/>
  <c r="AM74" i="6"/>
  <c r="AJ359" i="1"/>
  <c r="N536" i="23"/>
  <c r="N539" i="23" s="1"/>
  <c r="AK76" i="6"/>
  <c r="AD105" i="3"/>
  <c r="AN417" i="1"/>
  <c r="AE92" i="3"/>
  <c r="AQ416" i="1"/>
  <c r="AG90" i="3"/>
  <c r="AN72" i="6"/>
  <c r="AK314" i="1"/>
  <c r="AK337" i="1" s="1"/>
  <c r="AL288" i="1"/>
  <c r="AK362" i="1" l="1"/>
  <c r="AG42" i="5"/>
  <c r="AG50" i="5" s="1"/>
  <c r="AG52" i="5" s="1"/>
  <c r="AJ362" i="1"/>
  <c r="AF42" i="5"/>
  <c r="AF50" i="5" s="1"/>
  <c r="AF52" i="5" s="1"/>
  <c r="AL318" i="1"/>
  <c r="AM291" i="1"/>
  <c r="AM354" i="1"/>
  <c r="AN82" i="6"/>
  <c r="AN74" i="6"/>
  <c r="AL314" i="1"/>
  <c r="AL337" i="1" s="1"/>
  <c r="AM288" i="1"/>
  <c r="AK249" i="1"/>
  <c r="AL301" i="1"/>
  <c r="AL359" i="1" s="1"/>
  <c r="AK328" i="1"/>
  <c r="AK339" i="1" s="1"/>
  <c r="AK341" i="1" s="1"/>
  <c r="AK345" i="1" s="1"/>
  <c r="S584" i="23"/>
  <c r="AJ85" i="3"/>
  <c r="AH90" i="3"/>
  <c r="AR416" i="1"/>
  <c r="AO72" i="6"/>
  <c r="AF109" i="3"/>
  <c r="AM86" i="6"/>
  <c r="P624" i="23" s="1"/>
  <c r="AM84" i="6"/>
  <c r="AM107" i="6" s="1"/>
  <c r="AL76" i="6"/>
  <c r="O536" i="23"/>
  <c r="O539" i="23" s="1"/>
  <c r="AO417" i="1"/>
  <c r="AE105" i="3"/>
  <c r="AF92" i="3"/>
  <c r="AL362" i="1" l="1"/>
  <c r="AH42" i="5"/>
  <c r="AH50" i="5" s="1"/>
  <c r="AH52" i="5" s="1"/>
  <c r="AL249" i="1"/>
  <c r="AL328" i="1"/>
  <c r="AL339" i="1" s="1"/>
  <c r="AL341" i="1" s="1"/>
  <c r="AL345" i="1" s="1"/>
  <c r="AM301" i="1"/>
  <c r="AN86" i="6"/>
  <c r="Q624" i="23" s="1"/>
  <c r="AG109" i="3"/>
  <c r="AN84" i="6"/>
  <c r="AN107" i="6" s="1"/>
  <c r="AM318" i="1"/>
  <c r="AN291" i="1"/>
  <c r="AO82" i="6"/>
  <c r="AO74" i="6"/>
  <c r="AM314" i="1"/>
  <c r="AM337" i="1" s="1"/>
  <c r="AN288" i="1"/>
  <c r="AF105" i="3"/>
  <c r="AM76" i="6"/>
  <c r="AP417" i="1"/>
  <c r="P536" i="23"/>
  <c r="P539" i="23" s="1"/>
  <c r="AG92" i="3"/>
  <c r="T584" i="23"/>
  <c r="AK85" i="3"/>
  <c r="AI90" i="3"/>
  <c r="AS416" i="1"/>
  <c r="AP72" i="6"/>
  <c r="AN354" i="1"/>
  <c r="Q536" i="23" l="1"/>
  <c r="Q539" i="23" s="1"/>
  <c r="AG105" i="3"/>
  <c r="AN76" i="6"/>
  <c r="AQ417" i="1"/>
  <c r="AH92" i="3"/>
  <c r="AQ72" i="6"/>
  <c r="AJ90" i="3"/>
  <c r="AT416" i="1"/>
  <c r="AN318" i="1"/>
  <c r="AO291" i="1"/>
  <c r="AM249" i="1"/>
  <c r="AN301" i="1"/>
  <c r="AN359" i="1" s="1"/>
  <c r="AM328" i="1"/>
  <c r="AM339" i="1" s="1"/>
  <c r="AM341" i="1" s="1"/>
  <c r="AM345" i="1" s="1"/>
  <c r="AO84" i="6"/>
  <c r="AO107" i="6" s="1"/>
  <c r="AH109" i="3"/>
  <c r="AO86" i="6"/>
  <c r="R624" i="23" s="1"/>
  <c r="AN314" i="1"/>
  <c r="AN337" i="1" s="1"/>
  <c r="AO288" i="1"/>
  <c r="U584" i="23"/>
  <c r="AL85" i="3"/>
  <c r="AM359" i="1"/>
  <c r="AO354" i="1"/>
  <c r="AP74" i="6"/>
  <c r="AP82" i="6"/>
  <c r="AM362" i="1" l="1"/>
  <c r="AI42" i="5"/>
  <c r="AI50" i="5" s="1"/>
  <c r="AI52" i="5" s="1"/>
  <c r="V584" i="23"/>
  <c r="AM85" i="3"/>
  <c r="AK90" i="3"/>
  <c r="AR72" i="6"/>
  <c r="AU416" i="1"/>
  <c r="AN362" i="1"/>
  <c r="AJ42" i="5"/>
  <c r="AJ50" i="5" s="1"/>
  <c r="AJ52" i="5" s="1"/>
  <c r="AN249" i="1"/>
  <c r="AN328" i="1"/>
  <c r="AN339" i="1" s="1"/>
  <c r="AN341" i="1" s="1"/>
  <c r="AN345" i="1" s="1"/>
  <c r="AO301" i="1"/>
  <c r="AO359" i="1" s="1"/>
  <c r="AO314" i="1"/>
  <c r="AO337" i="1" s="1"/>
  <c r="AP288" i="1"/>
  <c r="AQ82" i="6"/>
  <c r="AQ74" i="6"/>
  <c r="AO318" i="1"/>
  <c r="AP291" i="1"/>
  <c r="AP86" i="6"/>
  <c r="S624" i="23" s="1"/>
  <c r="AP84" i="6"/>
  <c r="AP107" i="6" s="1"/>
  <c r="AI109" i="3"/>
  <c r="AP354" i="1"/>
  <c r="AO76" i="6"/>
  <c r="AH105" i="3"/>
  <c r="AR417" i="1"/>
  <c r="R536" i="23"/>
  <c r="R539" i="23" s="1"/>
  <c r="AI92" i="3"/>
  <c r="AP314" i="1" l="1"/>
  <c r="AP337" i="1" s="1"/>
  <c r="AQ288" i="1"/>
  <c r="AR82" i="6"/>
  <c r="AR74" i="6"/>
  <c r="W584" i="23"/>
  <c r="AN85" i="3"/>
  <c r="AO362" i="1"/>
  <c r="AK42" i="5"/>
  <c r="AK50" i="5" s="1"/>
  <c r="AK52" i="5" s="1"/>
  <c r="AI105" i="3"/>
  <c r="AS417" i="1"/>
  <c r="AP76" i="6"/>
  <c r="S536" i="23"/>
  <c r="S539" i="23" s="1"/>
  <c r="AJ92" i="3"/>
  <c r="AJ109" i="3"/>
  <c r="AQ86" i="6"/>
  <c r="T624" i="23" s="1"/>
  <c r="AQ84" i="6"/>
  <c r="AQ107" i="6" s="1"/>
  <c r="AO249" i="1"/>
  <c r="AO328" i="1"/>
  <c r="AO339" i="1" s="1"/>
  <c r="AO341" i="1" s="1"/>
  <c r="AO345" i="1" s="1"/>
  <c r="AP301" i="1"/>
  <c r="AP359" i="1" s="1"/>
  <c r="AP318" i="1"/>
  <c r="AQ291" i="1"/>
  <c r="AS72" i="6"/>
  <c r="AL90" i="3"/>
  <c r="AV416" i="1"/>
  <c r="AQ354" i="1"/>
  <c r="AK109" i="3" l="1"/>
  <c r="AR86" i="6"/>
  <c r="U624" i="23" s="1"/>
  <c r="AR84" i="6"/>
  <c r="AR107" i="6" s="1"/>
  <c r="AM90" i="3"/>
  <c r="AW416" i="1"/>
  <c r="AT72" i="6"/>
  <c r="AP362" i="1"/>
  <c r="AL42" i="5"/>
  <c r="AL50" i="5" s="1"/>
  <c r="AL52" i="5" s="1"/>
  <c r="AP328" i="1"/>
  <c r="AP339" i="1" s="1"/>
  <c r="AP341" i="1" s="1"/>
  <c r="AP345" i="1" s="1"/>
  <c r="AP249" i="1"/>
  <c r="AQ301" i="1"/>
  <c r="AT417" i="1"/>
  <c r="AJ105" i="3"/>
  <c r="T536" i="23"/>
  <c r="T539" i="23" s="1"/>
  <c r="AQ76" i="6"/>
  <c r="AK92" i="3"/>
  <c r="AQ318" i="1"/>
  <c r="AR291" i="1"/>
  <c r="AQ314" i="1"/>
  <c r="AQ337" i="1" s="1"/>
  <c r="AR288" i="1"/>
  <c r="AS74" i="6"/>
  <c r="AS82" i="6"/>
  <c r="X584" i="23"/>
  <c r="AO85" i="3"/>
  <c r="AR354" i="1"/>
  <c r="AQ249" i="1" l="1"/>
  <c r="AQ328" i="1"/>
  <c r="AQ339" i="1" s="1"/>
  <c r="AQ341" i="1" s="1"/>
  <c r="AQ345" i="1" s="1"/>
  <c r="AR301" i="1"/>
  <c r="AR359" i="1" s="1"/>
  <c r="AT74" i="6"/>
  <c r="AT82" i="6"/>
  <c r="AQ359" i="1"/>
  <c r="AS354" i="1"/>
  <c r="AR318" i="1"/>
  <c r="AS291" i="1"/>
  <c r="AR76" i="6"/>
  <c r="U536" i="23"/>
  <c r="U539" i="23" s="1"/>
  <c r="AK105" i="3"/>
  <c r="AU417" i="1"/>
  <c r="AL92" i="3"/>
  <c r="AS84" i="6"/>
  <c r="AS107" i="6" s="1"/>
  <c r="AL109" i="3"/>
  <c r="AS86" i="6"/>
  <c r="V624" i="23" s="1"/>
  <c r="AR314" i="1"/>
  <c r="AR337" i="1" s="1"/>
  <c r="AS288" i="1"/>
  <c r="Y584" i="23"/>
  <c r="AP85" i="3"/>
  <c r="AN90" i="3"/>
  <c r="AU72" i="6"/>
  <c r="AX416" i="1"/>
  <c r="AR362" i="1" l="1"/>
  <c r="AN42" i="5"/>
  <c r="AN50" i="5" s="1"/>
  <c r="AN52" i="5" s="1"/>
  <c r="AQ362" i="1"/>
  <c r="AM42" i="5"/>
  <c r="AM50" i="5" s="1"/>
  <c r="AM52" i="5" s="1"/>
  <c r="AS314" i="1"/>
  <c r="AS337" i="1" s="1"/>
  <c r="AT288" i="1"/>
  <c r="AT291" i="1"/>
  <c r="AS318" i="1"/>
  <c r="AO90" i="3"/>
  <c r="AY416" i="1"/>
  <c r="AV72" i="6"/>
  <c r="AM109" i="3"/>
  <c r="AT86" i="6"/>
  <c r="W624" i="23" s="1"/>
  <c r="AT84" i="6"/>
  <c r="AT107" i="6" s="1"/>
  <c r="AU82" i="6"/>
  <c r="AU74" i="6"/>
  <c r="Z584" i="23"/>
  <c r="AQ85" i="3"/>
  <c r="AR249" i="1"/>
  <c r="AR328" i="1"/>
  <c r="AR339" i="1" s="1"/>
  <c r="AR341" i="1" s="1"/>
  <c r="AR345" i="1" s="1"/>
  <c r="AS301" i="1"/>
  <c r="AS359" i="1" s="1"/>
  <c r="AV417" i="1"/>
  <c r="AS76" i="6"/>
  <c r="V536" i="23"/>
  <c r="V539" i="23" s="1"/>
  <c r="AL105" i="3"/>
  <c r="AM92" i="3"/>
  <c r="AT354" i="1"/>
  <c r="AS362" i="1" l="1"/>
  <c r="AO42" i="5"/>
  <c r="AO50" i="5" s="1"/>
  <c r="AO52" i="5" s="1"/>
  <c r="AT318" i="1"/>
  <c r="AU291" i="1"/>
  <c r="AA584" i="23"/>
  <c r="AR85" i="3"/>
  <c r="AT314" i="1"/>
  <c r="AT337" i="1" s="1"/>
  <c r="AU288" i="1"/>
  <c r="AU354" i="1"/>
  <c r="AM105" i="3"/>
  <c r="AW417" i="1"/>
  <c r="AT76" i="6"/>
  <c r="W536" i="23"/>
  <c r="W539" i="23" s="1"/>
  <c r="AN92" i="3"/>
  <c r="AV82" i="6"/>
  <c r="AV74" i="6"/>
  <c r="AP90" i="3"/>
  <c r="AW72" i="6"/>
  <c r="AZ416" i="1"/>
  <c r="AU84" i="6"/>
  <c r="AU107" i="6" s="1"/>
  <c r="AU86" i="6"/>
  <c r="X624" i="23" s="1"/>
  <c r="AN109" i="3"/>
  <c r="AS249" i="1"/>
  <c r="AS328" i="1"/>
  <c r="AS339" i="1" s="1"/>
  <c r="AS341" i="1" s="1"/>
  <c r="AS345" i="1" s="1"/>
  <c r="AT301" i="1"/>
  <c r="AU318" i="1" l="1"/>
  <c r="AV291" i="1"/>
  <c r="AV354" i="1"/>
  <c r="BA416" i="1"/>
  <c r="AX72" i="6"/>
  <c r="AQ90" i="3"/>
  <c r="AB584" i="23"/>
  <c r="AS85" i="3"/>
  <c r="AW74" i="6"/>
  <c r="AW82" i="6"/>
  <c r="AT249" i="1"/>
  <c r="AT328" i="1"/>
  <c r="AT339" i="1" s="1"/>
  <c r="AT341" i="1" s="1"/>
  <c r="AT345" i="1" s="1"/>
  <c r="AU301" i="1"/>
  <c r="AV86" i="6"/>
  <c r="Y624" i="23" s="1"/>
  <c r="AO109" i="3"/>
  <c r="AV84" i="6"/>
  <c r="AV107" i="6" s="1"/>
  <c r="AT359" i="1"/>
  <c r="X536" i="23"/>
  <c r="X539" i="23" s="1"/>
  <c r="AX417" i="1"/>
  <c r="AU76" i="6"/>
  <c r="AN105" i="3"/>
  <c r="AO92" i="3"/>
  <c r="AU314" i="1"/>
  <c r="AU337" i="1" s="1"/>
  <c r="AV288" i="1"/>
  <c r="I125" i="3" l="1"/>
  <c r="AT85" i="3"/>
  <c r="AU85" i="3" s="1"/>
  <c r="AV85" i="3" s="1"/>
  <c r="AW85" i="3" s="1"/>
  <c r="AX85" i="3" s="1"/>
  <c r="AY85" i="3" s="1"/>
  <c r="AZ85" i="3" s="1"/>
  <c r="BA85" i="3" s="1"/>
  <c r="BB85" i="3" s="1"/>
  <c r="BC85" i="3" s="1"/>
  <c r="AC584" i="23"/>
  <c r="AX82" i="6"/>
  <c r="AX74" i="6"/>
  <c r="AW86" i="6"/>
  <c r="Z624" i="23" s="1"/>
  <c r="AP109" i="3"/>
  <c r="AW84" i="6"/>
  <c r="AW107" i="6" s="1"/>
  <c r="AW354" i="1"/>
  <c r="AV314" i="1"/>
  <c r="AV337" i="1" s="1"/>
  <c r="AW288" i="1"/>
  <c r="AV318" i="1"/>
  <c r="AW291" i="1"/>
  <c r="AU249" i="1"/>
  <c r="AV301" i="1"/>
  <c r="AV359" i="1" s="1"/>
  <c r="AU328" i="1"/>
  <c r="AU339" i="1" s="1"/>
  <c r="AU341" i="1" s="1"/>
  <c r="AU345" i="1" s="1"/>
  <c r="AT362" i="1"/>
  <c r="AP42" i="5"/>
  <c r="AP50" i="5" s="1"/>
  <c r="AP52" i="5" s="1"/>
  <c r="AU359" i="1"/>
  <c r="BC416" i="1"/>
  <c r="AS90" i="3"/>
  <c r="AZ72" i="6"/>
  <c r="AV76" i="6"/>
  <c r="AO105" i="3"/>
  <c r="AY417" i="1"/>
  <c r="Y536" i="23"/>
  <c r="Y539" i="23" s="1"/>
  <c r="AP92" i="3"/>
  <c r="BB416" i="1"/>
  <c r="AR90" i="3"/>
  <c r="AY72" i="6"/>
  <c r="AY82" i="6" l="1"/>
  <c r="AY74" i="6"/>
  <c r="AX354" i="1"/>
  <c r="AV249" i="1"/>
  <c r="AV328" i="1"/>
  <c r="AV339" i="1" s="1"/>
  <c r="AV341" i="1" s="1"/>
  <c r="AV345" i="1" s="1"/>
  <c r="AW301" i="1"/>
  <c r="AQ109" i="3"/>
  <c r="AX86" i="6"/>
  <c r="AA624" i="23" s="1"/>
  <c r="AX84" i="6"/>
  <c r="AX107" i="6" s="1"/>
  <c r="AZ82" i="6"/>
  <c r="AZ74" i="6"/>
  <c r="AW76" i="6"/>
  <c r="AZ417" i="1"/>
  <c r="AP105" i="3"/>
  <c r="Z536" i="23"/>
  <c r="Z539" i="23" s="1"/>
  <c r="AQ92" i="3"/>
  <c r="AU362" i="1"/>
  <c r="AQ42" i="5"/>
  <c r="AQ50" i="5" s="1"/>
  <c r="AQ52" i="5" s="1"/>
  <c r="AR42" i="5"/>
  <c r="AR50" i="5" s="1"/>
  <c r="AR52" i="5" s="1"/>
  <c r="AV362" i="1"/>
  <c r="AW318" i="1"/>
  <c r="AX291" i="1"/>
  <c r="AW314" i="1"/>
  <c r="AW337" i="1" s="1"/>
  <c r="AX288" i="1"/>
  <c r="AW328" i="1" l="1"/>
  <c r="AW339" i="1" s="1"/>
  <c r="AW341" i="1" s="1"/>
  <c r="AW345" i="1" s="1"/>
  <c r="AW249" i="1"/>
  <c r="AX301" i="1"/>
  <c r="AX359" i="1" s="1"/>
  <c r="AZ84" i="6"/>
  <c r="AZ107" i="6" s="1"/>
  <c r="AZ86" i="6"/>
  <c r="AY86" i="6"/>
  <c r="AB624" i="23" s="1"/>
  <c r="AY84" i="6"/>
  <c r="AY107" i="6" s="1"/>
  <c r="AR109" i="3"/>
  <c r="AY354" i="1"/>
  <c r="AW359" i="1"/>
  <c r="AX314" i="1"/>
  <c r="AX337" i="1" s="1"/>
  <c r="AY288" i="1"/>
  <c r="AX318" i="1"/>
  <c r="AY291" i="1"/>
  <c r="AQ105" i="3"/>
  <c r="BA417" i="1"/>
  <c r="AA536" i="23"/>
  <c r="AA539" i="23" s="1"/>
  <c r="AX76" i="6"/>
  <c r="AR92" i="3"/>
  <c r="AS109" i="3" l="1"/>
  <c r="I129" i="3" s="1"/>
  <c r="AC624" i="23"/>
  <c r="AY76" i="6"/>
  <c r="AR105" i="3"/>
  <c r="BB417" i="1"/>
  <c r="AB536" i="23"/>
  <c r="AB539" i="23" s="1"/>
  <c r="AS92" i="3"/>
  <c r="AX362" i="1"/>
  <c r="AT42" i="5"/>
  <c r="AT50" i="5" s="1"/>
  <c r="AT52" i="5" s="1"/>
  <c r="AW362" i="1"/>
  <c r="AS42" i="5"/>
  <c r="AS50" i="5" s="1"/>
  <c r="AS52" i="5" s="1"/>
  <c r="AZ354" i="1"/>
  <c r="AC536" i="23"/>
  <c r="AC539" i="23" s="1"/>
  <c r="BC417" i="1"/>
  <c r="AS105" i="3"/>
  <c r="AZ76" i="6"/>
  <c r="AY318" i="1"/>
  <c r="AZ291" i="1"/>
  <c r="AX249" i="1"/>
  <c r="AX328" i="1"/>
  <c r="AX339" i="1" s="1"/>
  <c r="AX341" i="1" s="1"/>
  <c r="AX345" i="1" s="1"/>
  <c r="AY301" i="1"/>
  <c r="AY314" i="1"/>
  <c r="AY337" i="1" s="1"/>
  <c r="AZ288" i="1"/>
  <c r="V85" i="6"/>
  <c r="BA354" i="1" l="1"/>
  <c r="AY249" i="1"/>
  <c r="AY328" i="1"/>
  <c r="AY339" i="1" s="1"/>
  <c r="AY341" i="1" s="1"/>
  <c r="AY345" i="1" s="1"/>
  <c r="AZ301" i="1"/>
  <c r="AZ318" i="1"/>
  <c r="BA291" i="1"/>
  <c r="AY359" i="1"/>
  <c r="AZ314" i="1"/>
  <c r="AZ337" i="1" s="1"/>
  <c r="BA288" i="1"/>
  <c r="AZ328" i="1" l="1"/>
  <c r="AZ339" i="1" s="1"/>
  <c r="AZ341" i="1" s="1"/>
  <c r="AZ345" i="1" s="1"/>
  <c r="AZ249" i="1"/>
  <c r="BA301" i="1"/>
  <c r="BA359" i="1" s="1"/>
  <c r="BA318" i="1"/>
  <c r="BB291" i="1"/>
  <c r="BA314" i="1"/>
  <c r="BA337" i="1" s="1"/>
  <c r="BB288" i="1"/>
  <c r="AZ359" i="1"/>
  <c r="AT109" i="3"/>
  <c r="BB354" i="1"/>
  <c r="AY362" i="1"/>
  <c r="AU42" i="5"/>
  <c r="AU50" i="5" s="1"/>
  <c r="AU52" i="5" s="1"/>
  <c r="AT105" i="3" l="1"/>
  <c r="BA362" i="1"/>
  <c r="AW42" i="5"/>
  <c r="AW50" i="5" s="1"/>
  <c r="AW52" i="5" s="1"/>
  <c r="BB314" i="1"/>
  <c r="BB337" i="1" s="1"/>
  <c r="BC288" i="1"/>
  <c r="BB318" i="1"/>
  <c r="BC291" i="1"/>
  <c r="BC354" i="1"/>
  <c r="AV42" i="5"/>
  <c r="AV50" i="5" s="1"/>
  <c r="AV52" i="5" s="1"/>
  <c r="AZ362" i="1"/>
  <c r="BA249" i="1"/>
  <c r="BA328" i="1"/>
  <c r="BA339" i="1" s="1"/>
  <c r="BA341" i="1" s="1"/>
  <c r="BA345" i="1" s="1"/>
  <c r="BB301" i="1"/>
  <c r="AU109" i="3"/>
  <c r="AT92" i="3" l="1"/>
  <c r="AU105" i="3"/>
  <c r="AV109" i="3"/>
  <c r="BD354" i="1"/>
  <c r="BC314" i="1"/>
  <c r="BC337" i="1" s="1"/>
  <c r="BD288" i="1"/>
  <c r="BB249" i="1"/>
  <c r="BB328" i="1"/>
  <c r="BB339" i="1" s="1"/>
  <c r="BB341" i="1" s="1"/>
  <c r="BB345" i="1" s="1"/>
  <c r="BC301" i="1"/>
  <c r="BC359" i="1" s="1"/>
  <c r="BB359" i="1"/>
  <c r="BC318" i="1"/>
  <c r="BD291" i="1"/>
  <c r="AU92" i="3" l="1"/>
  <c r="AV105" i="3"/>
  <c r="AW109" i="3"/>
  <c r="BC362" i="1"/>
  <c r="AY42" i="5"/>
  <c r="AY50" i="5" s="1"/>
  <c r="AY52" i="5" s="1"/>
  <c r="BD318" i="1"/>
  <c r="BE291" i="1"/>
  <c r="BE354" i="1"/>
  <c r="BB362" i="1"/>
  <c r="AX42" i="5"/>
  <c r="AX50" i="5" s="1"/>
  <c r="AX52" i="5" s="1"/>
  <c r="BC249" i="1"/>
  <c r="BD301" i="1"/>
  <c r="BD359" i="1" s="1"/>
  <c r="BC328" i="1"/>
  <c r="BC339" i="1" s="1"/>
  <c r="BC341" i="1" s="1"/>
  <c r="BC345" i="1" s="1"/>
  <c r="BD314" i="1"/>
  <c r="BD337" i="1" s="1"/>
  <c r="BE288" i="1"/>
  <c r="BD362" i="1" l="1"/>
  <c r="AZ42" i="5"/>
  <c r="AZ50" i="5" s="1"/>
  <c r="AZ52" i="5" s="1"/>
  <c r="AV92" i="3"/>
  <c r="AW105" i="3"/>
  <c r="BE314" i="1"/>
  <c r="BE337" i="1" s="1"/>
  <c r="BF288" i="1"/>
  <c r="BF354" i="1"/>
  <c r="BD249" i="1"/>
  <c r="BD328" i="1"/>
  <c r="BD339" i="1" s="1"/>
  <c r="BD341" i="1" s="1"/>
  <c r="BD345" i="1" s="1"/>
  <c r="BE301" i="1"/>
  <c r="BE359" i="1" s="1"/>
  <c r="AX109" i="3"/>
  <c r="BE318" i="1"/>
  <c r="BF291" i="1"/>
  <c r="BE362" i="1" l="1"/>
  <c r="BA42" i="5"/>
  <c r="BA50" i="5" s="1"/>
  <c r="BA52" i="5" s="1"/>
  <c r="AW92" i="3"/>
  <c r="AX105" i="3"/>
  <c r="BF314" i="1"/>
  <c r="BF337" i="1" s="1"/>
  <c r="BG288" i="1"/>
  <c r="AY109" i="3"/>
  <c r="BG354" i="1"/>
  <c r="BE249" i="1"/>
  <c r="BE328" i="1"/>
  <c r="BE339" i="1" s="1"/>
  <c r="BE341" i="1" s="1"/>
  <c r="BE343" i="1" s="1"/>
  <c r="BE345" i="1" s="1"/>
  <c r="BF301" i="1"/>
  <c r="BF359" i="1" s="1"/>
  <c r="BG291" i="1"/>
  <c r="BF318" i="1"/>
  <c r="BF362" i="1" l="1"/>
  <c r="BB42" i="5"/>
  <c r="BB50" i="5" s="1"/>
  <c r="BB52" i="5" s="1"/>
  <c r="AX92" i="3"/>
  <c r="AY105" i="3"/>
  <c r="BG314" i="1"/>
  <c r="BG337" i="1" s="1"/>
  <c r="BH288" i="1"/>
  <c r="BG318" i="1"/>
  <c r="BH291" i="1"/>
  <c r="BH354" i="1"/>
  <c r="BF249" i="1"/>
  <c r="BF328" i="1"/>
  <c r="BF339" i="1" s="1"/>
  <c r="BF341" i="1" s="1"/>
  <c r="BF343" i="1" s="1"/>
  <c r="BF345" i="1" s="1"/>
  <c r="BG301" i="1"/>
  <c r="AZ109" i="3"/>
  <c r="AY92" i="3" l="1"/>
  <c r="AZ105" i="3"/>
  <c r="BG249" i="1"/>
  <c r="BG328" i="1"/>
  <c r="BG339" i="1" s="1"/>
  <c r="BG341" i="1" s="1"/>
  <c r="BG343" i="1" s="1"/>
  <c r="BG345" i="1" s="1"/>
  <c r="BH301" i="1"/>
  <c r="BH318" i="1"/>
  <c r="BI291" i="1"/>
  <c r="BI354" i="1"/>
  <c r="BG359" i="1"/>
  <c r="BA109" i="3"/>
  <c r="BH314" i="1"/>
  <c r="BH337" i="1" s="1"/>
  <c r="BI288" i="1"/>
  <c r="BG362" i="1" l="1"/>
  <c r="BC42" i="5"/>
  <c r="BC50" i="5" s="1"/>
  <c r="BC52" i="5" s="1"/>
  <c r="AZ92" i="3"/>
  <c r="BA105" i="3"/>
  <c r="BJ354" i="1"/>
  <c r="BH249" i="1"/>
  <c r="BH328" i="1"/>
  <c r="BH339" i="1" s="1"/>
  <c r="BH341" i="1" s="1"/>
  <c r="BH343" i="1" s="1"/>
  <c r="BH345" i="1" s="1"/>
  <c r="BI301" i="1"/>
  <c r="BI359" i="1" s="1"/>
  <c r="BI318" i="1"/>
  <c r="BJ291" i="1"/>
  <c r="BI314" i="1"/>
  <c r="BI337" i="1" s="1"/>
  <c r="BJ288" i="1"/>
  <c r="BH359" i="1"/>
  <c r="BB109" i="3"/>
  <c r="BH362" i="1" l="1"/>
  <c r="BD42" i="5"/>
  <c r="BD50" i="5" s="1"/>
  <c r="BD52" i="5" s="1"/>
  <c r="BI362" i="1"/>
  <c r="BE42" i="5"/>
  <c r="BE50" i="5" s="1"/>
  <c r="BE52" i="5" s="1"/>
  <c r="BA92" i="3"/>
  <c r="BB105" i="3"/>
  <c r="BK291" i="1"/>
  <c r="BJ318" i="1"/>
  <c r="BK354" i="1"/>
  <c r="BJ314" i="1"/>
  <c r="BJ337" i="1" s="1"/>
  <c r="BK288" i="1"/>
  <c r="BC109" i="3"/>
  <c r="BI328" i="1"/>
  <c r="BI339" i="1" s="1"/>
  <c r="BI341" i="1" s="1"/>
  <c r="BI343" i="1" s="1"/>
  <c r="BI345" i="1" s="1"/>
  <c r="BI249" i="1"/>
  <c r="BJ301" i="1"/>
  <c r="BB92" i="3" l="1"/>
  <c r="BC105" i="3"/>
  <c r="BK314" i="1"/>
  <c r="BK337" i="1" s="1"/>
  <c r="BL288" i="1"/>
  <c r="BL354" i="1"/>
  <c r="BK318" i="1"/>
  <c r="BL291" i="1"/>
  <c r="BJ249" i="1"/>
  <c r="BJ328" i="1"/>
  <c r="BJ339" i="1" s="1"/>
  <c r="BJ341" i="1" s="1"/>
  <c r="BJ343" i="1" s="1"/>
  <c r="BJ345" i="1" s="1"/>
  <c r="BK301" i="1"/>
  <c r="BJ359" i="1"/>
  <c r="BJ362" i="1" l="1"/>
  <c r="BF42" i="5"/>
  <c r="BF50" i="5" s="1"/>
  <c r="BF52" i="5" s="1"/>
  <c r="BC92" i="3"/>
  <c r="BL314" i="1"/>
  <c r="BL337" i="1" s="1"/>
  <c r="BM288" i="1"/>
  <c r="BM354" i="1"/>
  <c r="BM291" i="1"/>
  <c r="BL318" i="1"/>
  <c r="BK249" i="1"/>
  <c r="BL301" i="1"/>
  <c r="BL359" i="1" s="1"/>
  <c r="BK328" i="1"/>
  <c r="BK339" i="1" s="1"/>
  <c r="BK341" i="1" s="1"/>
  <c r="BK343" i="1" s="1"/>
  <c r="BK345" i="1" s="1"/>
  <c r="BK359" i="1"/>
  <c r="BL362" i="1" l="1"/>
  <c r="BH42" i="5"/>
  <c r="BH50" i="5" s="1"/>
  <c r="BH52" i="5" s="1"/>
  <c r="BK362" i="1"/>
  <c r="BG42" i="5"/>
  <c r="BG50" i="5" s="1"/>
  <c r="BG52" i="5" s="1"/>
  <c r="BL249" i="1"/>
  <c r="BL328" i="1"/>
  <c r="BL339" i="1" s="1"/>
  <c r="BL341" i="1" s="1"/>
  <c r="BL343" i="1" s="1"/>
  <c r="BL345" i="1" s="1"/>
  <c r="BM301" i="1"/>
  <c r="BM359" i="1" s="1"/>
  <c r="BN354" i="1"/>
  <c r="BM314" i="1"/>
  <c r="BM337" i="1" s="1"/>
  <c r="BN288" i="1"/>
  <c r="BN291" i="1"/>
  <c r="BM318" i="1"/>
  <c r="BM362" i="1" l="1"/>
  <c r="BI42" i="5"/>
  <c r="BI50" i="5" s="1"/>
  <c r="BI52" i="5" s="1"/>
  <c r="BN318" i="1"/>
  <c r="BO291" i="1"/>
  <c r="BM249" i="1"/>
  <c r="BM328" i="1"/>
  <c r="BM339" i="1" s="1"/>
  <c r="BM341" i="1" s="1"/>
  <c r="BM343" i="1" s="1"/>
  <c r="BM345" i="1" s="1"/>
  <c r="BN301" i="1"/>
  <c r="BN359" i="1" s="1"/>
  <c r="BN362" i="1" s="1"/>
  <c r="BO354" i="1"/>
  <c r="BN314" i="1"/>
  <c r="BN337" i="1" s="1"/>
  <c r="BO288" i="1"/>
  <c r="BO314" i="1" l="1"/>
  <c r="BO337" i="1" s="1"/>
  <c r="BP288" i="1"/>
  <c r="BP354" i="1"/>
  <c r="BN249" i="1"/>
  <c r="BN328" i="1"/>
  <c r="BN339" i="1" s="1"/>
  <c r="BN341" i="1" s="1"/>
  <c r="BN343" i="1" s="1"/>
  <c r="BN345" i="1" s="1"/>
  <c r="BO301" i="1"/>
  <c r="BO318" i="1"/>
  <c r="BP291" i="1"/>
  <c r="BP318" i="1" l="1"/>
  <c r="BQ291" i="1"/>
  <c r="BO249" i="1"/>
  <c r="BO328" i="1"/>
  <c r="BO339" i="1" s="1"/>
  <c r="BO341" i="1" s="1"/>
  <c r="BO343" i="1" s="1"/>
  <c r="BO345" i="1" s="1"/>
  <c r="BP301" i="1"/>
  <c r="BP359" i="1" s="1"/>
  <c r="BP362" i="1" s="1"/>
  <c r="BP314" i="1"/>
  <c r="BP337" i="1" s="1"/>
  <c r="BQ288" i="1"/>
  <c r="BQ354" i="1"/>
  <c r="BO359" i="1"/>
  <c r="BO362" i="1" s="1"/>
  <c r="BR354" i="1" l="1"/>
  <c r="BQ318" i="1"/>
  <c r="BR291" i="1"/>
  <c r="BQ314" i="1"/>
  <c r="BQ337" i="1" s="1"/>
  <c r="BR288" i="1"/>
  <c r="BP249" i="1"/>
  <c r="BP328" i="1"/>
  <c r="BP339" i="1" s="1"/>
  <c r="BP341" i="1" s="1"/>
  <c r="BP343" i="1" s="1"/>
  <c r="BP345" i="1" s="1"/>
  <c r="BQ301" i="1"/>
  <c r="BQ359" i="1" s="1"/>
  <c r="BQ362" i="1" s="1"/>
  <c r="BS291" i="1" l="1"/>
  <c r="BR318" i="1"/>
  <c r="BS354" i="1"/>
  <c r="BQ249" i="1"/>
  <c r="BQ328" i="1"/>
  <c r="BQ339" i="1" s="1"/>
  <c r="BQ341" i="1" s="1"/>
  <c r="BQ343" i="1" s="1"/>
  <c r="BQ345" i="1" s="1"/>
  <c r="BR301" i="1"/>
  <c r="BR314" i="1"/>
  <c r="BR337" i="1" s="1"/>
  <c r="BS288" i="1"/>
  <c r="BR249" i="1" l="1"/>
  <c r="BR328" i="1"/>
  <c r="BR339" i="1" s="1"/>
  <c r="BR341" i="1" s="1"/>
  <c r="BR343" i="1" s="1"/>
  <c r="BR345" i="1" s="1"/>
  <c r="BS301" i="1"/>
  <c r="BS318" i="1"/>
  <c r="BT291" i="1"/>
  <c r="BT354" i="1"/>
  <c r="BS314" i="1"/>
  <c r="BS337" i="1" s="1"/>
  <c r="BT288" i="1"/>
  <c r="BR359" i="1"/>
  <c r="BR362" i="1" s="1"/>
  <c r="BS249" i="1" l="1"/>
  <c r="BS328" i="1"/>
  <c r="BS339" i="1" s="1"/>
  <c r="BS341" i="1" s="1"/>
  <c r="BS343" i="1" s="1"/>
  <c r="BS345" i="1" s="1"/>
  <c r="BT301" i="1"/>
  <c r="BU354" i="1"/>
  <c r="BT314" i="1"/>
  <c r="BT337" i="1" s="1"/>
  <c r="BU288" i="1"/>
  <c r="BS359" i="1"/>
  <c r="BS362" i="1" s="1"/>
  <c r="BT318" i="1"/>
  <c r="BU291" i="1"/>
  <c r="BU318" i="1" l="1"/>
  <c r="BV291" i="1"/>
  <c r="BT249" i="1"/>
  <c r="BU301" i="1"/>
  <c r="BU359" i="1" s="1"/>
  <c r="BU362" i="1" s="1"/>
  <c r="BT328" i="1"/>
  <c r="BT339" i="1" s="1"/>
  <c r="BT341" i="1" s="1"/>
  <c r="BT343" i="1" s="1"/>
  <c r="BT345" i="1" s="1"/>
  <c r="BV354" i="1"/>
  <c r="BU314" i="1"/>
  <c r="BU337" i="1" s="1"/>
  <c r="BV288" i="1"/>
  <c r="BT359" i="1"/>
  <c r="BT362" i="1" s="1"/>
  <c r="BV314" i="1" l="1"/>
  <c r="BV337" i="1" s="1"/>
  <c r="BW288" i="1"/>
  <c r="BU249" i="1"/>
  <c r="BU328" i="1"/>
  <c r="BU339" i="1" s="1"/>
  <c r="BU341" i="1" s="1"/>
  <c r="BU343" i="1" s="1"/>
  <c r="BU345" i="1" s="1"/>
  <c r="BV301" i="1"/>
  <c r="BV359" i="1" s="1"/>
  <c r="BV362" i="1" s="1"/>
  <c r="BW354" i="1"/>
  <c r="BV318" i="1"/>
  <c r="BW291" i="1"/>
  <c r="BW318" i="1" l="1"/>
  <c r="BX291" i="1"/>
  <c r="BX354" i="1"/>
  <c r="BW314" i="1"/>
  <c r="BW337" i="1" s="1"/>
  <c r="BX288" i="1"/>
  <c r="BV249" i="1"/>
  <c r="BV328" i="1"/>
  <c r="BV339" i="1" s="1"/>
  <c r="BV341" i="1" s="1"/>
  <c r="BV343" i="1" s="1"/>
  <c r="BV345" i="1" s="1"/>
  <c r="BW301" i="1"/>
  <c r="BW359" i="1" s="1"/>
  <c r="BW362" i="1" s="1"/>
  <c r="BX314" i="1" l="1"/>
  <c r="BX337" i="1" s="1"/>
  <c r="BY288" i="1"/>
  <c r="BX318" i="1"/>
  <c r="BY291" i="1"/>
  <c r="BW249" i="1"/>
  <c r="BW328" i="1"/>
  <c r="BW339" i="1" s="1"/>
  <c r="BW341" i="1" s="1"/>
  <c r="BW343" i="1" s="1"/>
  <c r="BW345" i="1" s="1"/>
  <c r="BX301" i="1"/>
  <c r="BX359" i="1" s="1"/>
  <c r="BX362" i="1" s="1"/>
  <c r="BY354" i="1"/>
  <c r="BY314" i="1" l="1"/>
  <c r="BY337" i="1" s="1"/>
  <c r="BZ288" i="1"/>
  <c r="BZ291" i="1"/>
  <c r="BY318" i="1"/>
  <c r="BX249" i="1"/>
  <c r="BX328" i="1"/>
  <c r="BX339" i="1" s="1"/>
  <c r="BX341" i="1" s="1"/>
  <c r="BX343" i="1" s="1"/>
  <c r="BX345" i="1" s="1"/>
  <c r="BY301" i="1"/>
  <c r="BY359" i="1" s="1"/>
  <c r="BY362" i="1" s="1"/>
  <c r="BZ354" i="1"/>
  <c r="BZ314" i="1" l="1"/>
  <c r="BZ337" i="1" s="1"/>
  <c r="CA288" i="1"/>
  <c r="CA354" i="1"/>
  <c r="CA291" i="1"/>
  <c r="BZ318" i="1"/>
  <c r="BY249" i="1"/>
  <c r="BY328" i="1"/>
  <c r="BY339" i="1" s="1"/>
  <c r="BY341" i="1" s="1"/>
  <c r="BY343" i="1" s="1"/>
  <c r="BY345" i="1" s="1"/>
  <c r="BZ301" i="1"/>
  <c r="BZ249" i="1" l="1"/>
  <c r="BZ328" i="1"/>
  <c r="BZ339" i="1" s="1"/>
  <c r="BZ341" i="1" s="1"/>
  <c r="BZ343" i="1" s="1"/>
  <c r="BZ345" i="1" s="1"/>
  <c r="CA301" i="1"/>
  <c r="CA359" i="1" s="1"/>
  <c r="CA362" i="1" s="1"/>
  <c r="CB354" i="1"/>
  <c r="BZ359" i="1"/>
  <c r="BZ362" i="1" s="1"/>
  <c r="CA318" i="1"/>
  <c r="CB291" i="1"/>
  <c r="CA314" i="1"/>
  <c r="CA337" i="1" s="1"/>
  <c r="CB288" i="1"/>
  <c r="CC354" i="1" l="1"/>
  <c r="CB314" i="1"/>
  <c r="CB337" i="1" s="1"/>
  <c r="CC288" i="1"/>
  <c r="CA249" i="1"/>
  <c r="CA328" i="1"/>
  <c r="CA339" i="1" s="1"/>
  <c r="CA341" i="1" s="1"/>
  <c r="CA343" i="1" s="1"/>
  <c r="CA345" i="1" s="1"/>
  <c r="CB301" i="1"/>
  <c r="CB318" i="1"/>
  <c r="CC291" i="1"/>
  <c r="CC314" i="1" l="1"/>
  <c r="CC337" i="1" s="1"/>
  <c r="CD288" i="1"/>
  <c r="CB249" i="1"/>
  <c r="CB328" i="1"/>
  <c r="CB339" i="1" s="1"/>
  <c r="CB341" i="1" s="1"/>
  <c r="CB343" i="1" s="1"/>
  <c r="CB345" i="1" s="1"/>
  <c r="CC301" i="1"/>
  <c r="CD354" i="1"/>
  <c r="CB359" i="1"/>
  <c r="CB362" i="1" s="1"/>
  <c r="CC318" i="1"/>
  <c r="CD291" i="1"/>
  <c r="CD318" i="1" l="1"/>
  <c r="CE291" i="1"/>
  <c r="CC249" i="1"/>
  <c r="CC328" i="1"/>
  <c r="CC339" i="1" s="1"/>
  <c r="CC341" i="1" s="1"/>
  <c r="CC343" i="1" s="1"/>
  <c r="CC345" i="1" s="1"/>
  <c r="CD301" i="1"/>
  <c r="CD359" i="1" s="1"/>
  <c r="CD362" i="1" s="1"/>
  <c r="CD314" i="1"/>
  <c r="CD337" i="1" s="1"/>
  <c r="CE288" i="1"/>
  <c r="CE354" i="1"/>
  <c r="CC359" i="1"/>
  <c r="CC362" i="1" s="1"/>
  <c r="CE318" i="1" l="1"/>
  <c r="CF291" i="1"/>
  <c r="CF354" i="1"/>
  <c r="CE314" i="1"/>
  <c r="CE337" i="1" s="1"/>
  <c r="CF288" i="1"/>
  <c r="CD249" i="1"/>
  <c r="CD328" i="1"/>
  <c r="CD339" i="1" s="1"/>
  <c r="CD341" i="1" s="1"/>
  <c r="CD343" i="1" s="1"/>
  <c r="CD345" i="1" s="1"/>
  <c r="CE301" i="1"/>
  <c r="CE359" i="1" s="1"/>
  <c r="CE362" i="1" s="1"/>
  <c r="CG354" i="1" l="1"/>
  <c r="CF314" i="1"/>
  <c r="CF337" i="1" s="1"/>
  <c r="CG288" i="1"/>
  <c r="CG291" i="1"/>
  <c r="CF318" i="1"/>
  <c r="CE249" i="1"/>
  <c r="CE328" i="1"/>
  <c r="CE339" i="1" s="1"/>
  <c r="CE341" i="1" s="1"/>
  <c r="CE343" i="1" s="1"/>
  <c r="CE345" i="1" s="1"/>
  <c r="CF301" i="1"/>
  <c r="CG314" i="1" l="1"/>
  <c r="CG337" i="1" s="1"/>
  <c r="CH288" i="1"/>
  <c r="CH291" i="1"/>
  <c r="CG318" i="1"/>
  <c r="CH354" i="1"/>
  <c r="CF249" i="1"/>
  <c r="CF328" i="1"/>
  <c r="CF339" i="1" s="1"/>
  <c r="CF341" i="1" s="1"/>
  <c r="CF343" i="1" s="1"/>
  <c r="CF345" i="1" s="1"/>
  <c r="CG301" i="1"/>
  <c r="CG359" i="1" s="1"/>
  <c r="CG362" i="1" s="1"/>
  <c r="CF359" i="1"/>
  <c r="CF362" i="1" s="1"/>
  <c r="CI291" i="1" l="1"/>
  <c r="CH318" i="1"/>
  <c r="CH314" i="1"/>
  <c r="CH337" i="1" s="1"/>
  <c r="CI288" i="1"/>
  <c r="CI354" i="1"/>
  <c r="CG249" i="1"/>
  <c r="CG328" i="1"/>
  <c r="CG339" i="1" s="1"/>
  <c r="CG341" i="1" s="1"/>
  <c r="CG343" i="1" s="1"/>
  <c r="CG345" i="1" s="1"/>
  <c r="CH301" i="1"/>
  <c r="CJ354" i="1" l="1"/>
  <c r="CH249" i="1"/>
  <c r="CH328" i="1"/>
  <c r="CH339" i="1" s="1"/>
  <c r="CH341" i="1" s="1"/>
  <c r="CH343" i="1" s="1"/>
  <c r="CH345" i="1" s="1"/>
  <c r="CI301" i="1"/>
  <c r="CI359" i="1" s="1"/>
  <c r="CI362" i="1" s="1"/>
  <c r="CJ291" i="1"/>
  <c r="CI318" i="1"/>
  <c r="CH359" i="1"/>
  <c r="CH362" i="1" s="1"/>
  <c r="CI314" i="1"/>
  <c r="CI337" i="1" s="1"/>
  <c r="CJ288" i="1"/>
  <c r="CI328" i="1" l="1"/>
  <c r="CI339" i="1" s="1"/>
  <c r="CI341" i="1" s="1"/>
  <c r="CI343" i="1" s="1"/>
  <c r="CI345" i="1" s="1"/>
  <c r="CI249" i="1"/>
  <c r="CJ301" i="1"/>
  <c r="CK354" i="1"/>
  <c r="CJ314" i="1"/>
  <c r="CJ337" i="1" s="1"/>
  <c r="CK288" i="1"/>
  <c r="CK291" i="1"/>
  <c r="CJ318" i="1"/>
  <c r="CK318" i="1" l="1"/>
  <c r="CL291" i="1"/>
  <c r="CK314" i="1"/>
  <c r="CK337" i="1" s="1"/>
  <c r="CL288" i="1"/>
  <c r="CJ249" i="1"/>
  <c r="CJ328" i="1"/>
  <c r="CJ339" i="1" s="1"/>
  <c r="CJ341" i="1" s="1"/>
  <c r="CJ343" i="1" s="1"/>
  <c r="CJ345" i="1" s="1"/>
  <c r="CK301" i="1"/>
  <c r="CL354" i="1"/>
  <c r="CM354" i="1" s="1"/>
  <c r="CJ359" i="1"/>
  <c r="CJ362" i="1" s="1"/>
  <c r="CL318" i="1" l="1"/>
  <c r="CM291" i="1"/>
  <c r="CN354" i="1"/>
  <c r="CL314" i="1"/>
  <c r="CL337" i="1" s="1"/>
  <c r="CM288" i="1"/>
  <c r="CK249" i="1"/>
  <c r="CL301" i="1"/>
  <c r="CK328" i="1"/>
  <c r="CK339" i="1" s="1"/>
  <c r="CK341" i="1" s="1"/>
  <c r="CK343" i="1" s="1"/>
  <c r="CK345" i="1" s="1"/>
  <c r="CK359" i="1"/>
  <c r="CK362" i="1" s="1"/>
  <c r="CM301" i="1" l="1"/>
  <c r="CM249" i="1" s="1"/>
  <c r="CO354" i="1"/>
  <c r="CM314" i="1"/>
  <c r="CM337" i="1" s="1"/>
  <c r="CN288" i="1"/>
  <c r="CL359" i="1"/>
  <c r="CL362" i="1" s="1"/>
  <c r="CM318" i="1"/>
  <c r="CN291" i="1"/>
  <c r="CL249" i="1"/>
  <c r="CL328" i="1"/>
  <c r="CL339" i="1" s="1"/>
  <c r="CL341" i="1" s="1"/>
  <c r="CL343" i="1" s="1"/>
  <c r="CL345" i="1" s="1"/>
  <c r="CM328" i="1" l="1"/>
  <c r="CM339" i="1" s="1"/>
  <c r="CM341" i="1" s="1"/>
  <c r="CM343" i="1" s="1"/>
  <c r="CM345" i="1" s="1"/>
  <c r="CM359" i="1"/>
  <c r="CM362" i="1" s="1"/>
  <c r="CN314" i="1"/>
  <c r="CN337" i="1" s="1"/>
  <c r="CO288" i="1"/>
  <c r="CP354" i="1"/>
  <c r="CN318" i="1"/>
  <c r="CO291" i="1"/>
  <c r="CN301" i="1"/>
  <c r="CO318" i="1" l="1"/>
  <c r="CP291" i="1"/>
  <c r="CN328" i="1"/>
  <c r="CN339" i="1" s="1"/>
  <c r="CN341" i="1" s="1"/>
  <c r="CN343" i="1" s="1"/>
  <c r="CN345" i="1" s="1"/>
  <c r="CN249" i="1"/>
  <c r="CO301" i="1"/>
  <c r="CN359" i="1"/>
  <c r="CN362" i="1" s="1"/>
  <c r="CQ354" i="1"/>
  <c r="CO314" i="1"/>
  <c r="CO337" i="1" s="1"/>
  <c r="CP288" i="1"/>
  <c r="CO249" i="1" l="1"/>
  <c r="CP301" i="1"/>
  <c r="CO328" i="1"/>
  <c r="CO339" i="1" s="1"/>
  <c r="CO341" i="1" s="1"/>
  <c r="CO343" i="1" s="1"/>
  <c r="CO345" i="1" s="1"/>
  <c r="CO359" i="1"/>
  <c r="CO362" i="1" s="1"/>
  <c r="CP314" i="1"/>
  <c r="CP337" i="1" s="1"/>
  <c r="CQ288" i="1"/>
  <c r="CP318" i="1"/>
  <c r="CQ291" i="1"/>
  <c r="CP249" i="1" l="1"/>
  <c r="CP328" i="1"/>
  <c r="CP339" i="1" s="1"/>
  <c r="CP341" i="1" s="1"/>
  <c r="CP343" i="1" s="1"/>
  <c r="CP345" i="1" s="1"/>
  <c r="CQ301" i="1"/>
  <c r="CP359" i="1"/>
  <c r="CP362" i="1" s="1"/>
  <c r="CQ318" i="1"/>
  <c r="CQ314" i="1"/>
  <c r="CQ337" i="1" s="1"/>
  <c r="CQ249" i="1" l="1"/>
  <c r="CQ328" i="1"/>
  <c r="CQ339" i="1" s="1"/>
  <c r="CQ341" i="1" s="1"/>
  <c r="CQ343" i="1" s="1"/>
  <c r="CQ345" i="1" s="1"/>
  <c r="CQ359" i="1"/>
  <c r="CQ362" i="1" s="1"/>
  <c r="T41" i="6" l="1"/>
  <c r="W372" i="1"/>
  <c r="R41" i="6"/>
  <c r="U372" i="1"/>
  <c r="O41" i="6"/>
  <c r="R372" i="1"/>
  <c r="M41" i="6"/>
  <c r="P372" i="1"/>
  <c r="L41" i="6"/>
  <c r="O372" i="1"/>
  <c r="S372" i="1"/>
  <c r="P41" i="6"/>
  <c r="T372" i="1"/>
  <c r="Q41" i="6"/>
  <c r="J41" i="6"/>
  <c r="M372" i="1"/>
  <c r="K41" i="6"/>
  <c r="N372" i="1"/>
  <c r="K372" i="1"/>
  <c r="E372" i="1"/>
  <c r="C372" i="1"/>
  <c r="C31" i="1"/>
  <c r="C374" i="1" s="1"/>
  <c r="E31" i="1"/>
  <c r="E374" i="1" s="1"/>
  <c r="H31" i="1"/>
  <c r="H374" i="1" s="1"/>
  <c r="H372" i="1"/>
  <c r="K31" i="1"/>
  <c r="K374" i="1" s="1"/>
  <c r="L372" i="1"/>
  <c r="I41" i="6"/>
  <c r="J31" i="1"/>
  <c r="J374" i="1" s="1"/>
  <c r="J372" i="1"/>
  <c r="B31" i="1"/>
  <c r="B374" i="1" s="1"/>
  <c r="B372" i="1"/>
  <c r="D372" i="1"/>
  <c r="S31" i="1"/>
  <c r="S374" i="1" s="1"/>
  <c r="Q372" i="1"/>
  <c r="N41" i="6"/>
  <c r="S41" i="6"/>
  <c r="V31" i="1"/>
  <c r="V374" i="1" s="1"/>
  <c r="V372" i="1"/>
  <c r="G31" i="1"/>
  <c r="G374" i="1" s="1"/>
  <c r="G372" i="1"/>
  <c r="R31" i="1"/>
  <c r="R374" i="1" s="1"/>
  <c r="M31" i="1"/>
  <c r="M374" i="1" s="1"/>
  <c r="D31" i="1"/>
  <c r="D374" i="1" s="1"/>
  <c r="U31" i="1"/>
  <c r="U374" i="1" s="1"/>
  <c r="N31" i="1"/>
  <c r="N374" i="1" s="1"/>
  <c r="L31" i="1"/>
  <c r="L374" i="1" s="1"/>
  <c r="I31" i="1"/>
  <c r="I374" i="1" s="1"/>
  <c r="I372" i="1"/>
  <c r="W31" i="1"/>
  <c r="W374" i="1" s="1"/>
  <c r="P31" i="1"/>
  <c r="P374" i="1" s="1"/>
  <c r="T31" i="1"/>
  <c r="T374" i="1" s="1"/>
  <c r="Q31" i="1"/>
  <c r="Q374" i="1" s="1"/>
  <c r="F31" i="1"/>
  <c r="F374" i="1" s="1"/>
  <c r="F372" i="1"/>
  <c r="O31" i="1"/>
  <c r="O374" i="1" s="1"/>
  <c r="T57" i="1"/>
  <c r="Q57" i="6"/>
  <c r="S54" i="6"/>
  <c r="Q54" i="6"/>
  <c r="R54" i="6"/>
  <c r="S57" i="1"/>
  <c r="T348" i="1" l="1"/>
  <c r="T350" i="1" s="1"/>
  <c r="P54" i="6"/>
  <c r="U57" i="1"/>
  <c r="U348" i="1" s="1"/>
  <c r="V57" i="1"/>
  <c r="R57" i="6"/>
  <c r="Q59" i="6"/>
  <c r="Q62" i="6" s="1"/>
  <c r="S57" i="6"/>
  <c r="P57" i="6"/>
  <c r="U350" i="1" l="1"/>
  <c r="P59" i="6"/>
  <c r="P62" i="6" s="1"/>
  <c r="Q63" i="6"/>
  <c r="Q86" i="6"/>
  <c r="Q91" i="6"/>
  <c r="Q87" i="6"/>
  <c r="Q88" i="6"/>
  <c r="O57" i="6"/>
  <c r="O59" i="6" s="1"/>
  <c r="O62" i="6" s="1"/>
  <c r="R57" i="1"/>
  <c r="O54" i="6"/>
  <c r="S59" i="6"/>
  <c r="S62" i="6" s="1"/>
  <c r="R59" i="6"/>
  <c r="R62" i="6" s="1"/>
  <c r="W348" i="1"/>
  <c r="V348" i="1"/>
  <c r="V350" i="1" l="1"/>
  <c r="W350" i="1" s="1"/>
  <c r="X350" i="1" s="1"/>
  <c r="Y350" i="1" s="1"/>
  <c r="Z350" i="1" s="1"/>
  <c r="AA350" i="1" s="1"/>
  <c r="AB350" i="1" s="1"/>
  <c r="AC350" i="1" s="1"/>
  <c r="AD350" i="1" s="1"/>
  <c r="AE350" i="1" s="1"/>
  <c r="AF350" i="1" s="1"/>
  <c r="AG350" i="1" s="1"/>
  <c r="AH350" i="1" s="1"/>
  <c r="AI350" i="1" s="1"/>
  <c r="AJ350" i="1" s="1"/>
  <c r="AK350" i="1" s="1"/>
  <c r="AL350" i="1" s="1"/>
  <c r="AM350" i="1" s="1"/>
  <c r="AN350" i="1" s="1"/>
  <c r="AO350" i="1" s="1"/>
  <c r="AP350" i="1" s="1"/>
  <c r="AQ350" i="1" s="1"/>
  <c r="AR350" i="1" s="1"/>
  <c r="AS350" i="1" s="1"/>
  <c r="AT350" i="1" s="1"/>
  <c r="AU350" i="1" s="1"/>
  <c r="AV350" i="1" s="1"/>
  <c r="AW350" i="1" s="1"/>
  <c r="AX350" i="1" s="1"/>
  <c r="AY350" i="1" s="1"/>
  <c r="AZ350" i="1" s="1"/>
  <c r="BA350" i="1" s="1"/>
  <c r="BB350" i="1" s="1"/>
  <c r="BC350" i="1" s="1"/>
  <c r="BD350" i="1" s="1"/>
  <c r="BE350" i="1" s="1"/>
  <c r="BF350" i="1" s="1"/>
  <c r="BG350" i="1" s="1"/>
  <c r="BH350" i="1" s="1"/>
  <c r="BI350" i="1" s="1"/>
  <c r="BJ350" i="1" s="1"/>
  <c r="BK350" i="1" s="1"/>
  <c r="BL350" i="1" s="1"/>
  <c r="BM350" i="1" s="1"/>
  <c r="BN350" i="1" s="1"/>
  <c r="BO350" i="1" s="1"/>
  <c r="BP350" i="1" s="1"/>
  <c r="BQ350" i="1" s="1"/>
  <c r="BR350" i="1" s="1"/>
  <c r="BS350" i="1" s="1"/>
  <c r="BT350" i="1" s="1"/>
  <c r="BU350" i="1" s="1"/>
  <c r="BV350" i="1" s="1"/>
  <c r="BW350" i="1" s="1"/>
  <c r="BX350" i="1" s="1"/>
  <c r="BY350" i="1" s="1"/>
  <c r="BZ350" i="1" s="1"/>
  <c r="CA350" i="1" s="1"/>
  <c r="CB350" i="1" s="1"/>
  <c r="CC350" i="1" s="1"/>
  <c r="CD350" i="1" s="1"/>
  <c r="CE350" i="1" s="1"/>
  <c r="CF350" i="1" s="1"/>
  <c r="CG350" i="1" s="1"/>
  <c r="CH350" i="1" s="1"/>
  <c r="CI350" i="1" s="1"/>
  <c r="CJ350" i="1" s="1"/>
  <c r="CK350" i="1" s="1"/>
  <c r="CL350" i="1" s="1"/>
  <c r="CM350" i="1" s="1"/>
  <c r="CN350" i="1" s="1"/>
  <c r="CO350" i="1" s="1"/>
  <c r="CP350" i="1" s="1"/>
  <c r="CQ350" i="1" s="1"/>
  <c r="O91" i="6"/>
  <c r="O87" i="6"/>
  <c r="O88" i="6"/>
  <c r="O86" i="6"/>
  <c r="O63" i="6"/>
  <c r="S91" i="6"/>
  <c r="S86" i="6"/>
  <c r="S87" i="6"/>
  <c r="S88" i="6"/>
  <c r="S63" i="6"/>
  <c r="R88" i="6"/>
  <c r="R86" i="6"/>
  <c r="R91" i="6"/>
  <c r="R63" i="6"/>
  <c r="R87" i="6"/>
  <c r="P86" i="6"/>
  <c r="P88" i="6"/>
  <c r="P91" i="6"/>
  <c r="P63" i="6"/>
  <c r="P87" i="6"/>
  <c r="Q57" i="1"/>
  <c r="N54" i="6"/>
  <c r="N57" i="6"/>
  <c r="N59" i="6" s="1"/>
  <c r="N62" i="6" s="1"/>
  <c r="P85" i="6" l="1"/>
  <c r="M57" i="6"/>
  <c r="M59" i="6" s="1"/>
  <c r="M62" i="6" s="1"/>
  <c r="M54" i="6"/>
  <c r="P57" i="1"/>
  <c r="N63" i="6"/>
  <c r="N86" i="6"/>
  <c r="N88" i="6"/>
  <c r="N87" i="6"/>
  <c r="N91" i="6"/>
  <c r="M88" i="6" l="1"/>
  <c r="M91" i="6"/>
  <c r="M63" i="6"/>
  <c r="M86" i="6"/>
  <c r="M87" i="6"/>
  <c r="O57" i="1"/>
  <c r="L54" i="6"/>
  <c r="L57" i="6"/>
  <c r="L59" i="6" s="1"/>
  <c r="L62" i="6" s="1"/>
  <c r="K54" i="6" l="1"/>
  <c r="N57" i="1"/>
  <c r="K57" i="6"/>
  <c r="K59" i="6" s="1"/>
  <c r="K62" i="6" s="1"/>
  <c r="L63" i="6"/>
  <c r="L86" i="6"/>
  <c r="L88" i="6"/>
  <c r="L87" i="6"/>
  <c r="K63" i="6" l="1"/>
  <c r="K86" i="6"/>
  <c r="K87" i="6"/>
  <c r="K88" i="6"/>
  <c r="M57" i="1"/>
  <c r="J54" i="6"/>
  <c r="J57" i="6"/>
  <c r="J59" i="6" s="1"/>
  <c r="J62" i="6" s="1"/>
  <c r="I57" i="6" l="1"/>
  <c r="I59" i="6" s="1"/>
  <c r="I62" i="6" s="1"/>
  <c r="L57" i="1"/>
  <c r="I54" i="6"/>
  <c r="J87" i="6"/>
  <c r="J86" i="6"/>
  <c r="J63" i="6"/>
  <c r="J88" i="6"/>
  <c r="I63" i="6" l="1"/>
  <c r="I86" i="6"/>
  <c r="K57" i="1"/>
  <c r="C486" i="23"/>
  <c r="B489" i="23"/>
  <c r="D486" i="23" l="1"/>
  <c r="C489" i="23"/>
  <c r="J57" i="1"/>
  <c r="K89" i="6"/>
  <c r="I87" i="6"/>
  <c r="I57" i="1" l="1"/>
  <c r="D489" i="23"/>
  <c r="E486" i="23"/>
  <c r="F486" i="23" l="1"/>
  <c r="E489" i="23"/>
  <c r="H57" i="1"/>
  <c r="G57" i="1" l="1"/>
  <c r="G486" i="23"/>
  <c r="F489" i="23"/>
  <c r="G489" i="23" l="1"/>
  <c r="H486" i="23"/>
  <c r="F57" i="1"/>
  <c r="E57" i="1" l="1"/>
  <c r="H489" i="23"/>
  <c r="I486" i="23"/>
  <c r="J486" i="23" l="1"/>
  <c r="I489" i="23"/>
  <c r="D57" i="1"/>
  <c r="C57" i="1" l="1"/>
  <c r="B57" i="1"/>
  <c r="K486" i="23"/>
  <c r="J489" i="23"/>
  <c r="K489" i="23" l="1"/>
  <c r="L486" i="23"/>
  <c r="L489" i="23" l="1"/>
  <c r="M486" i="23"/>
  <c r="N486" i="23" l="1"/>
  <c r="M489" i="23"/>
  <c r="O486" i="23" l="1"/>
  <c r="N489" i="23"/>
  <c r="O489" i="23" l="1"/>
  <c r="P486" i="23"/>
  <c r="P489" i="23" l="1"/>
  <c r="Q486" i="23"/>
  <c r="R486" i="23" l="1"/>
  <c r="Q489" i="23"/>
  <c r="S486" i="23" l="1"/>
  <c r="R489" i="23"/>
  <c r="T486" i="23" l="1"/>
  <c r="S489" i="23"/>
  <c r="T489" i="23" l="1"/>
  <c r="U486" i="23"/>
  <c r="V486" i="23" l="1"/>
  <c r="U489" i="23"/>
  <c r="W486" i="23" l="1"/>
  <c r="V489" i="23"/>
  <c r="W489" i="23" l="1"/>
  <c r="X486" i="23"/>
  <c r="X489" i="23" l="1"/>
  <c r="Y486" i="23"/>
  <c r="Z486" i="23" l="1"/>
  <c r="Y489" i="23"/>
  <c r="AA486" i="23" l="1"/>
  <c r="Z489" i="23"/>
  <c r="AB486" i="23" l="1"/>
  <c r="AA489" i="23"/>
  <c r="AC486" i="23" l="1"/>
  <c r="AD486" i="23" s="1"/>
  <c r="AB489" i="23"/>
  <c r="AE486" i="23" l="1"/>
  <c r="AD489" i="23"/>
  <c r="AC489" i="23"/>
  <c r="AF486" i="23" l="1"/>
  <c r="AE489" i="23"/>
  <c r="BA62" i="6"/>
  <c r="BA63" i="6" s="1"/>
  <c r="BH107" i="6"/>
  <c r="BH62" i="6"/>
  <c r="BH63" i="6" s="1"/>
  <c r="BD62" i="6"/>
  <c r="BB107" i="6"/>
  <c r="BB62" i="6"/>
  <c r="BB63" i="6" s="1"/>
  <c r="BF107" i="6"/>
  <c r="BF62" i="6"/>
  <c r="BF63" i="6" s="1"/>
  <c r="BG62" i="6"/>
  <c r="BJ62" i="6"/>
  <c r="BE107" i="6"/>
  <c r="BE62" i="6"/>
  <c r="BE63" i="6" s="1"/>
  <c r="BF60" i="6"/>
  <c r="BB60" i="6"/>
  <c r="BD60" i="6"/>
  <c r="BH60" i="6"/>
  <c r="BJ60" i="6"/>
  <c r="BI107" i="6"/>
  <c r="BI62" i="6"/>
  <c r="BI63" i="6" s="1"/>
  <c r="BC107" i="6"/>
  <c r="BC62" i="6"/>
  <c r="BI60" i="6"/>
  <c r="BE60" i="6"/>
  <c r="BA60" i="6"/>
  <c r="BG60" i="6"/>
  <c r="BC60" i="6"/>
  <c r="AG486" i="23" l="1"/>
  <c r="AF489" i="23"/>
  <c r="BE37" i="1"/>
  <c r="BE43" i="1" s="1"/>
  <c r="BD37" i="1"/>
  <c r="BD43" i="1" s="1"/>
  <c r="BD50" i="1" s="1"/>
  <c r="BL37" i="1"/>
  <c r="BL43" i="1" s="1"/>
  <c r="BG37" i="1"/>
  <c r="BG43" i="1" s="1"/>
  <c r="BJ37" i="1"/>
  <c r="BJ43" i="1" s="1"/>
  <c r="BK37" i="1"/>
  <c r="BK43" i="1" s="1"/>
  <c r="BI37" i="1"/>
  <c r="BI43" i="1" s="1"/>
  <c r="BM37" i="1"/>
  <c r="BM43" i="1" s="1"/>
  <c r="BF37" i="1"/>
  <c r="BF43" i="1" s="1"/>
  <c r="BH37" i="1"/>
  <c r="BH43" i="1" s="1"/>
  <c r="BC91" i="6"/>
  <c r="BC87" i="6"/>
  <c r="BC88" i="6"/>
  <c r="BC86" i="6"/>
  <c r="AF624" i="23" s="1"/>
  <c r="BJ107" i="6"/>
  <c r="BJ87" i="6"/>
  <c r="BJ88" i="6"/>
  <c r="BJ91" i="6"/>
  <c r="BJ86" i="6"/>
  <c r="AM624" i="23" s="1"/>
  <c r="BD107" i="6"/>
  <c r="BD91" i="6"/>
  <c r="BD87" i="6"/>
  <c r="BD88" i="6"/>
  <c r="BD86" i="6"/>
  <c r="AG624" i="23" s="1"/>
  <c r="BG107" i="6"/>
  <c r="BG91" i="6"/>
  <c r="BG87" i="6"/>
  <c r="BG88" i="6"/>
  <c r="BG86" i="6"/>
  <c r="AJ624" i="23" s="1"/>
  <c r="BE88" i="6"/>
  <c r="BE91" i="6"/>
  <c r="BE87" i="6"/>
  <c r="BE86" i="6"/>
  <c r="AH624" i="23" s="1"/>
  <c r="BB88" i="6"/>
  <c r="BB91" i="6"/>
  <c r="BB87" i="6"/>
  <c r="BB86" i="6"/>
  <c r="AE624" i="23" s="1"/>
  <c r="BC63" i="6"/>
  <c r="BI88" i="6"/>
  <c r="BI91" i="6"/>
  <c r="BI87" i="6"/>
  <c r="BI86" i="6"/>
  <c r="AL624" i="23" s="1"/>
  <c r="BF88" i="6"/>
  <c r="BF87" i="6"/>
  <c r="BF91" i="6"/>
  <c r="BF86" i="6"/>
  <c r="AI624" i="23" s="1"/>
  <c r="BH91" i="6"/>
  <c r="BH87" i="6"/>
  <c r="BH88" i="6"/>
  <c r="BH86" i="6"/>
  <c r="AK624" i="23" s="1"/>
  <c r="BA88" i="6"/>
  <c r="BA91" i="6"/>
  <c r="BA87" i="6"/>
  <c r="BA86" i="6"/>
  <c r="AD624" i="23" s="1"/>
  <c r="BG63" i="6"/>
  <c r="BJ63" i="6"/>
  <c r="BD63" i="6"/>
  <c r="B95" i="6" l="1"/>
  <c r="B102" i="6" s="1"/>
  <c r="BF50" i="1"/>
  <c r="BK50" i="1"/>
  <c r="AH486" i="23"/>
  <c r="AG489" i="23"/>
  <c r="BI50" i="1"/>
  <c r="BL50" i="1"/>
  <c r="BH50" i="1"/>
  <c r="BM50" i="1"/>
  <c r="BE50" i="1"/>
  <c r="BG50" i="1"/>
  <c r="BJ50" i="1"/>
  <c r="BN50" i="1"/>
  <c r="BK86" i="6"/>
  <c r="AN624" i="23" s="1"/>
  <c r="BA107" i="6"/>
  <c r="AI486" i="23" l="1"/>
  <c r="AH489" i="23"/>
  <c r="BK74" i="6"/>
  <c r="BL86" i="6"/>
  <c r="AO624" i="23" s="1"/>
  <c r="AJ486" i="23" l="1"/>
  <c r="AI489" i="23"/>
  <c r="BM86" i="6"/>
  <c r="AP624" i="23" s="1"/>
  <c r="BL74" i="6"/>
  <c r="BK84" i="6"/>
  <c r="BD99" i="3"/>
  <c r="AN536" i="23" s="1"/>
  <c r="AN539" i="23" s="1"/>
  <c r="BK69" i="6"/>
  <c r="AK486" i="23" l="1"/>
  <c r="AJ489" i="23"/>
  <c r="BK107" i="6"/>
  <c r="BL69" i="6"/>
  <c r="BD62" i="3"/>
  <c r="BE99" i="3"/>
  <c r="AO536" i="23" s="1"/>
  <c r="AO539" i="23" s="1"/>
  <c r="BL84" i="6"/>
  <c r="BL107" i="6" s="1"/>
  <c r="BM74" i="6"/>
  <c r="BN86" i="6"/>
  <c r="AQ624" i="23" s="1"/>
  <c r="BD109" i="3"/>
  <c r="BD105" i="3"/>
  <c r="AL486" i="23" l="1"/>
  <c r="AK489" i="23"/>
  <c r="BM84" i="6"/>
  <c r="BF99" i="3"/>
  <c r="AP536" i="23" s="1"/>
  <c r="AP539" i="23" s="1"/>
  <c r="BE62" i="3"/>
  <c r="BM69" i="6"/>
  <c r="BO86" i="6"/>
  <c r="AR624" i="23" s="1"/>
  <c r="BN74" i="6"/>
  <c r="BE109" i="3"/>
  <c r="BE105" i="3"/>
  <c r="AM486" i="23" l="1"/>
  <c r="AL489" i="23"/>
  <c r="BF62" i="3"/>
  <c r="BN69" i="6"/>
  <c r="BF109" i="3"/>
  <c r="BF105" i="3"/>
  <c r="BG99" i="3"/>
  <c r="AQ536" i="23" s="1"/>
  <c r="AQ539" i="23" s="1"/>
  <c r="BN84" i="6"/>
  <c r="BN107" i="6" s="1"/>
  <c r="BO74" i="6"/>
  <c r="BP86" i="6"/>
  <c r="AS624" i="23" s="1"/>
  <c r="BM107" i="6"/>
  <c r="AN486" i="23" l="1"/>
  <c r="AM489" i="23"/>
  <c r="BQ86" i="6"/>
  <c r="AT624" i="23" s="1"/>
  <c r="BP74" i="6"/>
  <c r="BG109" i="3"/>
  <c r="BG105" i="3"/>
  <c r="BG62" i="3"/>
  <c r="BO69" i="6"/>
  <c r="BO84" i="6"/>
  <c r="BH99" i="3"/>
  <c r="AR536" i="23" s="1"/>
  <c r="AR539" i="23" s="1"/>
  <c r="AO486" i="23" l="1"/>
  <c r="AN489" i="23"/>
  <c r="BP69" i="6"/>
  <c r="BH62" i="3"/>
  <c r="BR86" i="6"/>
  <c r="AU624" i="23" s="1"/>
  <c r="BQ74" i="6"/>
  <c r="BI99" i="3"/>
  <c r="AS536" i="23" s="1"/>
  <c r="AS539" i="23" s="1"/>
  <c r="BP84" i="6"/>
  <c r="BP107" i="6" s="1"/>
  <c r="BH109" i="3"/>
  <c r="BH105" i="3"/>
  <c r="BO107" i="6"/>
  <c r="AP486" i="23" l="1"/>
  <c r="AO489" i="23"/>
  <c r="BR74" i="6"/>
  <c r="BS86" i="6"/>
  <c r="AV624" i="23" s="1"/>
  <c r="BI109" i="3"/>
  <c r="BI105" i="3"/>
  <c r="BQ84" i="6"/>
  <c r="BJ99" i="3"/>
  <c r="AT536" i="23" s="1"/>
  <c r="AT539" i="23" s="1"/>
  <c r="BQ69" i="6"/>
  <c r="BI62" i="3"/>
  <c r="AQ486" i="23" l="1"/>
  <c r="AP489" i="23"/>
  <c r="BJ109" i="3"/>
  <c r="BJ105" i="3"/>
  <c r="BQ107" i="6"/>
  <c r="BT86" i="6"/>
  <c r="AW624" i="23" s="1"/>
  <c r="BS74" i="6"/>
  <c r="BR84" i="6"/>
  <c r="BR107" i="6" s="1"/>
  <c r="BK99" i="3"/>
  <c r="AU536" i="23" s="1"/>
  <c r="AU539" i="23" s="1"/>
  <c r="BR69" i="6"/>
  <c r="BJ62" i="3"/>
  <c r="BK72" i="6"/>
  <c r="BK71" i="6"/>
  <c r="BK70" i="6"/>
  <c r="AR486" i="23" l="1"/>
  <c r="AQ489" i="23"/>
  <c r="BL99" i="3"/>
  <c r="AV536" i="23" s="1"/>
  <c r="AV539" i="23" s="1"/>
  <c r="BS84" i="6"/>
  <c r="BS107" i="6" s="1"/>
  <c r="BU86" i="6"/>
  <c r="AX624" i="23" s="1"/>
  <c r="BT74" i="6"/>
  <c r="BS69" i="6"/>
  <c r="BK62" i="3"/>
  <c r="BK109" i="3"/>
  <c r="BK105" i="3"/>
  <c r="BL71" i="6"/>
  <c r="BK81" i="6"/>
  <c r="BD81" i="3"/>
  <c r="BK80" i="6"/>
  <c r="BD75" i="3"/>
  <c r="BL70" i="6"/>
  <c r="BD86" i="3"/>
  <c r="AN584" i="23" s="1"/>
  <c r="BL72" i="6"/>
  <c r="BK82" i="6"/>
  <c r="AS486" i="23" l="1"/>
  <c r="AR489" i="23"/>
  <c r="BU74" i="6"/>
  <c r="BV86" i="6"/>
  <c r="AY624" i="23" s="1"/>
  <c r="BT69" i="6"/>
  <c r="BL62" i="3"/>
  <c r="BM99" i="3"/>
  <c r="AW536" i="23" s="1"/>
  <c r="AW539" i="23" s="1"/>
  <c r="BT84" i="6"/>
  <c r="BT107" i="6" s="1"/>
  <c r="BL109" i="3"/>
  <c r="BL105" i="3"/>
  <c r="BL80" i="6"/>
  <c r="BM70" i="6"/>
  <c r="BE75" i="3"/>
  <c r="BM71" i="6"/>
  <c r="BE81" i="3"/>
  <c r="BL81" i="6"/>
  <c r="BL82" i="6"/>
  <c r="BE86" i="3"/>
  <c r="AO584" i="23" s="1"/>
  <c r="BM72" i="6"/>
  <c r="BD92" i="3"/>
  <c r="AT486" i="23" l="1"/>
  <c r="AS489" i="23"/>
  <c r="BU69" i="6"/>
  <c r="BM62" i="3"/>
  <c r="BW86" i="6"/>
  <c r="AZ624" i="23" s="1"/>
  <c r="BV74" i="6"/>
  <c r="BM109" i="3"/>
  <c r="BM105" i="3"/>
  <c r="BU84" i="6"/>
  <c r="BU107" i="6" s="1"/>
  <c r="BN99" i="3"/>
  <c r="AX536" i="23" s="1"/>
  <c r="AX539" i="23" s="1"/>
  <c r="BN70" i="6"/>
  <c r="BF75" i="3"/>
  <c r="BM80" i="6"/>
  <c r="BF86" i="3"/>
  <c r="AP584" i="23" s="1"/>
  <c r="BM82" i="6"/>
  <c r="BN72" i="6"/>
  <c r="BE92" i="3"/>
  <c r="BM81" i="6"/>
  <c r="BN71" i="6"/>
  <c r="BF81" i="3"/>
  <c r="AU486" i="23" l="1"/>
  <c r="AT489" i="23"/>
  <c r="BX86" i="6"/>
  <c r="BA624" i="23" s="1"/>
  <c r="BN109" i="3"/>
  <c r="BN105" i="3"/>
  <c r="BO99" i="3"/>
  <c r="AY536" i="23" s="1"/>
  <c r="AY539" i="23" s="1"/>
  <c r="BV84" i="6"/>
  <c r="BV107" i="6" s="1"/>
  <c r="BV69" i="6"/>
  <c r="BN62" i="3"/>
  <c r="BO72" i="6"/>
  <c r="BG86" i="3"/>
  <c r="AQ584" i="23" s="1"/>
  <c r="BN82" i="6"/>
  <c r="BF92" i="3"/>
  <c r="BO71" i="6"/>
  <c r="BN81" i="6"/>
  <c r="BG81" i="3"/>
  <c r="BO70" i="6"/>
  <c r="BN80" i="6"/>
  <c r="BG75" i="3"/>
  <c r="AV486" i="23" l="1"/>
  <c r="AU489" i="23"/>
  <c r="BO109" i="3"/>
  <c r="BO105" i="3"/>
  <c r="BP99" i="3"/>
  <c r="AZ536" i="23" s="1"/>
  <c r="AZ539" i="23" s="1"/>
  <c r="BW84" i="6"/>
  <c r="BW107" i="6" s="1"/>
  <c r="BX74" i="6"/>
  <c r="BY86" i="6"/>
  <c r="BB624" i="23" s="1"/>
  <c r="BO62" i="3"/>
  <c r="BW69" i="6"/>
  <c r="BG92" i="3"/>
  <c r="BP71" i="6"/>
  <c r="BH81" i="3"/>
  <c r="BO81" i="6"/>
  <c r="BH75" i="3"/>
  <c r="BP70" i="6"/>
  <c r="BO80" i="6"/>
  <c r="BP72" i="6"/>
  <c r="BO82" i="6"/>
  <c r="BH86" i="3"/>
  <c r="AR584" i="23" s="1"/>
  <c r="AW486" i="23" l="1"/>
  <c r="AV489" i="23"/>
  <c r="BZ86" i="6"/>
  <c r="BC624" i="23" s="1"/>
  <c r="BY74" i="6"/>
  <c r="BP109" i="3"/>
  <c r="BP105" i="3"/>
  <c r="BX84" i="6"/>
  <c r="BX107" i="6" s="1"/>
  <c r="BQ99" i="3"/>
  <c r="BA536" i="23" s="1"/>
  <c r="BA539" i="23" s="1"/>
  <c r="BX69" i="6"/>
  <c r="BP62" i="3"/>
  <c r="BI86" i="3"/>
  <c r="AS584" i="23" s="1"/>
  <c r="BQ72" i="6"/>
  <c r="BP82" i="6"/>
  <c r="BH92" i="3"/>
  <c r="BQ70" i="6"/>
  <c r="BP80" i="6"/>
  <c r="BI75" i="3"/>
  <c r="BQ71" i="6"/>
  <c r="BI81" i="3"/>
  <c r="BP81" i="6"/>
  <c r="AX486" i="23" l="1"/>
  <c r="AW489" i="23"/>
  <c r="BQ109" i="3"/>
  <c r="BQ105" i="3"/>
  <c r="BR99" i="3"/>
  <c r="BB536" i="23" s="1"/>
  <c r="BB539" i="23" s="1"/>
  <c r="BY84" i="6"/>
  <c r="BY107" i="6" s="1"/>
  <c r="BZ74" i="6"/>
  <c r="CA86" i="6"/>
  <c r="BD624" i="23" s="1"/>
  <c r="BY69" i="6"/>
  <c r="BQ62" i="3"/>
  <c r="BJ86" i="3"/>
  <c r="AT584" i="23" s="1"/>
  <c r="BR72" i="6"/>
  <c r="BQ82" i="6"/>
  <c r="BQ80" i="6"/>
  <c r="BJ75" i="3"/>
  <c r="BR70" i="6"/>
  <c r="BQ81" i="6"/>
  <c r="BR71" i="6"/>
  <c r="BJ81" i="3"/>
  <c r="BI92" i="3"/>
  <c r="AY486" i="23" l="1"/>
  <c r="AX489" i="23"/>
  <c r="BR109" i="3"/>
  <c r="BR105" i="3"/>
  <c r="CB86" i="6"/>
  <c r="BE624" i="23" s="1"/>
  <c r="CA74" i="6"/>
  <c r="BS99" i="3"/>
  <c r="BC536" i="23" s="1"/>
  <c r="BC539" i="23" s="1"/>
  <c r="BZ84" i="6"/>
  <c r="BZ107" i="6" s="1"/>
  <c r="BR62" i="3"/>
  <c r="BZ69" i="6"/>
  <c r="BS71" i="6"/>
  <c r="BK81" i="3"/>
  <c r="BR81" i="6"/>
  <c r="BR80" i="6"/>
  <c r="BS70" i="6"/>
  <c r="BK75" i="3"/>
  <c r="BR82" i="6"/>
  <c r="BK86" i="3"/>
  <c r="AU584" i="23" s="1"/>
  <c r="BS72" i="6"/>
  <c r="BJ92" i="3"/>
  <c r="AZ486" i="23" l="1"/>
  <c r="AY489" i="23"/>
  <c r="BS109" i="3"/>
  <c r="BS105" i="3"/>
  <c r="CA84" i="6"/>
  <c r="CA107" i="6" s="1"/>
  <c r="BT99" i="3"/>
  <c r="BD536" i="23" s="1"/>
  <c r="BD539" i="23" s="1"/>
  <c r="BS62" i="3"/>
  <c r="CA69" i="6"/>
  <c r="CB74" i="6"/>
  <c r="CC86" i="6"/>
  <c r="BF624" i="23" s="1"/>
  <c r="BL86" i="3"/>
  <c r="AV584" i="23" s="1"/>
  <c r="BS82" i="6"/>
  <c r="BT72" i="6"/>
  <c r="BK92" i="3"/>
  <c r="BL75" i="3"/>
  <c r="BS80" i="6"/>
  <c r="BT70" i="6"/>
  <c r="BT71" i="6"/>
  <c r="BS81" i="6"/>
  <c r="BL81" i="3"/>
  <c r="BA486" i="23" l="1"/>
  <c r="AZ489" i="23"/>
  <c r="CB69" i="6"/>
  <c r="BT62" i="3"/>
  <c r="CC74" i="6"/>
  <c r="CD86" i="6"/>
  <c r="BG624" i="23" s="1"/>
  <c r="BU99" i="3"/>
  <c r="BE536" i="23" s="1"/>
  <c r="BE539" i="23" s="1"/>
  <c r="CB84" i="6"/>
  <c r="CB107" i="6" s="1"/>
  <c r="BT109" i="3"/>
  <c r="BT105" i="3"/>
  <c r="BT81" i="6"/>
  <c r="BU71" i="6"/>
  <c r="BM81" i="3"/>
  <c r="BU72" i="6"/>
  <c r="BT82" i="6"/>
  <c r="BM86" i="3"/>
  <c r="AW584" i="23" s="1"/>
  <c r="BU70" i="6"/>
  <c r="BM75" i="3"/>
  <c r="BT80" i="6"/>
  <c r="BL92" i="3"/>
  <c r="BB486" i="23" l="1"/>
  <c r="BA489" i="23"/>
  <c r="CC84" i="6"/>
  <c r="CC107" i="6" s="1"/>
  <c r="BV99" i="3"/>
  <c r="BF536" i="23" s="1"/>
  <c r="BF539" i="23" s="1"/>
  <c r="BU109" i="3"/>
  <c r="BU105" i="3"/>
  <c r="CD74" i="6"/>
  <c r="CE86" i="6"/>
  <c r="BH624" i="23" s="1"/>
  <c r="CC69" i="6"/>
  <c r="BU62" i="3"/>
  <c r="BV71" i="6"/>
  <c r="BU81" i="6"/>
  <c r="BN81" i="3"/>
  <c r="BV72" i="6"/>
  <c r="BN86" i="3"/>
  <c r="AX584" i="23" s="1"/>
  <c r="BU82" i="6"/>
  <c r="BM92" i="3"/>
  <c r="BN75" i="3"/>
  <c r="BV70" i="6"/>
  <c r="BU80" i="6"/>
  <c r="BC486" i="23" l="1"/>
  <c r="BB489" i="23"/>
  <c r="CF86" i="6"/>
  <c r="BI624" i="23" s="1"/>
  <c r="CE74" i="6"/>
  <c r="CD84" i="6"/>
  <c r="CD107" i="6" s="1"/>
  <c r="BW99" i="3"/>
  <c r="BG536" i="23" s="1"/>
  <c r="BG539" i="23" s="1"/>
  <c r="BV109" i="3"/>
  <c r="BV105" i="3"/>
  <c r="CD69" i="6"/>
  <c r="BV62" i="3"/>
  <c r="BO86" i="3"/>
  <c r="AY584" i="23" s="1"/>
  <c r="BV82" i="6"/>
  <c r="BW72" i="6"/>
  <c r="BW70" i="6"/>
  <c r="BV80" i="6"/>
  <c r="BO75" i="3"/>
  <c r="BN92" i="3"/>
  <c r="BW71" i="6"/>
  <c r="BV81" i="6"/>
  <c r="BO81" i="3"/>
  <c r="BD486" i="23" l="1"/>
  <c r="BC489" i="23"/>
  <c r="CF74" i="6"/>
  <c r="CG86" i="6"/>
  <c r="BJ624" i="23" s="1"/>
  <c r="CE84" i="6"/>
  <c r="CE107" i="6" s="1"/>
  <c r="BX99" i="3"/>
  <c r="BH536" i="23" s="1"/>
  <c r="BH539" i="23" s="1"/>
  <c r="CE69" i="6"/>
  <c r="BW62" i="3"/>
  <c r="BW109" i="3"/>
  <c r="BW105" i="3"/>
  <c r="BP75" i="3"/>
  <c r="BX70" i="6"/>
  <c r="BW80" i="6"/>
  <c r="BX71" i="6"/>
  <c r="BP81" i="3"/>
  <c r="BW81" i="6"/>
  <c r="BW82" i="6"/>
  <c r="BX72" i="6"/>
  <c r="BP86" i="3"/>
  <c r="AZ584" i="23" s="1"/>
  <c r="BO92" i="3"/>
  <c r="BE486" i="23" l="1"/>
  <c r="BD489" i="23"/>
  <c r="BY99" i="3"/>
  <c r="BI536" i="23" s="1"/>
  <c r="BI539" i="23" s="1"/>
  <c r="CF84" i="6"/>
  <c r="CF107" i="6" s="1"/>
  <c r="CH86" i="6"/>
  <c r="BK624" i="23" s="1"/>
  <c r="CG74" i="6"/>
  <c r="BX62" i="3"/>
  <c r="CF69" i="6"/>
  <c r="BX109" i="3"/>
  <c r="BX105" i="3"/>
  <c r="BQ75" i="3"/>
  <c r="BY70" i="6"/>
  <c r="BX80" i="6"/>
  <c r="BP92" i="3"/>
  <c r="BY72" i="6"/>
  <c r="BX82" i="6"/>
  <c r="BQ86" i="3"/>
  <c r="BA584" i="23" s="1"/>
  <c r="BY71" i="6"/>
  <c r="BQ81" i="3"/>
  <c r="BX81" i="6"/>
  <c r="BF486" i="23" l="1"/>
  <c r="BE489" i="23"/>
  <c r="CI86" i="6"/>
  <c r="BL624" i="23" s="1"/>
  <c r="CH74" i="6"/>
  <c r="BY62" i="3"/>
  <c r="CG69" i="6"/>
  <c r="CG84" i="6"/>
  <c r="CG107" i="6" s="1"/>
  <c r="BZ99" i="3"/>
  <c r="BJ536" i="23" s="1"/>
  <c r="BJ539" i="23" s="1"/>
  <c r="BY109" i="3"/>
  <c r="BY105" i="3"/>
  <c r="BZ72" i="6"/>
  <c r="BR86" i="3"/>
  <c r="BB584" i="23" s="1"/>
  <c r="BY82" i="6"/>
  <c r="BY80" i="6"/>
  <c r="BZ70" i="6"/>
  <c r="BR75" i="3"/>
  <c r="BZ71" i="6"/>
  <c r="BY81" i="6"/>
  <c r="BR81" i="3"/>
  <c r="BQ92" i="3"/>
  <c r="BG486" i="23" l="1"/>
  <c r="BF489" i="23"/>
  <c r="CH84" i="6"/>
  <c r="CH107" i="6" s="1"/>
  <c r="CA99" i="3"/>
  <c r="BK536" i="23" s="1"/>
  <c r="BK539" i="23" s="1"/>
  <c r="CI74" i="6"/>
  <c r="CJ86" i="6"/>
  <c r="BM624" i="23" s="1"/>
  <c r="BZ109" i="3"/>
  <c r="BZ105" i="3"/>
  <c r="CH69" i="6"/>
  <c r="BZ62" i="3"/>
  <c r="BR92" i="3"/>
  <c r="BS81" i="3"/>
  <c r="CA71" i="6"/>
  <c r="BZ81" i="6"/>
  <c r="BZ80" i="6"/>
  <c r="CA70" i="6"/>
  <c r="BS75" i="3"/>
  <c r="CA72" i="6"/>
  <c r="BZ82" i="6"/>
  <c r="BS86" i="3"/>
  <c r="BC584" i="23" s="1"/>
  <c r="BH486" i="23" l="1"/>
  <c r="BG489" i="23"/>
  <c r="CJ74" i="6"/>
  <c r="CK86" i="6"/>
  <c r="BN624" i="23" s="1"/>
  <c r="CA109" i="3"/>
  <c r="CA105" i="3"/>
  <c r="CI84" i="6"/>
  <c r="CI107" i="6" s="1"/>
  <c r="CB99" i="3"/>
  <c r="BL536" i="23" s="1"/>
  <c r="BL539" i="23" s="1"/>
  <c r="CA62" i="3"/>
  <c r="CI69" i="6"/>
  <c r="BT81" i="3"/>
  <c r="CB71" i="6"/>
  <c r="CA81" i="6"/>
  <c r="CB72" i="6"/>
  <c r="CA82" i="6"/>
  <c r="BT86" i="3"/>
  <c r="BD584" i="23" s="1"/>
  <c r="BS92" i="3"/>
  <c r="BT75" i="3"/>
  <c r="CB70" i="6"/>
  <c r="CA80" i="6"/>
  <c r="BI486" i="23" l="1"/>
  <c r="BH489" i="23"/>
  <c r="CB109" i="3"/>
  <c r="CB105" i="3"/>
  <c r="CB62" i="3"/>
  <c r="CJ69" i="6"/>
  <c r="CJ84" i="6"/>
  <c r="CJ107" i="6" s="1"/>
  <c r="CC99" i="3"/>
  <c r="BM536" i="23" s="1"/>
  <c r="BM539" i="23" s="1"/>
  <c r="CL86" i="6"/>
  <c r="BO624" i="23" s="1"/>
  <c r="CK74" i="6"/>
  <c r="CC72" i="6"/>
  <c r="BU86" i="3"/>
  <c r="BE584" i="23" s="1"/>
  <c r="CB82" i="6"/>
  <c r="CB80" i="6"/>
  <c r="CC70" i="6"/>
  <c r="BU75" i="3"/>
  <c r="BU81" i="3"/>
  <c r="CB81" i="6"/>
  <c r="CC71" i="6"/>
  <c r="BT92" i="3"/>
  <c r="BJ486" i="23" l="1"/>
  <c r="BI489" i="23"/>
  <c r="CK84" i="6"/>
  <c r="CK107" i="6" s="1"/>
  <c r="CD99" i="3"/>
  <c r="BN536" i="23" s="1"/>
  <c r="BN539" i="23" s="1"/>
  <c r="CC109" i="3"/>
  <c r="CC105" i="3"/>
  <c r="CM86" i="6"/>
  <c r="BP624" i="23" s="1"/>
  <c r="CL74" i="6"/>
  <c r="CC62" i="3"/>
  <c r="CK69" i="6"/>
  <c r="BU92" i="3"/>
  <c r="CC81" i="6"/>
  <c r="CD71" i="6"/>
  <c r="BV81" i="3"/>
  <c r="BV75" i="3"/>
  <c r="CD70" i="6"/>
  <c r="CC80" i="6"/>
  <c r="CD72" i="6"/>
  <c r="CC82" i="6"/>
  <c r="BV86" i="3"/>
  <c r="BF584" i="23" s="1"/>
  <c r="BK486" i="23" l="1"/>
  <c r="BJ489" i="23"/>
  <c r="CL84" i="6"/>
  <c r="CL107" i="6" s="1"/>
  <c r="CE99" i="3"/>
  <c r="BO536" i="23" s="1"/>
  <c r="BO539" i="23" s="1"/>
  <c r="CD62" i="3"/>
  <c r="CL69" i="6"/>
  <c r="CD109" i="3"/>
  <c r="CD105" i="3"/>
  <c r="CN86" i="6"/>
  <c r="BQ624" i="23" s="1"/>
  <c r="CM74" i="6"/>
  <c r="CE71" i="6"/>
  <c r="BW81" i="3"/>
  <c r="CD81" i="6"/>
  <c r="CD82" i="6"/>
  <c r="CE72" i="6"/>
  <c r="BW86" i="3"/>
  <c r="BG584" i="23" s="1"/>
  <c r="BV92" i="3"/>
  <c r="BW75" i="3"/>
  <c r="CE70" i="6"/>
  <c r="CD80" i="6"/>
  <c r="BL486" i="23" l="1"/>
  <c r="BK489" i="23"/>
  <c r="CM69" i="6"/>
  <c r="CE62" i="3"/>
  <c r="CF99" i="3"/>
  <c r="BP536" i="23" s="1"/>
  <c r="BP539" i="23" s="1"/>
  <c r="CM84" i="6"/>
  <c r="CM107" i="6" s="1"/>
  <c r="CE109" i="3"/>
  <c r="CE105" i="3"/>
  <c r="CN74" i="6"/>
  <c r="CF70" i="6"/>
  <c r="BX75" i="3"/>
  <c r="CE80" i="6"/>
  <c r="BW92" i="3"/>
  <c r="CF72" i="6"/>
  <c r="BX86" i="3"/>
  <c r="BH584" i="23" s="1"/>
  <c r="CE82" i="6"/>
  <c r="BX81" i="3"/>
  <c r="CF71" i="6"/>
  <c r="CE81" i="6"/>
  <c r="BM486" i="23" l="1"/>
  <c r="BL489" i="23"/>
  <c r="CF109" i="3"/>
  <c r="CF105" i="3"/>
  <c r="CN84" i="6"/>
  <c r="B100" i="6" s="1"/>
  <c r="CG99" i="3"/>
  <c r="BQ536" i="23" s="1"/>
  <c r="BQ539" i="23" s="1"/>
  <c r="CN69" i="6"/>
  <c r="CG62" i="3" s="1"/>
  <c r="CF62" i="3"/>
  <c r="CG71" i="6"/>
  <c r="CF81" i="6"/>
  <c r="BY81" i="3"/>
  <c r="BX92" i="3"/>
  <c r="BY86" i="3"/>
  <c r="BI584" i="23" s="1"/>
  <c r="CF82" i="6"/>
  <c r="CG72" i="6"/>
  <c r="CG70" i="6"/>
  <c r="CF80" i="6"/>
  <c r="BY75" i="3"/>
  <c r="BN486" i="23" l="1"/>
  <c r="BM489" i="23"/>
  <c r="CN107" i="6"/>
  <c r="B103" i="6"/>
  <c r="CG109" i="3"/>
  <c r="CG105" i="3"/>
  <c r="CH72" i="6"/>
  <c r="BZ86" i="3"/>
  <c r="BJ584" i="23" s="1"/>
  <c r="CG82" i="6"/>
  <c r="BY92" i="3"/>
  <c r="CH70" i="6"/>
  <c r="CG80" i="6"/>
  <c r="BZ75" i="3"/>
  <c r="CG81" i="6"/>
  <c r="CH71" i="6"/>
  <c r="BZ81" i="3"/>
  <c r="BO486" i="23" l="1"/>
  <c r="BN489" i="23"/>
  <c r="CA75" i="3"/>
  <c r="CI70" i="6"/>
  <c r="CH80" i="6"/>
  <c r="CH81" i="6"/>
  <c r="CI71" i="6"/>
  <c r="CA81" i="3"/>
  <c r="BZ92" i="3"/>
  <c r="CH82" i="6"/>
  <c r="CA86" i="3"/>
  <c r="BK584" i="23" s="1"/>
  <c r="CI72" i="6"/>
  <c r="BP486" i="23" l="1"/>
  <c r="BO489" i="23"/>
  <c r="CJ70" i="6"/>
  <c r="CI80" i="6"/>
  <c r="CB75" i="3"/>
  <c r="CI82" i="6"/>
  <c r="CB86" i="3"/>
  <c r="BL584" i="23" s="1"/>
  <c r="CJ72" i="6"/>
  <c r="CA92" i="3"/>
  <c r="CJ71" i="6"/>
  <c r="CB81" i="3"/>
  <c r="CI81" i="6"/>
  <c r="BQ486" i="23" l="1"/>
  <c r="BQ489" i="23" s="1"/>
  <c r="BP489" i="23"/>
  <c r="CC86" i="3"/>
  <c r="BM584" i="23" s="1"/>
  <c r="CK72" i="6"/>
  <c r="CJ82" i="6"/>
  <c r="CC81" i="3"/>
  <c r="CK71" i="6"/>
  <c r="CJ81" i="6"/>
  <c r="CB92" i="3"/>
  <c r="CK70" i="6"/>
  <c r="CC75" i="3"/>
  <c r="CJ80" i="6"/>
  <c r="CK82" i="6" l="1"/>
  <c r="CD86" i="3"/>
  <c r="BN584" i="23" s="1"/>
  <c r="CL72" i="6"/>
  <c r="CK80" i="6"/>
  <c r="CL70" i="6"/>
  <c r="CD75" i="3"/>
  <c r="CD81" i="3"/>
  <c r="CL71" i="6"/>
  <c r="CK81" i="6"/>
  <c r="CC92" i="3"/>
  <c r="CL81" i="6" l="1"/>
  <c r="CM71" i="6"/>
  <c r="CE81" i="3"/>
  <c r="CE86" i="3"/>
  <c r="BO584" i="23" s="1"/>
  <c r="CL82" i="6"/>
  <c r="CM72" i="6"/>
  <c r="CD92" i="3"/>
  <c r="CL80" i="6"/>
  <c r="CE75" i="3"/>
  <c r="CM70" i="6"/>
  <c r="CN70" i="6" l="1"/>
  <c r="CM80" i="6"/>
  <c r="CF75" i="3"/>
  <c r="CE92" i="3"/>
  <c r="CF86" i="3"/>
  <c r="BP584" i="23" s="1"/>
  <c r="CN72" i="6"/>
  <c r="CM82" i="6"/>
  <c r="CM81" i="6"/>
  <c r="CF81" i="3"/>
  <c r="CN71" i="6"/>
  <c r="CF92" i="3" l="1"/>
  <c r="CG81" i="3"/>
  <c r="CN81" i="6"/>
  <c r="B97" i="6" s="1"/>
  <c r="CG86" i="3"/>
  <c r="BQ584" i="23" s="1"/>
  <c r="CN82" i="6"/>
  <c r="B98" i="6" s="1"/>
  <c r="CG75" i="3"/>
  <c r="CN80" i="6"/>
  <c r="B96" i="6" s="1"/>
  <c r="CG92" i="3" l="1"/>
  <c r="BN87" i="20"/>
  <c r="BF163" i="20"/>
  <c r="BF162" i="20"/>
  <c r="BJ87" i="20" l="1"/>
  <c r="BJ163" i="20"/>
  <c r="BJ157" i="20"/>
  <c r="BF83" i="20"/>
  <c r="BF82" i="20"/>
  <c r="BG82" i="20" s="1"/>
  <c r="BH82" i="20" s="1"/>
  <c r="BI82" i="20" s="1"/>
  <c r="BJ82" i="20" s="1"/>
  <c r="BK82" i="20" s="1"/>
  <c r="BL82" i="20" s="1"/>
  <c r="BM82" i="20" s="1"/>
  <c r="BN82" i="20" s="1"/>
  <c r="BO82" i="20" s="1"/>
  <c r="BF81" i="20"/>
  <c r="BG81" i="20" s="1"/>
  <c r="BH81" i="20" s="1"/>
  <c r="BI81" i="20" s="1"/>
  <c r="BJ81" i="20" s="1"/>
  <c r="BK81" i="20" s="1"/>
  <c r="BL81" i="20" s="1"/>
  <c r="BM81" i="20" s="1"/>
  <c r="BN81" i="20" s="1"/>
  <c r="BO81" i="20" s="1"/>
  <c r="BF80" i="20"/>
  <c r="BG80" i="20" s="1"/>
  <c r="BH80" i="20" s="1"/>
  <c r="BI80" i="20" s="1"/>
  <c r="BJ80" i="20" s="1"/>
  <c r="BK80" i="20" s="1"/>
  <c r="BL80" i="20" s="1"/>
  <c r="BM80" i="20" s="1"/>
  <c r="BN80" i="20" s="1"/>
  <c r="BO80" i="20" s="1"/>
  <c r="BF87" i="20"/>
  <c r="BF159" i="20"/>
  <c r="BF79" i="20"/>
  <c r="BG79" i="20" s="1"/>
  <c r="BH79" i="20" s="1"/>
  <c r="BI79" i="20" s="1"/>
  <c r="BJ79" i="20" s="1"/>
  <c r="BK79" i="20" s="1"/>
  <c r="BL79" i="20" s="1"/>
  <c r="BM79" i="20" s="1"/>
  <c r="BN79" i="20" s="1"/>
  <c r="BO79" i="20" s="1"/>
  <c r="BG162" i="20"/>
  <c r="BK154" i="20"/>
  <c r="BK163" i="20"/>
  <c r="BG154" i="20"/>
  <c r="BF155" i="20"/>
  <c r="BO156" i="20"/>
  <c r="BO154" i="20"/>
  <c r="BK87" i="20"/>
  <c r="BN156" i="20"/>
  <c r="BF156" i="20"/>
  <c r="BF157" i="20"/>
  <c r="BF158" i="20"/>
  <c r="BF160" i="20"/>
  <c r="BM158" i="20"/>
  <c r="BM87" i="20"/>
  <c r="BM159" i="20"/>
  <c r="BH158" i="20"/>
  <c r="BI163" i="20"/>
  <c r="BH162" i="20"/>
  <c r="BG163" i="20"/>
  <c r="BN159" i="20"/>
  <c r="BN160" i="20"/>
  <c r="BK156" i="20"/>
  <c r="BK158" i="20"/>
  <c r="BO87" i="20"/>
  <c r="BH157" i="20"/>
  <c r="BL87" i="20"/>
  <c r="BL163" i="20"/>
  <c r="BI87" i="20"/>
  <c r="BK160" i="20"/>
  <c r="BI158" i="20"/>
  <c r="BK155" i="20"/>
  <c r="BI154" i="20"/>
  <c r="BI159" i="20"/>
  <c r="BG87" i="20"/>
  <c r="BH87" i="20"/>
  <c r="BN155" i="20"/>
  <c r="BH163" i="20"/>
  <c r="BH160" i="20"/>
  <c r="BK162" i="20"/>
  <c r="BL159" i="20"/>
  <c r="BG159" i="20"/>
  <c r="BN158" i="20"/>
  <c r="BO162" i="20"/>
  <c r="BG156" i="20"/>
  <c r="BH155" i="20"/>
  <c r="BL156" i="20"/>
  <c r="BI162" i="20"/>
  <c r="BI156" i="20"/>
  <c r="BM155" i="20" l="1"/>
  <c r="BL157" i="20"/>
  <c r="BM162" i="20"/>
  <c r="BM160" i="20"/>
  <c r="BL160" i="20"/>
  <c r="BG157" i="20"/>
  <c r="BO155" i="20"/>
  <c r="BO163" i="20"/>
  <c r="BO158" i="20"/>
  <c r="BI155" i="20"/>
  <c r="BH159" i="20"/>
  <c r="BG160" i="20"/>
  <c r="BM154" i="20"/>
  <c r="BM163" i="20"/>
  <c r="BJ160" i="20"/>
  <c r="BJ158" i="20"/>
  <c r="BJ155" i="20"/>
  <c r="BO160" i="20"/>
  <c r="BG155" i="20"/>
  <c r="BI160" i="20"/>
  <c r="BJ159" i="20"/>
  <c r="BK159" i="20"/>
  <c r="BF154" i="20"/>
  <c r="BJ156" i="20"/>
  <c r="BM156" i="20"/>
  <c r="BL162" i="20"/>
  <c r="BN157" i="20"/>
  <c r="BO157" i="20"/>
  <c r="BL155" i="20"/>
  <c r="BO159" i="20"/>
  <c r="BH156" i="20"/>
  <c r="BI157" i="20"/>
  <c r="BN162" i="20"/>
  <c r="BH154" i="20"/>
  <c r="BL154" i="20"/>
  <c r="BK157" i="20"/>
  <c r="BN163" i="20"/>
  <c r="BM157" i="20"/>
  <c r="BG158" i="20"/>
  <c r="BJ154" i="20"/>
  <c r="BN154" i="20"/>
  <c r="BF75" i="20"/>
  <c r="BG83" i="20"/>
  <c r="BJ162" i="20"/>
  <c r="BL158" i="20"/>
  <c r="BF144" i="20" l="1"/>
  <c r="BF147" i="20"/>
  <c r="BH83" i="20"/>
  <c r="BG75" i="20"/>
  <c r="BG147" i="20" l="1"/>
  <c r="BG144" i="20"/>
  <c r="BF164" i="20"/>
  <c r="BF161" i="20"/>
  <c r="BF148" i="20"/>
  <c r="BI83" i="20"/>
  <c r="BH75" i="20"/>
  <c r="BH144" i="20" l="1"/>
  <c r="BH147" i="20"/>
  <c r="BG161" i="20"/>
  <c r="BG148" i="20"/>
  <c r="BJ83" i="20"/>
  <c r="BI75" i="20"/>
  <c r="BF165" i="20"/>
  <c r="BF149" i="20"/>
  <c r="BG164" i="20"/>
  <c r="BI147" i="20" l="1"/>
  <c r="BI144" i="20"/>
  <c r="BH164" i="20"/>
  <c r="BK83" i="20"/>
  <c r="BJ75" i="20"/>
  <c r="BH161" i="20"/>
  <c r="BH148" i="20"/>
  <c r="BG165" i="20"/>
  <c r="BG149" i="20"/>
  <c r="BJ147" i="20" l="1"/>
  <c r="BJ144" i="20"/>
  <c r="BI161" i="20"/>
  <c r="BI148" i="20"/>
  <c r="BH149" i="20"/>
  <c r="BH165" i="20"/>
  <c r="BK75" i="20"/>
  <c r="BL83" i="20"/>
  <c r="BI164" i="20"/>
  <c r="BK147" i="20" l="1"/>
  <c r="BK144" i="20"/>
  <c r="BI165" i="20"/>
  <c r="BI149" i="20"/>
  <c r="BJ164" i="20"/>
  <c r="BL75" i="20"/>
  <c r="BM83" i="20"/>
  <c r="BJ161" i="20"/>
  <c r="BJ148" i="20"/>
  <c r="BL147" i="20" l="1"/>
  <c r="BL144" i="20"/>
  <c r="BK161" i="20"/>
  <c r="BK148" i="20"/>
  <c r="BK164" i="20"/>
  <c r="BM75" i="20"/>
  <c r="BN83" i="20"/>
  <c r="BJ149" i="20"/>
  <c r="BJ165" i="20"/>
  <c r="BM147" i="20" l="1"/>
  <c r="BM144" i="20"/>
  <c r="BN75" i="20"/>
  <c r="BN147" i="20" s="1"/>
  <c r="BO83" i="20"/>
  <c r="BK165" i="20"/>
  <c r="BK149" i="20"/>
  <c r="BL161" i="20"/>
  <c r="BL148" i="20"/>
  <c r="BL164" i="20"/>
  <c r="BN144" i="20" l="1"/>
  <c r="BM161" i="20"/>
  <c r="BM148" i="20"/>
  <c r="BL165" i="20"/>
  <c r="BL149" i="20"/>
  <c r="BO75" i="20"/>
  <c r="BO147" i="20" s="1"/>
  <c r="BM164" i="20"/>
  <c r="BO144" i="20" l="1"/>
  <c r="BM149" i="20"/>
  <c r="BM165" i="20"/>
  <c r="BN161" i="20"/>
  <c r="BN148" i="20"/>
  <c r="BN164" i="20"/>
  <c r="BP144" i="20" l="1"/>
  <c r="BO161" i="20"/>
  <c r="BO148" i="20"/>
  <c r="BP147" i="20"/>
  <c r="BO164" i="20"/>
  <c r="BN165" i="20"/>
  <c r="BN149" i="20"/>
  <c r="BQ147" i="20" l="1"/>
  <c r="BP164" i="20"/>
  <c r="BO149" i="20"/>
  <c r="BO165" i="20"/>
  <c r="BQ144" i="20"/>
  <c r="BP161" i="20"/>
  <c r="BQ161" i="20" l="1"/>
  <c r="BQ148" i="20"/>
  <c r="BR144" i="20"/>
  <c r="BR147" i="20"/>
  <c r="BQ164" i="20"/>
  <c r="BS147" i="20" l="1"/>
  <c r="BR164" i="20"/>
  <c r="BR148" i="20"/>
  <c r="BR161" i="20"/>
  <c r="BS144" i="20"/>
  <c r="BQ149" i="20"/>
  <c r="BR165" i="20" l="1"/>
  <c r="BR149" i="20"/>
  <c r="BS148" i="20"/>
  <c r="BT144" i="20"/>
  <c r="BS161" i="20"/>
  <c r="BT147" i="20"/>
  <c r="BS164" i="20"/>
  <c r="BT148" i="20" l="1"/>
  <c r="BU144" i="20"/>
  <c r="BT161" i="20"/>
  <c r="BS149" i="20"/>
  <c r="BS165" i="20"/>
  <c r="BU147" i="20"/>
  <c r="BT164" i="20"/>
  <c r="BV147" i="20" l="1"/>
  <c r="BU164" i="20"/>
  <c r="BU161" i="20"/>
  <c r="BV144" i="20"/>
  <c r="BU148" i="20"/>
  <c r="BT165" i="20"/>
  <c r="BT149" i="20"/>
  <c r="BV148" i="20" l="1"/>
  <c r="BV161" i="20"/>
  <c r="BW144" i="20"/>
  <c r="BU149" i="20"/>
  <c r="BU165" i="20"/>
  <c r="BW147" i="20"/>
  <c r="BV164" i="20"/>
  <c r="BW148" i="20" l="1"/>
  <c r="BX144" i="20"/>
  <c r="BW161" i="20"/>
  <c r="BX147" i="20"/>
  <c r="BW164" i="20"/>
  <c r="BV149" i="20"/>
  <c r="BV165" i="20"/>
  <c r="BY147" i="20" l="1"/>
  <c r="BX164" i="20"/>
  <c r="BX148" i="20"/>
  <c r="BX161" i="20"/>
  <c r="BY144" i="20"/>
  <c r="BW149" i="20"/>
  <c r="BW165" i="20"/>
  <c r="BX149" i="20" l="1"/>
  <c r="BX165" i="20"/>
  <c r="BY161" i="20"/>
  <c r="BY148" i="20"/>
  <c r="BZ144" i="20"/>
  <c r="BZ147" i="20"/>
  <c r="BY164" i="20"/>
  <c r="CA147" i="20" l="1"/>
  <c r="BZ164" i="20"/>
  <c r="BY149" i="20"/>
  <c r="BY165" i="20"/>
  <c r="BZ148" i="20"/>
  <c r="BZ161" i="20"/>
  <c r="CA144" i="20"/>
  <c r="CB144" i="20" l="1"/>
  <c r="CA148" i="20"/>
  <c r="CA161" i="20"/>
  <c r="BZ165" i="20"/>
  <c r="BZ149" i="20"/>
  <c r="CB147" i="20"/>
  <c r="CA164" i="20"/>
  <c r="CC147" i="20" l="1"/>
  <c r="CB164" i="20"/>
  <c r="CA149" i="20"/>
  <c r="CA165" i="20"/>
  <c r="CB148" i="20"/>
  <c r="CC144" i="20"/>
  <c r="CB161" i="20"/>
  <c r="CD144" i="20" l="1"/>
  <c r="CC161" i="20"/>
  <c r="CC148" i="20"/>
  <c r="CB149" i="20"/>
  <c r="CB165" i="20"/>
  <c r="CC164" i="20"/>
  <c r="CD147" i="20"/>
  <c r="CC165" i="20" l="1"/>
  <c r="CC149" i="20"/>
  <c r="CD164" i="20"/>
  <c r="CE147" i="20"/>
  <c r="CD148" i="20"/>
  <c r="CE144" i="20"/>
  <c r="CD161" i="20"/>
  <c r="CE164" i="20" l="1"/>
  <c r="CF147" i="20"/>
  <c r="CE148" i="20"/>
  <c r="CE161" i="20"/>
  <c r="CF144" i="20"/>
  <c r="CD165" i="20"/>
  <c r="CD149" i="20"/>
  <c r="CE165" i="20" l="1"/>
  <c r="CE149" i="20"/>
  <c r="CG147" i="20"/>
  <c r="CF164" i="20"/>
  <c r="CF161" i="20"/>
  <c r="CF148" i="20"/>
  <c r="CG144" i="20"/>
  <c r="CG164" i="20" l="1"/>
  <c r="CH147" i="20"/>
  <c r="CH144" i="20"/>
  <c r="CG161" i="20"/>
  <c r="CG148" i="20"/>
  <c r="CF165" i="20"/>
  <c r="CF149" i="20"/>
  <c r="CH148" i="20" l="1"/>
  <c r="CI144" i="20"/>
  <c r="CH161" i="20"/>
  <c r="CH164" i="20"/>
  <c r="CI147" i="20"/>
  <c r="CG165" i="20"/>
  <c r="CG149" i="20"/>
  <c r="CI148" i="20" l="1"/>
  <c r="CJ144" i="20"/>
  <c r="CI161" i="20"/>
  <c r="CJ147" i="20"/>
  <c r="CI164" i="20"/>
  <c r="CH149" i="20"/>
  <c r="CH165" i="20"/>
  <c r="CJ164" i="20" l="1"/>
  <c r="CK147" i="20"/>
  <c r="CK144" i="20"/>
  <c r="CJ148" i="20"/>
  <c r="CJ161" i="20"/>
  <c r="CI165" i="20"/>
  <c r="CI149" i="20"/>
  <c r="CJ165" i="20" l="1"/>
  <c r="CJ149" i="20"/>
  <c r="CL144" i="20"/>
  <c r="CK161" i="20"/>
  <c r="CK148" i="20"/>
  <c r="CL147" i="20"/>
  <c r="CK164" i="20"/>
  <c r="CL148" i="20" l="1"/>
  <c r="CM144" i="20"/>
  <c r="CL161" i="20"/>
  <c r="CM147" i="20"/>
  <c r="CL164" i="20"/>
  <c r="CK165" i="20"/>
  <c r="CK149" i="20"/>
  <c r="CM164" i="20" l="1"/>
  <c r="CN147" i="20"/>
  <c r="CM148" i="20"/>
  <c r="CM161" i="20"/>
  <c r="CN144" i="20"/>
  <c r="CL149" i="20"/>
  <c r="CL165" i="20"/>
  <c r="CN161" i="20" l="1"/>
  <c r="CN148" i="20"/>
  <c r="CO144" i="20"/>
  <c r="CM149" i="20"/>
  <c r="CM165" i="20"/>
  <c r="CO147" i="20"/>
  <c r="CN164" i="20"/>
  <c r="CO161" i="20" l="1"/>
  <c r="CP144" i="20"/>
  <c r="CO148" i="20"/>
  <c r="CO164" i="20"/>
  <c r="CP147" i="20"/>
  <c r="CN165" i="20"/>
  <c r="CN149" i="20"/>
  <c r="CO165" i="20" l="1"/>
  <c r="CO149" i="20"/>
  <c r="CQ144" i="20"/>
  <c r="CP148" i="20"/>
  <c r="CP161" i="20"/>
  <c r="CP164" i="20"/>
  <c r="CQ147" i="20"/>
  <c r="CR144" i="20" l="1"/>
  <c r="CQ161" i="20"/>
  <c r="CQ148" i="20"/>
  <c r="CQ164" i="20"/>
  <c r="CR147" i="20"/>
  <c r="CP149" i="20"/>
  <c r="CP165" i="20"/>
  <c r="CQ165" i="20" l="1"/>
  <c r="CQ149" i="20"/>
  <c r="CR164" i="20"/>
  <c r="CS147" i="20"/>
  <c r="CS164" i="20" s="1"/>
  <c r="CS144" i="20"/>
  <c r="CR148" i="20"/>
  <c r="CR161" i="20"/>
  <c r="CR165" i="20" l="1"/>
  <c r="CR149" i="20"/>
  <c r="CS161" i="20"/>
  <c r="CS148" i="20"/>
  <c r="CS149" i="20" l="1"/>
  <c r="CS165" i="20"/>
  <c r="BP85" i="20"/>
  <c r="BP137" i="20" s="1"/>
  <c r="BQ154" i="20" l="1"/>
  <c r="BP154" i="20"/>
  <c r="BP80" i="20"/>
  <c r="BQ80" i="20" s="1"/>
  <c r="BR80" i="20" s="1"/>
  <c r="BS80" i="20" s="1"/>
  <c r="BT80" i="20" s="1"/>
  <c r="BU80" i="20" s="1"/>
  <c r="BV80" i="20" s="1"/>
  <c r="BW80" i="20" s="1"/>
  <c r="BX80" i="20" s="1"/>
  <c r="BY80" i="20" s="1"/>
  <c r="BZ80" i="20" s="1"/>
  <c r="CA80" i="20" s="1"/>
  <c r="CB80" i="20" s="1"/>
  <c r="CC80" i="20" s="1"/>
  <c r="CD80" i="20" s="1"/>
  <c r="CE80" i="20" s="1"/>
  <c r="CF80" i="20" s="1"/>
  <c r="CG80" i="20" s="1"/>
  <c r="CH80" i="20" s="1"/>
  <c r="CI80" i="20" s="1"/>
  <c r="CJ80" i="20" s="1"/>
  <c r="CK80" i="20" s="1"/>
  <c r="CL80" i="20" s="1"/>
  <c r="CM80" i="20" s="1"/>
  <c r="CN80" i="20" s="1"/>
  <c r="CO80" i="20" s="1"/>
  <c r="CP80" i="20" s="1"/>
  <c r="CQ80" i="20" s="1"/>
  <c r="CR80" i="20" s="1"/>
  <c r="CS80" i="20" s="1"/>
  <c r="BP81" i="20"/>
  <c r="BQ81" i="20" s="1"/>
  <c r="BR81" i="20" s="1"/>
  <c r="BS81" i="20" s="1"/>
  <c r="BT81" i="20" s="1"/>
  <c r="BU81" i="20" s="1"/>
  <c r="BV81" i="20" s="1"/>
  <c r="BW81" i="20" s="1"/>
  <c r="BX81" i="20" s="1"/>
  <c r="BY81" i="20" s="1"/>
  <c r="BZ81" i="20" s="1"/>
  <c r="CA81" i="20" s="1"/>
  <c r="CB81" i="20" s="1"/>
  <c r="CC81" i="20" s="1"/>
  <c r="CD81" i="20" s="1"/>
  <c r="CE81" i="20" s="1"/>
  <c r="CF81" i="20" s="1"/>
  <c r="CG81" i="20" s="1"/>
  <c r="CH81" i="20" s="1"/>
  <c r="CI81" i="20" s="1"/>
  <c r="CJ81" i="20" s="1"/>
  <c r="CK81" i="20" s="1"/>
  <c r="CL81" i="20" s="1"/>
  <c r="CM81" i="20" s="1"/>
  <c r="CN81" i="20" s="1"/>
  <c r="CO81" i="20" s="1"/>
  <c r="CP81" i="20" s="1"/>
  <c r="CQ81" i="20" s="1"/>
  <c r="CR81" i="20" s="1"/>
  <c r="CS81" i="20" s="1"/>
  <c r="BP138" i="20"/>
  <c r="BP146" i="20"/>
  <c r="BP141" i="20"/>
  <c r="BP82" i="20"/>
  <c r="BQ82" i="20" s="1"/>
  <c r="BR82" i="20" s="1"/>
  <c r="BS82" i="20" s="1"/>
  <c r="BT82" i="20" s="1"/>
  <c r="BU82" i="20" s="1"/>
  <c r="BV82" i="20" s="1"/>
  <c r="BW82" i="20" s="1"/>
  <c r="BX82" i="20" s="1"/>
  <c r="BY82" i="20" s="1"/>
  <c r="BZ82" i="20" s="1"/>
  <c r="CA82" i="20" s="1"/>
  <c r="CB82" i="20" s="1"/>
  <c r="CC82" i="20" s="1"/>
  <c r="CD82" i="20" s="1"/>
  <c r="CE82" i="20" s="1"/>
  <c r="CF82" i="20" s="1"/>
  <c r="CG82" i="20" s="1"/>
  <c r="CH82" i="20" s="1"/>
  <c r="CI82" i="20" s="1"/>
  <c r="CJ82" i="20" s="1"/>
  <c r="CK82" i="20" s="1"/>
  <c r="CL82" i="20" s="1"/>
  <c r="CM82" i="20" s="1"/>
  <c r="CN82" i="20" s="1"/>
  <c r="CO82" i="20" s="1"/>
  <c r="CP82" i="20" s="1"/>
  <c r="CQ82" i="20" s="1"/>
  <c r="CR82" i="20" s="1"/>
  <c r="CS82" i="20" s="1"/>
  <c r="BP140" i="20"/>
  <c r="BP145" i="20"/>
  <c r="BP79" i="20"/>
  <c r="BQ79" i="20" s="1"/>
  <c r="BR79" i="20" s="1"/>
  <c r="BS79" i="20" s="1"/>
  <c r="BT79" i="20" s="1"/>
  <c r="BU79" i="20" s="1"/>
  <c r="BV79" i="20" s="1"/>
  <c r="BW79" i="20" s="1"/>
  <c r="BX79" i="20" s="1"/>
  <c r="BY79" i="20" s="1"/>
  <c r="BZ79" i="20" s="1"/>
  <c r="CA79" i="20" s="1"/>
  <c r="CB79" i="20" s="1"/>
  <c r="CC79" i="20" s="1"/>
  <c r="CD79" i="20" s="1"/>
  <c r="CE79" i="20" s="1"/>
  <c r="CF79" i="20" s="1"/>
  <c r="CG79" i="20" s="1"/>
  <c r="CH79" i="20" s="1"/>
  <c r="CI79" i="20" s="1"/>
  <c r="CJ79" i="20" s="1"/>
  <c r="CK79" i="20" s="1"/>
  <c r="CL79" i="20" s="1"/>
  <c r="CM79" i="20" s="1"/>
  <c r="CN79" i="20" s="1"/>
  <c r="CO79" i="20" s="1"/>
  <c r="CP79" i="20" s="1"/>
  <c r="CQ79" i="20" s="1"/>
  <c r="CR79" i="20" s="1"/>
  <c r="CS79" i="20" s="1"/>
  <c r="BP83" i="20"/>
  <c r="BQ83" i="20" s="1"/>
  <c r="BR83" i="20" s="1"/>
  <c r="BS83" i="20" s="1"/>
  <c r="BT83" i="20" s="1"/>
  <c r="BU83" i="20" s="1"/>
  <c r="BV83" i="20" s="1"/>
  <c r="BW83" i="20" s="1"/>
  <c r="BX83" i="20" s="1"/>
  <c r="BY83" i="20" s="1"/>
  <c r="BZ83" i="20" s="1"/>
  <c r="CA83" i="20" s="1"/>
  <c r="CB83" i="20" s="1"/>
  <c r="CC83" i="20" s="1"/>
  <c r="CD83" i="20" s="1"/>
  <c r="CE83" i="20" s="1"/>
  <c r="CF83" i="20" s="1"/>
  <c r="CG83" i="20" s="1"/>
  <c r="CH83" i="20" s="1"/>
  <c r="CI83" i="20" s="1"/>
  <c r="CJ83" i="20" s="1"/>
  <c r="CK83" i="20" s="1"/>
  <c r="CL83" i="20" s="1"/>
  <c r="CM83" i="20" s="1"/>
  <c r="CN83" i="20" s="1"/>
  <c r="CO83" i="20" s="1"/>
  <c r="CP83" i="20" s="1"/>
  <c r="CQ83" i="20" s="1"/>
  <c r="CR83" i="20" s="1"/>
  <c r="CS83" i="20" s="1"/>
  <c r="BP143" i="20"/>
  <c r="BP139" i="20"/>
  <c r="BP142" i="20"/>
  <c r="BQ159" i="20" l="1"/>
  <c r="BP159" i="20"/>
  <c r="BP156" i="20"/>
  <c r="BQ156" i="20"/>
  <c r="BP162" i="20"/>
  <c r="BQ162" i="20"/>
  <c r="BQ163" i="20"/>
  <c r="BP163" i="20"/>
  <c r="BQ158" i="20"/>
  <c r="BP158" i="20"/>
  <c r="BP160" i="20"/>
  <c r="BQ160" i="20"/>
  <c r="BP157" i="20"/>
  <c r="BQ157" i="20"/>
  <c r="BQ155" i="20"/>
  <c r="BP155" i="20"/>
  <c r="BP148" i="20"/>
  <c r="BP149" i="20" l="1"/>
  <c r="BQ165" i="20"/>
  <c r="BP16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Runar Aksnes</author>
  </authors>
  <commentList>
    <comment ref="A7" authorId="0" shapeId="0" xr:uid="{15D5DC7E-84D9-4D6A-9F8E-207DA73FA1EF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2014-2020 er tallene her for "Leterefusjon mot inntektsskatt (Påløpt)"</t>
        </r>
      </text>
    </comment>
    <comment ref="P7" authorId="0" shapeId="0" xr:uid="{7B480B47-4B1F-44FD-B331-2EDAD620DEA2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Tallet for 2021 er for leterefusjon og opphørsrefusjon i særskatt og selskapsskatt.</t>
        </r>
      </text>
    </comment>
    <comment ref="A8" authorId="0" shapeId="0" xr:uid="{35F45B84-9384-4D82-8170-A764EAB703AD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For 2014-2020 er tallene her for "Leterefusjon mot særskatt (Påløpt)"</t>
        </r>
      </text>
    </comment>
    <comment ref="A21" authorId="0" shapeId="0" xr:uid="{251D5581-5857-4614-8A04-CBBD4F0A1B6B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Før innarbeidet provenyvirkning</t>
        </r>
      </text>
    </comment>
    <comment ref="A22" authorId="0" shapeId="0" xr:uid="{CBD9489E-3418-461A-B959-8039EC89D049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2014-2020 er tallene her for "Leterefusjon mot inntektsskatt (Påløpt)"</t>
        </r>
      </text>
    </comment>
    <comment ref="A23" authorId="0" shapeId="0" xr:uid="{CF5F0604-A75E-403B-830A-D88B428DE6C6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For 2014-2020 er tallene her for "Leterefusjon mot særskatt (Påløpt)"</t>
        </r>
      </text>
    </comment>
    <comment ref="A32" authorId="0" shapeId="0" xr:uid="{451AB660-BA2B-48F4-9308-1DCFAB122341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Før innarbeidet provenyvirkning
</t>
        </r>
      </text>
    </comment>
    <comment ref="T36" authorId="0" shapeId="0" xr:uid="{636F1112-A806-4A20-AAA6-6D2AAEE25BCE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SØ 31.07.2025</t>
        </r>
      </text>
    </comment>
    <comment ref="U36" authorId="0" shapeId="0" xr:uid="{4F99DC41-7D7E-49DF-AED7-3DD0ABF78D69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SØ 31.07.2025</t>
        </r>
      </text>
    </comment>
    <comment ref="A55" authorId="0" shapeId="0" xr:uid="{D859D2A0-E51A-4161-82D3-E1FE2E229273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Inkludert provenyvirkning</t>
        </r>
      </text>
    </comment>
    <comment ref="A68" authorId="0" shapeId="0" xr:uid="{35E72D27-38F1-4E4D-A104-D2DC5AE9F0A5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Inkludert provenyvirkning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geir mo johansen</author>
    <author>Runar Aksnes</author>
    <author>Tormod Reiersen</author>
    <author>Line Asker</author>
  </authors>
  <commentList>
    <comment ref="K4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>geir mo johansen:</t>
        </r>
        <r>
          <rPr>
            <sz val="10"/>
            <color indexed="81"/>
            <rFont val="Tahoma"/>
            <family val="2"/>
          </rPr>
          <t xml:space="preserve">
Tall t.o.m. 2005 er regnskapstall</t>
        </r>
      </text>
    </comment>
    <comment ref="L4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geir mo johansen:</t>
        </r>
        <r>
          <rPr>
            <sz val="10"/>
            <color indexed="81"/>
            <rFont val="Tahoma"/>
            <family val="2"/>
          </rPr>
          <t xml:space="preserve">
Regnskapstall hentet fra Statsregnskapet for 2006</t>
        </r>
      </text>
    </comment>
    <comment ref="T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Jf. rammefordelingsbrev</t>
        </r>
      </text>
    </comment>
    <comment ref="N29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Tormod Reiersen:</t>
        </r>
        <r>
          <rPr>
            <sz val="8"/>
            <color indexed="81"/>
            <rFont val="Tahoma"/>
            <family val="2"/>
          </rPr>
          <t xml:space="preserve">
1841 i flg ahh, tar denen i neste runde</t>
        </r>
      </text>
    </comment>
    <comment ref="P47" authorId="3" shapeId="0" xr:uid="{00000000-0006-0000-0100-000005000000}">
      <text>
        <r>
          <rPr>
            <b/>
            <sz val="8"/>
            <color indexed="81"/>
            <rFont val="Tahoma"/>
            <family val="2"/>
          </rPr>
          <t>Line Asker:</t>
        </r>
        <r>
          <rPr>
            <sz val="8"/>
            <color indexed="81"/>
            <rFont val="Tahoma"/>
            <family val="2"/>
          </rPr>
          <t xml:space="preserve">
Oppgjør Garantiekrkæring fra Statoil, se dokument under RNB10/FA etc.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geir mo johansen</author>
    <author>Runar Aksnes</author>
    <author>Geir Mo Johansen</author>
  </authors>
  <commentList>
    <comment ref="A1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Er nå inkludert i driftsutgiftene
</t>
        </r>
      </text>
    </comment>
    <comment ref="B19" authorId="1" shapeId="0" xr:uid="{92B2B5D1-A38B-400B-A1D0-4E5629E7F74C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Brukes ikke.</t>
        </r>
      </text>
    </comment>
    <comment ref="A37" authorId="2" shapeId="0" xr:uid="{00000000-0006-0000-0200-000002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Har lagt inn eventuelle endringer fra "skiftberegning" arket</t>
        </r>
      </text>
    </comment>
    <comment ref="A46" authorId="2" shapeId="0" xr:uid="{00000000-0006-0000-0200-000003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Har lagt inn eventuelle endringer fra "skiftberegning" arket
</t>
        </r>
      </text>
    </comment>
    <comment ref="A54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Hjelpelinje for å beregne fallet i driftskostnader etter 2030.</t>
        </r>
      </text>
    </comment>
    <comment ref="A74" authorId="2" shapeId="0" xr:uid="{00000000-0006-0000-0200-000005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Har lagt inn eventuelle endringer fra "skiftberegning".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</author>
    <author>Runar Aksnes</author>
    <author>geir mo johansen</author>
    <author>Torgeir Johnsen</author>
    <author>mel</author>
    <author>fej</author>
    <author>Merethe Eriksrud Lund</author>
    <author>PMK</author>
    <author>EEr</author>
    <author>rua</author>
  </authors>
  <commentList>
    <comment ref="T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MEL:</t>
        </r>
        <r>
          <rPr>
            <sz val="9"/>
            <color indexed="81"/>
            <rFont val="Tahoma"/>
            <family val="2"/>
          </rPr>
          <t xml:space="preserve">
Hentet fra 4)Figur (Gasspris og oljepris, 1988-2025)</t>
        </r>
      </text>
    </comment>
    <comment ref="Y6" authorId="1" shapeId="0" xr:uid="{52739DDB-EF8A-4571-89F5-88B4017A14B3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OED juli 2021</t>
        </r>
      </text>
    </comment>
    <comment ref="Z6" authorId="1" shapeId="0" xr:uid="{2D0CE65C-5A34-452B-9A6C-8E9E1FB3DA40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oed
</t>
        </r>
      </text>
    </comment>
    <comment ref="AA6" authorId="1" shapeId="0" xr:uid="{4473318F-3645-460E-8C00-2EF9D98DBF87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oed (07.12.2023)</t>
        </r>
      </text>
    </comment>
    <comment ref="AB6" authorId="1" shapeId="0" xr:uid="{823245DB-9CF1-4386-8798-EBD1D8859F44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fra ED</t>
        </r>
      </text>
    </comment>
    <comment ref="AD24" authorId="1" shapeId="0" xr:uid="{2CBAAE2A-6DEA-4D98-8677-D149DCD5AAEF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Formelendring
</t>
        </r>
      </text>
    </comment>
    <comment ref="A57" authorId="2" shapeId="0" xr:uid="{00000000-0006-0000-0600-000004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Brukes til å finne vekst i vareinnsats i DX 04</t>
        </r>
      </text>
    </comment>
    <comment ref="A63" authorId="3" shapeId="0" xr:uid="{00000000-0006-0000-0600-000005000000}">
      <text>
        <r>
          <rPr>
            <b/>
            <sz val="8"/>
            <color indexed="81"/>
            <rFont val="Tahoma"/>
            <family val="2"/>
          </rPr>
          <t>Torgeir Johnsen:</t>
        </r>
        <r>
          <rPr>
            <sz val="8"/>
            <color indexed="81"/>
            <rFont val="Tahoma"/>
            <family val="2"/>
          </rPr>
          <t xml:space="preserve">
Sjekk regearket Gassomregn</t>
        </r>
      </text>
    </comment>
    <comment ref="S63" authorId="4" shapeId="0" xr:uid="{00000000-0006-0000-0600-000006000000}">
      <text>
        <r>
          <rPr>
            <b/>
            <sz val="9"/>
            <color indexed="81"/>
            <rFont val="Tahoma"/>
            <family val="2"/>
          </rPr>
          <t>mel:</t>
        </r>
        <r>
          <rPr>
            <sz val="9"/>
            <color indexed="81"/>
            <rFont val="Tahoma"/>
            <family val="2"/>
          </rPr>
          <t xml:space="preserve">
Se mail til Runar fra OED i 2011</t>
        </r>
      </text>
    </comment>
    <comment ref="A73" authorId="3" shapeId="0" xr:uid="{00000000-0006-0000-0600-000007000000}">
      <text>
        <r>
          <rPr>
            <b/>
            <sz val="8"/>
            <color indexed="81"/>
            <rFont val="Tahoma"/>
            <family val="2"/>
          </rPr>
          <t>Torgeir Johnsen:</t>
        </r>
        <r>
          <rPr>
            <sz val="8"/>
            <color indexed="81"/>
            <rFont val="Tahoma"/>
            <family val="2"/>
          </rPr>
          <t xml:space="preserve">
Sjekk regearket Gassomregn</t>
        </r>
      </text>
    </comment>
    <comment ref="M143" authorId="5" shapeId="0" xr:uid="{00000000-0006-0000-0600-000008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N143" authorId="5" shapeId="0" xr:uid="{00000000-0006-0000-0600-000009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O143" authorId="5" shapeId="0" xr:uid="{00000000-0006-0000-0600-00000A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P143" authorId="5" shapeId="0" xr:uid="{00000000-0006-0000-0600-00000B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Q143" authorId="5" shapeId="0" xr:uid="{00000000-0006-0000-0600-00000C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R143" authorId="5" shapeId="0" xr:uid="{00000000-0006-0000-0600-00000D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S143" authorId="5" shapeId="0" xr:uid="{00000000-0006-0000-0600-00000E000000}">
      <text>
        <r>
          <rPr>
            <b/>
            <sz val="8"/>
            <color indexed="81"/>
            <rFont val="Tahoma"/>
            <family val="2"/>
          </rPr>
          <t>MEL: hentet fra FAME. 
Nødvendig?</t>
        </r>
      </text>
    </comment>
    <comment ref="T143" authorId="5" shapeId="0" xr:uid="{00000000-0006-0000-0600-00000F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U143" authorId="5" shapeId="0" xr:uid="{00000000-0006-0000-0600-000010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V143" authorId="5" shapeId="0" xr:uid="{00000000-0006-0000-0600-000011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W143" authorId="5" shapeId="0" xr:uid="{00000000-0006-0000-0600-000012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X143" authorId="5" shapeId="0" xr:uid="{00000000-0006-0000-0600-000013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Y143" authorId="5" shapeId="0" xr:uid="{00000000-0006-0000-0600-000014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Z143" authorId="5" shapeId="0" xr:uid="{00000000-0006-0000-0600-000015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A143" authorId="5" shapeId="0" xr:uid="{00000000-0006-0000-0600-000016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B143" authorId="5" shapeId="0" xr:uid="{00000000-0006-0000-0600-000017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C143" authorId="5" shapeId="0" xr:uid="{00000000-0006-0000-0600-000018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D143" authorId="5" shapeId="0" xr:uid="{00000000-0006-0000-0600-000019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E143" authorId="5" shapeId="0" xr:uid="{00000000-0006-0000-0600-00001A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F143" authorId="5" shapeId="0" xr:uid="{00000000-0006-0000-0600-00001B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G143" authorId="5" shapeId="0" xr:uid="{00000000-0006-0000-0600-00001C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H143" authorId="5" shapeId="0" xr:uid="{00000000-0006-0000-0600-00001D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I143" authorId="5" shapeId="0" xr:uid="{00000000-0006-0000-0600-00001E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J143" authorId="5" shapeId="0" xr:uid="{00000000-0006-0000-0600-00001F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K143" authorId="5" shapeId="0" xr:uid="{00000000-0006-0000-0600-000020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L143" authorId="5" shapeId="0" xr:uid="{00000000-0006-0000-0600-000021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M143" authorId="5" shapeId="0" xr:uid="{00000000-0006-0000-0600-000022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N143" authorId="5" shapeId="0" xr:uid="{00000000-0006-0000-0600-000023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O143" authorId="5" shapeId="0" xr:uid="{00000000-0006-0000-0600-000024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P143" authorId="5" shapeId="0" xr:uid="{00000000-0006-0000-0600-000025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Q143" authorId="5" shapeId="0" xr:uid="{00000000-0006-0000-0600-000026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R143" authorId="5" shapeId="0" xr:uid="{00000000-0006-0000-0600-000027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S143" authorId="5" shapeId="0" xr:uid="{00000000-0006-0000-0600-000028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T143" authorId="5" shapeId="0" xr:uid="{00000000-0006-0000-0600-000029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U143" authorId="5" shapeId="0" xr:uid="{00000000-0006-0000-0600-00002A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V143" authorId="5" shapeId="0" xr:uid="{00000000-0006-0000-0600-00002B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W143" authorId="5" shapeId="0" xr:uid="{00000000-0006-0000-0600-00002C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X143" authorId="5" shapeId="0" xr:uid="{00000000-0006-0000-0600-00002D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Y143" authorId="5" shapeId="0" xr:uid="{00000000-0006-0000-0600-00002E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Z143" authorId="5" shapeId="0" xr:uid="{00000000-0006-0000-0600-00002F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BA143" authorId="5" shapeId="0" xr:uid="{00000000-0006-0000-0600-000030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BB143" authorId="5" shapeId="0" xr:uid="{00000000-0006-0000-0600-000031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BC143" authorId="5" shapeId="0" xr:uid="{00000000-0006-0000-0600-000032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Fortsatt skeptisk til dette. Her brukes det volumtall for å approksimere et verditall for å beregne den delen av produksjonen (i verdi) som går til eksport. Bedre løsning?</t>
        </r>
      </text>
    </comment>
    <comment ref="A147" authorId="6" shapeId="0" xr:uid="{00000000-0006-0000-0600-000033000000}">
      <text>
        <r>
          <rPr>
            <b/>
            <sz val="9"/>
            <color indexed="81"/>
            <rFont val="Tahoma"/>
            <family val="2"/>
          </rPr>
          <t>Merethe Eriksrud Lund:</t>
        </r>
        <r>
          <rPr>
            <sz val="9"/>
            <color indexed="81"/>
            <rFont val="Tahoma"/>
            <family val="2"/>
          </rPr>
          <t xml:space="preserve">
Legger inn tall fra OED her nå. </t>
        </r>
      </text>
    </comment>
    <comment ref="L153" authorId="5" shapeId="0" xr:uid="{00000000-0006-0000-0600-000034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Konstantene er hentet fra Modag. Kryssløpskoeffisienter som sier noe om hvor mye olje du må ha for å lage bensin og fyringsolje.</t>
        </r>
      </text>
    </comment>
    <comment ref="M155" authorId="5" shapeId="0" xr:uid="{00000000-0006-0000-0600-000035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Hvorfor skal dette settes lik null?</t>
        </r>
      </text>
    </comment>
    <comment ref="A250" authorId="7" shapeId="0" xr:uid="{00000000-0006-0000-0600-000036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A67 styres mot X6467.</t>
        </r>
      </text>
    </comment>
    <comment ref="A251" authorId="7" shapeId="0" xr:uid="{00000000-0006-0000-0600-000037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A69 styres mot RATA69.</t>
        </r>
      </text>
    </comment>
    <comment ref="A259" authorId="7" shapeId="0" xr:uid="{00000000-0006-0000-0600-000038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BI66 styres mot PIR66.</t>
        </r>
      </text>
    </comment>
    <comment ref="A261" authorId="7" shapeId="0" xr:uid="{00000000-0006-0000-0600-000039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BH66 styres mot BHR66.</t>
        </r>
      </text>
    </comment>
    <comment ref="A263" authorId="7" shapeId="0" xr:uid="{00000000-0006-0000-0600-00003A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PA67 styres mot PAR67.</t>
        </r>
      </text>
    </comment>
    <comment ref="A267" authorId="8" shapeId="0" xr:uid="{00000000-0006-0000-0600-00003B000000}">
      <text>
        <r>
          <rPr>
            <b/>
            <sz val="11"/>
            <color indexed="81"/>
            <rFont val="Tahoma"/>
            <family val="2"/>
          </rPr>
          <t>EEr:</t>
        </r>
        <r>
          <rPr>
            <sz val="11"/>
            <color indexed="81"/>
            <rFont val="Tahoma"/>
            <family val="2"/>
          </rPr>
          <t xml:space="preserve">
BH67 styres mot BHR67</t>
        </r>
      </text>
    </comment>
    <comment ref="A273" authorId="8" shapeId="0" xr:uid="{00000000-0006-0000-0600-00003C000000}">
      <text>
        <r>
          <rPr>
            <b/>
            <sz val="11"/>
            <color indexed="81"/>
            <rFont val="Tahoma"/>
            <family val="2"/>
          </rPr>
          <t xml:space="preserve">EEr:
</t>
        </r>
        <r>
          <rPr>
            <sz val="11"/>
            <color indexed="81"/>
            <rFont val="Tahoma"/>
            <family val="2"/>
          </rPr>
          <t>BH68 styres mot BHR68</t>
        </r>
      </text>
    </comment>
    <comment ref="L275" authorId="5" shapeId="0" xr:uid="{00000000-0006-0000-0600-00003D000000}">
      <text>
        <r>
          <rPr>
            <b/>
            <sz val="8"/>
            <color indexed="81"/>
            <rFont val="Tahoma"/>
            <family val="2"/>
          </rPr>
          <t>fej:</t>
        </r>
        <r>
          <rPr>
            <sz val="8"/>
            <color indexed="81"/>
            <rFont val="Tahoma"/>
            <family val="2"/>
          </rPr>
          <t xml:space="preserve">
Justert til 6,4 informasjon knr</t>
        </r>
      </text>
    </comment>
    <comment ref="A301" authorId="3" shapeId="0" xr:uid="{00000000-0006-0000-0600-00003E000000}">
      <text>
        <r>
          <rPr>
            <b/>
            <sz val="10"/>
            <color indexed="81"/>
            <rFont val="Tahoma"/>
            <family val="2"/>
          </rPr>
          <t>Torgeir Johnsen:</t>
        </r>
        <r>
          <rPr>
            <sz val="10"/>
            <color indexed="81"/>
            <rFont val="Tahoma"/>
            <family val="2"/>
          </rPr>
          <t xml:space="preserve">
For at varebalansen skal gå opp må eksporten av råolje bestemmes slik at den absolutte endringen blir den samme som for produksjon. Gjelder ved konstant nivå for innenlandsk anvendelse. 
</t>
        </r>
        <r>
          <rPr>
            <b/>
            <sz val="10"/>
            <color indexed="81"/>
            <rFont val="Tahoma"/>
            <family val="2"/>
          </rPr>
          <t>GMJ:</t>
        </r>
        <r>
          <rPr>
            <sz val="10"/>
            <color indexed="81"/>
            <rFont val="Tahoma"/>
            <family val="2"/>
          </rPr>
          <t xml:space="preserve">
Iflg. Yngvar Dyvi kan ikke eksporten bli mindre enn null. Det kan være rimelig å anta at raffineringsvirksomheten vil fortsette uavhengig av råoljeproduksjonen på norsk sokkel. Etter hvert som vi produserer mindre råolje selv, økes derfor importen. I NB06 gjelder dette f.o.m. 2053</t>
        </r>
      </text>
    </comment>
    <comment ref="A337" authorId="7" shapeId="0" xr:uid="{00000000-0006-0000-0600-00003F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Vekt hentet fra varebalansen i MODAG. Må oppdateres når ny MODAG-nodell foreligger!</t>
        </r>
      </text>
    </comment>
    <comment ref="A339" authorId="7" shapeId="0" xr:uid="{00000000-0006-0000-0600-000040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Vekt (M40) fra varebalansen i MODAG + ZM40. Må oppdateres når ny MODAG-modell foreligger!</t>
        </r>
      </text>
    </comment>
    <comment ref="A345" authorId="7" shapeId="0" xr:uid="{00000000-0006-0000-0600-000041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DSI66 bestemmes slik at importen av råolje blir lik 0 gjennom framskrivingsperioden.</t>
        </r>
      </text>
    </comment>
    <comment ref="A350" authorId="7" shapeId="0" xr:uid="{00000000-0006-0000-0600-000042000000}">
      <text>
        <r>
          <rPr>
            <b/>
            <sz val="8"/>
            <color indexed="81"/>
            <rFont val="Tahoma"/>
            <family val="2"/>
          </rPr>
          <t>PMK:</t>
        </r>
        <r>
          <rPr>
            <sz val="8"/>
            <color indexed="81"/>
            <rFont val="Tahoma"/>
            <family val="2"/>
          </rPr>
          <t xml:space="preserve">
Endringen i M64 følger rapporteringen fra OED dersom X6447 og X6499 videreføres fra siste historiske år.</t>
        </r>
      </text>
    </comment>
    <comment ref="P354" authorId="9" shapeId="0" xr:uid="{00000000-0006-0000-0600-000043000000}">
      <text>
        <r>
          <rPr>
            <b/>
            <sz val="8"/>
            <color indexed="81"/>
            <rFont val="Tahoma"/>
            <family val="2"/>
          </rPr>
          <t>rua:</t>
        </r>
        <r>
          <rPr>
            <sz val="8"/>
            <color indexed="81"/>
            <rFont val="Tahoma"/>
            <family val="2"/>
          </rPr>
          <t xml:space="preserve">
Merk: Vær oppmerksom på formelendring som skjer her.</t>
        </r>
      </text>
    </comment>
    <comment ref="Q354" authorId="9" shapeId="0" xr:uid="{00000000-0006-0000-0600-000044000000}">
      <text>
        <r>
          <rPr>
            <b/>
            <sz val="8"/>
            <color indexed="81"/>
            <rFont val="Tahoma"/>
            <family val="2"/>
          </rPr>
          <t>rua:</t>
        </r>
        <r>
          <rPr>
            <sz val="8"/>
            <color indexed="81"/>
            <rFont val="Tahoma"/>
            <family val="2"/>
          </rPr>
          <t xml:space="preserve">
Merk: Vær oppmerksom på formelendring som skjer her.</t>
        </r>
      </text>
    </comment>
    <comment ref="R354" authorId="6" shapeId="0" xr:uid="{00000000-0006-0000-0600-000045000000}">
      <text>
        <r>
          <rPr>
            <b/>
            <sz val="9"/>
            <color indexed="81"/>
            <rFont val="Tahoma"/>
            <family val="2"/>
          </rPr>
          <t>Merethe Eriksrud Lund:</t>
        </r>
        <r>
          <rPr>
            <sz val="9"/>
            <color indexed="81"/>
            <rFont val="Tahoma"/>
            <family val="2"/>
          </rPr>
          <t xml:space="preserve">
Her skjer det endring til RNB, pga da er 2013 historie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Geir Mo Johansen</author>
    <author>Torgeir Johnsen</author>
  </authors>
  <commentList>
    <comment ref="A1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Geir Mo Johansen:</t>
        </r>
        <r>
          <rPr>
            <sz val="8"/>
            <color indexed="81"/>
            <rFont val="Tahoma"/>
            <family val="2"/>
          </rPr>
          <t xml:space="preserve">
I framskrivingene etter 2030 brukes antagelsene som er oppgitt i Celle a1 til D11 i "formue" arket.</t>
        </r>
      </text>
    </comment>
    <comment ref="A79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Torgeir Johnsen:</t>
        </r>
        <r>
          <rPr>
            <sz val="8"/>
            <color indexed="81"/>
            <rFont val="Tahoma"/>
            <family val="2"/>
          </rPr>
          <t xml:space="preserve">
Dersom oljeprisanslaget endres "sent" i budsjettprosessen vil en ikke få noen skattevirkning i inneværende år, men hele virkningen vil komme på neste år. Jf. formlene for betalt virkning for 2002-2003. Kontroll på at en har gjort det riktig er at summen av edring i påløpte skatter skal være lik summen av endringer for betalte skatte over perioden hvor endringene har effekt.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</author>
    <author>Runar Aksnes</author>
    <author>Torgeir Johnsen</author>
  </authors>
  <commentList>
    <comment ref="A2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MEL:</t>
        </r>
        <r>
          <rPr>
            <sz val="9"/>
            <color indexed="81"/>
            <rFont val="Tahoma"/>
            <family val="2"/>
          </rPr>
          <t xml:space="preserve">
Dette er en delpost under de samlede investeringene før leting</t>
        </r>
      </text>
    </comment>
    <comment ref="AL82" authorId="1" shapeId="0" xr:uid="{0BF06F1B-FC8D-463A-A54E-7168FF6AA3EB}">
      <text>
        <r>
          <rPr>
            <b/>
            <sz val="9"/>
            <color indexed="81"/>
            <rFont val="Tahoma"/>
            <family val="2"/>
          </rPr>
          <t>Runar Aksnes:</t>
        </r>
        <r>
          <rPr>
            <sz val="9"/>
            <color indexed="81"/>
            <rFont val="Tahoma"/>
            <family val="2"/>
          </rPr>
          <t xml:space="preserve">
FORMELENDRING</t>
        </r>
      </text>
    </comment>
    <comment ref="J172" authorId="2" shapeId="0" xr:uid="{00000000-0006-0000-0800-000002000000}">
      <text>
        <r>
          <rPr>
            <b/>
            <sz val="8"/>
            <color indexed="81"/>
            <rFont val="Tahoma"/>
            <family val="2"/>
          </rPr>
          <t>Torgeir Johnsen:</t>
        </r>
        <r>
          <rPr>
            <sz val="8"/>
            <color indexed="81"/>
            <rFont val="Tahoma"/>
            <family val="2"/>
          </rPr>
          <t xml:space="preserve">
Har brukt samme andeler som i 2004 for årene 1995-2003
</t>
        </r>
      </text>
    </comment>
    <comment ref="A177" authorId="2" shapeId="0" xr:uid="{00000000-0006-0000-0800-000003000000}">
      <text>
        <r>
          <rPr>
            <b/>
            <sz val="8"/>
            <color indexed="81"/>
            <rFont val="Tahoma"/>
            <family val="2"/>
          </rPr>
          <t>Torgeir Johnsen:</t>
        </r>
        <r>
          <rPr>
            <sz val="8"/>
            <color indexed="81"/>
            <rFont val="Tahoma"/>
            <family val="2"/>
          </rPr>
          <t xml:space="preserve">
Eget anslag 
</t>
        </r>
      </text>
    </comment>
  </commentList>
</comments>
</file>

<file path=xl/sharedStrings.xml><?xml version="1.0" encoding="utf-8"?>
<sst xmlns="http://schemas.openxmlformats.org/spreadsheetml/2006/main" count="1443" uniqueCount="724">
  <si>
    <t>Produksjon av råolje</t>
  </si>
  <si>
    <t>Oljepris NOK/fat løpende priser</t>
  </si>
  <si>
    <t>Oljepris NOK/Sm3 o.e.</t>
  </si>
  <si>
    <t>NGL-pris kr/Sm3 o.e.</t>
  </si>
  <si>
    <t>Produksjon av NGL</t>
  </si>
  <si>
    <t>Priser</t>
  </si>
  <si>
    <t>Innenlands leveranse gass</t>
  </si>
  <si>
    <t>Innenlands leveranse NGL</t>
  </si>
  <si>
    <t>Olje</t>
  </si>
  <si>
    <t>Gass</t>
  </si>
  <si>
    <t>NGL</t>
  </si>
  <si>
    <t>Sum</t>
  </si>
  <si>
    <t xml:space="preserve"> Naturgass</t>
  </si>
  <si>
    <t xml:space="preserve"> Råolje (+NGL)</t>
  </si>
  <si>
    <t>Olje og NGL</t>
  </si>
  <si>
    <t>Olje + NGL</t>
  </si>
  <si>
    <t xml:space="preserve">Eksport mill. Sm3 </t>
  </si>
  <si>
    <t xml:space="preserve">Olje </t>
  </si>
  <si>
    <t>Samlet produksjon av olje og NGL</t>
  </si>
  <si>
    <t>Samlet</t>
  </si>
  <si>
    <t>Kilde: OED</t>
  </si>
  <si>
    <t>Gasspris NOK/Sm3 o.e.</t>
  </si>
  <si>
    <t>Markedsverdi mill. kr</t>
  </si>
  <si>
    <t>Produksjonsverdi mill. kr</t>
  </si>
  <si>
    <t>Innenlandsk leveranse mill. kroner.</t>
  </si>
  <si>
    <t>Prisindeks</t>
  </si>
  <si>
    <t>Påløpte skatter og avgifter</t>
  </si>
  <si>
    <t>Betalte skatter og avgifter</t>
  </si>
  <si>
    <t>Produksjonsavgift</t>
  </si>
  <si>
    <t>Arealavgift</t>
  </si>
  <si>
    <t>CO2-avgift</t>
  </si>
  <si>
    <t>Sum skatter</t>
  </si>
  <si>
    <t>Sum avgifter</t>
  </si>
  <si>
    <t>Sum skatter og avgifter</t>
  </si>
  <si>
    <t>Innbetalinger</t>
  </si>
  <si>
    <t>Utbetalinger</t>
  </si>
  <si>
    <t>Netto inntekt SDØE</t>
  </si>
  <si>
    <t>Aksjeutbytte Statoil</t>
  </si>
  <si>
    <t>Netto andre inntekter</t>
  </si>
  <si>
    <t>(avrundingsfaktor)</t>
  </si>
  <si>
    <t>FBU+FUV</t>
  </si>
  <si>
    <t>Kap. 2440</t>
  </si>
  <si>
    <t>SDØE</t>
  </si>
  <si>
    <t>Post 22</t>
  </si>
  <si>
    <t>Post 30</t>
  </si>
  <si>
    <t>Inv.</t>
  </si>
  <si>
    <t>Post 50</t>
  </si>
  <si>
    <t>Sum Kap. 2440</t>
  </si>
  <si>
    <t>Kap. 5440</t>
  </si>
  <si>
    <t>Driftsinnt.</t>
  </si>
  <si>
    <t>Driftsutg.</t>
  </si>
  <si>
    <t>Leteutg.</t>
  </si>
  <si>
    <t>Avskrivn.</t>
  </si>
  <si>
    <t>Post 31</t>
  </si>
  <si>
    <t>Salg andeler</t>
  </si>
  <si>
    <t>Fra p.f.fond</t>
  </si>
  <si>
    <t>Post 80</t>
  </si>
  <si>
    <t>Post 84</t>
  </si>
  <si>
    <t>E. oppgjør</t>
  </si>
  <si>
    <t>Sum Kap. 5440</t>
  </si>
  <si>
    <t>Netto inntekt</t>
  </si>
  <si>
    <t>Kap. 2442</t>
  </si>
  <si>
    <t xml:space="preserve">Post 21 </t>
  </si>
  <si>
    <t>Spes. dr. utg.</t>
  </si>
  <si>
    <t>Post 70</t>
  </si>
  <si>
    <t>Tilskudd</t>
  </si>
  <si>
    <t>Sum kap 2442</t>
  </si>
  <si>
    <t>Kap. 5442</t>
  </si>
  <si>
    <t>Disp. innretninger</t>
  </si>
  <si>
    <t>Tilbakef. av tilskudd</t>
  </si>
  <si>
    <t>Sum kap 5442</t>
  </si>
  <si>
    <t>Kap. 2441</t>
  </si>
  <si>
    <t>Teknologiutv.</t>
  </si>
  <si>
    <t>Prosj. rettet tekn. utv.</t>
  </si>
  <si>
    <t>Sum kap 2441</t>
  </si>
  <si>
    <t>Oljeproduksjon m Sm3 oe</t>
  </si>
  <si>
    <t>Gassproduksjon m Sm3 oe</t>
  </si>
  <si>
    <t>NGL-produksjon m Sm3 oe</t>
  </si>
  <si>
    <t>Sum produksjon m Sm3 oe</t>
  </si>
  <si>
    <t>Markedsverdi SDØE Mill. kr.</t>
  </si>
  <si>
    <t>INPUT</t>
  </si>
  <si>
    <t>Oljepris i referansebane</t>
  </si>
  <si>
    <t>Oljepris i skiftberegning</t>
  </si>
  <si>
    <t>Gasspris i ref. beregning (kroner pr. Sm3)</t>
  </si>
  <si>
    <t>NGL-pris (kroner pr. Sm3 oe)</t>
  </si>
  <si>
    <t>Marginalskattesats</t>
  </si>
  <si>
    <t>Gassproduksjon i Sm3 oe</t>
  </si>
  <si>
    <t>NGL produksjon Sm3 oe</t>
  </si>
  <si>
    <t>Omregning sm3=&gt; fat</t>
  </si>
  <si>
    <t>Omregning Sm3 o.e.=&gt; Sm3</t>
  </si>
  <si>
    <t>Gassprisgjennomslag</t>
  </si>
  <si>
    <t>SDØEs produksjon i Sm3 o.e.:</t>
  </si>
  <si>
    <t>BEREGNING</t>
  </si>
  <si>
    <t>Oljeproduksjon i millioner fat</t>
  </si>
  <si>
    <t>Markedsverdi:</t>
  </si>
  <si>
    <t>SDØEs andel av produksjon</t>
  </si>
  <si>
    <t>Endring i markedsverdi SDØE:</t>
  </si>
  <si>
    <t>Sum (påløpt)</t>
  </si>
  <si>
    <t>Endring i påløpte skatter</t>
  </si>
  <si>
    <t>Endring i betalte skatter</t>
  </si>
  <si>
    <t>Endring i brutto påløpt produksjonsavgift</t>
  </si>
  <si>
    <t>Endring i brutto betalt produksjonsavgift</t>
  </si>
  <si>
    <t>Påløpt produksjonsavgift i referanseberegning</t>
  </si>
  <si>
    <t>Sum (betalt)</t>
  </si>
  <si>
    <t xml:space="preserve">Netto endring i betalte skatter og avgifter </t>
  </si>
  <si>
    <t>Endring i netto betalt produksjonsavgift</t>
  </si>
  <si>
    <t>Pst.vis endring i gasspris</t>
  </si>
  <si>
    <t>Netto endring i statens netto kontantstrøm. Mill. kr.</t>
  </si>
  <si>
    <t>Implisitt produksjonsavgiftssats</t>
  </si>
  <si>
    <t>Endring i samlet markedsverdi</t>
  </si>
  <si>
    <t>Markedsverdi Mill. kr</t>
  </si>
  <si>
    <t>Data SDØE - rapportert fra Olje- og energidepartementet</t>
  </si>
  <si>
    <t>Kontroll</t>
  </si>
  <si>
    <t>Disponering</t>
  </si>
  <si>
    <t>Kap. 2443</t>
  </si>
  <si>
    <t>Petoro AS</t>
  </si>
  <si>
    <t>Administrasjon</t>
  </si>
  <si>
    <t>Sum kap 2443</t>
  </si>
  <si>
    <t>Oljepris i USD (løpende priser)</t>
  </si>
  <si>
    <t>Vareinnsats petroleumssektor</t>
  </si>
  <si>
    <t>Fjerningskostnader</t>
  </si>
  <si>
    <t>Andre sektorstørrelser</t>
  </si>
  <si>
    <t>Påløpte driftsutgifter</t>
  </si>
  <si>
    <t>Påløpte fjerningsutgifter</t>
  </si>
  <si>
    <t>Samlede utgifter</t>
  </si>
  <si>
    <t>Sokkelens netto kontantstrøm</t>
  </si>
  <si>
    <t>Prisvekst</t>
  </si>
  <si>
    <t>Deflator</t>
  </si>
  <si>
    <t>Diskonteringsrente</t>
  </si>
  <si>
    <t>Løpende priser</t>
  </si>
  <si>
    <t>Netto innbetaling SDØE</t>
  </si>
  <si>
    <t>SNKS</t>
  </si>
  <si>
    <t xml:space="preserve">Statens netto kontantstrøm </t>
  </si>
  <si>
    <t>"Avkastningskrav" til formuen</t>
  </si>
  <si>
    <t>Samlet oljeproduksjon</t>
  </si>
  <si>
    <t>Samlet gassproduksjon</t>
  </si>
  <si>
    <t>Samlet NGL-produksjon</t>
  </si>
  <si>
    <t xml:space="preserve">ODs anslag </t>
  </si>
  <si>
    <t>ressurser</t>
  </si>
  <si>
    <t xml:space="preserve">Produksjon </t>
  </si>
  <si>
    <t>i beregnings-</t>
  </si>
  <si>
    <t>perioden</t>
  </si>
  <si>
    <t xml:space="preserve">Andel av </t>
  </si>
  <si>
    <t xml:space="preserve">ressursene </t>
  </si>
  <si>
    <t xml:space="preserve">som blir </t>
  </si>
  <si>
    <t>produsert</t>
  </si>
  <si>
    <t xml:space="preserve">Gjenværende </t>
  </si>
  <si>
    <t>Produksjon Mill. Sm3</t>
  </si>
  <si>
    <t>Produksjon Mill. SM3. o.e.</t>
  </si>
  <si>
    <t>Vekstrater</t>
  </si>
  <si>
    <t>2031-2050</t>
  </si>
  <si>
    <t>Oljeproduksjon mill. Sm3 oe</t>
  </si>
  <si>
    <t>Gassproduksjon mill. Sm3 oe</t>
  </si>
  <si>
    <t>NGL-produksjon mill. Sm3 oe</t>
  </si>
  <si>
    <t>Påløpte investeringsutgifter</t>
  </si>
  <si>
    <t>Startverdi 2031</t>
  </si>
  <si>
    <t>Avrunding</t>
  </si>
  <si>
    <t>Gasspris NOK/Sm3, løpende priser</t>
  </si>
  <si>
    <t>Oljepris NOK/Sm3 o.e. Løpende priser</t>
  </si>
  <si>
    <t>Gasspris NOK/Sm3 o.e.Løpende priser</t>
  </si>
  <si>
    <t>NGL-pris kr/Sm3 o.e.Løpende priser</t>
  </si>
  <si>
    <t>Gjennomsnittspris for olje og NGL. Løpende priser</t>
  </si>
  <si>
    <t>Priser, valutakurs, inflasjon og omregningsfaktorer</t>
  </si>
  <si>
    <t>Eksportverdi</t>
  </si>
  <si>
    <t>Samlet produksjon</t>
  </si>
  <si>
    <t>Prisindeks rørtransport</t>
  </si>
  <si>
    <t>Kilde: ODs årsberetning for historiske år og OEDs rapportering</t>
  </si>
  <si>
    <t>Netto innbetalinger SDØE, mill. kr</t>
  </si>
  <si>
    <t>Aksjeutbytte Statoil, mill. kr.</t>
  </si>
  <si>
    <t>Netto andre inntekter, mill. kr.</t>
  </si>
  <si>
    <t>Statens netto kontantstrøm, mill. kr</t>
  </si>
  <si>
    <t>(Ikke avrundede tall)</t>
  </si>
  <si>
    <t>Betalte skatter og avgifter, avrundet, mill. kr.</t>
  </si>
  <si>
    <t>SDØE-produksjon</t>
  </si>
  <si>
    <t>Oppsummering av inntektsanslag fra petroleumssektoren</t>
  </si>
  <si>
    <t>Endring i oljepris</t>
  </si>
  <si>
    <t>Eksport av gass (Sm3.o.e)</t>
  </si>
  <si>
    <t>Eksport av NGL (Sm3 o.e.)</t>
  </si>
  <si>
    <t>Endring i eksportverdi</t>
  </si>
  <si>
    <t>SUM</t>
  </si>
  <si>
    <t>Pst. vis endring i olje- og NGL pris</t>
  </si>
  <si>
    <t>PRISER</t>
  </si>
  <si>
    <t>PRODUKSJON SOKKEL</t>
  </si>
  <si>
    <t>Oljeprod. mill. fat /dag</t>
  </si>
  <si>
    <t>Olje-/NGL-prod. mill. f /d</t>
  </si>
  <si>
    <t>PRODUKSJON SDØE</t>
  </si>
  <si>
    <t>SDØEs prod.andel olje</t>
  </si>
  <si>
    <t>SDØEs prod.andel gass</t>
  </si>
  <si>
    <t>SDØEs prod.andel NGL</t>
  </si>
  <si>
    <t>SDØEs prod.andel totalt</t>
  </si>
  <si>
    <t>SDØEs inv.andel u. leting</t>
  </si>
  <si>
    <t>SDØEs inv.andel m. leting</t>
  </si>
  <si>
    <t>Utvinningssektoren</t>
  </si>
  <si>
    <t>Rørtransportsektoren</t>
  </si>
  <si>
    <t>Samlet eksportverdi</t>
  </si>
  <si>
    <t>Påløpte skatter, avgifter</t>
  </si>
  <si>
    <t>Betalte skatter, avgifter</t>
  </si>
  <si>
    <t>Netto inntekter SDØE</t>
  </si>
  <si>
    <t>Betalt utbytte Statoil</t>
  </si>
  <si>
    <t>Netto kontantstrøm</t>
  </si>
  <si>
    <t>SDØEs investeringer</t>
  </si>
  <si>
    <t>EKSPORT OG INNENLANDSKE LEVERANSER</t>
  </si>
  <si>
    <t>Eksport av råolje m Sm3 oe</t>
  </si>
  <si>
    <t>Eksport av naturgass m Sm3 oe</t>
  </si>
  <si>
    <t>Eksport av NGL m Sm3 oe</t>
  </si>
  <si>
    <t>Samlet eksport m Sm3 oe</t>
  </si>
  <si>
    <t>Innenlandske leveranser av råolje m Sm3 oe</t>
  </si>
  <si>
    <t>Innenlandske leveranser av naturgass m Sm3 oe</t>
  </si>
  <si>
    <t>Innenlandske leveranser av NGL m Sm3 oe</t>
  </si>
  <si>
    <t>Samlede innenlandske leveranser m Sm3 oe</t>
  </si>
  <si>
    <t>Sokkelinvesteringer (Kilde: OED)</t>
  </si>
  <si>
    <t>Investeringer</t>
  </si>
  <si>
    <t>- Avskrivninger</t>
  </si>
  <si>
    <t>=Kapitalinnskudd</t>
  </si>
  <si>
    <t>INVESTERINGER UTENOM LETING, mill. kroner</t>
  </si>
  <si>
    <t>Oljeproduksjon i fat pr. dag</t>
  </si>
  <si>
    <t>Omregningsfaktor Sm3 o.e.=&gt; fat</t>
  </si>
  <si>
    <t>Post 85</t>
  </si>
  <si>
    <t>Post 81</t>
  </si>
  <si>
    <t>Renter, salg av SDØE-andeler</t>
  </si>
  <si>
    <t>Post 25</t>
  </si>
  <si>
    <t>Pro &amp; contra oppgjør</t>
  </si>
  <si>
    <t>STATENS NETTO KONTANTSTRØM, mrd. kroner</t>
  </si>
  <si>
    <t xml:space="preserve">Til p.f.fond </t>
  </si>
  <si>
    <t>Påløpt</t>
  </si>
  <si>
    <t>Betalt</t>
  </si>
  <si>
    <t xml:space="preserve">Virkning ved en oljeprisendring sent i året. </t>
  </si>
  <si>
    <t>Råolje</t>
  </si>
  <si>
    <t>Netto endring påløpt virkning</t>
  </si>
  <si>
    <t>01</t>
  </si>
  <si>
    <t>Råoljeproduksjon i Sm3 oe</t>
  </si>
  <si>
    <t>Eksport av råolje (Sm3 o.e.)</t>
  </si>
  <si>
    <t xml:space="preserve"> </t>
  </si>
  <si>
    <t xml:space="preserve">Innenlandsk leveranse millioner Sm3 o.e. </t>
  </si>
  <si>
    <t xml:space="preserve">Eksport av rørtjenester, mill. kroner </t>
  </si>
  <si>
    <t>Volumvekst eksport pst.</t>
  </si>
  <si>
    <t>Omregningsfaktor tonn =&gt; sm3 for NGL</t>
  </si>
  <si>
    <t>Korreksjon for utenlandske rør og terminaler mill. kroner</t>
  </si>
  <si>
    <t>Eksport råolje og naturgass mill. kroner</t>
  </si>
  <si>
    <t>Gasspris innenlandske leveranser NOK/Sm3, løpende priser</t>
  </si>
  <si>
    <t>Gasspris innenlandske leveranser NOK/Sm3 o.e.Løpende priser</t>
  </si>
  <si>
    <t>Prisindeks olje og NGL</t>
  </si>
  <si>
    <t>Prisindeks gass</t>
  </si>
  <si>
    <t>Prisindekser</t>
  </si>
  <si>
    <t>Eksport mill. Sm3, volumvekst</t>
  </si>
  <si>
    <t>0</t>
  </si>
  <si>
    <t xml:space="preserve">Produksjon av naturgass </t>
  </si>
  <si>
    <t>Produksjonsverdi mill. kr. Volumvekst i pst.</t>
  </si>
  <si>
    <t>Innenlands leveranse olje, sm3</t>
  </si>
  <si>
    <t>Eksportpriser</t>
  </si>
  <si>
    <t>Produksjon. Prosentvis vekst:</t>
  </si>
  <si>
    <t>Produksjon av andre petroleumsprodukter</t>
  </si>
  <si>
    <t>Produksjon av leiearbeid og reparasjoner</t>
  </si>
  <si>
    <t>Produksjon av naturgass</t>
  </si>
  <si>
    <t>Produksjon av tjenester knyttet til olje og gass</t>
  </si>
  <si>
    <t>Produksjon av øvrige varer</t>
  </si>
  <si>
    <t>Produksjon av bensin</t>
  </si>
  <si>
    <t>Produksjon av fyringsolje</t>
  </si>
  <si>
    <t>Eksportvolum. Prosentvis vekst:</t>
  </si>
  <si>
    <t>Eksport av råolje</t>
  </si>
  <si>
    <t>A66</t>
  </si>
  <si>
    <t>Eksport av naturgass</t>
  </si>
  <si>
    <t>A67</t>
  </si>
  <si>
    <t>Eksport av rørtransporttjenester</t>
  </si>
  <si>
    <t>A69</t>
  </si>
  <si>
    <t>Hjemmevarelager. Absolutt endring:</t>
  </si>
  <si>
    <t>Hjemmevarelager, råolje</t>
  </si>
  <si>
    <t>DSH66</t>
  </si>
  <si>
    <t>Prisindekser. Prosentvis endring:</t>
  </si>
  <si>
    <t>Eksportprisindeks, råolje</t>
  </si>
  <si>
    <t>PA66</t>
  </si>
  <si>
    <t>Importprisindeks, råolje</t>
  </si>
  <si>
    <t>Hjemmeprisindeks, råolje</t>
  </si>
  <si>
    <t>BH66</t>
  </si>
  <si>
    <t>Eksportprisindeks, naturgass</t>
  </si>
  <si>
    <t>PA67</t>
  </si>
  <si>
    <t>Importprisindeks, naturgass</t>
  </si>
  <si>
    <t>PI67</t>
  </si>
  <si>
    <t>Hjemmeprisindeks, naturgass</t>
  </si>
  <si>
    <t>BH67</t>
  </si>
  <si>
    <t>PA68</t>
  </si>
  <si>
    <t>Importprisindeks, tjenester petroleumsvirksomheten</t>
  </si>
  <si>
    <t>PI68</t>
  </si>
  <si>
    <t>Hjemmeprisindeks, tjenester petroleumsvirksomheten</t>
  </si>
  <si>
    <t>BH68</t>
  </si>
  <si>
    <t>PA69</t>
  </si>
  <si>
    <t>Hjemmeprisindeks, rørtransporttjenester</t>
  </si>
  <si>
    <t>BH69</t>
  </si>
  <si>
    <t>Importprisindeks, andre petroleumsprodukter</t>
  </si>
  <si>
    <t>Tilgang og anvendelse. Nivå:</t>
  </si>
  <si>
    <t>Tilgang og anvendelse. Absolutt endring:</t>
  </si>
  <si>
    <t>Varebalanse råolje. Absolutt endring:</t>
  </si>
  <si>
    <t>Produksjon råolje</t>
  </si>
  <si>
    <t>Anvendelse råolje</t>
  </si>
  <si>
    <t>Import råolje</t>
  </si>
  <si>
    <t>Import-mål råolje</t>
  </si>
  <si>
    <t>Importvarelager råolje</t>
  </si>
  <si>
    <t>DSI66</t>
  </si>
  <si>
    <t>Annen produktinnsats</t>
  </si>
  <si>
    <t>M64</t>
  </si>
  <si>
    <t>..</t>
  </si>
  <si>
    <t>Produksjonsvekst pst.</t>
  </si>
  <si>
    <t>Markedsverdi pst. volumvekst</t>
  </si>
  <si>
    <t>Totalt</t>
  </si>
  <si>
    <t>Prisindeks olje</t>
  </si>
  <si>
    <t>Prisndeks NGL</t>
  </si>
  <si>
    <t>Gass (PA67)</t>
  </si>
  <si>
    <t>Produksjon av øvrige varer (X6439)</t>
  </si>
  <si>
    <t xml:space="preserve">EKSPORTVERDI, mrd. kroner </t>
  </si>
  <si>
    <t xml:space="preserve">NB! Husk at skiftberegninger må være slått av </t>
  </si>
  <si>
    <t>Råolje og NGL</t>
  </si>
  <si>
    <t>Volumvekst rørtransport OED</t>
  </si>
  <si>
    <t xml:space="preserve">Prisindeks </t>
  </si>
  <si>
    <t>Påløpte driftsutgifter (faste priser)</t>
  </si>
  <si>
    <t>Total produksjon</t>
  </si>
  <si>
    <t>på gjenværende</t>
  </si>
  <si>
    <t>Formlene oppdatert</t>
  </si>
  <si>
    <t xml:space="preserve">Formlene oppdatert: </t>
  </si>
  <si>
    <t>Hjemmeprisindeks, andre petroleumsprodukter</t>
  </si>
  <si>
    <t>Produksjon av dieseloljer</t>
  </si>
  <si>
    <t>Nox-avgift</t>
  </si>
  <si>
    <t>Prisindeks driftskostnader og investeringer</t>
  </si>
  <si>
    <t xml:space="preserve">Startår: </t>
  </si>
  <si>
    <t xml:space="preserve">Eksport av rørtransporttjenester </t>
  </si>
  <si>
    <t>Rørtransport</t>
  </si>
  <si>
    <t>Landvirksomhet</t>
  </si>
  <si>
    <t>Leting</t>
  </si>
  <si>
    <t>1. Investeringsanslag</t>
  </si>
  <si>
    <t>Blå skrift = formler</t>
  </si>
  <si>
    <t>FBU</t>
  </si>
  <si>
    <t>FUV</t>
  </si>
  <si>
    <t>Olje- og gassrørledninger</t>
  </si>
  <si>
    <t>Oljeboring</t>
  </si>
  <si>
    <t>Oljeleting</t>
  </si>
  <si>
    <t>Importandeler</t>
  </si>
  <si>
    <t>Norsk andel</t>
  </si>
  <si>
    <t>Bolig-, fritids- og driftsbygg mv.</t>
  </si>
  <si>
    <t>JK1068</t>
  </si>
  <si>
    <t>Fly, biler mv.</t>
  </si>
  <si>
    <t>JK4068</t>
  </si>
  <si>
    <t>Maskiner mv. ekskl.oljeplattformer</t>
  </si>
  <si>
    <t>JK5068</t>
  </si>
  <si>
    <t>Oljeutvinningsplatformer, borerigger og moduler</t>
  </si>
  <si>
    <t>JK7068</t>
  </si>
  <si>
    <t>Import</t>
  </si>
  <si>
    <t>Jk4066</t>
  </si>
  <si>
    <t>LAND</t>
  </si>
  <si>
    <t>RØR</t>
  </si>
  <si>
    <t>Norskandeler basert på RNB 04 tall</t>
  </si>
  <si>
    <t>Skip</t>
  </si>
  <si>
    <t>Annet</t>
  </si>
  <si>
    <t>Aggregert importandel (eks.leting)</t>
  </si>
  <si>
    <t>Aggregert norskandel (eks. leting)</t>
  </si>
  <si>
    <t>Sum eks. leting</t>
  </si>
  <si>
    <t>Sum inkl. leting</t>
  </si>
  <si>
    <t>Aggregert importandel (inkl.leting)</t>
  </si>
  <si>
    <t>Aggregert norskandel (inkl. leting)</t>
  </si>
  <si>
    <t>Totalt nominelt</t>
  </si>
  <si>
    <t>f.o.m. 2006 settes FBU+FUV til samme andeler som de hadde i 2005</t>
  </si>
  <si>
    <t>Samlede investeringer (faste kroner)</t>
  </si>
  <si>
    <t>Endring i impuls mot fastlands-Norge</t>
  </si>
  <si>
    <t>Korreksjoner for å få "riktig" impuls</t>
  </si>
  <si>
    <t>Impuls beregnet i MODAG. Mill. kroner</t>
  </si>
  <si>
    <t>Impuls beregnet ved OEDs importandeler</t>
  </si>
  <si>
    <t>Impuls beregnet i MODAG. Mrd. kroner (beregnes av ØA)</t>
  </si>
  <si>
    <t>Fremgangsmåte for å få riktig impuls:</t>
  </si>
  <si>
    <t>Korrigering av MODAG input (verkstedprodukster)</t>
  </si>
  <si>
    <t>Korrigering av MODAG input (direkte import)</t>
  </si>
  <si>
    <t>2) Verkstedprod. og div. import endres slik at ØAs tall blir like våre (legger til eller trekker fra avviket som fremkommer i linje 208 og 209 i DX-arket).</t>
  </si>
  <si>
    <t xml:space="preserve">Sum </t>
  </si>
  <si>
    <t>Impuls med FINs investeringsanslag</t>
  </si>
  <si>
    <t xml:space="preserve">3. Beregning av importandeler. </t>
  </si>
  <si>
    <t>1) Leser inn tall fra regnearket til ØA ("OLJEIMPULS") i rad 235</t>
  </si>
  <si>
    <t>Annet - feltutbygging, vedlikehold mv.  (Residualt bestemt)</t>
  </si>
  <si>
    <t>Totalt utvinning og rørtransport - NR-tall</t>
  </si>
  <si>
    <t>FBU - Felt besluttet utbygget</t>
  </si>
  <si>
    <t>FUV - Funn under vurdering</t>
  </si>
  <si>
    <t>Våre anslag multiplisert med importandel</t>
  </si>
  <si>
    <t xml:space="preserve">FINs investeringsanslag. Samlede investeringer. Mill. 2004-kroner </t>
  </si>
  <si>
    <t>Import. Mill. 2004-kroner</t>
  </si>
  <si>
    <t>Norsk andel av investeringene. Mill. 2004-kroner (impuls mot fastlandsøkonomien)</t>
  </si>
  <si>
    <t>Absolutt endring i impuls mot Fastlands-Norge. Mill. 2004-kroner</t>
  </si>
  <si>
    <t>NOx-avgift</t>
  </si>
  <si>
    <t>Totale avgifter</t>
  </si>
  <si>
    <t>Statens andel av sokkelens kontantstrøm</t>
  </si>
  <si>
    <t>Utgifter</t>
  </si>
  <si>
    <t>Deflatert anslag oljeboring</t>
  </si>
  <si>
    <t xml:space="preserve">Dollarkurs </t>
  </si>
  <si>
    <t xml:space="preserve">Produksjon av råolje </t>
  </si>
  <si>
    <t xml:space="preserve">Vareinnsats rørtransportsektor </t>
  </si>
  <si>
    <t>Vareinnsats utvinningssektor</t>
  </si>
  <si>
    <t>Inflasjonsforutsetning dr.kost og investeringer</t>
  </si>
  <si>
    <t>Fjerningsutg.</t>
  </si>
  <si>
    <t>NGL- og kondensatpris kr/pr Sm3 løpende priser</t>
  </si>
  <si>
    <t>Produksjon av NGL og kondensat</t>
  </si>
  <si>
    <t>Eksportprisindeks, andre petroleumsprodukter</t>
  </si>
  <si>
    <t>Olje(PA66)</t>
  </si>
  <si>
    <t>Øvrige varer (PA39) (NGL m.m.)</t>
  </si>
  <si>
    <t>Andre varer (NGL m.m.)</t>
  </si>
  <si>
    <t>Driftsforb. Kostnader</t>
  </si>
  <si>
    <t>Verkstedsprod. mv. (vare 46)</t>
  </si>
  <si>
    <t>Div.import (vare 06,07,08)</t>
  </si>
  <si>
    <t>Oljeplattformer (vare49)</t>
  </si>
  <si>
    <t>OEDs anslag.  (mill. kr., løpende priser)</t>
  </si>
  <si>
    <t>Totalt (Hvis vi overstyrer OEDs tall, markeres det med gult)</t>
  </si>
  <si>
    <t>Årlig endring i aksjeutbytte</t>
  </si>
  <si>
    <t>Årlig endring i nominell oljepris</t>
  </si>
  <si>
    <t>Husk å oppdatere startår i formuesberegningen</t>
  </si>
  <si>
    <t>Husk at skiftberegningen påvirker formuesanslagene</t>
  </si>
  <si>
    <t>Markedsverdi NGL/kondensat</t>
  </si>
  <si>
    <t>Olje-/NGL-prod. mill.f/d</t>
  </si>
  <si>
    <t>Påløpte skatter og avgifter, avrundet, mill. kr.</t>
  </si>
  <si>
    <t>Avrundingsfaktor</t>
  </si>
  <si>
    <t>Kontroll:</t>
  </si>
  <si>
    <t>24.01</t>
  </si>
  <si>
    <t>24.02</t>
  </si>
  <si>
    <t>24.03</t>
  </si>
  <si>
    <t>24.04</t>
  </si>
  <si>
    <t>24.05</t>
  </si>
  <si>
    <t>SUM 24</t>
  </si>
  <si>
    <t>Driftsresultat</t>
  </si>
  <si>
    <t>Produksjon NGL/kondensat</t>
  </si>
  <si>
    <t>Pris NGL/kondensat (Løpende)</t>
  </si>
  <si>
    <t>NGL-pris</t>
  </si>
  <si>
    <t>Petroleumsformuen (NV av sokkelens netto KS)</t>
  </si>
  <si>
    <t>SNKS, Løpende</t>
  </si>
  <si>
    <t>Oljeproduksjon, Mill. Sm3</t>
  </si>
  <si>
    <t>Gassproduksjon, Mill. Sm3</t>
  </si>
  <si>
    <r>
      <t xml:space="preserve">Kilde: OED </t>
    </r>
    <r>
      <rPr>
        <i/>
        <sz val="11"/>
        <color indexed="10"/>
        <rFont val="Calibri"/>
        <family val="2"/>
      </rPr>
      <t>(Hva korrigeres det for her?)</t>
    </r>
  </si>
  <si>
    <r>
      <t xml:space="preserve">Volumvekst rørtransport </t>
    </r>
    <r>
      <rPr>
        <b/>
        <sz val="11"/>
        <color indexed="10"/>
        <rFont val="Calibri"/>
        <family val="2"/>
      </rPr>
      <t>(hvor kommer disse tallene fra?)</t>
    </r>
  </si>
  <si>
    <r>
      <t xml:space="preserve">MODAG </t>
    </r>
    <r>
      <rPr>
        <b/>
        <sz val="11"/>
        <color indexed="10"/>
        <rFont val="Calibri"/>
        <family val="2"/>
      </rPr>
      <t>(TALLENE MÅ SJEKKES)</t>
    </r>
  </si>
  <si>
    <r>
      <t xml:space="preserve">Bensin. Mill. kroner (hentes fra dx-arket) </t>
    </r>
    <r>
      <rPr>
        <sz val="11"/>
        <color indexed="10"/>
        <rFont val="Calibri"/>
        <family val="2"/>
      </rPr>
      <t>tallene sjekkes (x4041 og x4042), satt inn 2008-tall fra Modag-basen, 10. august 09</t>
    </r>
  </si>
  <si>
    <r>
      <t xml:space="preserve">Fyringsolje. Mill. kroner (hentes fra dx-arket) </t>
    </r>
    <r>
      <rPr>
        <sz val="11"/>
        <color indexed="10"/>
        <rFont val="Calibri"/>
        <family val="2"/>
      </rPr>
      <t>Tallene sjekkes</t>
    </r>
  </si>
  <si>
    <r>
      <t xml:space="preserve">Kilde: OED </t>
    </r>
    <r>
      <rPr>
        <i/>
        <sz val="11"/>
        <color indexed="10"/>
        <rFont val="Calibri"/>
        <family val="2"/>
      </rPr>
      <t>(Disse tallene bør sjekkes)</t>
    </r>
  </si>
  <si>
    <r>
      <t xml:space="preserve">Innenlands leveranse olje </t>
    </r>
    <r>
      <rPr>
        <sz val="11"/>
        <color indexed="10"/>
        <rFont val="Calibri"/>
        <family val="2"/>
      </rPr>
      <t>(er dette fornuftig?)</t>
    </r>
  </si>
  <si>
    <r>
      <t xml:space="preserve">Eksportprisindeks, tjenester petroleumsvirksomheten </t>
    </r>
    <r>
      <rPr>
        <sz val="11"/>
        <color indexed="10"/>
        <rFont val="Calibri"/>
        <family val="2"/>
      </rPr>
      <t>(burde denne vært knyttet til deflatoren for inv og drift?)</t>
    </r>
  </si>
  <si>
    <r>
      <t xml:space="preserve">Eksportprisindeks, rørtransporttjenester </t>
    </r>
    <r>
      <rPr>
        <sz val="11"/>
        <color indexed="10"/>
        <rFont val="Calibri"/>
        <family val="2"/>
      </rPr>
      <t>(sjekkes)</t>
    </r>
  </si>
  <si>
    <r>
      <t xml:space="preserve">OPPSUMMERING TIL OED: </t>
    </r>
    <r>
      <rPr>
        <b/>
        <sz val="11"/>
        <color indexed="10"/>
        <rFont val="Calibri"/>
        <family val="2"/>
      </rPr>
      <t>Husk at eksporverdiene må oppdateres manuelt!</t>
    </r>
  </si>
  <si>
    <r>
      <t>Merknad:</t>
    </r>
    <r>
      <rPr>
        <sz val="11"/>
        <rFont val="Calibri"/>
        <family val="2"/>
      </rPr>
      <t xml:space="preserve"> t.o.m. 2010 er tallene framskrevet av Modag. Deretter legges OEDs tall til grunn</t>
    </r>
  </si>
  <si>
    <t>Påløpte driftsutgifter (faste)</t>
  </si>
  <si>
    <t>Totalproduksjon</t>
  </si>
  <si>
    <t>Faktor</t>
  </si>
  <si>
    <t>Investeringsutgifter, faste priser</t>
  </si>
  <si>
    <t>Påløpte investeringsutgifter (faste priser)</t>
  </si>
  <si>
    <t>PI66</t>
  </si>
  <si>
    <t>Vareinnsats (faste kroner)</t>
  </si>
  <si>
    <t>Sokkelens netto kontantstrøm i faste priser</t>
  </si>
  <si>
    <t>Faste priser</t>
  </si>
  <si>
    <t>Produktinnsats næring 66:</t>
  </si>
  <si>
    <t>Oljepris 2015-NOK pr. fat</t>
  </si>
  <si>
    <t>SNKS, faste priser i mrd. kroner</t>
  </si>
  <si>
    <t>jk6066</t>
  </si>
  <si>
    <t>FoU (vare 72)</t>
  </si>
  <si>
    <t>jk6068</t>
  </si>
  <si>
    <t>Påløpte fjerningsutgifter (tatt med i investeringene)</t>
  </si>
  <si>
    <t>Special petroleum tax (adjusted for repayments)</t>
  </si>
  <si>
    <t>FoU (vare 47)</t>
  </si>
  <si>
    <t>Shares</t>
  </si>
  <si>
    <t>PA31</t>
  </si>
  <si>
    <t>PI31</t>
  </si>
  <si>
    <t>BH31</t>
  </si>
  <si>
    <t>SJEKK OPP!!!!</t>
  </si>
  <si>
    <t>Prisindeks (2013 = 1)</t>
  </si>
  <si>
    <t>Markedsverdi mill. 2013-kr</t>
  </si>
  <si>
    <t>Eksport av rørtjenester. Mill. 2013-kroner</t>
  </si>
  <si>
    <t>Produksjonsverdi mill. kr (2013-priser)</t>
  </si>
  <si>
    <t>Eksport mill. 2013-priser (eksp.innt. I 2012 * eksp.vol.i år t)</t>
  </si>
  <si>
    <t>X6666</t>
  </si>
  <si>
    <t>X6667</t>
  </si>
  <si>
    <t>0,5801</t>
  </si>
  <si>
    <t>Inflasjonsforutsetning for USD (KPI-vekst i USA)</t>
  </si>
  <si>
    <t>Dividend/ SNKS previous year</t>
  </si>
  <si>
    <t xml:space="preserve">  Taxes</t>
  </si>
  <si>
    <t xml:space="preserve">  Avgifter</t>
  </si>
  <si>
    <t xml:space="preserve">  Net SDFI</t>
  </si>
  <si>
    <t xml:space="preserve">  Dividend</t>
  </si>
  <si>
    <t>Control: SNKS</t>
  </si>
  <si>
    <t>Andel gass</t>
  </si>
  <si>
    <t>Andel olje</t>
  </si>
  <si>
    <t>UTE av DX-arket</t>
  </si>
  <si>
    <t>DETTE MÅ OPPDATERES!!!!!!</t>
  </si>
  <si>
    <t>Control: Avvik</t>
  </si>
  <si>
    <t>FINNER IKKE</t>
  </si>
  <si>
    <t>Oppdatert tom 2013</t>
  </si>
  <si>
    <t>Oljepris i USD (Faste priser)</t>
  </si>
  <si>
    <t>X6682</t>
  </si>
  <si>
    <t/>
  </si>
  <si>
    <t>Tallgrunnlag fra siste KVARTS-kjøring</t>
  </si>
  <si>
    <t>Historiske KVARTS-tall koblet til FINs vekstrater</t>
  </si>
  <si>
    <t>Felt besluttet utbygd (FBU)</t>
  </si>
  <si>
    <t>Felt under vurdering (FUV)</t>
  </si>
  <si>
    <t>Rørtransport (RØR)</t>
  </si>
  <si>
    <t>Leting (Letekostnader)</t>
  </si>
  <si>
    <t xml:space="preserve">     Herav: Lisenskostnader (Lisensrelatert letekostnader)</t>
  </si>
  <si>
    <t>Anslag på oljeboring ("Brønner" i oversendelsen fra OED)</t>
  </si>
  <si>
    <t xml:space="preserve"> Vareinnsats Rapportering fra OED. Absolutt endring (MERK: Dette er ikke inne i KVARTS)</t>
  </si>
  <si>
    <t>Renter på mellomregnskapet</t>
  </si>
  <si>
    <t>Renter</t>
  </si>
  <si>
    <t>Renter av statens kapital (Renter fast kapital)</t>
  </si>
  <si>
    <t xml:space="preserve">X6631 </t>
  </si>
  <si>
    <t>Produksjon av andre petroleumsprodukter (X6631)</t>
  </si>
  <si>
    <t>Produksjon av råolje (X6666)</t>
  </si>
  <si>
    <t>Produksjon av naturgass (X6667)</t>
  </si>
  <si>
    <t>Produksjon av tjenester knyttet til olje og gass (X6682)</t>
  </si>
  <si>
    <t>Difference</t>
  </si>
  <si>
    <t xml:space="preserve">Navn på kjøring: </t>
  </si>
  <si>
    <t>Utvinning og rørtransport (FORMEL)</t>
  </si>
  <si>
    <t>Kontroll (skal være lik 0)</t>
  </si>
  <si>
    <t>Fordeling av petroleumsinvesteringene</t>
  </si>
  <si>
    <t>2. KVARTS</t>
  </si>
  <si>
    <t>Tjenester tilknyttet petroleumsutvinning, næring 68</t>
  </si>
  <si>
    <t>JK9068</t>
  </si>
  <si>
    <t>Tjenester (FORMEL)</t>
  </si>
  <si>
    <t>jk7466</t>
  </si>
  <si>
    <t xml:space="preserve">jk7666 </t>
  </si>
  <si>
    <t>jk7266</t>
  </si>
  <si>
    <t>jk5066</t>
  </si>
  <si>
    <t>jk4066</t>
  </si>
  <si>
    <t xml:space="preserve">jk2366 </t>
  </si>
  <si>
    <t xml:space="preserve">jk2266 </t>
  </si>
  <si>
    <t xml:space="preserve">jk2166 </t>
  </si>
  <si>
    <t>jk1066</t>
  </si>
  <si>
    <t>Utvinning og rørtransport (jks66) KVARTS</t>
  </si>
  <si>
    <t>Tjenester (jks68) KVARTS</t>
  </si>
  <si>
    <t>Indeks (Må oppdateres når nytt basisår introduseres i KVARTS)</t>
  </si>
  <si>
    <t xml:space="preserve">Petroleumsinvesteringer (OEDs def.) </t>
  </si>
  <si>
    <t>Avvik mellom NR og OEDs tall med NR-def.</t>
  </si>
  <si>
    <t>3) FORMLER SOM REGNER OM TIL NIVÅ I FASTE PRISER OG HENTER SISTE NR-TALL. HUSK Å OPPDATERE DEN GRØNNE TEKSTEN VED NYTT HISTORISK ÅR</t>
  </si>
  <si>
    <t>Totalt utvinning og rørtransport, ifølge FINs ogNRs def.</t>
  </si>
  <si>
    <t xml:space="preserve">Petroleumsinvesteringer FINs def. (som NRs def.) </t>
  </si>
  <si>
    <t xml:space="preserve">Volumsvekst ifølge OEDs tall og med FINs og NRs def. </t>
  </si>
  <si>
    <t>VOLUMVEKSTEN FIN LEGGER TIL GRUNN</t>
  </si>
  <si>
    <t>5) FINs INVESTERINGSANSLAG (NR-TALL OG MODELLGRUNNLAG KOBLET TIL FINs VOLUMVEKSTRATER)</t>
  </si>
  <si>
    <t>4) VI INNFØRER EN NY INNDELING DER OLJEBORING BLIR EN EGEN GRUPPE</t>
  </si>
  <si>
    <t>Oljeboring (MERK:Bruker vekstrater for oljeboring så langt OED gir anslag. Deretter settes veksten lik veksten i de samlede investeringene)</t>
  </si>
  <si>
    <t>FINs investerinsanslag i faste priser (NR-tall og modellgrunnlag koblet til FINs volumvekstrater)</t>
  </si>
  <si>
    <t>Investeringer i løpende priser</t>
  </si>
  <si>
    <t>OEDs tall med FINs og NRs definisjon</t>
  </si>
  <si>
    <t>Petroleumsinvsteringer med FINs og NRs tall</t>
  </si>
  <si>
    <t>Diff. (SKAL VÆRE SÅ NÆR 0 SOM MULIG)</t>
  </si>
  <si>
    <t>Merk: Husk å oppdatere formlene i tabellen under når historisk år i tabellen over blir oppdatert</t>
  </si>
  <si>
    <t>Endret veskten herfra slik at totale investeringer er like som OED og at SNKS blir "riktig".</t>
  </si>
  <si>
    <t>1) TA INN ANSLAGENE SOM OED SENDER OSS OG HENT TALL FRA NR DERSOM NYTT HISTORISK ÅR FORELIGGER</t>
  </si>
  <si>
    <t>Statens andel av kontantstrømmen</t>
  </si>
  <si>
    <t>Investeringsutgifter, faste</t>
  </si>
  <si>
    <t>Driftskostnader, Faste</t>
  </si>
  <si>
    <t xml:space="preserve">Driftskostnader (Faste) / Produksjon </t>
  </si>
  <si>
    <t>2) OPPDATER DEFLATOREN  OG LAG PRISINDEKS MED SAMME BASISÅR SOM NR, HVIS NYE TALL FORELIGGER</t>
  </si>
  <si>
    <t>Petroleumsinvesteringer (FAME-kode)</t>
  </si>
  <si>
    <t>6 ) SJEKKER AT INVESTERINGENE I LØPENDE PRISER FOR HELE PERIODEN SAMLET ER SOM SPILT INN AV OED. SLIK SIKRER VI AT SNKS BLIR RIKTIG</t>
  </si>
  <si>
    <t>Fjerningskostnader (Historiske tall er hentet fra tellingen)</t>
  </si>
  <si>
    <t>KVARTS</t>
  </si>
  <si>
    <t>Navn på kjøring:</t>
  </si>
  <si>
    <t>Prisindekser. Prosentvis endring</t>
  </si>
  <si>
    <t>Eksportprisindeks, råolje (PA66)</t>
  </si>
  <si>
    <t>$C$218</t>
  </si>
  <si>
    <t>Input i DX04</t>
  </si>
  <si>
    <t>Eksportprisindeks, LPG, råbensin mv. (PA31)</t>
  </si>
  <si>
    <t>Eksportprisindeks, rørtransporttjenester (PA69)</t>
  </si>
  <si>
    <t>Produktinnsats næring 66 og 68:</t>
  </si>
  <si>
    <t>Driftskostander (absolutt endring)</t>
  </si>
  <si>
    <t>IKKE I BRUK (HERFRA OG NED)</t>
  </si>
  <si>
    <t>$C$219</t>
  </si>
  <si>
    <t>Verdivekst OED (med FINs definisjon)</t>
  </si>
  <si>
    <t>Verdivekst FIN</t>
  </si>
  <si>
    <t>Forretningsm. tj.yting og leiearbeir (vare 82 +85)</t>
  </si>
  <si>
    <t xml:space="preserve">jk7166 </t>
  </si>
  <si>
    <t>Eksportprisindeks, naturgass (PA67)</t>
  </si>
  <si>
    <t>2036-2050</t>
  </si>
  <si>
    <t>skatt og avgift</t>
  </si>
  <si>
    <t>netto sdøe</t>
  </si>
  <si>
    <t>utbytte</t>
  </si>
  <si>
    <t>Prisvekst rørtransport</t>
  </si>
  <si>
    <t>Prisvekst (Utvinning og rørtransport utenom tjenester)</t>
  </si>
  <si>
    <t>Charts 1</t>
  </si>
  <si>
    <t>Total production, Mill. Sm3</t>
  </si>
  <si>
    <t>Forhold</t>
  </si>
  <si>
    <t>Investeringsutgifter (Faste) / Produksjon - UTEN INDEKSERING</t>
  </si>
  <si>
    <t>Investeringsutgifter (Faste) / Produksjon - MED INDEKSERING</t>
  </si>
  <si>
    <t xml:space="preserve">OEDs anslag på påløpte skatter og avgifter </t>
  </si>
  <si>
    <t>Ordinær inntektsskatt (Påløpt)</t>
  </si>
  <si>
    <t>Særskatt (Påløpt)</t>
  </si>
  <si>
    <t>FINs anslag på påløpte skatter og avgifter (Gul = Overprøving av OED)</t>
  </si>
  <si>
    <t>Income tax</t>
  </si>
  <si>
    <t>Special petroleum tax</t>
  </si>
  <si>
    <t>Totale skatter justert for refusjon</t>
  </si>
  <si>
    <t xml:space="preserve">Forhold </t>
  </si>
  <si>
    <t>Investments</t>
  </si>
  <si>
    <t>$C$114</t>
  </si>
  <si>
    <t>$C$112</t>
  </si>
  <si>
    <t>$C$123</t>
  </si>
  <si>
    <t>$C$125</t>
  </si>
  <si>
    <t>$C$108</t>
  </si>
  <si>
    <t>$C$110</t>
  </si>
  <si>
    <t>$C$106</t>
  </si>
  <si>
    <t>$C$109</t>
  </si>
  <si>
    <t>$C$107</t>
  </si>
  <si>
    <t>$C$113</t>
  </si>
  <si>
    <t>$C$111</t>
  </si>
  <si>
    <t>$C$126</t>
  </si>
  <si>
    <t>$C$124</t>
  </si>
  <si>
    <t>2040-2050</t>
  </si>
  <si>
    <t>Faktor som anvendes</t>
  </si>
  <si>
    <t>Samme faktor i NB20 og RNB20</t>
  </si>
  <si>
    <t>$C$220</t>
  </si>
  <si>
    <t>1997</t>
  </si>
  <si>
    <t>Annual</t>
  </si>
  <si>
    <t>A1:X1</t>
  </si>
  <si>
    <t>1996</t>
  </si>
  <si>
    <t>1998</t>
  </si>
  <si>
    <t>OEDs anslag i faste priser</t>
  </si>
  <si>
    <t>Anslag i faste priser med OEDs tall</t>
  </si>
  <si>
    <t>2020</t>
  </si>
  <si>
    <t>Grønn skrift = formler der formel endrer seg</t>
  </si>
  <si>
    <t>$D$23</t>
  </si>
  <si>
    <t>$D$47</t>
  </si>
  <si>
    <t>$C$115</t>
  </si>
  <si>
    <t>$C$116</t>
  </si>
  <si>
    <t>$C$119</t>
  </si>
  <si>
    <t>$C$127</t>
  </si>
  <si>
    <t>$C$128</t>
  </si>
  <si>
    <t>$C$131</t>
  </si>
  <si>
    <t>Svart skrift = Kvarts</t>
  </si>
  <si>
    <t>Lilla skrift = OED</t>
  </si>
  <si>
    <r>
      <t>Merknad 1.</t>
    </r>
    <r>
      <rPr>
        <sz val="10"/>
        <rFont val="Calibri"/>
        <family val="2"/>
      </rPr>
      <t xml:space="preserve"> I NR-definisjonen inngår driftsforberedende kostnader  i investeringsbegrepet.</t>
    </r>
  </si>
  <si>
    <r>
      <t>Merknad 2.</t>
    </r>
    <r>
      <rPr>
        <sz val="10"/>
        <rFont val="Calibri"/>
        <family val="2"/>
      </rPr>
      <t xml:space="preserve"> I NR-definisjonen inngår fjerningskostnader  i investeringsbegrepet.</t>
    </r>
  </si>
  <si>
    <r>
      <t>Merk:</t>
    </r>
    <r>
      <rPr>
        <sz val="10"/>
        <color indexed="10"/>
        <rFont val="Calibri"/>
        <family val="2"/>
      </rPr>
      <t xml:space="preserve"> fra og med 2031 fordeles investeringsartene med samme andeler som i 2030på samme måte som i 2030</t>
    </r>
  </si>
  <si>
    <t>Rød skrift = Eksogent (Herunder historiske tall lagt inn fra NR)</t>
  </si>
  <si>
    <t xml:space="preserve">Absolutt endring fra året før. </t>
  </si>
  <si>
    <t>Difference (Last round)</t>
  </si>
  <si>
    <t>MERK: Husk å justere slik at det brukes samme fastprisår mellom rundene</t>
  </si>
  <si>
    <t>Petroleum investments, current prices, OED definition</t>
  </si>
  <si>
    <t>Oljepris (Faste priser)</t>
  </si>
  <si>
    <t>Gasspris (Faste priser)</t>
  </si>
  <si>
    <t>Gasspris (Faste priser) (USD per MMBtu)</t>
  </si>
  <si>
    <t>2051-2090</t>
  </si>
  <si>
    <t>Refusjon mot underskudd særskatt</t>
  </si>
  <si>
    <t>Refusjon ubenyttet friinntekt</t>
  </si>
  <si>
    <t xml:space="preserve">Income tax </t>
  </si>
  <si>
    <t>Særskatt (Betalt)</t>
  </si>
  <si>
    <t>Comparison with previous utsending</t>
  </si>
  <si>
    <t>Produksjon av naturgass (40 MJ)</t>
  </si>
  <si>
    <t>Remark: If necessary you must adjust to the same price year with inflation forecast to the respective rounds</t>
  </si>
  <si>
    <t xml:space="preserve">Provenyvirkning </t>
  </si>
  <si>
    <t>Comparison with previous budget round</t>
  </si>
  <si>
    <t>Dividend - Old technical method</t>
  </si>
  <si>
    <t>Dividend - New technical method</t>
  </si>
  <si>
    <t>pr. 31.12.2022</t>
  </si>
  <si>
    <t>Gasspris (Løpende priser) (USD per MMBtu)</t>
  </si>
  <si>
    <t>$C$227</t>
  </si>
  <si>
    <t>$C$230</t>
  </si>
  <si>
    <t>$C$217</t>
  </si>
  <si>
    <t>2000</t>
  </si>
  <si>
    <t>2001</t>
  </si>
  <si>
    <t>2002</t>
  </si>
  <si>
    <t>2003</t>
  </si>
  <si>
    <t>2004</t>
  </si>
  <si>
    <t>2005</t>
  </si>
  <si>
    <t>2006</t>
  </si>
  <si>
    <t>Feltene markert med grått: Her ber vi Kvarts legge seg mot dette (For andre år legger vi Kvarts inn her)</t>
  </si>
  <si>
    <t>Average 2026-2050</t>
  </si>
  <si>
    <t>FORMUESBEREGNINGER, MRD. 2025-KRONER</t>
  </si>
  <si>
    <t>NGL-pris (Faste priser) ((NOK per Sm3)</t>
  </si>
  <si>
    <t>Kjøp av andelar</t>
  </si>
  <si>
    <t>Statens del av formuen (SNKS)</t>
  </si>
  <si>
    <t>Permanentinntekt av petroleumsformuen</t>
  </si>
  <si>
    <t>Permanentinntekt av statens del av formuen</t>
  </si>
  <si>
    <t>Tall tom. 2023 oppdatert 17.01.2025 med Norsk Petroleum</t>
  </si>
  <si>
    <t>A1:AA1</t>
  </si>
  <si>
    <t>2024</t>
  </si>
  <si>
    <t>A1:AC1</t>
  </si>
  <si>
    <t>RNB25</t>
  </si>
  <si>
    <t>rnb25a13</t>
  </si>
  <si>
    <t>rnb25a13'X6631</t>
  </si>
  <si>
    <t>rnb25a13'X6666</t>
  </si>
  <si>
    <t>rnb25a13'X6667</t>
  </si>
  <si>
    <t>rnb25a13'X6682</t>
  </si>
  <si>
    <t>rnb25a13'PA69</t>
  </si>
  <si>
    <t>rnb25a13'vh66+rnb25a13'vh68</t>
  </si>
  <si>
    <t>Hjelpeberegninger til Charts</t>
  </si>
  <si>
    <t>Påløpte driftsutgifter (faste priser) / Total produksjon</t>
  </si>
  <si>
    <t>Påløpte investeringsutgifter (faste priser) / Total produksjon</t>
  </si>
  <si>
    <t>NB26</t>
  </si>
  <si>
    <t>Oil price, fixed 2026-prices, USD/barrel</t>
  </si>
  <si>
    <t>Oil price, fixed 2026-prices, NOK/fat</t>
  </si>
  <si>
    <t>Gas price, Fixed 2026-prices, NOK/Sm3</t>
  </si>
  <si>
    <t>Gas price, Fixed 2026-prices, USD/Mmbtu</t>
  </si>
  <si>
    <t>nb26b11</t>
  </si>
  <si>
    <t>nb26b11'vjks66</t>
  </si>
  <si>
    <t>nb26b11'jks66</t>
  </si>
  <si>
    <t>nb26b11'jk1066</t>
  </si>
  <si>
    <t>nb26b11'jk2166</t>
  </si>
  <si>
    <t>nb26b11'jk2266</t>
  </si>
  <si>
    <t>nb26b11'jk2366</t>
  </si>
  <si>
    <t>nb26b11'jk4066</t>
  </si>
  <si>
    <t>nb26b11'jk5066</t>
  </si>
  <si>
    <t>nb26b11'jk7266</t>
  </si>
  <si>
    <t>nb26b11'jk7166</t>
  </si>
  <si>
    <t>nb26b11'jk7666</t>
  </si>
  <si>
    <t>nb26b11'jk7466</t>
  </si>
  <si>
    <t>nb26b11'jk6066</t>
  </si>
  <si>
    <t>nb26b11'jk1068</t>
  </si>
  <si>
    <t>nb26b11'jk4068</t>
  </si>
  <si>
    <t>nb26b11'jk5068</t>
  </si>
  <si>
    <t>nb26b11'jk7068</t>
  </si>
  <si>
    <t>nb26b11'jk9068</t>
  </si>
  <si>
    <t>nb26b11'jk6068</t>
  </si>
  <si>
    <t>nb26b11'jks68</t>
  </si>
  <si>
    <t>RNB25e</t>
  </si>
  <si>
    <t>NB26b</t>
  </si>
  <si>
    <t>År</t>
  </si>
  <si>
    <t>Historisk produksjon</t>
  </si>
  <si>
    <t>Basis</t>
  </si>
  <si>
    <t>Høy</t>
  </si>
  <si>
    <t>Lav</t>
  </si>
  <si>
    <t>Prod Råolje</t>
  </si>
  <si>
    <t>Prod Naturgass</t>
  </si>
  <si>
    <t>Prod. NGL og kondensat</t>
  </si>
  <si>
    <t>Høy (SB26)</t>
  </si>
  <si>
    <t>Lav (SB26)</t>
  </si>
  <si>
    <t>Pris</t>
  </si>
  <si>
    <t>Standardavvik</t>
  </si>
  <si>
    <t>SD26</t>
  </si>
  <si>
    <t>Basis (NB26)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</si>
</sst>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6" formatCode="&quot;kr&quot;\ #,##0;[Red]&quot;kr&quot;\ \-#,##0"/>
    <numFmt numFmtId="43" formatCode="_ * #,##0.00_ ;_ * \-#,##0.00_ ;_ * &quot;-&quot;??_ ;_ @_ "/>
    <numFmt numFmtId="164" formatCode="_(* #,##0.00_);_(* \(#,##0.00\);_(* &quot;-&quot;??_);_(@_)"/>
    <numFmt numFmtId="165" formatCode="0.00000"/>
    <numFmt numFmtId="166" formatCode="0.0000"/>
    <numFmt numFmtId="167" formatCode="0.000"/>
    <numFmt numFmtId="168" formatCode="0.0"/>
    <numFmt numFmtId="169" formatCode="0.00000000"/>
    <numFmt numFmtId="170" formatCode="0.0\ %"/>
    <numFmt numFmtId="171" formatCode="\(0.00\);\(\-0.00\)"/>
    <numFmt numFmtId="172" formatCode="0.0_ ;[Red]\-0.0\ "/>
    <numFmt numFmtId="173" formatCode="#,##0.0"/>
    <numFmt numFmtId="174" formatCode="#,##0.000"/>
    <numFmt numFmtId="175" formatCode="_ * #,##0_ ;_ * \-#,##0_ ;_ * &quot;-&quot;??_ ;_ @_ "/>
    <numFmt numFmtId="176" formatCode="General_)"/>
    <numFmt numFmtId="177" formatCode="0_)"/>
    <numFmt numFmtId="178" formatCode="0.0_)"/>
    <numFmt numFmtId="179" formatCode="0.000_)"/>
    <numFmt numFmtId="180" formatCode="#,##0.00000000"/>
    <numFmt numFmtId="181" formatCode="0.00_)"/>
    <numFmt numFmtId="182" formatCode="_ * #,##0.0_ ;_ * \-#,##0.0_ ;_ * &quot;-&quot;??_ ;_ @_ "/>
    <numFmt numFmtId="183" formatCode="#,##0_ ;[Red]\-#,##0\ "/>
    <numFmt numFmtId="184" formatCode="#,##0.0000"/>
    <numFmt numFmtId="185" formatCode="[$-414]mmm\.\ yy;@"/>
    <numFmt numFmtId="186" formatCode="###,###"/>
    <numFmt numFmtId="187" formatCode="###,###.0"/>
    <numFmt numFmtId="188" formatCode="###,###.00"/>
    <numFmt numFmtId="189" formatCode="_ * #,##0.0000_ ;_ * \-#,##0.0000_ ;_ * &quot;-&quot;??_ ;_ @_ "/>
    <numFmt numFmtId="190" formatCode="0.0%"/>
    <numFmt numFmtId="191" formatCode="0.0;;"/>
    <numFmt numFmtId="192" formatCode="0.00\ ;\-0.00\ ;&quot;- &quot;"/>
    <numFmt numFmtId="193" formatCode="0.00\ "/>
    <numFmt numFmtId="194" formatCode="yyyy"/>
    <numFmt numFmtId="195" formatCode="#,##0.0_ ;[Red]\-#,##0.0\ "/>
    <numFmt numFmtId="196" formatCode="0.0000000"/>
  </numFmts>
  <fonts count="2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 MT"/>
    </font>
    <font>
      <b/>
      <i/>
      <sz val="10"/>
      <name val="Arial"/>
      <family val="2"/>
    </font>
    <font>
      <b/>
      <sz val="10"/>
      <color indexed="12"/>
      <name val="Arial MT"/>
    </font>
    <font>
      <sz val="10"/>
      <color indexed="10"/>
      <name val="Arial MT"/>
    </font>
    <font>
      <sz val="10"/>
      <name val="Arial MT"/>
    </font>
    <font>
      <b/>
      <sz val="10"/>
      <name val="Arial MT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12"/>
      <name val="Helvetica-Narrow"/>
      <family val="2"/>
    </font>
    <font>
      <sz val="10"/>
      <name val="MS Sans Serif"/>
      <family val="2"/>
    </font>
    <font>
      <sz val="11"/>
      <name val="Palatino (PCL6)"/>
    </font>
    <font>
      <sz val="10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</font>
    <font>
      <b/>
      <sz val="11"/>
      <color indexed="12"/>
      <name val="Calibri"/>
      <family val="2"/>
    </font>
    <font>
      <b/>
      <sz val="11"/>
      <color indexed="10"/>
      <name val="Calibri"/>
      <family val="2"/>
    </font>
    <font>
      <sz val="11"/>
      <color indexed="56"/>
      <name val="Calibri"/>
      <family val="2"/>
    </font>
    <font>
      <i/>
      <sz val="11"/>
      <name val="Calibri"/>
      <family val="2"/>
    </font>
    <font>
      <i/>
      <sz val="11"/>
      <color indexed="10"/>
      <name val="Calibri"/>
      <family val="2"/>
    </font>
    <font>
      <b/>
      <u/>
      <sz val="11"/>
      <color indexed="8"/>
      <name val="Calibri"/>
      <family val="2"/>
    </font>
    <font>
      <b/>
      <sz val="11"/>
      <color indexed="48"/>
      <name val="Calibri"/>
      <family val="2"/>
    </font>
    <font>
      <b/>
      <i/>
      <sz val="11"/>
      <name val="Calibri"/>
      <family val="2"/>
    </font>
    <font>
      <b/>
      <i/>
      <sz val="11"/>
      <color indexed="12"/>
      <name val="Calibri"/>
      <family val="2"/>
    </font>
    <font>
      <b/>
      <sz val="11"/>
      <color indexed="17"/>
      <name val="Calibri"/>
      <family val="2"/>
    </font>
    <font>
      <sz val="9"/>
      <color indexed="8"/>
      <name val="Verdan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sz val="11"/>
      <color indexed="30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7"/>
      <name val="Arial"/>
      <family val="2"/>
    </font>
    <font>
      <sz val="10"/>
      <color indexed="17"/>
      <name val="Arial"/>
      <family val="2"/>
    </font>
    <font>
      <sz val="8"/>
      <color indexed="8"/>
      <name val="Arial"/>
      <family val="2"/>
    </font>
    <font>
      <sz val="6"/>
      <name val="Arial"/>
      <family val="2"/>
    </font>
    <font>
      <sz val="7"/>
      <color indexed="8"/>
      <name val="Arial"/>
      <family val="2"/>
    </font>
    <font>
      <b/>
      <sz val="7"/>
      <color indexed="9"/>
      <name val="Arial"/>
      <family val="2"/>
    </font>
    <font>
      <sz val="6.5"/>
      <name val="Arial"/>
      <family val="2"/>
    </font>
    <font>
      <b/>
      <sz val="8.5"/>
      <color indexed="50"/>
      <name val="Arial"/>
      <family val="2"/>
    </font>
    <font>
      <b/>
      <sz val="7"/>
      <name val="Arial"/>
      <family val="2"/>
    </font>
    <font>
      <sz val="14"/>
      <color indexed="50"/>
      <name val="Arial"/>
      <family val="2"/>
    </font>
    <font>
      <u/>
      <sz val="8"/>
      <color indexed="12"/>
      <name val="Arial"/>
      <family val="2"/>
    </font>
    <font>
      <sz val="9.75"/>
      <name val="Arial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indexed="1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rgb="FF0000FF"/>
      <name val="Calibri"/>
      <family val="2"/>
    </font>
    <font>
      <sz val="10"/>
      <name val="Arial"/>
      <family val="2"/>
    </font>
    <font>
      <sz val="11"/>
      <color indexed="10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indexed="32"/>
      <name val="Arial"/>
      <family val="2"/>
    </font>
    <font>
      <b/>
      <sz val="8"/>
      <color indexed="18"/>
      <name val="Arial"/>
      <family val="2"/>
    </font>
    <font>
      <b/>
      <sz val="9"/>
      <color indexed="13"/>
      <name val="Arial"/>
      <family val="2"/>
    </font>
    <font>
      <sz val="8"/>
      <color indexed="18"/>
      <name val="Arial"/>
      <family val="2"/>
    </font>
    <font>
      <b/>
      <sz val="12"/>
      <color indexed="9"/>
      <name val="Arial"/>
      <family val="2"/>
    </font>
    <font>
      <sz val="8"/>
      <color indexed="9"/>
      <name val="Arial"/>
      <family val="2"/>
    </font>
    <font>
      <sz val="8"/>
      <color indexed="32"/>
      <name val="Arial"/>
      <family val="2"/>
    </font>
    <font>
      <b/>
      <sz val="10"/>
      <color indexed="9"/>
      <name val="Arial"/>
      <family val="2"/>
    </font>
    <font>
      <b/>
      <sz val="10"/>
      <color indexed="19"/>
      <name val="Arial"/>
      <family val="2"/>
    </font>
    <font>
      <b/>
      <sz val="10"/>
      <color indexed="18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FF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1"/>
      <color indexed="19"/>
      <name val="Calibri"/>
      <family val="2"/>
    </font>
    <font>
      <b/>
      <sz val="11"/>
      <color rgb="FF0000FF"/>
      <name val="Calibri"/>
      <family val="2"/>
    </font>
    <font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0" tint="-0.3499862666707357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56"/>
      <name val="Calibri"/>
      <family val="2"/>
    </font>
    <font>
      <b/>
      <u/>
      <sz val="11"/>
      <color theme="1"/>
      <name val="Calibri"/>
      <family val="2"/>
    </font>
    <font>
      <b/>
      <sz val="14"/>
      <name val="Arial"/>
      <family val="2"/>
    </font>
    <font>
      <b/>
      <u/>
      <sz val="10"/>
      <name val="Calibri"/>
      <family val="2"/>
    </font>
    <font>
      <b/>
      <i/>
      <u/>
      <sz val="10"/>
      <name val="Calibri"/>
      <family val="2"/>
    </font>
    <font>
      <sz val="10"/>
      <color rgb="FFFF66FF"/>
      <name val="Calibri"/>
      <family val="2"/>
    </font>
    <font>
      <sz val="10"/>
      <color rgb="FFFF0000"/>
      <name val="Calibri"/>
      <family val="2"/>
    </font>
    <font>
      <sz val="10"/>
      <color indexed="12"/>
      <name val="Calibri"/>
      <family val="2"/>
    </font>
    <font>
      <sz val="10"/>
      <color rgb="FF00B050"/>
      <name val="Calibri"/>
      <family val="2"/>
    </font>
    <font>
      <u/>
      <sz val="10"/>
      <name val="Calibri"/>
      <family val="2"/>
    </font>
    <font>
      <sz val="10"/>
      <color rgb="FFFF66FF"/>
      <name val="Calibri"/>
      <family val="2"/>
      <scheme val="minor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b/>
      <sz val="10"/>
      <color indexed="12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0" tint="-0.34998626667073579"/>
      <name val="Calibri"/>
      <family val="2"/>
    </font>
    <font>
      <sz val="10"/>
      <color indexed="13"/>
      <name val="Calibri"/>
      <family val="2"/>
    </font>
    <font>
      <b/>
      <sz val="10"/>
      <color indexed="13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b/>
      <i/>
      <sz val="10"/>
      <name val="Calibri"/>
      <family val="2"/>
    </font>
    <font>
      <sz val="10"/>
      <color theme="0" tint="-0.499984740745262"/>
      <name val="Calibri"/>
      <family val="2"/>
    </font>
    <font>
      <b/>
      <sz val="10"/>
      <color rgb="FFFF0000"/>
      <name val="Calibri"/>
      <family val="2"/>
    </font>
    <font>
      <b/>
      <sz val="10"/>
      <color indexed="61"/>
      <name val="Calibri"/>
      <family val="2"/>
    </font>
    <font>
      <b/>
      <sz val="10"/>
      <color indexed="8"/>
      <name val="Calibri"/>
      <family val="2"/>
    </font>
    <font>
      <sz val="10"/>
      <color indexed="9"/>
      <name val="Calibri"/>
      <family val="2"/>
    </font>
    <font>
      <i/>
      <sz val="10"/>
      <name val="Calibri"/>
      <family val="2"/>
    </font>
    <font>
      <sz val="11"/>
      <name val="Calibri"/>
      <family val="2"/>
      <scheme val="minor"/>
    </font>
    <font>
      <sz val="10"/>
      <color rgb="FF00B050"/>
      <name val="Arial"/>
      <family val="2"/>
    </font>
    <font>
      <b/>
      <sz val="10"/>
      <color rgb="FFFF0000"/>
      <name val="Arial MT"/>
    </font>
    <font>
      <sz val="10"/>
      <color rgb="FF000000"/>
      <name val="Calibri"/>
      <family val="2"/>
    </font>
    <font>
      <sz val="11"/>
      <color rgb="FF00B050"/>
      <name val="Calibri"/>
      <family val="2"/>
    </font>
    <font>
      <sz val="8"/>
      <name val="Calibri"/>
      <family val="2"/>
    </font>
    <font>
      <sz val="11"/>
      <color rgb="FFFF66FF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8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CCC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CC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92D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rgb="FF92D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715">
    <xf numFmtId="185" fontId="0" fillId="0" borderId="0"/>
    <xf numFmtId="185" fontId="42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53" fillId="0" borderId="0"/>
    <xf numFmtId="185" fontId="39" fillId="0" borderId="0"/>
    <xf numFmtId="185" fontId="153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49" fontId="143" fillId="2" borderId="0" applyFill="0" applyBorder="0">
      <alignment horizontal="left"/>
    </xf>
    <xf numFmtId="185" fontId="54" fillId="0" borderId="1" applyNumberFormat="0" applyFont="0" applyAlignment="0">
      <alignment vertical="center"/>
    </xf>
    <xf numFmtId="185" fontId="142" fillId="0" borderId="0" applyFill="0" applyBorder="0">
      <alignment vertical="center"/>
    </xf>
    <xf numFmtId="191" fontId="140" fillId="0" borderId="0" applyFill="0" applyBorder="0">
      <alignment horizontal="right" vertical="center"/>
    </xf>
    <xf numFmtId="191" fontId="54" fillId="0" borderId="0" applyFill="0" applyBorder="0">
      <alignment horizontal="right" vertical="center"/>
    </xf>
    <xf numFmtId="190" fontId="54" fillId="0" borderId="0" applyFill="0" applyBorder="0">
      <alignment horizontal="right" vertical="center"/>
    </xf>
    <xf numFmtId="185" fontId="140" fillId="0" borderId="1" applyFill="0" applyBorder="0">
      <alignment vertical="center"/>
    </xf>
    <xf numFmtId="185" fontId="34" fillId="38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188" fillId="43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188" fillId="66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4" fillId="65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4" fillId="64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188" fillId="63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61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187" fillId="9" borderId="0" applyNumberFormat="0" applyBorder="0" applyAlignment="0" applyProtection="0"/>
    <xf numFmtId="185" fontId="38" fillId="3" borderId="0" applyNumberFormat="0" applyBorder="0" applyAlignment="0" applyProtection="0"/>
    <xf numFmtId="185" fontId="187" fillId="9" borderId="0" applyNumberFormat="0" applyBorder="0" applyAlignment="0" applyProtection="0"/>
    <xf numFmtId="185" fontId="187" fillId="9" borderId="0" applyNumberFormat="0" applyBorder="0" applyAlignment="0" applyProtection="0"/>
    <xf numFmtId="185" fontId="187" fillId="9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187" fillId="9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1" fillId="67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61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187" fillId="10" borderId="0" applyNumberFormat="0" applyBorder="0" applyAlignment="0" applyProtection="0"/>
    <xf numFmtId="185" fontId="38" fillId="4" borderId="0" applyNumberFormat="0" applyBorder="0" applyAlignment="0" applyProtection="0"/>
    <xf numFmtId="185" fontId="187" fillId="10" borderId="0" applyNumberFormat="0" applyBorder="0" applyAlignment="0" applyProtection="0"/>
    <xf numFmtId="185" fontId="187" fillId="10" borderId="0" applyNumberFormat="0" applyBorder="0" applyAlignment="0" applyProtection="0"/>
    <xf numFmtId="185" fontId="187" fillId="10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187" fillId="10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1" fillId="38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61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187" fillId="11" borderId="0" applyNumberFormat="0" applyBorder="0" applyAlignment="0" applyProtection="0"/>
    <xf numFmtId="185" fontId="38" fillId="5" borderId="0" applyNumberFormat="0" applyBorder="0" applyAlignment="0" applyProtection="0"/>
    <xf numFmtId="185" fontId="187" fillId="11" borderId="0" applyNumberFormat="0" applyBorder="0" applyAlignment="0" applyProtection="0"/>
    <xf numFmtId="185" fontId="187" fillId="11" borderId="0" applyNumberFormat="0" applyBorder="0" applyAlignment="0" applyProtection="0"/>
    <xf numFmtId="185" fontId="187" fillId="11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187" fillId="11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61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187" fillId="8" borderId="0" applyNumberFormat="0" applyBorder="0" applyAlignment="0" applyProtection="0"/>
    <xf numFmtId="185" fontId="38" fillId="6" borderId="0" applyNumberFormat="0" applyBorder="0" applyAlignment="0" applyProtection="0"/>
    <xf numFmtId="185" fontId="187" fillId="8" borderId="0" applyNumberFormat="0" applyBorder="0" applyAlignment="0" applyProtection="0"/>
    <xf numFmtId="185" fontId="187" fillId="8" borderId="0" applyNumberFormat="0" applyBorder="0" applyAlignment="0" applyProtection="0"/>
    <xf numFmtId="185" fontId="187" fillId="8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187" fillId="8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1" fillId="0" borderId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61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187" fillId="38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1" fillId="65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61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187" fillId="11" borderId="0" applyNumberFormat="0" applyBorder="0" applyAlignment="0" applyProtection="0"/>
    <xf numFmtId="185" fontId="38" fillId="8" borderId="0" applyNumberFormat="0" applyBorder="0" applyAlignment="0" applyProtection="0"/>
    <xf numFmtId="185" fontId="187" fillId="11" borderId="0" applyNumberFormat="0" applyBorder="0" applyAlignment="0" applyProtection="0"/>
    <xf numFmtId="185" fontId="187" fillId="11" borderId="0" applyNumberFormat="0" applyBorder="0" applyAlignment="0" applyProtection="0"/>
    <xf numFmtId="185" fontId="187" fillId="11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187" fillId="11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188" fillId="62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4" fillId="61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4" fillId="60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188" fillId="59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188" fillId="58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4" fillId="39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1" fillId="64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61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187" fillId="7" borderId="0" applyNumberFormat="0" applyBorder="0" applyAlignment="0" applyProtection="0"/>
    <xf numFmtId="185" fontId="38" fillId="9" borderId="0" applyNumberFormat="0" applyBorder="0" applyAlignment="0" applyProtection="0"/>
    <xf numFmtId="185" fontId="187" fillId="7" borderId="0" applyNumberFormat="0" applyBorder="0" applyAlignment="0" applyProtection="0"/>
    <xf numFmtId="185" fontId="187" fillId="7" borderId="0" applyNumberFormat="0" applyBorder="0" applyAlignment="0" applyProtection="0"/>
    <xf numFmtId="185" fontId="187" fillId="7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187" fillId="7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1" fillId="0" borderId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61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187" fillId="39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1" fillId="0" borderId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61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187" fillId="14" borderId="0" applyNumberFormat="0" applyBorder="0" applyAlignment="0" applyProtection="0"/>
    <xf numFmtId="185" fontId="38" fillId="12" borderId="0" applyNumberFormat="0" applyBorder="0" applyAlignment="0" applyProtection="0"/>
    <xf numFmtId="185" fontId="187" fillId="14" borderId="0" applyNumberFormat="0" applyBorder="0" applyAlignment="0" applyProtection="0"/>
    <xf numFmtId="185" fontId="187" fillId="14" borderId="0" applyNumberFormat="0" applyBorder="0" applyAlignment="0" applyProtection="0"/>
    <xf numFmtId="185" fontId="187" fillId="14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187" fillId="14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1" fillId="61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61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187" fillId="4" borderId="0" applyNumberFormat="0" applyBorder="0" applyAlignment="0" applyProtection="0"/>
    <xf numFmtId="185" fontId="38" fillId="6" borderId="0" applyNumberFormat="0" applyBorder="0" applyAlignment="0" applyProtection="0"/>
    <xf numFmtId="185" fontId="187" fillId="4" borderId="0" applyNumberFormat="0" applyBorder="0" applyAlignment="0" applyProtection="0"/>
    <xf numFmtId="185" fontId="187" fillId="4" borderId="0" applyNumberFormat="0" applyBorder="0" applyAlignment="0" applyProtection="0"/>
    <xf numFmtId="185" fontId="187" fillId="4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187" fillId="4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1" fillId="60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61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187" fillId="7" borderId="0" applyNumberFormat="0" applyBorder="0" applyAlignment="0" applyProtection="0"/>
    <xf numFmtId="185" fontId="38" fillId="9" borderId="0" applyNumberFormat="0" applyBorder="0" applyAlignment="0" applyProtection="0"/>
    <xf numFmtId="185" fontId="187" fillId="7" borderId="0" applyNumberFormat="0" applyBorder="0" applyAlignment="0" applyProtection="0"/>
    <xf numFmtId="185" fontId="187" fillId="7" borderId="0" applyNumberFormat="0" applyBorder="0" applyAlignment="0" applyProtection="0"/>
    <xf numFmtId="185" fontId="187" fillId="7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187" fillId="7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1" fillId="0" borderId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61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187" fillId="11" borderId="0" applyNumberFormat="0" applyBorder="0" applyAlignment="0" applyProtection="0"/>
    <xf numFmtId="185" fontId="38" fillId="13" borderId="0" applyNumberFormat="0" applyBorder="0" applyAlignment="0" applyProtection="0"/>
    <xf numFmtId="185" fontId="187" fillId="11" borderId="0" applyNumberFormat="0" applyBorder="0" applyAlignment="0" applyProtection="0"/>
    <xf numFmtId="185" fontId="187" fillId="11" borderId="0" applyNumberFormat="0" applyBorder="0" applyAlignment="0" applyProtection="0"/>
    <xf numFmtId="185" fontId="187" fillId="11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187" fillId="11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4" fillId="57" borderId="0" applyNumberFormat="0" applyBorder="0" applyAlignment="0" applyProtection="0"/>
    <xf numFmtId="185" fontId="188" fillId="56" borderId="0" applyNumberFormat="0" applyBorder="0" applyAlignment="0" applyProtection="0"/>
    <xf numFmtId="185" fontId="188" fillId="55" borderId="0" applyNumberFormat="0" applyBorder="0" applyAlignment="0" applyProtection="0"/>
    <xf numFmtId="185" fontId="34" fillId="54" borderId="0" applyNumberFormat="0" applyBorder="0" applyAlignment="0" applyProtection="0"/>
    <xf numFmtId="185" fontId="34" fillId="53" borderId="0" applyNumberFormat="0" applyBorder="0" applyAlignment="0" applyProtection="0"/>
    <xf numFmtId="185" fontId="188" fillId="52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188" fillId="7" borderId="0" applyNumberFormat="0" applyBorder="0" applyAlignment="0" applyProtection="0"/>
    <xf numFmtId="185" fontId="62" fillId="15" borderId="0" applyNumberFormat="0" applyBorder="0" applyAlignment="0" applyProtection="0"/>
    <xf numFmtId="185" fontId="188" fillId="7" borderId="0" applyNumberFormat="0" applyBorder="0" applyAlignment="0" applyProtection="0"/>
    <xf numFmtId="185" fontId="31" fillId="3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188" fillId="19" borderId="0" applyNumberFormat="0" applyBorder="0" applyAlignment="0" applyProtection="0"/>
    <xf numFmtId="185" fontId="62" fillId="10" borderId="0" applyNumberFormat="0" applyBorder="0" applyAlignment="0" applyProtection="0"/>
    <xf numFmtId="185" fontId="188" fillId="19" borderId="0" applyNumberFormat="0" applyBorder="0" applyAlignment="0" applyProtection="0"/>
    <xf numFmtId="185" fontId="31" fillId="57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188" fillId="13" borderId="0" applyNumberFormat="0" applyBorder="0" applyAlignment="0" applyProtection="0"/>
    <xf numFmtId="185" fontId="62" fillId="12" borderId="0" applyNumberFormat="0" applyBorder="0" applyAlignment="0" applyProtection="0"/>
    <xf numFmtId="185" fontId="188" fillId="13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188" fillId="4" borderId="0" applyNumberFormat="0" applyBorder="0" applyAlignment="0" applyProtection="0"/>
    <xf numFmtId="185" fontId="62" fillId="16" borderId="0" applyNumberFormat="0" applyBorder="0" applyAlignment="0" applyProtection="0"/>
    <xf numFmtId="185" fontId="188" fillId="4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188" fillId="7" borderId="0" applyNumberFormat="0" applyBorder="0" applyAlignment="0" applyProtection="0"/>
    <xf numFmtId="185" fontId="62" fillId="17" borderId="0" applyNumberFormat="0" applyBorder="0" applyAlignment="0" applyProtection="0"/>
    <xf numFmtId="185" fontId="188" fillId="7" borderId="0" applyNumberFormat="0" applyBorder="0" applyAlignment="0" applyProtection="0"/>
    <xf numFmtId="185" fontId="31" fillId="54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188" fillId="10" borderId="0" applyNumberFormat="0" applyBorder="0" applyAlignment="0" applyProtection="0"/>
    <xf numFmtId="185" fontId="62" fillId="18" borderId="0" applyNumberFormat="0" applyBorder="0" applyAlignment="0" applyProtection="0"/>
    <xf numFmtId="185" fontId="188" fillId="10" borderId="0" applyNumberFormat="0" applyBorder="0" applyAlignment="0" applyProtection="0"/>
    <xf numFmtId="185" fontId="210" fillId="0" borderId="0" applyNumberFormat="0" applyFill="0" applyBorder="0" applyAlignment="0" applyProtection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85" fontId="34" fillId="0" borderId="0"/>
    <xf numFmtId="185" fontId="191" fillId="0" borderId="0" applyNumberFormat="0" applyFill="0" applyBorder="0" applyAlignment="0" applyProtection="0"/>
    <xf numFmtId="185" fontId="198" fillId="0" borderId="40" applyNumberFormat="0" applyFill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189" fillId="24" borderId="32" applyNumberFormat="0" applyAlignment="0" applyProtection="0"/>
    <xf numFmtId="185" fontId="63" fillId="23" borderId="2" applyNumberFormat="0" applyAlignment="0" applyProtection="0"/>
    <xf numFmtId="185" fontId="151" fillId="0" borderId="0"/>
    <xf numFmtId="185" fontId="145" fillId="0" borderId="0">
      <alignment horizontal="right"/>
    </xf>
    <xf numFmtId="185" fontId="149" fillId="0" borderId="0"/>
    <xf numFmtId="185" fontId="144" fillId="0" borderId="0"/>
    <xf numFmtId="185" fontId="147" fillId="0" borderId="0"/>
    <xf numFmtId="185" fontId="150" fillId="0" borderId="3" applyNumberFormat="0" applyAlignment="0"/>
    <xf numFmtId="185" fontId="142" fillId="0" borderId="0" applyAlignment="0">
      <alignment horizontal="left"/>
    </xf>
    <xf numFmtId="185" fontId="142" fillId="0" borderId="0">
      <alignment horizontal="right"/>
    </xf>
    <xf numFmtId="190" fontId="142" fillId="0" borderId="0">
      <alignment horizontal="right"/>
    </xf>
    <xf numFmtId="168" fontId="146" fillId="0" borderId="0">
      <alignment horizontal="right"/>
    </xf>
    <xf numFmtId="185" fontId="148" fillId="0" borderId="0"/>
    <xf numFmtId="185" fontId="31" fillId="53" borderId="0" applyNumberFormat="0" applyBorder="0" applyAlignment="0" applyProtection="0"/>
    <xf numFmtId="185" fontId="63" fillId="23" borderId="2" applyNumberFormat="0" applyAlignment="0" applyProtection="0"/>
    <xf numFmtId="185" fontId="216" fillId="0" borderId="39" applyNumberFormat="0" applyFill="0" applyAlignment="0" applyProtection="0"/>
    <xf numFmtId="164" fontId="38" fillId="0" borderId="0" applyFont="0" applyFill="0" applyBorder="0" applyAlignment="0" applyProtection="0"/>
    <xf numFmtId="185" fontId="190" fillId="6" borderId="0" applyNumberFormat="0" applyBorder="0" applyAlignment="0" applyProtection="0"/>
    <xf numFmtId="185" fontId="64" fillId="4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34" fillId="41" borderId="34" applyNumberFormat="0" applyFont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191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200" fillId="0" borderId="0" applyNumberFormat="0" applyFill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192" fillId="7" borderId="0" applyNumberFormat="0" applyBorder="0" applyAlignment="0" applyProtection="0"/>
    <xf numFmtId="185" fontId="66" fillId="5" borderId="0" applyNumberFormat="0" applyBorder="0" applyAlignment="0" applyProtection="0"/>
    <xf numFmtId="185" fontId="192" fillId="7" borderId="0" applyNumberFormat="0" applyBorder="0" applyAlignment="0" applyProtection="0"/>
    <xf numFmtId="185" fontId="214" fillId="42" borderId="0" applyNumberFormat="0" applyBorder="0" applyAlignment="0" applyProtection="0"/>
    <xf numFmtId="185" fontId="190" fillId="49" borderId="0" applyNumberFormat="0" applyBorder="0" applyAlignment="0" applyProtection="0"/>
    <xf numFmtId="185" fontId="192" fillId="48" borderId="0" applyNumberFormat="0" applyBorder="0" applyAlignment="0" applyProtection="0"/>
    <xf numFmtId="185" fontId="213" fillId="0" borderId="0" applyNumberFormat="0" applyFill="0" applyBorder="0" applyAlignment="0" applyProtection="0"/>
    <xf numFmtId="185" fontId="152" fillId="0" borderId="0" applyNumberFormat="0" applyFill="0" applyBorder="0" applyAlignment="0" applyProtection="0">
      <alignment vertical="top"/>
      <protection locked="0"/>
    </xf>
    <xf numFmtId="185" fontId="139" fillId="0" borderId="0" applyNumberFormat="0" applyFill="0" applyBorder="0" applyAlignment="0" applyProtection="0">
      <alignment vertical="top"/>
      <protection locked="0"/>
    </xf>
    <xf numFmtId="185" fontId="195" fillId="40" borderId="33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193" fillId="14" borderId="32" applyNumberFormat="0" applyAlignment="0" applyProtection="0"/>
    <xf numFmtId="185" fontId="67" fillId="8" borderId="2" applyNumberFormat="0" applyAlignment="0" applyProtection="0"/>
    <xf numFmtId="185" fontId="31" fillId="41" borderId="34" applyNumberFormat="0" applyFont="0" applyAlignment="0" applyProtection="0"/>
    <xf numFmtId="185" fontId="67" fillId="8" borderId="2" applyNumberFormat="0" applyAlignment="0" applyProtection="0"/>
    <xf numFmtId="185" fontId="215" fillId="51" borderId="32" applyNumberFormat="0" applyAlignment="0" applyProtection="0"/>
    <xf numFmtId="185" fontId="170" fillId="0" borderId="9" applyNumberFormat="0" applyFill="0" applyAlignment="0" applyProtection="0"/>
    <xf numFmtId="185" fontId="77" fillId="0" borderId="9" applyNumberFormat="0" applyFill="0" applyAlignment="0" applyProtection="0"/>
    <xf numFmtId="185" fontId="177" fillId="0" borderId="9" applyNumberFormat="0" applyFill="0" applyAlignment="0" applyProtection="0"/>
    <xf numFmtId="185" fontId="182" fillId="0" borderId="9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155" fillId="0" borderId="9" applyNumberFormat="0" applyFill="0" applyAlignment="0" applyProtection="0"/>
    <xf numFmtId="185" fontId="77" fillId="0" borderId="9" applyNumberFormat="0" applyFill="0" applyAlignment="0" applyProtection="0"/>
    <xf numFmtId="185" fontId="68" fillId="0" borderId="8" applyNumberFormat="0" applyFill="0" applyAlignment="0" applyProtection="0"/>
    <xf numFmtId="185" fontId="164" fillId="0" borderId="9" applyNumberFormat="0" applyFill="0" applyAlignment="0" applyProtection="0"/>
    <xf numFmtId="185" fontId="77" fillId="0" borderId="9" applyNumberFormat="0" applyFill="0" applyAlignment="0" applyProtection="0"/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43" fontId="39" fillId="0" borderId="0" applyFont="0" applyFill="0" applyBorder="0" applyAlignment="0" applyProtection="0"/>
    <xf numFmtId="43" fontId="16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6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75" fillId="0" borderId="0" applyFont="0" applyFill="0" applyBorder="0" applyAlignment="0" applyProtection="0"/>
    <xf numFmtId="43" fontId="17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36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5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195" fillId="40" borderId="33" applyNumberFormat="0" applyAlignment="0" applyProtection="0"/>
    <xf numFmtId="185" fontId="69" fillId="25" borderId="4" applyNumberFormat="0" applyAlignment="0" applyProtection="0"/>
    <xf numFmtId="185" fontId="199" fillId="51" borderId="35" applyNumberForma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154" fillId="41" borderId="34" applyNumberFormat="0" applyFont="0" applyAlignment="0" applyProtection="0"/>
    <xf numFmtId="185" fontId="38" fillId="41" borderId="34" applyNumberFormat="0" applyFont="0" applyAlignment="0" applyProtection="0"/>
    <xf numFmtId="185" fontId="39" fillId="11" borderId="10" applyNumberFormat="0" applyFont="0" applyAlignment="0" applyProtection="0"/>
    <xf numFmtId="185" fontId="162" fillId="41" borderId="34" applyNumberFormat="0" applyFont="0" applyAlignment="0" applyProtection="0"/>
    <xf numFmtId="185" fontId="38" fillId="41" borderId="34" applyNumberFormat="0" applyFont="0" applyAlignment="0" applyProtection="0"/>
    <xf numFmtId="185" fontId="169" fillId="41" borderId="34" applyNumberFormat="0" applyFont="0" applyAlignment="0" applyProtection="0"/>
    <xf numFmtId="185" fontId="38" fillId="41" borderId="34" applyNumberFormat="0" applyFont="0" applyAlignment="0" applyProtection="0"/>
    <xf numFmtId="185" fontId="175" fillId="41" borderId="34" applyNumberFormat="0" applyFont="0" applyAlignment="0" applyProtection="0"/>
    <xf numFmtId="185" fontId="176" fillId="41" borderId="34" applyNumberFormat="0" applyFont="0" applyAlignment="0" applyProtection="0"/>
    <xf numFmtId="185" fontId="42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82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82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85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8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92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93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94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94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193" fillId="50" borderId="32" applyNumberFormat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7" fontId="81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77" fontId="6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87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187" fillId="0" borderId="0"/>
    <xf numFmtId="177" fontId="60" fillId="0" borderId="0"/>
    <xf numFmtId="177" fontId="60" fillId="0" borderId="0"/>
    <xf numFmtId="177" fontId="60" fillId="0" borderId="0"/>
    <xf numFmtId="185" fontId="187" fillId="0" borderId="0"/>
    <xf numFmtId="185" fontId="187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81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87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42" fillId="0" borderId="0"/>
    <xf numFmtId="185" fontId="82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7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54" fillId="0" borderId="0" applyFill="0" applyBorder="0"/>
    <xf numFmtId="185" fontId="39" fillId="0" borderId="0"/>
    <xf numFmtId="185" fontId="54" fillId="0" borderId="0" applyFill="0" applyBorder="0"/>
    <xf numFmtId="185" fontId="39" fillId="0" borderId="0"/>
    <xf numFmtId="185" fontId="54" fillId="0" borderId="0" applyFill="0" applyBorder="0"/>
    <xf numFmtId="185" fontId="54" fillId="0" borderId="0" applyFill="0" applyBorder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94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39" fillId="0" borderId="0"/>
    <xf numFmtId="185" fontId="54" fillId="0" borderId="0" applyFill="0" applyBorder="0"/>
    <xf numFmtId="185" fontId="39" fillId="0" borderId="0"/>
    <xf numFmtId="185" fontId="54" fillId="0" borderId="0" applyFill="0" applyBorder="0"/>
    <xf numFmtId="185" fontId="39" fillId="0" borderId="0"/>
    <xf numFmtId="185" fontId="187" fillId="0" borderId="0"/>
    <xf numFmtId="185" fontId="187" fillId="0" borderId="0"/>
    <xf numFmtId="185" fontId="39" fillId="0" borderId="0"/>
    <xf numFmtId="185" fontId="39" fillId="0" borderId="0"/>
    <xf numFmtId="185" fontId="54" fillId="0" borderId="0" applyFill="0" applyBorder="0"/>
    <xf numFmtId="185" fontId="39" fillId="0" borderId="0"/>
    <xf numFmtId="185" fontId="54" fillId="0" borderId="0" applyFill="0" applyBorder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54" fillId="0" borderId="0" applyFill="0" applyBorder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81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87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42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7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79" fillId="0" borderId="0"/>
    <xf numFmtId="185" fontId="187" fillId="0" borderId="0"/>
    <xf numFmtId="185" fontId="39" fillId="0" borderId="0"/>
    <xf numFmtId="185" fontId="187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7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94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88" fillId="0" borderId="0"/>
    <xf numFmtId="185" fontId="39" fillId="0" borderId="0"/>
    <xf numFmtId="185" fontId="39" fillId="0" borderId="0"/>
    <xf numFmtId="185" fontId="187" fillId="0" borderId="0"/>
    <xf numFmtId="185" fontId="187" fillId="0" borderId="0"/>
    <xf numFmtId="185" fontId="187" fillId="0" borderId="0"/>
    <xf numFmtId="185" fontId="187" fillId="0" borderId="0"/>
    <xf numFmtId="185" fontId="39" fillId="0" borderId="0"/>
    <xf numFmtId="185" fontId="39" fillId="0" borderId="0"/>
    <xf numFmtId="185" fontId="187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37" fillId="0" borderId="0"/>
    <xf numFmtId="185" fontId="39" fillId="0" borderId="0"/>
    <xf numFmtId="185" fontId="163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42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54" fillId="0" borderId="0" applyFill="0" applyBorder="0"/>
    <xf numFmtId="185" fontId="79" fillId="0" borderId="0"/>
    <xf numFmtId="185" fontId="39" fillId="0" borderId="0"/>
    <xf numFmtId="176" fontId="60" fillId="0" borderId="0"/>
    <xf numFmtId="177" fontId="60" fillId="0" borderId="0"/>
    <xf numFmtId="185" fontId="39" fillId="0" borderId="0"/>
    <xf numFmtId="185" fontId="54" fillId="0" borderId="0" applyFill="0" applyBorder="0"/>
    <xf numFmtId="185" fontId="39" fillId="0" borderId="0"/>
    <xf numFmtId="185" fontId="54" fillId="0" borderId="0" applyFill="0" applyBorder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8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42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87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7" fontId="84" fillId="0" borderId="0"/>
    <xf numFmtId="177" fontId="86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86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87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7" fontId="87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91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96" fillId="0" borderId="0" applyNumberFormat="0" applyBorder="0" applyAlignment="0"/>
    <xf numFmtId="185" fontId="39" fillId="0" borderId="0"/>
    <xf numFmtId="185" fontId="39" fillId="0" borderId="0"/>
    <xf numFmtId="177" fontId="10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76" fontId="103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7" fontId="105" fillId="0" borderId="0"/>
    <xf numFmtId="185" fontId="39" fillId="0" borderId="0"/>
    <xf numFmtId="177" fontId="60" fillId="0" borderId="0"/>
    <xf numFmtId="177" fontId="6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105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2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61" fillId="0" borderId="0"/>
    <xf numFmtId="177" fontId="60" fillId="0" borderId="0"/>
    <xf numFmtId="177" fontId="60" fillId="0" borderId="0"/>
    <xf numFmtId="177" fontId="12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61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05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2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61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6" fontId="60" fillId="0" borderId="0"/>
    <xf numFmtId="176" fontId="60" fillId="0" borderId="0"/>
    <xf numFmtId="176" fontId="105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105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12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161" fillId="0" borderId="0"/>
    <xf numFmtId="176" fontId="60" fillId="0" borderId="0"/>
    <xf numFmtId="176" fontId="60" fillId="0" borderId="0"/>
    <xf numFmtId="176" fontId="12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161" fillId="0" borderId="0"/>
    <xf numFmtId="176" fontId="60" fillId="0" borderId="0"/>
    <xf numFmtId="176" fontId="60" fillId="0" borderId="0"/>
    <xf numFmtId="176" fontId="105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12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161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85" fontId="39" fillId="0" borderId="0"/>
    <xf numFmtId="185" fontId="125" fillId="0" borderId="0"/>
    <xf numFmtId="185" fontId="39" fillId="0" borderId="0"/>
    <xf numFmtId="185" fontId="39" fillId="0" borderId="0"/>
    <xf numFmtId="185" fontId="128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60" fillId="0" borderId="0"/>
    <xf numFmtId="185" fontId="39" fillId="0" borderId="0"/>
    <xf numFmtId="185" fontId="128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60" fillId="0" borderId="0"/>
    <xf numFmtId="185" fontId="39" fillId="0" borderId="0"/>
    <xf numFmtId="185" fontId="39" fillId="0" borderId="0"/>
    <xf numFmtId="185" fontId="39" fillId="0" borderId="0"/>
    <xf numFmtId="185" fontId="125" fillId="0" borderId="0"/>
    <xf numFmtId="185" fontId="39" fillId="0" borderId="0"/>
    <xf numFmtId="185" fontId="39" fillId="0" borderId="0"/>
    <xf numFmtId="185" fontId="39" fillId="0" borderId="0"/>
    <xf numFmtId="185" fontId="128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60" fillId="0" borderId="0"/>
    <xf numFmtId="185" fontId="39" fillId="0" borderId="0"/>
    <xf numFmtId="185" fontId="39" fillId="0" borderId="0"/>
    <xf numFmtId="185" fontId="39" fillId="0" borderId="0"/>
    <xf numFmtId="177" fontId="129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161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137" fillId="0" borderId="0"/>
    <xf numFmtId="185" fontId="39" fillId="0" borderId="0"/>
    <xf numFmtId="185" fontId="163" fillId="0" borderId="0"/>
    <xf numFmtId="185" fontId="187" fillId="0" borderId="0"/>
    <xf numFmtId="185" fontId="39" fillId="0" borderId="0"/>
    <xf numFmtId="185" fontId="39" fillId="0" borderId="0"/>
    <xf numFmtId="185" fontId="187" fillId="0" borderId="0"/>
    <xf numFmtId="185" fontId="80" fillId="0" borderId="0"/>
    <xf numFmtId="185" fontId="39" fillId="0" borderId="0"/>
    <xf numFmtId="185" fontId="61" fillId="0" borderId="0"/>
    <xf numFmtId="185" fontId="39" fillId="0" borderId="0"/>
    <xf numFmtId="176" fontId="60" fillId="0" borderId="0"/>
    <xf numFmtId="185" fontId="39" fillId="0" borderId="0"/>
    <xf numFmtId="178" fontId="78" fillId="0" borderId="0">
      <alignment horizontal="right"/>
    </xf>
    <xf numFmtId="185" fontId="39" fillId="0" borderId="0"/>
    <xf numFmtId="185" fontId="39" fillId="0" borderId="0"/>
    <xf numFmtId="185" fontId="31" fillId="0" borderId="0"/>
    <xf numFmtId="185" fontId="82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82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197" fillId="42" borderId="0" applyNumberFormat="0" applyBorder="0" applyAlignment="0" applyProtection="0"/>
    <xf numFmtId="185" fontId="70" fillId="14" borderId="0" applyNumberFormat="0" applyBorder="0" applyAlignment="0" applyProtection="0"/>
    <xf numFmtId="185" fontId="197" fillId="42" borderId="0" applyNumberFormat="0" applyBorder="0" applyAlignment="0" applyProtection="0"/>
    <xf numFmtId="185" fontId="211" fillId="0" borderId="36" applyNumberFormat="0" applyFill="0" applyAlignment="0" applyProtection="0"/>
    <xf numFmtId="185" fontId="76" fillId="23" borderId="11" applyNumberFormat="0" applyAlignment="0" applyProtection="0"/>
    <xf numFmtId="185" fontId="171" fillId="0" borderId="12" applyNumberFormat="0" applyFill="0" applyAlignment="0" applyProtection="0"/>
    <xf numFmtId="185" fontId="156" fillId="0" borderId="12" applyNumberFormat="0" applyFill="0" applyAlignment="0" applyProtection="0"/>
    <xf numFmtId="185" fontId="178" fillId="0" borderId="12" applyNumberFormat="0" applyFill="0" applyAlignment="0" applyProtection="0"/>
    <xf numFmtId="185" fontId="183" fillId="0" borderId="12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71" fillId="0" borderId="5" applyNumberFormat="0" applyFill="0" applyAlignment="0" applyProtection="0"/>
    <xf numFmtId="185" fontId="165" fillId="0" borderId="12" applyNumberFormat="0" applyFill="0" applyAlignment="0" applyProtection="0"/>
    <xf numFmtId="185" fontId="156" fillId="0" borderId="12" applyNumberFormat="0" applyFill="0" applyAlignment="0" applyProtection="0"/>
    <xf numFmtId="185" fontId="172" fillId="0" borderId="13" applyNumberFormat="0" applyFill="0" applyAlignment="0" applyProtection="0"/>
    <xf numFmtId="185" fontId="157" fillId="0" borderId="13" applyNumberFormat="0" applyFill="0" applyAlignment="0" applyProtection="0"/>
    <xf numFmtId="185" fontId="179" fillId="0" borderId="13" applyNumberFormat="0" applyFill="0" applyAlignment="0" applyProtection="0"/>
    <xf numFmtId="185" fontId="184" fillId="0" borderId="13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72" fillId="0" borderId="6" applyNumberFormat="0" applyFill="0" applyAlignment="0" applyProtection="0"/>
    <xf numFmtId="185" fontId="166" fillId="0" borderId="13" applyNumberFormat="0" applyFill="0" applyAlignment="0" applyProtection="0"/>
    <xf numFmtId="185" fontId="157" fillId="0" borderId="13" applyNumberFormat="0" applyFill="0" applyAlignment="0" applyProtection="0"/>
    <xf numFmtId="185" fontId="173" fillId="0" borderId="14" applyNumberFormat="0" applyFill="0" applyAlignment="0" applyProtection="0"/>
    <xf numFmtId="185" fontId="158" fillId="0" borderId="14" applyNumberFormat="0" applyFill="0" applyAlignment="0" applyProtection="0"/>
    <xf numFmtId="185" fontId="180" fillId="0" borderId="14" applyNumberFormat="0" applyFill="0" applyAlignment="0" applyProtection="0"/>
    <xf numFmtId="185" fontId="185" fillId="0" borderId="14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73" fillId="0" borderId="7" applyNumberFormat="0" applyFill="0" applyAlignment="0" applyProtection="0"/>
    <xf numFmtId="185" fontId="167" fillId="0" borderId="14" applyNumberFormat="0" applyFill="0" applyAlignment="0" applyProtection="0"/>
    <xf numFmtId="185" fontId="158" fillId="0" borderId="14" applyNumberFormat="0" applyFill="0" applyAlignment="0" applyProtection="0"/>
    <xf numFmtId="185" fontId="1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80" fillId="0" borderId="0" applyNumberFormat="0" applyFill="0" applyBorder="0" applyAlignment="0" applyProtection="0"/>
    <xf numFmtId="185" fontId="185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67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38" fillId="0" borderId="0" applyFont="0" applyFill="0" applyBorder="0" applyAlignment="0" applyProtection="0"/>
    <xf numFmtId="4" fontId="122" fillId="0" borderId="0" applyNumberFormat="0" applyProtection="0">
      <alignment horizontal="right" vertical="center"/>
    </xf>
    <xf numFmtId="185" fontId="79" fillId="0" borderId="0"/>
    <xf numFmtId="185" fontId="40" fillId="26" borderId="0"/>
    <xf numFmtId="185" fontId="40" fillId="26" borderId="0"/>
    <xf numFmtId="185" fontId="40" fillId="26" borderId="0"/>
    <xf numFmtId="185" fontId="40" fillId="26" borderId="0"/>
    <xf numFmtId="185" fontId="40" fillId="26" borderId="0"/>
    <xf numFmtId="185" fontId="213" fillId="0" borderId="38" applyNumberFormat="0" applyFill="0" applyAlignment="0" applyProtection="0"/>
    <xf numFmtId="185" fontId="31" fillId="0" borderId="0"/>
    <xf numFmtId="185" fontId="174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81" fillId="0" borderId="0" applyNumberFormat="0" applyFill="0" applyBorder="0" applyAlignment="0" applyProtection="0"/>
    <xf numFmtId="185" fontId="186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168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212" fillId="0" borderId="37" applyNumberFormat="0" applyFill="0" applyAlignment="0" applyProtection="0"/>
    <xf numFmtId="185" fontId="75" fillId="0" borderId="15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198" fillId="0" borderId="16" applyNumberFormat="0" applyFill="0" applyAlignment="0" applyProtection="0"/>
    <xf numFmtId="185" fontId="75" fillId="0" borderId="15" applyNumberFormat="0" applyFill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199" fillId="24" borderId="35" applyNumberFormat="0" applyAlignment="0" applyProtection="0"/>
    <xf numFmtId="185" fontId="76" fillId="23" borderId="11" applyNumberFormat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188" fillId="27" borderId="0" applyNumberFormat="0" applyBorder="0" applyAlignment="0" applyProtection="0"/>
    <xf numFmtId="185" fontId="62" fillId="20" borderId="0" applyNumberFormat="0" applyBorder="0" applyAlignment="0" applyProtection="0"/>
    <xf numFmtId="185" fontId="188" fillId="2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188" fillId="19" borderId="0" applyNumberFormat="0" applyBorder="0" applyAlignment="0" applyProtection="0"/>
    <xf numFmtId="185" fontId="62" fillId="21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188" fillId="13" borderId="0" applyNumberFormat="0" applyBorder="0" applyAlignment="0" applyProtection="0"/>
    <xf numFmtId="185" fontId="62" fillId="22" borderId="0" applyNumberFormat="0" applyBorder="0" applyAlignment="0" applyProtection="0"/>
    <xf numFmtId="185" fontId="188" fillId="13" borderId="0" applyNumberFormat="0" applyBorder="0" applyAlignment="0" applyProtection="0"/>
    <xf numFmtId="185" fontId="31" fillId="0" borderId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188" fillId="28" borderId="0" applyNumberFormat="0" applyBorder="0" applyAlignment="0" applyProtection="0"/>
    <xf numFmtId="185" fontId="62" fillId="16" borderId="0" applyNumberFormat="0" applyBorder="0" applyAlignment="0" applyProtection="0"/>
    <xf numFmtId="185" fontId="188" fillId="28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188" fillId="43" borderId="0" applyNumberFormat="0" applyBorder="0" applyAlignment="0" applyProtection="0"/>
    <xf numFmtId="185" fontId="62" fillId="17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188" fillId="21" borderId="0" applyNumberFormat="0" applyBorder="0" applyAlignment="0" applyProtection="0"/>
    <xf numFmtId="185" fontId="62" fillId="19" borderId="0" applyNumberFormat="0" applyBorder="0" applyAlignment="0" applyProtection="0"/>
    <xf numFmtId="185" fontId="188" fillId="21" borderId="0" applyNumberFormat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200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37" fillId="9" borderId="0" applyNumberFormat="0" applyBorder="0" applyAlignment="0" applyProtection="0"/>
    <xf numFmtId="185" fontId="37" fillId="9" borderId="0" applyNumberFormat="0" applyBorder="0" applyAlignment="0" applyProtection="0"/>
    <xf numFmtId="185" fontId="37" fillId="9" borderId="0" applyNumberFormat="0" applyBorder="0" applyAlignment="0" applyProtection="0"/>
    <xf numFmtId="185" fontId="37" fillId="9" borderId="0" applyNumberFormat="0" applyBorder="0" applyAlignment="0" applyProtection="0"/>
    <xf numFmtId="185" fontId="37" fillId="9" borderId="0" applyNumberFormat="0" applyBorder="0" applyAlignment="0" applyProtection="0"/>
    <xf numFmtId="185" fontId="37" fillId="10" borderId="0" applyNumberFormat="0" applyBorder="0" applyAlignment="0" applyProtection="0"/>
    <xf numFmtId="185" fontId="37" fillId="10" borderId="0" applyNumberFormat="0" applyBorder="0" applyAlignment="0" applyProtection="0"/>
    <xf numFmtId="185" fontId="37" fillId="10" borderId="0" applyNumberFormat="0" applyBorder="0" applyAlignment="0" applyProtection="0"/>
    <xf numFmtId="185" fontId="37" fillId="10" borderId="0" applyNumberFormat="0" applyBorder="0" applyAlignment="0" applyProtection="0"/>
    <xf numFmtId="185" fontId="37" fillId="10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8" borderId="0" applyNumberFormat="0" applyBorder="0" applyAlignment="0" applyProtection="0"/>
    <xf numFmtId="185" fontId="37" fillId="8" borderId="0" applyNumberFormat="0" applyBorder="0" applyAlignment="0" applyProtection="0"/>
    <xf numFmtId="185" fontId="37" fillId="8" borderId="0" applyNumberFormat="0" applyBorder="0" applyAlignment="0" applyProtection="0"/>
    <xf numFmtId="185" fontId="37" fillId="8" borderId="0" applyNumberFormat="0" applyBorder="0" applyAlignment="0" applyProtection="0"/>
    <xf numFmtId="185" fontId="37" fillId="8" borderId="0" applyNumberFormat="0" applyBorder="0" applyAlignment="0" applyProtection="0"/>
    <xf numFmtId="185" fontId="37" fillId="38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39" borderId="0" applyNumberFormat="0" applyBorder="0" applyAlignment="0" applyProtection="0"/>
    <xf numFmtId="185" fontId="37" fillId="14" borderId="0" applyNumberFormat="0" applyBorder="0" applyAlignment="0" applyProtection="0"/>
    <xf numFmtId="185" fontId="37" fillId="14" borderId="0" applyNumberFormat="0" applyBorder="0" applyAlignment="0" applyProtection="0"/>
    <xf numFmtId="185" fontId="37" fillId="14" borderId="0" applyNumberFormat="0" applyBorder="0" applyAlignment="0" applyProtection="0"/>
    <xf numFmtId="185" fontId="37" fillId="14" borderId="0" applyNumberFormat="0" applyBorder="0" applyAlignment="0" applyProtection="0"/>
    <xf numFmtId="185" fontId="37" fillId="14" borderId="0" applyNumberFormat="0" applyBorder="0" applyAlignment="0" applyProtection="0"/>
    <xf numFmtId="185" fontId="37" fillId="4" borderId="0" applyNumberFormat="0" applyBorder="0" applyAlignment="0" applyProtection="0"/>
    <xf numFmtId="185" fontId="37" fillId="4" borderId="0" applyNumberFormat="0" applyBorder="0" applyAlignment="0" applyProtection="0"/>
    <xf numFmtId="185" fontId="37" fillId="4" borderId="0" applyNumberFormat="0" applyBorder="0" applyAlignment="0" applyProtection="0"/>
    <xf numFmtId="185" fontId="37" fillId="4" borderId="0" applyNumberFormat="0" applyBorder="0" applyAlignment="0" applyProtection="0"/>
    <xf numFmtId="185" fontId="37" fillId="4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7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37" fillId="11" borderId="0" applyNumberFormat="0" applyBorder="0" applyAlignment="0" applyProtection="0"/>
    <xf numFmtId="185" fontId="77" fillId="0" borderId="9" applyNumberFormat="0" applyFill="0" applyAlignment="0" applyProtection="0"/>
    <xf numFmtId="185" fontId="205" fillId="0" borderId="9" applyNumberFormat="0" applyFill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7" fillId="0" borderId="0"/>
    <xf numFmtId="185" fontId="39" fillId="0" borderId="0"/>
    <xf numFmtId="185" fontId="37" fillId="0" borderId="0"/>
    <xf numFmtId="185" fontId="37" fillId="0" borderId="0"/>
    <xf numFmtId="185" fontId="204" fillId="0" borderId="0"/>
    <xf numFmtId="185" fontId="37" fillId="0" borderId="0"/>
    <xf numFmtId="185" fontId="37" fillId="0" borderId="0"/>
    <xf numFmtId="185" fontId="39" fillId="0" borderId="0"/>
    <xf numFmtId="185" fontId="204" fillId="0" borderId="0"/>
    <xf numFmtId="185" fontId="37" fillId="0" borderId="0"/>
    <xf numFmtId="185" fontId="37" fillId="0" borderId="0"/>
    <xf numFmtId="185" fontId="156" fillId="0" borderId="12" applyNumberFormat="0" applyFill="0" applyAlignment="0" applyProtection="0"/>
    <xf numFmtId="185" fontId="206" fillId="0" borderId="12" applyNumberFormat="0" applyFill="0" applyAlignment="0" applyProtection="0"/>
    <xf numFmtId="185" fontId="157" fillId="0" borderId="13" applyNumberFormat="0" applyFill="0" applyAlignment="0" applyProtection="0"/>
    <xf numFmtId="185" fontId="207" fillId="0" borderId="13" applyNumberFormat="0" applyFill="0" applyAlignment="0" applyProtection="0"/>
    <xf numFmtId="185" fontId="158" fillId="0" borderId="14" applyNumberFormat="0" applyFill="0" applyAlignment="0" applyProtection="0"/>
    <xf numFmtId="185" fontId="208" fillId="0" borderId="14" applyNumberFormat="0" applyFill="0" applyAlignment="0" applyProtection="0"/>
    <xf numFmtId="185" fontId="158" fillId="0" borderId="0" applyNumberFormat="0" applyFill="0" applyBorder="0" applyAlignment="0" applyProtection="0"/>
    <xf numFmtId="185" fontId="208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209" fillId="0" borderId="0" applyNumberFormat="0" applyFill="0" applyBorder="0" applyAlignment="0" applyProtection="0"/>
    <xf numFmtId="185" fontId="36" fillId="0" borderId="0"/>
    <xf numFmtId="43" fontId="36" fillId="0" borderId="0" applyFont="0" applyFill="0" applyBorder="0" applyAlignment="0" applyProtection="0"/>
    <xf numFmtId="185" fontId="194" fillId="46" borderId="0">
      <alignment horizontal="right"/>
    </xf>
    <xf numFmtId="185" fontId="36" fillId="0" borderId="0"/>
    <xf numFmtId="185" fontId="36" fillId="0" borderId="0"/>
    <xf numFmtId="185" fontId="36" fillId="0" borderId="0"/>
    <xf numFmtId="185" fontId="36" fillId="0" borderId="0"/>
    <xf numFmtId="185" fontId="36" fillId="0" borderId="0"/>
    <xf numFmtId="185" fontId="36" fillId="0" borderId="0"/>
    <xf numFmtId="185" fontId="36" fillId="0" borderId="0"/>
    <xf numFmtId="185" fontId="40" fillId="47" borderId="0"/>
    <xf numFmtId="185" fontId="210" fillId="0" borderId="0" applyNumberFormat="0" applyFill="0" applyBorder="0" applyAlignment="0" applyProtection="0"/>
    <xf numFmtId="185" fontId="211" fillId="0" borderId="36" applyNumberFormat="0" applyFill="0" applyAlignment="0" applyProtection="0"/>
    <xf numFmtId="185" fontId="212" fillId="0" borderId="37" applyNumberFormat="0" applyFill="0" applyAlignment="0" applyProtection="0"/>
    <xf numFmtId="185" fontId="213" fillId="0" borderId="38" applyNumberFormat="0" applyFill="0" applyAlignment="0" applyProtection="0"/>
    <xf numFmtId="185" fontId="213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16" fillId="0" borderId="39" applyNumberFormat="0" applyFill="0" applyAlignment="0" applyProtection="0"/>
    <xf numFmtId="185" fontId="36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36" fillId="53" borderId="0" applyNumberFormat="0" applyBorder="0" applyAlignment="0" applyProtection="0"/>
    <xf numFmtId="185" fontId="36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36" fillId="57" borderId="0" applyNumberFormat="0" applyBorder="0" applyAlignment="0" applyProtection="0"/>
    <xf numFmtId="185" fontId="36" fillId="3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36" fillId="60" borderId="0" applyNumberFormat="0" applyBorder="0" applyAlignment="0" applyProtection="0"/>
    <xf numFmtId="185" fontId="36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36" fillId="64" borderId="0" applyNumberFormat="0" applyBorder="0" applyAlignment="0" applyProtection="0"/>
    <xf numFmtId="185" fontId="36" fillId="65" borderId="0" applyNumberFormat="0" applyBorder="0" applyAlignment="0" applyProtection="0"/>
    <xf numFmtId="185" fontId="188" fillId="66" borderId="0" applyNumberFormat="0" applyBorder="0" applyAlignment="0" applyProtection="0"/>
    <xf numFmtId="185" fontId="36" fillId="38" borderId="0" applyNumberFormat="0" applyBorder="0" applyAlignment="0" applyProtection="0"/>
    <xf numFmtId="185" fontId="36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36" fillId="70" borderId="0" applyNumberFormat="0" applyBorder="0" applyAlignment="0" applyProtection="0"/>
    <xf numFmtId="185" fontId="36" fillId="71" borderId="0" applyNumberFormat="0" applyBorder="0" applyAlignment="0" applyProtection="0"/>
    <xf numFmtId="185" fontId="188" fillId="72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38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39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77" fillId="0" borderId="9" applyNumberFormat="0" applyFill="0" applyAlignment="0" applyProtection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156" fillId="0" borderId="12" applyNumberFormat="0" applyFill="0" applyAlignment="0" applyProtection="0"/>
    <xf numFmtId="185" fontId="157" fillId="0" borderId="13" applyNumberFormat="0" applyFill="0" applyAlignment="0" applyProtection="0"/>
    <xf numFmtId="185" fontId="158" fillId="0" borderId="14" applyNumberFormat="0" applyFill="0" applyAlignment="0" applyProtection="0"/>
    <xf numFmtId="185" fontId="158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9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0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8" borderId="0" applyNumberFormat="0" applyBorder="0" applyAlignment="0" applyProtection="0"/>
    <xf numFmtId="185" fontId="35" fillId="38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39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1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4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7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11" borderId="0" applyNumberFormat="0" applyBorder="0" applyAlignment="0" applyProtection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9" fillId="0" borderId="0"/>
    <xf numFmtId="185" fontId="35" fillId="0" borderId="0"/>
    <xf numFmtId="185" fontId="35" fillId="0" borderId="0"/>
    <xf numFmtId="185" fontId="39" fillId="0" borderId="0"/>
    <xf numFmtId="185" fontId="35" fillId="0" borderId="0"/>
    <xf numFmtId="185" fontId="35" fillId="0" borderId="0"/>
    <xf numFmtId="185" fontId="35" fillId="0" borderId="0"/>
    <xf numFmtId="43" fontId="35" fillId="0" borderId="0" applyFont="0" applyFill="0" applyBorder="0" applyAlignment="0" applyProtection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0" borderId="0"/>
    <xf numFmtId="185" fontId="35" fillId="41" borderId="34" applyNumberFormat="0" applyFont="0" applyAlignment="0" applyProtection="0"/>
    <xf numFmtId="185" fontId="35" fillId="53" borderId="0" applyNumberFormat="0" applyBorder="0" applyAlignment="0" applyProtection="0"/>
    <xf numFmtId="185" fontId="35" fillId="54" borderId="0" applyNumberFormat="0" applyBorder="0" applyAlignment="0" applyProtection="0"/>
    <xf numFmtId="185" fontId="35" fillId="57" borderId="0" applyNumberFormat="0" applyBorder="0" applyAlignment="0" applyProtection="0"/>
    <xf numFmtId="185" fontId="35" fillId="39" borderId="0" applyNumberFormat="0" applyBorder="0" applyAlignment="0" applyProtection="0"/>
    <xf numFmtId="185" fontId="35" fillId="60" borderId="0" applyNumberFormat="0" applyBorder="0" applyAlignment="0" applyProtection="0"/>
    <xf numFmtId="185" fontId="35" fillId="61" borderId="0" applyNumberFormat="0" applyBorder="0" applyAlignment="0" applyProtection="0"/>
    <xf numFmtId="185" fontId="35" fillId="64" borderId="0" applyNumberFormat="0" applyBorder="0" applyAlignment="0" applyProtection="0"/>
    <xf numFmtId="185" fontId="35" fillId="65" borderId="0" applyNumberFormat="0" applyBorder="0" applyAlignment="0" applyProtection="0"/>
    <xf numFmtId="185" fontId="35" fillId="38" borderId="0" applyNumberFormat="0" applyBorder="0" applyAlignment="0" applyProtection="0"/>
    <xf numFmtId="185" fontId="35" fillId="67" borderId="0" applyNumberFormat="0" applyBorder="0" applyAlignment="0" applyProtection="0"/>
    <xf numFmtId="185" fontId="35" fillId="70" borderId="0" applyNumberFormat="0" applyBorder="0" applyAlignment="0" applyProtection="0"/>
    <xf numFmtId="185" fontId="35" fillId="71" borderId="0" applyNumberFormat="0" applyBorder="0" applyAlignment="0" applyProtection="0"/>
    <xf numFmtId="185" fontId="34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34" fillId="70" borderId="0" applyNumberFormat="0" applyBorder="0" applyAlignment="0" applyProtection="0"/>
    <xf numFmtId="185" fontId="34" fillId="71" borderId="0" applyNumberFormat="0" applyBorder="0" applyAlignment="0" applyProtection="0"/>
    <xf numFmtId="185" fontId="188" fillId="72" borderId="0" applyNumberFormat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217" fillId="73" borderId="0" applyNumberFormat="0" applyBorder="0" applyAlignment="0" applyProtection="0"/>
    <xf numFmtId="1" fontId="218" fillId="74" borderId="22" applyNumberFormat="0" applyBorder="0" applyAlignment="0">
      <alignment horizontal="centerContinuous" vertical="center"/>
      <protection locked="0"/>
    </xf>
    <xf numFmtId="192" fontId="219" fillId="29" borderId="0" applyBorder="0">
      <protection locked="0"/>
    </xf>
    <xf numFmtId="185" fontId="188" fillId="75" borderId="0" applyNumberFormat="0" applyBorder="0" applyAlignment="0" applyProtection="0"/>
    <xf numFmtId="185" fontId="220" fillId="76" borderId="0" applyNumberFormat="0" applyBorder="0" applyAlignment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92" fontId="221" fillId="26" borderId="0">
      <protection locked="0"/>
    </xf>
    <xf numFmtId="185" fontId="34" fillId="0" borderId="0"/>
    <xf numFmtId="185" fontId="34" fillId="0" borderId="0"/>
    <xf numFmtId="185" fontId="34" fillId="0" borderId="0"/>
    <xf numFmtId="185" fontId="39" fillId="0" borderId="0"/>
    <xf numFmtId="185" fontId="34" fillId="0" borderId="0"/>
    <xf numFmtId="185" fontId="39" fillId="0" borderId="0"/>
    <xf numFmtId="185" fontId="34" fillId="0" borderId="0"/>
    <xf numFmtId="185" fontId="34" fillId="0" borderId="0"/>
    <xf numFmtId="185" fontId="222" fillId="76" borderId="0"/>
    <xf numFmtId="2" fontId="223" fillId="76" borderId="0">
      <alignment horizontal="center"/>
    </xf>
    <xf numFmtId="2" fontId="54" fillId="26" borderId="0">
      <protection locked="0"/>
    </xf>
    <xf numFmtId="1" fontId="54" fillId="34" borderId="0"/>
    <xf numFmtId="10" fontId="79" fillId="26" borderId="0" applyFont="0" applyBorder="0" applyAlignment="0" applyProtection="0"/>
    <xf numFmtId="190" fontId="141" fillId="0" borderId="0" applyFont="0" applyFill="0" applyBorder="0" applyAlignment="0" applyProtection="0"/>
    <xf numFmtId="9" fontId="34" fillId="0" borderId="0" applyFont="0" applyFill="0" applyBorder="0" applyAlignment="0" applyProtection="0"/>
    <xf numFmtId="193" fontId="224" fillId="34" borderId="0" applyBorder="0" applyAlignment="0">
      <protection hidden="1"/>
    </xf>
    <xf numFmtId="1" fontId="224" fillId="34" borderId="0">
      <alignment horizontal="center"/>
    </xf>
    <xf numFmtId="185" fontId="34" fillId="0" borderId="0"/>
    <xf numFmtId="193" fontId="225" fillId="77" borderId="0"/>
    <xf numFmtId="168" fontId="226" fillId="78" borderId="0" applyNumberFormat="0" applyBorder="0"/>
    <xf numFmtId="168" fontId="227" fillId="0" borderId="41"/>
    <xf numFmtId="43" fontId="39" fillId="0" borderId="0" applyFont="0" applyFill="0" applyBorder="0" applyAlignment="0" applyProtection="0"/>
    <xf numFmtId="40" fontId="79" fillId="0" borderId="0" applyFont="0" applyFill="0" applyBorder="0" applyAlignment="0" applyProtection="0"/>
    <xf numFmtId="185" fontId="34" fillId="0" borderId="0"/>
    <xf numFmtId="43" fontId="34" fillId="0" borderId="0" applyFont="0" applyFill="0" applyBorder="0" applyAlignment="0" applyProtection="0"/>
    <xf numFmtId="193" fontId="224" fillId="34" borderId="24" applyBorder="0">
      <alignment horizontal="right" vertical="center"/>
      <protection locked="0"/>
    </xf>
    <xf numFmtId="1" fontId="221" fillId="26" borderId="0"/>
    <xf numFmtId="1" fontId="39" fillId="0" borderId="0">
      <alignment horizontal="center"/>
    </xf>
    <xf numFmtId="1" fontId="39" fillId="0" borderId="0">
      <alignment horizontal="center"/>
    </xf>
    <xf numFmtId="1" fontId="39" fillId="0" borderId="0">
      <alignment horizontal="center"/>
    </xf>
    <xf numFmtId="49" fontId="39" fillId="0" borderId="0">
      <alignment horizontal="right"/>
    </xf>
    <xf numFmtId="49" fontId="39" fillId="0" borderId="0">
      <alignment horizontal="right"/>
    </xf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38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39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38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39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43" fontId="34" fillId="0" borderId="0" applyFont="0" applyFill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41" borderId="34" applyNumberFormat="0" applyFont="0" applyAlignment="0" applyProtection="0"/>
    <xf numFmtId="185" fontId="34" fillId="53" borderId="0" applyNumberFormat="0" applyBorder="0" applyAlignment="0" applyProtection="0"/>
    <xf numFmtId="185" fontId="34" fillId="54" borderId="0" applyNumberFormat="0" applyBorder="0" applyAlignment="0" applyProtection="0"/>
    <xf numFmtId="185" fontId="34" fillId="57" borderId="0" applyNumberFormat="0" applyBorder="0" applyAlignment="0" applyProtection="0"/>
    <xf numFmtId="185" fontId="34" fillId="39" borderId="0" applyNumberFormat="0" applyBorder="0" applyAlignment="0" applyProtection="0"/>
    <xf numFmtId="185" fontId="34" fillId="60" borderId="0" applyNumberFormat="0" applyBorder="0" applyAlignment="0" applyProtection="0"/>
    <xf numFmtId="185" fontId="34" fillId="61" borderId="0" applyNumberFormat="0" applyBorder="0" applyAlignment="0" applyProtection="0"/>
    <xf numFmtId="185" fontId="34" fillId="64" borderId="0" applyNumberFormat="0" applyBorder="0" applyAlignment="0" applyProtection="0"/>
    <xf numFmtId="185" fontId="34" fillId="65" borderId="0" applyNumberFormat="0" applyBorder="0" applyAlignment="0" applyProtection="0"/>
    <xf numFmtId="185" fontId="34" fillId="38" borderId="0" applyNumberFormat="0" applyBorder="0" applyAlignment="0" applyProtection="0"/>
    <xf numFmtId="185" fontId="34" fillId="67" borderId="0" applyNumberFormat="0" applyBorder="0" applyAlignment="0" applyProtection="0"/>
    <xf numFmtId="185" fontId="34" fillId="70" borderId="0" applyNumberFormat="0" applyBorder="0" applyAlignment="0" applyProtection="0"/>
    <xf numFmtId="185" fontId="34" fillId="71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38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39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9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0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8" borderId="0" applyNumberFormat="0" applyBorder="0" applyAlignment="0" applyProtection="0"/>
    <xf numFmtId="185" fontId="34" fillId="38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39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1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4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7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11" borderId="0" applyNumberFormat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43" fontId="34" fillId="0" borderId="0" applyFont="0" applyFill="0" applyBorder="0" applyAlignment="0" applyProtection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0" borderId="0"/>
    <xf numFmtId="185" fontId="34" fillId="41" borderId="34" applyNumberFormat="0" applyFont="0" applyAlignment="0" applyProtection="0"/>
    <xf numFmtId="185" fontId="34" fillId="53" borderId="0" applyNumberFormat="0" applyBorder="0" applyAlignment="0" applyProtection="0"/>
    <xf numFmtId="185" fontId="34" fillId="54" borderId="0" applyNumberFormat="0" applyBorder="0" applyAlignment="0" applyProtection="0"/>
    <xf numFmtId="185" fontId="34" fillId="57" borderId="0" applyNumberFormat="0" applyBorder="0" applyAlignment="0" applyProtection="0"/>
    <xf numFmtId="185" fontId="34" fillId="39" borderId="0" applyNumberFormat="0" applyBorder="0" applyAlignment="0" applyProtection="0"/>
    <xf numFmtId="185" fontId="34" fillId="60" borderId="0" applyNumberFormat="0" applyBorder="0" applyAlignment="0" applyProtection="0"/>
    <xf numFmtId="185" fontId="34" fillId="61" borderId="0" applyNumberFormat="0" applyBorder="0" applyAlignment="0" applyProtection="0"/>
    <xf numFmtId="185" fontId="34" fillId="64" borderId="0" applyNumberFormat="0" applyBorder="0" applyAlignment="0" applyProtection="0"/>
    <xf numFmtId="185" fontId="34" fillId="65" borderId="0" applyNumberFormat="0" applyBorder="0" applyAlignment="0" applyProtection="0"/>
    <xf numFmtId="185" fontId="34" fillId="38" borderId="0" applyNumberFormat="0" applyBorder="0" applyAlignment="0" applyProtection="0"/>
    <xf numFmtId="185" fontId="34" fillId="67" borderId="0" applyNumberFormat="0" applyBorder="0" applyAlignment="0" applyProtection="0"/>
    <xf numFmtId="185" fontId="34" fillId="70" borderId="0" applyNumberFormat="0" applyBorder="0" applyAlignment="0" applyProtection="0"/>
    <xf numFmtId="185" fontId="34" fillId="71" borderId="0" applyNumberFormat="0" applyBorder="0" applyAlignment="0" applyProtection="0"/>
    <xf numFmtId="185" fontId="210" fillId="0" borderId="0" applyNumberFormat="0" applyFill="0" applyBorder="0" applyAlignment="0" applyProtection="0"/>
    <xf numFmtId="185" fontId="211" fillId="0" borderId="36" applyNumberFormat="0" applyFill="0" applyAlignment="0" applyProtection="0"/>
    <xf numFmtId="185" fontId="212" fillId="0" borderId="37" applyNumberFormat="0" applyFill="0" applyAlignment="0" applyProtection="0"/>
    <xf numFmtId="185" fontId="213" fillId="0" borderId="38" applyNumberFormat="0" applyFill="0" applyAlignment="0" applyProtection="0"/>
    <xf numFmtId="185" fontId="213" fillId="0" borderId="0" applyNumberFormat="0" applyFill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9" fillId="51" borderId="35" applyNumberFormat="0" applyAlignment="0" applyProtection="0"/>
    <xf numFmtId="185" fontId="195" fillId="40" borderId="33" applyNumberFormat="0" applyAlignment="0" applyProtection="0"/>
    <xf numFmtId="185" fontId="191" fillId="0" borderId="0" applyNumberFormat="0" applyFill="0" applyBorder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33" fillId="53" borderId="0" applyNumberFormat="0" applyBorder="0" applyAlignment="0" applyProtection="0"/>
    <xf numFmtId="185" fontId="33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33" fillId="57" borderId="0" applyNumberFormat="0" applyBorder="0" applyAlignment="0" applyProtection="0"/>
    <xf numFmtId="185" fontId="33" fillId="3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33" fillId="60" borderId="0" applyNumberFormat="0" applyBorder="0" applyAlignment="0" applyProtection="0"/>
    <xf numFmtId="185" fontId="33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33" fillId="64" borderId="0" applyNumberFormat="0" applyBorder="0" applyAlignment="0" applyProtection="0"/>
    <xf numFmtId="185" fontId="33" fillId="65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33" fillId="38" borderId="0" applyNumberFormat="0" applyBorder="0" applyAlignment="0" applyProtection="0"/>
    <xf numFmtId="185" fontId="33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33" fillId="70" borderId="0" applyNumberFormat="0" applyBorder="0" applyAlignment="0" applyProtection="0"/>
    <xf numFmtId="185" fontId="33" fillId="71" borderId="0" applyNumberFormat="0" applyBorder="0" applyAlignment="0" applyProtection="0"/>
    <xf numFmtId="185" fontId="188" fillId="72" borderId="0" applyNumberFormat="0" applyBorder="0" applyAlignment="0" applyProtection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41" borderId="34" applyNumberFormat="0" applyFont="0" applyAlignment="0" applyProtection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43" fontId="33" fillId="0" borderId="0" applyFont="0" applyFill="0" applyBorder="0" applyAlignment="0" applyProtection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76" fontId="60" fillId="0" borderId="0"/>
    <xf numFmtId="185" fontId="33" fillId="0" borderId="0"/>
    <xf numFmtId="176" fontId="60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3" fillId="0" borderId="0"/>
    <xf numFmtId="176" fontId="60" fillId="0" borderId="0"/>
    <xf numFmtId="176" fontId="60" fillId="0" borderId="0"/>
    <xf numFmtId="185" fontId="33" fillId="0" borderId="0"/>
    <xf numFmtId="185" fontId="33" fillId="0" borderId="0"/>
    <xf numFmtId="176" fontId="60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76" fontId="60" fillId="0" borderId="0"/>
    <xf numFmtId="176" fontId="60" fillId="0" borderId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38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39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0" borderId="0"/>
    <xf numFmtId="185" fontId="33" fillId="0" borderId="0"/>
    <xf numFmtId="185" fontId="33" fillId="0" borderId="0"/>
    <xf numFmtId="177" fontId="60" fillId="0" borderId="0"/>
    <xf numFmtId="185" fontId="33" fillId="0" borderId="0"/>
    <xf numFmtId="185" fontId="33" fillId="0" borderId="0"/>
    <xf numFmtId="185" fontId="39" fillId="0" borderId="0"/>
    <xf numFmtId="185" fontId="39" fillId="0" borderId="0"/>
    <xf numFmtId="185" fontId="33" fillId="0" borderId="0"/>
    <xf numFmtId="176" fontId="60" fillId="0" borderId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9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0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8" borderId="0" applyNumberFormat="0" applyBorder="0" applyAlignment="0" applyProtection="0"/>
    <xf numFmtId="185" fontId="33" fillId="38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39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1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4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7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11" borderId="0" applyNumberFormat="0" applyBorder="0" applyAlignment="0" applyProtection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85" fontId="33" fillId="0" borderId="0"/>
    <xf numFmtId="176" fontId="60" fillId="0" borderId="0"/>
    <xf numFmtId="185" fontId="33" fillId="0" borderId="0"/>
    <xf numFmtId="176" fontId="60" fillId="0" borderId="0"/>
    <xf numFmtId="185" fontId="33" fillId="0" borderId="0"/>
    <xf numFmtId="176" fontId="60" fillId="0" borderId="0"/>
    <xf numFmtId="176" fontId="60" fillId="0" borderId="0"/>
    <xf numFmtId="177" fontId="60" fillId="0" borderId="0"/>
    <xf numFmtId="43" fontId="33" fillId="0" borderId="0" applyFont="0" applyFill="0" applyBorder="0" applyAlignment="0" applyProtection="0"/>
    <xf numFmtId="185" fontId="210" fillId="0" borderId="0" applyNumberFormat="0" applyFill="0" applyBorder="0" applyAlignment="0" applyProtection="0"/>
    <xf numFmtId="185" fontId="211" fillId="0" borderId="36" applyNumberFormat="0" applyFill="0" applyAlignment="0" applyProtection="0"/>
    <xf numFmtId="185" fontId="212" fillId="0" borderId="37" applyNumberFormat="0" applyFill="0" applyAlignment="0" applyProtection="0"/>
    <xf numFmtId="185" fontId="213" fillId="0" borderId="38" applyNumberFormat="0" applyFill="0" applyAlignment="0" applyProtection="0"/>
    <xf numFmtId="185" fontId="213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16" fillId="0" borderId="39" applyNumberFormat="0" applyFill="0" applyAlignment="0" applyProtection="0"/>
    <xf numFmtId="185" fontId="33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33" fillId="53" borderId="0" applyNumberFormat="0" applyBorder="0" applyAlignment="0" applyProtection="0"/>
    <xf numFmtId="185" fontId="33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33" fillId="57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33" fillId="60" borderId="0" applyNumberFormat="0" applyBorder="0" applyAlignment="0" applyProtection="0"/>
    <xf numFmtId="185" fontId="33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33" fillId="64" borderId="0" applyNumberFormat="0" applyBorder="0" applyAlignment="0" applyProtection="0"/>
    <xf numFmtId="185" fontId="33" fillId="65" borderId="0" applyNumberFormat="0" applyBorder="0" applyAlignment="0" applyProtection="0"/>
    <xf numFmtId="185" fontId="188" fillId="66" borderId="0" applyNumberFormat="0" applyBorder="0" applyAlignment="0" applyProtection="0"/>
    <xf numFmtId="185" fontId="33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33" fillId="70" borderId="0" applyNumberFormat="0" applyBorder="0" applyAlignment="0" applyProtection="0"/>
    <xf numFmtId="185" fontId="33" fillId="71" borderId="0" applyNumberFormat="0" applyBorder="0" applyAlignment="0" applyProtection="0"/>
    <xf numFmtId="185" fontId="188" fillId="72" borderId="0" applyNumberFormat="0" applyBorder="0" applyAlignment="0" applyProtection="0"/>
    <xf numFmtId="185" fontId="194" fillId="46" borderId="0">
      <alignment horizontal="right"/>
    </xf>
    <xf numFmtId="185" fontId="40" fillId="47" borderId="0"/>
    <xf numFmtId="185" fontId="33" fillId="9" borderId="0" applyNumberFormat="0" applyBorder="0" applyAlignment="0" applyProtection="0"/>
    <xf numFmtId="185" fontId="33" fillId="10" borderId="0" applyNumberFormat="0" applyBorder="0" applyAlignment="0" applyProtection="0"/>
    <xf numFmtId="185" fontId="33" fillId="11" borderId="0" applyNumberFormat="0" applyBorder="0" applyAlignment="0" applyProtection="0"/>
    <xf numFmtId="185" fontId="33" fillId="8" borderId="0" applyNumberFormat="0" applyBorder="0" applyAlignment="0" applyProtection="0"/>
    <xf numFmtId="185" fontId="33" fillId="11" borderId="0" applyNumberFormat="0" applyBorder="0" applyAlignment="0" applyProtection="0"/>
    <xf numFmtId="185" fontId="33" fillId="7" borderId="0" applyNumberFormat="0" applyBorder="0" applyAlignment="0" applyProtection="0"/>
    <xf numFmtId="185" fontId="33" fillId="14" borderId="0" applyNumberFormat="0" applyBorder="0" applyAlignment="0" applyProtection="0"/>
    <xf numFmtId="185" fontId="33" fillId="4" borderId="0" applyNumberFormat="0" applyBorder="0" applyAlignment="0" applyProtection="0"/>
    <xf numFmtId="185" fontId="33" fillId="7" borderId="0" applyNumberFormat="0" applyBorder="0" applyAlignment="0" applyProtection="0"/>
    <xf numFmtId="185" fontId="33" fillId="11" borderId="0" applyNumberFormat="0" applyBorder="0" applyAlignment="0" applyProtection="0"/>
    <xf numFmtId="185" fontId="188" fillId="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4" borderId="0" applyNumberFormat="0" applyBorder="0" applyAlignment="0" applyProtection="0"/>
    <xf numFmtId="185" fontId="188" fillId="7" borderId="0" applyNumberFormat="0" applyBorder="0" applyAlignment="0" applyProtection="0"/>
    <xf numFmtId="185" fontId="188" fillId="10" borderId="0" applyNumberFormat="0" applyBorder="0" applyAlignment="0" applyProtection="0"/>
    <xf numFmtId="185" fontId="189" fillId="24" borderId="32" applyNumberFormat="0" applyAlignment="0" applyProtection="0"/>
    <xf numFmtId="185" fontId="190" fillId="6" borderId="0" applyNumberFormat="0" applyBorder="0" applyAlignment="0" applyProtection="0"/>
    <xf numFmtId="185" fontId="192" fillId="7" borderId="0" applyNumberFormat="0" applyBorder="0" applyAlignment="0" applyProtection="0"/>
    <xf numFmtId="185" fontId="193" fillId="14" borderId="32" applyNumberFormat="0" applyAlignment="0" applyProtection="0"/>
    <xf numFmtId="185" fontId="77" fillId="0" borderId="9" applyNumberFormat="0" applyFill="0" applyAlignment="0" applyProtection="0"/>
    <xf numFmtId="185" fontId="194" fillId="2" borderId="0">
      <alignment horizontal="right"/>
    </xf>
    <xf numFmtId="43" fontId="38" fillId="0" borderId="0" applyFont="0" applyFill="0" applyBorder="0" applyAlignment="0" applyProtection="0"/>
    <xf numFmtId="185" fontId="38" fillId="41" borderId="34" applyNumberFormat="0" applyFont="0" applyAlignment="0" applyProtection="0"/>
    <xf numFmtId="185" fontId="197" fillId="42" borderId="0" applyNumberFormat="0" applyBorder="0" applyAlignment="0" applyProtection="0"/>
    <xf numFmtId="185" fontId="156" fillId="0" borderId="12" applyNumberFormat="0" applyFill="0" applyAlignment="0" applyProtection="0"/>
    <xf numFmtId="185" fontId="157" fillId="0" borderId="13" applyNumberFormat="0" applyFill="0" applyAlignment="0" applyProtection="0"/>
    <xf numFmtId="185" fontId="158" fillId="0" borderId="14" applyNumberFormat="0" applyFill="0" applyAlignment="0" applyProtection="0"/>
    <xf numFmtId="185" fontId="158" fillId="0" borderId="0" applyNumberFormat="0" applyFill="0" applyBorder="0" applyAlignment="0" applyProtection="0"/>
    <xf numFmtId="185" fontId="40" fillId="26" borderId="0"/>
    <xf numFmtId="185" fontId="159" fillId="0" borderId="0" applyNumberFormat="0" applyFill="0" applyBorder="0" applyAlignment="0" applyProtection="0"/>
    <xf numFmtId="185" fontId="198" fillId="0" borderId="16" applyNumberFormat="0" applyFill="0" applyAlignment="0" applyProtection="0"/>
    <xf numFmtId="185" fontId="199" fillId="24" borderId="35" applyNumberFormat="0" applyAlignment="0" applyProtection="0"/>
    <xf numFmtId="185" fontId="188" fillId="2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28" borderId="0" applyNumberFormat="0" applyBorder="0" applyAlignment="0" applyProtection="0"/>
    <xf numFmtId="185" fontId="188" fillId="21" borderId="0" applyNumberFormat="0" applyBorder="0" applyAlignment="0" applyProtection="0"/>
    <xf numFmtId="185" fontId="33" fillId="0" borderId="0"/>
    <xf numFmtId="185" fontId="32" fillId="0" borderId="0"/>
    <xf numFmtId="185" fontId="32" fillId="0" borderId="0"/>
    <xf numFmtId="185" fontId="32" fillId="0" borderId="0"/>
    <xf numFmtId="185" fontId="32" fillId="41" borderId="34" applyNumberFormat="0" applyFont="0" applyAlignment="0" applyProtection="0"/>
    <xf numFmtId="185" fontId="32" fillId="53" borderId="0" applyNumberFormat="0" applyBorder="0" applyAlignment="0" applyProtection="0"/>
    <xf numFmtId="185" fontId="32" fillId="54" borderId="0" applyNumberFormat="0" applyBorder="0" applyAlignment="0" applyProtection="0"/>
    <xf numFmtId="185" fontId="32" fillId="57" borderId="0" applyNumberFormat="0" applyBorder="0" applyAlignment="0" applyProtection="0"/>
    <xf numFmtId="185" fontId="32" fillId="39" borderId="0" applyNumberFormat="0" applyBorder="0" applyAlignment="0" applyProtection="0"/>
    <xf numFmtId="185" fontId="32" fillId="60" borderId="0" applyNumberFormat="0" applyBorder="0" applyAlignment="0" applyProtection="0"/>
    <xf numFmtId="185" fontId="32" fillId="61" borderId="0" applyNumberFormat="0" applyBorder="0" applyAlignment="0" applyProtection="0"/>
    <xf numFmtId="185" fontId="32" fillId="64" borderId="0" applyNumberFormat="0" applyBorder="0" applyAlignment="0" applyProtection="0"/>
    <xf numFmtId="185" fontId="32" fillId="65" borderId="0" applyNumberFormat="0" applyBorder="0" applyAlignment="0" applyProtection="0"/>
    <xf numFmtId="185" fontId="32" fillId="38" borderId="0" applyNumberFormat="0" applyBorder="0" applyAlignment="0" applyProtection="0"/>
    <xf numFmtId="185" fontId="32" fillId="67" borderId="0" applyNumberFormat="0" applyBorder="0" applyAlignment="0" applyProtection="0"/>
    <xf numFmtId="185" fontId="32" fillId="70" borderId="0" applyNumberFormat="0" applyBorder="0" applyAlignment="0" applyProtection="0"/>
    <xf numFmtId="185" fontId="32" fillId="71" borderId="0" applyNumberFormat="0" applyBorder="0" applyAlignment="0" applyProtection="0"/>
    <xf numFmtId="185" fontId="32" fillId="0" borderId="0"/>
    <xf numFmtId="185" fontId="32" fillId="0" borderId="0"/>
    <xf numFmtId="185" fontId="32" fillId="0" borderId="0"/>
    <xf numFmtId="185" fontId="32" fillId="0" borderId="0"/>
    <xf numFmtId="185" fontId="32" fillId="0" borderId="0"/>
    <xf numFmtId="185" fontId="32" fillId="0" borderId="0"/>
    <xf numFmtId="185" fontId="32" fillId="0" borderId="0"/>
    <xf numFmtId="185" fontId="32" fillId="0" borderId="0"/>
    <xf numFmtId="185" fontId="32" fillId="0" borderId="0"/>
    <xf numFmtId="185" fontId="32" fillId="0" borderId="0"/>
    <xf numFmtId="43" fontId="32" fillId="0" borderId="0" applyFont="0" applyFill="0" applyBorder="0" applyAlignment="0" applyProtection="0"/>
    <xf numFmtId="185" fontId="31" fillId="70" borderId="0" applyNumberFormat="0" applyBorder="0" applyAlignment="0" applyProtection="0"/>
    <xf numFmtId="185" fontId="31" fillId="71" borderId="0" applyNumberFormat="0" applyBorder="0" applyAlignment="0" applyProtection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43" fontId="39" fillId="0" borderId="0" applyFont="0" applyFill="0" applyBorder="0" applyAlignment="0" applyProtection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43" fontId="141" fillId="0" borderId="0" applyFont="0" applyFill="0" applyBorder="0" applyAlignment="0" applyProtection="0"/>
    <xf numFmtId="185" fontId="31" fillId="0" borderId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43" fontId="141" fillId="0" borderId="0" applyFont="0" applyFill="0" applyBorder="0" applyAlignment="0" applyProtection="0"/>
    <xf numFmtId="43" fontId="31" fillId="0" borderId="0" applyFont="0" applyFill="0" applyBorder="0" applyAlignment="0" applyProtection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41" borderId="34" applyNumberFormat="0" applyFont="0" applyAlignment="0" applyProtection="0"/>
    <xf numFmtId="185" fontId="30" fillId="0" borderId="0"/>
    <xf numFmtId="185" fontId="30" fillId="53" borderId="0" applyNumberFormat="0" applyBorder="0" applyAlignment="0" applyProtection="0"/>
    <xf numFmtId="185" fontId="30" fillId="54" borderId="0" applyNumberFormat="0" applyBorder="0" applyAlignment="0" applyProtection="0"/>
    <xf numFmtId="185" fontId="30" fillId="0" borderId="0"/>
    <xf numFmtId="185" fontId="30" fillId="57" borderId="0" applyNumberFormat="0" applyBorder="0" applyAlignment="0" applyProtection="0"/>
    <xf numFmtId="185" fontId="30" fillId="39" borderId="0" applyNumberFormat="0" applyBorder="0" applyAlignment="0" applyProtection="0"/>
    <xf numFmtId="185" fontId="30" fillId="60" borderId="0" applyNumberFormat="0" applyBorder="0" applyAlignment="0" applyProtection="0"/>
    <xf numFmtId="185" fontId="30" fillId="61" borderId="0" applyNumberFormat="0" applyBorder="0" applyAlignment="0" applyProtection="0"/>
    <xf numFmtId="185" fontId="30" fillId="64" borderId="0" applyNumberFormat="0" applyBorder="0" applyAlignment="0" applyProtection="0"/>
    <xf numFmtId="185" fontId="30" fillId="65" borderId="0" applyNumberFormat="0" applyBorder="0" applyAlignment="0" applyProtection="0"/>
    <xf numFmtId="185" fontId="30" fillId="38" borderId="0" applyNumberFormat="0" applyBorder="0" applyAlignment="0" applyProtection="0"/>
    <xf numFmtId="185" fontId="30" fillId="67" borderId="0" applyNumberFormat="0" applyBorder="0" applyAlignment="0" applyProtection="0"/>
    <xf numFmtId="185" fontId="30" fillId="70" borderId="0" applyNumberFormat="0" applyBorder="0" applyAlignment="0" applyProtection="0"/>
    <xf numFmtId="185" fontId="30" fillId="71" borderId="0" applyNumberFormat="0" applyBorder="0" applyAlignment="0" applyProtection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43" fontId="39" fillId="0" borderId="0" applyFont="0" applyFill="0" applyBorder="0" applyAlignment="0" applyProtection="0"/>
    <xf numFmtId="185" fontId="30" fillId="0" borderId="0"/>
    <xf numFmtId="185" fontId="30" fillId="0" borderId="0"/>
    <xf numFmtId="43" fontId="30" fillId="0" borderId="0" applyFont="0" applyFill="0" applyBorder="0" applyAlignment="0" applyProtection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0" fillId="0" borderId="0"/>
    <xf numFmtId="185" fontId="38" fillId="3" borderId="0" applyNumberFormat="0" applyBorder="0" applyAlignment="0" applyProtection="0"/>
    <xf numFmtId="185" fontId="38" fillId="4" borderId="0" applyNumberFormat="0" applyBorder="0" applyAlignment="0" applyProtection="0"/>
    <xf numFmtId="185" fontId="38" fillId="5" borderId="0" applyNumberFormat="0" applyBorder="0" applyAlignment="0" applyProtection="0"/>
    <xf numFmtId="185" fontId="38" fillId="6" borderId="0" applyNumberFormat="0" applyBorder="0" applyAlignment="0" applyProtection="0"/>
    <xf numFmtId="185" fontId="38" fillId="7" borderId="0" applyNumberFormat="0" applyBorder="0" applyAlignment="0" applyProtection="0"/>
    <xf numFmtId="185" fontId="38" fillId="8" borderId="0" applyNumberFormat="0" applyBorder="0" applyAlignment="0" applyProtection="0"/>
    <xf numFmtId="185" fontId="38" fillId="9" borderId="0" applyNumberFormat="0" applyBorder="0" applyAlignment="0" applyProtection="0"/>
    <xf numFmtId="185" fontId="38" fillId="10" borderId="0" applyNumberFormat="0" applyBorder="0" applyAlignment="0" applyProtection="0"/>
    <xf numFmtId="185" fontId="38" fillId="12" borderId="0" applyNumberFormat="0" applyBorder="0" applyAlignment="0" applyProtection="0"/>
    <xf numFmtId="185" fontId="38" fillId="6" borderId="0" applyNumberFormat="0" applyBorder="0" applyAlignment="0" applyProtection="0"/>
    <xf numFmtId="185" fontId="38" fillId="9" borderId="0" applyNumberFormat="0" applyBorder="0" applyAlignment="0" applyProtection="0"/>
    <xf numFmtId="185" fontId="38" fillId="13" borderId="0" applyNumberFormat="0" applyBorder="0" applyAlignment="0" applyProtection="0"/>
    <xf numFmtId="185" fontId="62" fillId="15" borderId="0" applyNumberFormat="0" applyBorder="0" applyAlignment="0" applyProtection="0"/>
    <xf numFmtId="185" fontId="62" fillId="10" borderId="0" applyNumberFormat="0" applyBorder="0" applyAlignment="0" applyProtection="0"/>
    <xf numFmtId="185" fontId="62" fillId="12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2" fillId="15" borderId="0" applyNumberFormat="0" applyBorder="0" applyAlignment="0" applyProtection="0"/>
    <xf numFmtId="185" fontId="62" fillId="10" borderId="0" applyNumberFormat="0" applyBorder="0" applyAlignment="0" applyProtection="0"/>
    <xf numFmtId="185" fontId="62" fillId="12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2" fillId="20" borderId="0" applyNumberFormat="0" applyBorder="0" applyAlignment="0" applyProtection="0"/>
    <xf numFmtId="185" fontId="62" fillId="21" borderId="0" applyNumberFormat="0" applyBorder="0" applyAlignment="0" applyProtection="0"/>
    <xf numFmtId="185" fontId="62" fillId="22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9" borderId="0" applyNumberFormat="0" applyBorder="0" applyAlignment="0" applyProtection="0"/>
    <xf numFmtId="185" fontId="64" fillId="4" borderId="0" applyNumberFormat="0" applyBorder="0" applyAlignment="0" applyProtection="0"/>
    <xf numFmtId="185" fontId="69" fillId="25" borderId="4" applyNumberFormat="0" applyAlignment="0" applyProtection="0"/>
    <xf numFmtId="185" fontId="64" fillId="4" borderId="0" applyNumberFormat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71" fillId="0" borderId="5" applyNumberFormat="0" applyFill="0" applyAlignment="0" applyProtection="0"/>
    <xf numFmtId="185" fontId="72" fillId="0" borderId="6" applyNumberFormat="0" applyFill="0" applyAlignment="0" applyProtection="0"/>
    <xf numFmtId="185" fontId="73" fillId="0" borderId="7" applyNumberFormat="0" applyFill="0" applyAlignment="0" applyProtection="0"/>
    <xf numFmtId="185" fontId="73" fillId="0" borderId="0" applyNumberForma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85" fontId="69" fillId="25" borderId="4" applyNumberFormat="0" applyAlignment="0" applyProtection="0"/>
    <xf numFmtId="185" fontId="70" fillId="14" borderId="0" applyNumberFormat="0" applyBorder="0" applyAlignment="0" applyProtection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29" fillId="0" borderId="0"/>
    <xf numFmtId="185" fontId="70" fillId="14" borderId="0" applyNumberFormat="0" applyBorder="0" applyAlignment="0" applyProtection="0"/>
    <xf numFmtId="185" fontId="71" fillId="0" borderId="5" applyNumberFormat="0" applyFill="0" applyAlignment="0" applyProtection="0"/>
    <xf numFmtId="185" fontId="72" fillId="0" borderId="6" applyNumberFormat="0" applyFill="0" applyAlignment="0" applyProtection="0"/>
    <xf numFmtId="185" fontId="73" fillId="0" borderId="7" applyNumberFormat="0" applyFill="0" applyAlignment="0" applyProtection="0"/>
    <xf numFmtId="185" fontId="73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5" fillId="0" borderId="15" applyNumberFormat="0" applyFill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76" fillId="23" borderId="11" applyNumberFormat="0" applyAlignment="0" applyProtection="0"/>
    <xf numFmtId="185" fontId="62" fillId="20" borderId="0" applyNumberFormat="0" applyBorder="0" applyAlignment="0" applyProtection="0"/>
    <xf numFmtId="185" fontId="62" fillId="21" borderId="0" applyNumberFormat="0" applyBorder="0" applyAlignment="0" applyProtection="0"/>
    <xf numFmtId="185" fontId="62" fillId="22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38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39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38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39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43" fontId="28" fillId="0" borderId="0" applyFont="0" applyFill="0" applyBorder="0" applyAlignment="0" applyProtection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41" borderId="34" applyNumberFormat="0" applyFont="0" applyAlignment="0" applyProtection="0"/>
    <xf numFmtId="185" fontId="28" fillId="53" borderId="0" applyNumberFormat="0" applyBorder="0" applyAlignment="0" applyProtection="0"/>
    <xf numFmtId="185" fontId="28" fillId="54" borderId="0" applyNumberFormat="0" applyBorder="0" applyAlignment="0" applyProtection="0"/>
    <xf numFmtId="185" fontId="28" fillId="57" borderId="0" applyNumberFormat="0" applyBorder="0" applyAlignment="0" applyProtection="0"/>
    <xf numFmtId="185" fontId="28" fillId="39" borderId="0" applyNumberFormat="0" applyBorder="0" applyAlignment="0" applyProtection="0"/>
    <xf numFmtId="185" fontId="28" fillId="60" borderId="0" applyNumberFormat="0" applyBorder="0" applyAlignment="0" applyProtection="0"/>
    <xf numFmtId="185" fontId="28" fillId="61" borderId="0" applyNumberFormat="0" applyBorder="0" applyAlignment="0" applyProtection="0"/>
    <xf numFmtId="185" fontId="28" fillId="64" borderId="0" applyNumberFormat="0" applyBorder="0" applyAlignment="0" applyProtection="0"/>
    <xf numFmtId="185" fontId="28" fillId="65" borderId="0" applyNumberFormat="0" applyBorder="0" applyAlignment="0" applyProtection="0"/>
    <xf numFmtId="185" fontId="28" fillId="38" borderId="0" applyNumberFormat="0" applyBorder="0" applyAlignment="0" applyProtection="0"/>
    <xf numFmtId="185" fontId="28" fillId="67" borderId="0" applyNumberFormat="0" applyBorder="0" applyAlignment="0" applyProtection="0"/>
    <xf numFmtId="185" fontId="28" fillId="70" borderId="0" applyNumberFormat="0" applyBorder="0" applyAlignment="0" applyProtection="0"/>
    <xf numFmtId="185" fontId="28" fillId="71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38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39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9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0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8" borderId="0" applyNumberFormat="0" applyBorder="0" applyAlignment="0" applyProtection="0"/>
    <xf numFmtId="185" fontId="28" fillId="38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39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1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4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7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11" borderId="0" applyNumberFormat="0" applyBorder="0" applyAlignment="0" applyProtection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43" fontId="28" fillId="0" borderId="0" applyFont="0" applyFill="0" applyBorder="0" applyAlignment="0" applyProtection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41" borderId="34" applyNumberFormat="0" applyFont="0" applyAlignment="0" applyProtection="0"/>
    <xf numFmtId="185" fontId="28" fillId="53" borderId="0" applyNumberFormat="0" applyBorder="0" applyAlignment="0" applyProtection="0"/>
    <xf numFmtId="185" fontId="28" fillId="54" borderId="0" applyNumberFormat="0" applyBorder="0" applyAlignment="0" applyProtection="0"/>
    <xf numFmtId="185" fontId="28" fillId="57" borderId="0" applyNumberFormat="0" applyBorder="0" applyAlignment="0" applyProtection="0"/>
    <xf numFmtId="185" fontId="28" fillId="39" borderId="0" applyNumberFormat="0" applyBorder="0" applyAlignment="0" applyProtection="0"/>
    <xf numFmtId="185" fontId="28" fillId="60" borderId="0" applyNumberFormat="0" applyBorder="0" applyAlignment="0" applyProtection="0"/>
    <xf numFmtId="185" fontId="28" fillId="61" borderId="0" applyNumberFormat="0" applyBorder="0" applyAlignment="0" applyProtection="0"/>
    <xf numFmtId="185" fontId="28" fillId="64" borderId="0" applyNumberFormat="0" applyBorder="0" applyAlignment="0" applyProtection="0"/>
    <xf numFmtId="185" fontId="28" fillId="65" borderId="0" applyNumberFormat="0" applyBorder="0" applyAlignment="0" applyProtection="0"/>
    <xf numFmtId="185" fontId="28" fillId="38" borderId="0" applyNumberFormat="0" applyBorder="0" applyAlignment="0" applyProtection="0"/>
    <xf numFmtId="185" fontId="28" fillId="67" borderId="0" applyNumberFormat="0" applyBorder="0" applyAlignment="0" applyProtection="0"/>
    <xf numFmtId="185" fontId="28" fillId="70" borderId="0" applyNumberFormat="0" applyBorder="0" applyAlignment="0" applyProtection="0"/>
    <xf numFmtId="185" fontId="28" fillId="71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38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39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9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0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8" borderId="0" applyNumberFormat="0" applyBorder="0" applyAlignment="0" applyProtection="0"/>
    <xf numFmtId="185" fontId="27" fillId="38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39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1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4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7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11" borderId="0" applyNumberFormat="0" applyBorder="0" applyAlignment="0" applyProtection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7" fillId="0" borderId="0"/>
    <xf numFmtId="185" fontId="26" fillId="0" borderId="0"/>
    <xf numFmtId="177" fontId="60" fillId="0" borderId="0"/>
    <xf numFmtId="43" fontId="20" fillId="0" borderId="0" applyFont="0" applyFill="0" applyBorder="0" applyAlignment="0" applyProtection="0"/>
    <xf numFmtId="185" fontId="20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64" fontId="141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38" borderId="0" applyNumberFormat="0" applyBorder="0" applyAlignment="0" applyProtection="0"/>
    <xf numFmtId="185" fontId="26" fillId="65" borderId="0" applyNumberFormat="0" applyBorder="0" applyAlignment="0" applyProtection="0"/>
    <xf numFmtId="185" fontId="26" fillId="64" borderId="0" applyNumberFormat="0" applyBorder="0" applyAlignment="0" applyProtection="0"/>
    <xf numFmtId="185" fontId="26" fillId="61" borderId="0" applyNumberFormat="0" applyBorder="0" applyAlignment="0" applyProtection="0"/>
    <xf numFmtId="185" fontId="26" fillId="60" borderId="0" applyNumberFormat="0" applyBorder="0" applyAlignment="0" applyProtection="0"/>
    <xf numFmtId="185" fontId="26" fillId="39" borderId="0" applyNumberFormat="0" applyBorder="0" applyAlignment="0" applyProtection="0"/>
    <xf numFmtId="185" fontId="26" fillId="57" borderId="0" applyNumberFormat="0" applyBorder="0" applyAlignment="0" applyProtection="0"/>
    <xf numFmtId="185" fontId="26" fillId="54" borderId="0" applyNumberFormat="0" applyBorder="0" applyAlignment="0" applyProtection="0"/>
    <xf numFmtId="185" fontId="26" fillId="53" borderId="0" applyNumberFormat="0" applyBorder="0" applyAlignment="0" applyProtection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6" fillId="0" borderId="0"/>
    <xf numFmtId="185" fontId="26" fillId="41" borderId="34" applyNumberFormat="0" applyFont="0" applyAlignment="0" applyProtection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39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35" fillId="0" borderId="0"/>
    <xf numFmtId="185" fontId="26" fillId="67" borderId="0" applyNumberFormat="0" applyBorder="0" applyAlignment="0" applyProtection="0"/>
    <xf numFmtId="185" fontId="26" fillId="38" borderId="0" applyNumberFormat="0" applyBorder="0" applyAlignment="0" applyProtection="0"/>
    <xf numFmtId="185" fontId="26" fillId="0" borderId="0"/>
    <xf numFmtId="185" fontId="26" fillId="65" borderId="0" applyNumberFormat="0" applyBorder="0" applyAlignment="0" applyProtection="0"/>
    <xf numFmtId="185" fontId="26" fillId="64" borderId="0" applyNumberFormat="0" applyBorder="0" applyAlignment="0" applyProtection="0"/>
    <xf numFmtId="185" fontId="26" fillId="0" borderId="0"/>
    <xf numFmtId="185" fontId="26" fillId="0" borderId="0"/>
    <xf numFmtId="185" fontId="26" fillId="61" borderId="0" applyNumberFormat="0" applyBorder="0" applyAlignment="0" applyProtection="0"/>
    <xf numFmtId="185" fontId="26" fillId="60" borderId="0" applyNumberFormat="0" applyBorder="0" applyAlignment="0" applyProtection="0"/>
    <xf numFmtId="185" fontId="26" fillId="0" borderId="0"/>
    <xf numFmtId="185" fontId="26" fillId="39" borderId="0" applyNumberFormat="0" applyBorder="0" applyAlignment="0" applyProtection="0"/>
    <xf numFmtId="185" fontId="26" fillId="57" borderId="0" applyNumberFormat="0" applyBorder="0" applyAlignment="0" applyProtection="0"/>
    <xf numFmtId="185" fontId="26" fillId="54" borderId="0" applyNumberFormat="0" applyBorder="0" applyAlignment="0" applyProtection="0"/>
    <xf numFmtId="185" fontId="26" fillId="53" borderId="0" applyNumberFormat="0" applyBorder="0" applyAlignment="0" applyProtection="0"/>
    <xf numFmtId="185" fontId="26" fillId="41" borderId="34" applyNumberFormat="0" applyFont="0" applyAlignment="0" applyProtection="0"/>
    <xf numFmtId="185" fontId="26" fillId="0" borderId="0"/>
    <xf numFmtId="185" fontId="26" fillId="0" borderId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0" borderId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0" borderId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64" fontId="141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26" fillId="0" borderId="0" applyFont="0" applyFill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41" borderId="34" applyNumberFormat="0" applyFont="0" applyAlignment="0" applyProtection="0"/>
    <xf numFmtId="185" fontId="26" fillId="53" borderId="0" applyNumberFormat="0" applyBorder="0" applyAlignment="0" applyProtection="0"/>
    <xf numFmtId="185" fontId="26" fillId="54" borderId="0" applyNumberFormat="0" applyBorder="0" applyAlignment="0" applyProtection="0"/>
    <xf numFmtId="185" fontId="26" fillId="57" borderId="0" applyNumberFormat="0" applyBorder="0" applyAlignment="0" applyProtection="0"/>
    <xf numFmtId="185" fontId="26" fillId="39" borderId="0" applyNumberFormat="0" applyBorder="0" applyAlignment="0" applyProtection="0"/>
    <xf numFmtId="185" fontId="26" fillId="60" borderId="0" applyNumberFormat="0" applyBorder="0" applyAlignment="0" applyProtection="0"/>
    <xf numFmtId="185" fontId="26" fillId="61" borderId="0" applyNumberFormat="0" applyBorder="0" applyAlignment="0" applyProtection="0"/>
    <xf numFmtId="185" fontId="26" fillId="64" borderId="0" applyNumberFormat="0" applyBorder="0" applyAlignment="0" applyProtection="0"/>
    <xf numFmtId="185" fontId="26" fillId="65" borderId="0" applyNumberFormat="0" applyBorder="0" applyAlignment="0" applyProtection="0"/>
    <xf numFmtId="185" fontId="26" fillId="38" borderId="0" applyNumberFormat="0" applyBorder="0" applyAlignment="0" applyProtection="0"/>
    <xf numFmtId="185" fontId="26" fillId="67" borderId="0" applyNumberFormat="0" applyBorder="0" applyAlignment="0" applyProtection="0"/>
    <xf numFmtId="185" fontId="26" fillId="70" borderId="0" applyNumberFormat="0" applyBorder="0" applyAlignment="0" applyProtection="0"/>
    <xf numFmtId="185" fontId="26" fillId="71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9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0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8" borderId="0" applyNumberFormat="0" applyBorder="0" applyAlignment="0" applyProtection="0"/>
    <xf numFmtId="185" fontId="26" fillId="38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39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1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4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7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11" borderId="0" applyNumberFormat="0" applyBorder="0" applyAlignment="0" applyProtection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185" fontId="26" fillId="0" borderId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25" fillId="38" borderId="0" applyNumberFormat="0" applyBorder="0" applyAlignment="0" applyProtection="0"/>
    <xf numFmtId="185" fontId="25" fillId="65" borderId="0" applyNumberFormat="0" applyBorder="0" applyAlignment="0" applyProtection="0"/>
    <xf numFmtId="185" fontId="25" fillId="64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67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0" borderId="0"/>
    <xf numFmtId="185" fontId="25" fillId="38" borderId="0" applyNumberFormat="0" applyBorder="0" applyAlignment="0" applyProtection="0"/>
    <xf numFmtId="185" fontId="25" fillId="65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61" borderId="0" applyNumberFormat="0" applyBorder="0" applyAlignment="0" applyProtection="0"/>
    <xf numFmtId="185" fontId="25" fillId="60" borderId="0" applyNumberFormat="0" applyBorder="0" applyAlignment="0" applyProtection="0"/>
    <xf numFmtId="185" fontId="25" fillId="39" borderId="0" applyNumberFormat="0" applyBorder="0" applyAlignment="0" applyProtection="0"/>
    <xf numFmtId="185" fontId="25" fillId="6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0" borderId="0"/>
    <xf numFmtId="185" fontId="25" fillId="39" borderId="0" applyNumberFormat="0" applyBorder="0" applyAlignment="0" applyProtection="0"/>
    <xf numFmtId="185" fontId="25" fillId="0" borderId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61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60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0" borderId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57" borderId="0" applyNumberFormat="0" applyBorder="0" applyAlignment="0" applyProtection="0"/>
    <xf numFmtId="185" fontId="25" fillId="54" borderId="0" applyNumberFormat="0" applyBorder="0" applyAlignment="0" applyProtection="0"/>
    <xf numFmtId="185" fontId="25" fillId="53" borderId="0" applyNumberFormat="0" applyBorder="0" applyAlignment="0" applyProtection="0"/>
    <xf numFmtId="185" fontId="25" fillId="39" borderId="0" applyNumberFormat="0" applyBorder="0" applyAlignment="0" applyProtection="0"/>
    <xf numFmtId="185" fontId="25" fillId="57" borderId="0" applyNumberFormat="0" applyBorder="0" applyAlignment="0" applyProtection="0"/>
    <xf numFmtId="185" fontId="25" fillId="54" borderId="0" applyNumberFormat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85" fontId="25" fillId="0" borderId="0"/>
    <xf numFmtId="185" fontId="25" fillId="53" borderId="0" applyNumberFormat="0" applyBorder="0" applyAlignment="0" applyProtection="0"/>
    <xf numFmtId="185" fontId="25" fillId="41" borderId="34" applyNumberFormat="0" applyFont="0" applyAlignment="0" applyProtection="0"/>
    <xf numFmtId="185" fontId="25" fillId="41" borderId="34" applyNumberFormat="0" applyFont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0" borderId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0" borderId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38" borderId="0" applyNumberFormat="0" applyBorder="0" applyAlignment="0" applyProtection="0"/>
    <xf numFmtId="185" fontId="25" fillId="65" borderId="0" applyNumberFormat="0" applyBorder="0" applyAlignment="0" applyProtection="0"/>
    <xf numFmtId="185" fontId="25" fillId="64" borderId="0" applyNumberFormat="0" applyBorder="0" applyAlignment="0" applyProtection="0"/>
    <xf numFmtId="185" fontId="25" fillId="61" borderId="0" applyNumberFormat="0" applyBorder="0" applyAlignment="0" applyProtection="0"/>
    <xf numFmtId="185" fontId="25" fillId="60" borderId="0" applyNumberFormat="0" applyBorder="0" applyAlignment="0" applyProtection="0"/>
    <xf numFmtId="185" fontId="25" fillId="39" borderId="0" applyNumberFormat="0" applyBorder="0" applyAlignment="0" applyProtection="0"/>
    <xf numFmtId="185" fontId="25" fillId="57" borderId="0" applyNumberFormat="0" applyBorder="0" applyAlignment="0" applyProtection="0"/>
    <xf numFmtId="185" fontId="25" fillId="54" borderId="0" applyNumberFormat="0" applyBorder="0" applyAlignment="0" applyProtection="0"/>
    <xf numFmtId="185" fontId="25" fillId="53" borderId="0" applyNumberFormat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85" fontId="25" fillId="0" borderId="0"/>
    <xf numFmtId="185" fontId="25" fillId="41" borderId="34" applyNumberFormat="0" applyFont="0" applyAlignment="0" applyProtection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39" fillId="0" borderId="0"/>
    <xf numFmtId="185" fontId="25" fillId="67" borderId="0" applyNumberFormat="0" applyBorder="0" applyAlignment="0" applyProtection="0"/>
    <xf numFmtId="185" fontId="25" fillId="38" borderId="0" applyNumberFormat="0" applyBorder="0" applyAlignment="0" applyProtection="0"/>
    <xf numFmtId="185" fontId="25" fillId="0" borderId="0"/>
    <xf numFmtId="185" fontId="25" fillId="65" borderId="0" applyNumberFormat="0" applyBorder="0" applyAlignment="0" applyProtection="0"/>
    <xf numFmtId="185" fontId="25" fillId="64" borderId="0" applyNumberFormat="0" applyBorder="0" applyAlignment="0" applyProtection="0"/>
    <xf numFmtId="185" fontId="25" fillId="0" borderId="0"/>
    <xf numFmtId="185" fontId="25" fillId="0" borderId="0"/>
    <xf numFmtId="185" fontId="25" fillId="61" borderId="0" applyNumberFormat="0" applyBorder="0" applyAlignment="0" applyProtection="0"/>
    <xf numFmtId="185" fontId="25" fillId="60" borderId="0" applyNumberFormat="0" applyBorder="0" applyAlignment="0" applyProtection="0"/>
    <xf numFmtId="185" fontId="25" fillId="0" borderId="0"/>
    <xf numFmtId="185" fontId="25" fillId="39" borderId="0" applyNumberFormat="0" applyBorder="0" applyAlignment="0" applyProtection="0"/>
    <xf numFmtId="185" fontId="25" fillId="57" borderId="0" applyNumberFormat="0" applyBorder="0" applyAlignment="0" applyProtection="0"/>
    <xf numFmtId="185" fontId="25" fillId="54" borderId="0" applyNumberFormat="0" applyBorder="0" applyAlignment="0" applyProtection="0"/>
    <xf numFmtId="185" fontId="25" fillId="53" borderId="0" applyNumberFormat="0" applyBorder="0" applyAlignment="0" applyProtection="0"/>
    <xf numFmtId="185" fontId="25" fillId="41" borderId="34" applyNumberFormat="0" applyFont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0" borderId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0" borderId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43" fontId="25" fillId="0" borderId="0" applyFont="0" applyFill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41" borderId="34" applyNumberFormat="0" applyFont="0" applyAlignment="0" applyProtection="0"/>
    <xf numFmtId="185" fontId="25" fillId="53" borderId="0" applyNumberFormat="0" applyBorder="0" applyAlignment="0" applyProtection="0"/>
    <xf numFmtId="185" fontId="25" fillId="54" borderId="0" applyNumberFormat="0" applyBorder="0" applyAlignment="0" applyProtection="0"/>
    <xf numFmtId="185" fontId="25" fillId="57" borderId="0" applyNumberFormat="0" applyBorder="0" applyAlignment="0" applyProtection="0"/>
    <xf numFmtId="185" fontId="25" fillId="39" borderId="0" applyNumberFormat="0" applyBorder="0" applyAlignment="0" applyProtection="0"/>
    <xf numFmtId="185" fontId="25" fillId="60" borderId="0" applyNumberFormat="0" applyBorder="0" applyAlignment="0" applyProtection="0"/>
    <xf numFmtId="185" fontId="25" fillId="61" borderId="0" applyNumberFormat="0" applyBorder="0" applyAlignment="0" applyProtection="0"/>
    <xf numFmtId="185" fontId="25" fillId="64" borderId="0" applyNumberFormat="0" applyBorder="0" applyAlignment="0" applyProtection="0"/>
    <xf numFmtId="185" fontId="25" fillId="65" borderId="0" applyNumberFormat="0" applyBorder="0" applyAlignment="0" applyProtection="0"/>
    <xf numFmtId="185" fontId="25" fillId="38" borderId="0" applyNumberFormat="0" applyBorder="0" applyAlignment="0" applyProtection="0"/>
    <xf numFmtId="185" fontId="25" fillId="67" borderId="0" applyNumberFormat="0" applyBorder="0" applyAlignment="0" applyProtection="0"/>
    <xf numFmtId="185" fontId="25" fillId="70" borderId="0" applyNumberFormat="0" applyBorder="0" applyAlignment="0" applyProtection="0"/>
    <xf numFmtId="185" fontId="25" fillId="71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9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0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8" borderId="0" applyNumberFormat="0" applyBorder="0" applyAlignment="0" applyProtection="0"/>
    <xf numFmtId="185" fontId="25" fillId="38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39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1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4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7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11" borderId="0" applyNumberFormat="0" applyBorder="0" applyAlignment="0" applyProtection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5" fillId="0" borderId="0"/>
    <xf numFmtId="185" fontId="24" fillId="0" borderId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9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4" borderId="0" applyNumberFormat="0" applyBorder="0" applyAlignment="0" applyProtection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24" fillId="64" borderId="0" applyNumberFormat="0" applyBorder="0" applyAlignment="0" applyProtection="0"/>
    <xf numFmtId="185" fontId="24" fillId="38" borderId="0" applyNumberFormat="0" applyBorder="0" applyAlignment="0" applyProtection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153" fillId="0" borderId="0"/>
    <xf numFmtId="185" fontId="39" fillId="0" borderId="0"/>
    <xf numFmtId="185" fontId="24" fillId="8" borderId="0" applyNumberFormat="0" applyBorder="0" applyAlignment="0" applyProtection="0"/>
    <xf numFmtId="185" fontId="39" fillId="0" borderId="0"/>
    <xf numFmtId="185" fontId="24" fillId="10" borderId="0" applyNumberFormat="0" applyBorder="0" applyAlignment="0" applyProtection="0"/>
    <xf numFmtId="185" fontId="24" fillId="67" borderId="0" applyNumberFormat="0" applyBorder="0" applyAlignment="0" applyProtection="0"/>
    <xf numFmtId="185" fontId="39" fillId="0" borderId="0"/>
    <xf numFmtId="185" fontId="39" fillId="0" borderId="0"/>
    <xf numFmtId="185" fontId="24" fillId="41" borderId="34" applyNumberFormat="0" applyFont="0" applyAlignment="0" applyProtection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14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67" borderId="0" applyNumberFormat="0" applyBorder="0" applyAlignment="0" applyProtection="0"/>
    <xf numFmtId="185" fontId="24" fillId="8" borderId="0" applyNumberFormat="0" applyBorder="0" applyAlignment="0" applyProtection="0"/>
    <xf numFmtId="185" fontId="39" fillId="0" borderId="0"/>
    <xf numFmtId="185" fontId="39" fillId="0" borderId="0"/>
    <xf numFmtId="185" fontId="24" fillId="9" borderId="0" applyNumberFormat="0" applyBorder="0" applyAlignment="0" applyProtection="0"/>
    <xf numFmtId="185" fontId="24" fillId="4" borderId="0" applyNumberFormat="0" applyBorder="0" applyAlignment="0" applyProtection="0"/>
    <xf numFmtId="185" fontId="39" fillId="0" borderId="0"/>
    <xf numFmtId="185" fontId="39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65" borderId="0" applyNumberFormat="0" applyBorder="0" applyAlignment="0" applyProtection="0"/>
    <xf numFmtId="185" fontId="39" fillId="0" borderId="0"/>
    <xf numFmtId="185" fontId="39" fillId="0" borderId="0"/>
    <xf numFmtId="185" fontId="24" fillId="39" borderId="0" applyNumberFormat="0" applyBorder="0" applyAlignment="0" applyProtection="0"/>
    <xf numFmtId="185" fontId="24" fillId="67" borderId="0" applyNumberFormat="0" applyBorder="0" applyAlignment="0" applyProtection="0"/>
    <xf numFmtId="185" fontId="39" fillId="0" borderId="0"/>
    <xf numFmtId="185" fontId="39" fillId="0" borderId="0"/>
    <xf numFmtId="185" fontId="24" fillId="61" borderId="0" applyNumberFormat="0" applyBorder="0" applyAlignment="0" applyProtection="0"/>
    <xf numFmtId="185" fontId="24" fillId="41" borderId="34" applyNumberFormat="0" applyFont="0" applyAlignment="0" applyProtection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53" borderId="0" applyNumberFormat="0" applyBorder="0" applyAlignment="0" applyProtection="0"/>
    <xf numFmtId="185" fontId="24" fillId="61" borderId="0" applyNumberFormat="0" applyBorder="0" applyAlignment="0" applyProtection="0"/>
    <xf numFmtId="185" fontId="39" fillId="0" borderId="0"/>
    <xf numFmtId="185" fontId="39" fillId="0" borderId="0"/>
    <xf numFmtId="185" fontId="24" fillId="65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39" fillId="0" borderId="0"/>
    <xf numFmtId="185" fontId="39" fillId="0" borderId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10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38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39" fillId="0" borderId="0"/>
    <xf numFmtId="185" fontId="39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41" borderId="34" applyNumberFormat="0" applyFont="0" applyAlignment="0" applyProtection="0"/>
    <xf numFmtId="185" fontId="39" fillId="0" borderId="0"/>
    <xf numFmtId="185" fontId="39" fillId="0" borderId="0"/>
    <xf numFmtId="185" fontId="24" fillId="53" borderId="0" applyNumberFormat="0" applyBorder="0" applyAlignment="0" applyProtection="0"/>
    <xf numFmtId="185" fontId="24" fillId="38" borderId="0" applyNumberFormat="0" applyBorder="0" applyAlignment="0" applyProtection="0"/>
    <xf numFmtId="185" fontId="39" fillId="0" borderId="0"/>
    <xf numFmtId="185" fontId="39" fillId="0" borderId="0"/>
    <xf numFmtId="185" fontId="24" fillId="38" borderId="0" applyNumberFormat="0" applyBorder="0" applyAlignment="0" applyProtection="0"/>
    <xf numFmtId="185" fontId="24" fillId="8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9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4" borderId="0" applyNumberFormat="0" applyBorder="0" applyAlignment="0" applyProtection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8" borderId="0" applyNumberFormat="0" applyBorder="0" applyAlignment="0" applyProtection="0"/>
    <xf numFmtId="185" fontId="39" fillId="0" borderId="0"/>
    <xf numFmtId="185" fontId="24" fillId="64" borderId="0" applyNumberFormat="0" applyBorder="0" applyAlignment="0" applyProtection="0"/>
    <xf numFmtId="185" fontId="39" fillId="0" borderId="0"/>
    <xf numFmtId="185" fontId="24" fillId="54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43" fontId="24" fillId="0" borderId="0" applyFont="0" applyFill="0" applyBorder="0" applyAlignment="0" applyProtection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4" borderId="0" applyNumberFormat="0" applyBorder="0" applyAlignment="0" applyProtection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10" borderId="0" applyNumberFormat="0" applyBorder="0" applyAlignment="0" applyProtection="0"/>
    <xf numFmtId="185" fontId="39" fillId="0" borderId="0"/>
    <xf numFmtId="185" fontId="24" fillId="9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8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38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38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38" borderId="0" applyNumberFormat="0" applyBorder="0" applyAlignment="0" applyProtection="0"/>
    <xf numFmtId="185" fontId="24" fillId="60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70" borderId="0" applyNumberFormat="0" applyBorder="0" applyAlignment="0" applyProtection="0"/>
    <xf numFmtId="9" fontId="24" fillId="0" borderId="0" applyFont="0" applyFill="0" applyBorder="0" applyAlignment="0" applyProtection="0"/>
    <xf numFmtId="185" fontId="24" fillId="61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71" borderId="0" applyNumberFormat="0" applyBorder="0" applyAlignment="0" applyProtection="0"/>
    <xf numFmtId="185" fontId="24" fillId="53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38" fillId="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8" fillId="9" borderId="0" applyNumberFormat="0" applyBorder="0" applyAlignment="0" applyProtection="0"/>
    <xf numFmtId="185" fontId="24" fillId="14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24" fillId="4" borderId="0" applyNumberFormat="0" applyBorder="0" applyAlignment="0" applyProtection="0"/>
    <xf numFmtId="185" fontId="24" fillId="10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11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38" fillId="10" borderId="0" applyNumberFormat="0" applyBorder="0" applyAlignment="0" applyProtection="0"/>
    <xf numFmtId="185" fontId="24" fillId="7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38" borderId="0" applyNumberFormat="0" applyBorder="0" applyAlignment="0" applyProtection="0"/>
    <xf numFmtId="185" fontId="24" fillId="53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5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24" fillId="0" borderId="0"/>
    <xf numFmtId="185" fontId="24" fillId="71" borderId="0" applyNumberFormat="0" applyBorder="0" applyAlignment="0" applyProtection="0"/>
    <xf numFmtId="185" fontId="24" fillId="7" borderId="0" applyNumberFormat="0" applyBorder="0" applyAlignment="0" applyProtection="0"/>
    <xf numFmtId="185" fontId="24" fillId="9" borderId="0" applyNumberFormat="0" applyBorder="0" applyAlignment="0" applyProtection="0"/>
    <xf numFmtId="185" fontId="24" fillId="54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39" fillId="11" borderId="10" applyNumberFormat="0" applyFont="0" applyAlignment="0" applyProtection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39" fillId="11" borderId="10" applyNumberFormat="0" applyFont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39" fillId="11" borderId="10" applyNumberFormat="0" applyFont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38" fillId="8" borderId="0" applyNumberFormat="0" applyBorder="0" applyAlignment="0" applyProtection="0"/>
    <xf numFmtId="185" fontId="24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39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0" borderId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24" fillId="0" borderId="0"/>
    <xf numFmtId="185" fontId="24" fillId="61" borderId="0" applyNumberFormat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24" fillId="0" borderId="0"/>
    <xf numFmtId="185" fontId="24" fillId="0" borderId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24" fillId="0" borderId="0"/>
    <xf numFmtId="185" fontId="24" fillId="0" borderId="0"/>
    <xf numFmtId="185" fontId="68" fillId="0" borderId="8" applyNumberFormat="0" applyFill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67" fillId="8" borderId="2" applyNumberFormat="0" applyAlignment="0" applyProtection="0"/>
    <xf numFmtId="185" fontId="24" fillId="0" borderId="0"/>
    <xf numFmtId="185" fontId="24" fillId="11" borderId="0" applyNumberFormat="0" applyBorder="0" applyAlignment="0" applyProtection="0"/>
    <xf numFmtId="185" fontId="67" fillId="8" borderId="2" applyNumberFormat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67" fillId="8" borderId="2" applyNumberFormat="0" applyAlignment="0" applyProtection="0"/>
    <xf numFmtId="185" fontId="24" fillId="9" borderId="0" applyNumberFormat="0" applyBorder="0" applyAlignment="0" applyProtection="0"/>
    <xf numFmtId="185" fontId="24" fillId="0" borderId="0"/>
    <xf numFmtId="185" fontId="67" fillId="8" borderId="2" applyNumberFormat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66" fillId="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8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64" fillId="4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63" fillId="23" borderId="2" applyNumberFormat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7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2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6" borderId="0" applyNumberFormat="0" applyBorder="0" applyAlignment="0" applyProtection="0"/>
    <xf numFmtId="185" fontId="24" fillId="0" borderId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38" fillId="6" borderId="0" applyNumberFormat="0" applyBorder="0" applyAlignment="0" applyProtection="0"/>
    <xf numFmtId="185" fontId="62" fillId="16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62" fillId="16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62" fillId="16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62" fillId="10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5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3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62" fillId="15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5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5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5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0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0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0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0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2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2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2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24" fillId="41" borderId="34" applyNumberFormat="0" applyFont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2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6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16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16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16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1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24" fillId="5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8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8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8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8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3" fillId="23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3" fillId="23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3" fillId="23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3" fillId="23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24" fillId="60" borderId="0" applyNumberFormat="0" applyBorder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114" fillId="3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5" fillId="0" borderId="0" applyNumberFormat="0" applyFill="0" applyBorder="0" applyAlignment="0" applyProtection="0"/>
    <xf numFmtId="185" fontId="66" fillId="5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5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5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2" fillId="79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5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7" fillId="8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8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8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8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77" fillId="0" borderId="9" applyNumberFormat="0" applyFill="0" applyAlignment="0" applyProtection="0"/>
    <xf numFmtId="185" fontId="68" fillId="0" borderId="8" applyNumberFormat="0" applyFill="0" applyAlignment="0" applyProtection="0"/>
    <xf numFmtId="185" fontId="77" fillId="0" borderId="9" applyNumberFormat="0" applyFill="0" applyAlignment="0" applyProtection="0"/>
    <xf numFmtId="185" fontId="77" fillId="0" borderId="9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68" fillId="0" borderId="8" applyNumberFormat="0" applyFill="0" applyAlignment="0" applyProtection="0"/>
    <xf numFmtId="185" fontId="77" fillId="0" borderId="9" applyNumberFormat="0" applyFill="0" applyAlignment="0" applyProtection="0"/>
    <xf numFmtId="185" fontId="68" fillId="0" borderId="8" applyNumberFormat="0" applyFill="0" applyAlignment="0" applyProtection="0"/>
    <xf numFmtId="185" fontId="77" fillId="0" borderId="9" applyNumberFormat="0" applyFill="0" applyAlignment="0" applyProtection="0"/>
    <xf numFmtId="185" fontId="236" fillId="34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34" borderId="0">
      <alignment horizontal="right"/>
    </xf>
    <xf numFmtId="43" fontId="39" fillId="0" borderId="0" applyFont="0" applyFill="0" applyBorder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69" fillId="25" borderId="4" applyNumberForma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9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9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9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9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67" borderId="0" applyNumberFormat="0" applyBorder="0" applyAlignment="0" applyProtection="0"/>
    <xf numFmtId="185" fontId="24" fillId="6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1" borderId="0" applyNumberFormat="0" applyBorder="0" applyAlignment="0" applyProtection="0"/>
    <xf numFmtId="185" fontId="24" fillId="65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54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4" borderId="0" applyNumberFormat="0" applyBorder="0" applyAlignment="0" applyProtection="0"/>
    <xf numFmtId="185" fontId="24" fillId="70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67" borderId="0" applyNumberFormat="0" applyBorder="0" applyAlignment="0" applyProtection="0"/>
    <xf numFmtId="185" fontId="24" fillId="4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1" borderId="0" applyNumberFormat="0" applyBorder="0" applyAlignment="0" applyProtection="0"/>
    <xf numFmtId="185" fontId="24" fillId="65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54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64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0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8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39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7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9" borderId="0" applyNumberFormat="0" applyBorder="0" applyAlignment="0" applyProtection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39" fillId="0" borderId="0"/>
    <xf numFmtId="185" fontId="39" fillId="0" borderId="0"/>
    <xf numFmtId="185" fontId="24" fillId="39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38" fillId="0" borderId="0"/>
    <xf numFmtId="185" fontId="24" fillId="0" borderId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8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77" fontId="60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38" fillId="0" borderId="0"/>
    <xf numFmtId="185" fontId="24" fillId="7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77" fontId="60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38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65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70" borderId="0" applyNumberFormat="0" applyBorder="0" applyAlignment="0" applyProtection="0"/>
    <xf numFmtId="185" fontId="24" fillId="64" borderId="0" applyNumberFormat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70" borderId="0" applyNumberFormat="0" applyBorder="0" applyAlignment="0" applyProtection="0"/>
    <xf numFmtId="185" fontId="24" fillId="64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60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77" fontId="60" fillId="0" borderId="0"/>
    <xf numFmtId="185" fontId="24" fillId="0" borderId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38" fillId="0" borderId="0"/>
    <xf numFmtId="185" fontId="24" fillId="0" borderId="0"/>
    <xf numFmtId="185" fontId="39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8" fillId="0" borderId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38" fillId="0" borderId="0"/>
    <xf numFmtId="185" fontId="24" fillId="8" borderId="0" applyNumberFormat="0" applyBorder="0" applyAlignment="0" applyProtection="0"/>
    <xf numFmtId="185" fontId="24" fillId="0" borderId="0"/>
    <xf numFmtId="185" fontId="39" fillId="0" borderId="0"/>
    <xf numFmtId="185" fontId="24" fillId="10" borderId="0" applyNumberFormat="0" applyBorder="0" applyAlignment="0" applyProtection="0"/>
    <xf numFmtId="185" fontId="39" fillId="0" borderId="0"/>
    <xf numFmtId="185" fontId="24" fillId="9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65" borderId="0" applyNumberFormat="0" applyBorder="0" applyAlignment="0" applyProtection="0"/>
    <xf numFmtId="185" fontId="39" fillId="0" borderId="0"/>
    <xf numFmtId="185" fontId="24" fillId="41" borderId="34" applyNumberFormat="0" applyFont="0" applyAlignment="0" applyProtection="0"/>
    <xf numFmtId="185" fontId="39" fillId="0" borderId="0"/>
    <xf numFmtId="185" fontId="24" fillId="57" borderId="0" applyNumberFormat="0" applyBorder="0" applyAlignment="0" applyProtection="0"/>
    <xf numFmtId="185" fontId="39" fillId="0" borderId="0"/>
    <xf numFmtId="43" fontId="24" fillId="0" borderId="0" applyFont="0" applyFill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57" borderId="0" applyNumberFormat="0" applyBorder="0" applyAlignment="0" applyProtection="0"/>
    <xf numFmtId="185" fontId="39" fillId="0" borderId="0"/>
    <xf numFmtId="185" fontId="39" fillId="0" borderId="0"/>
    <xf numFmtId="185" fontId="24" fillId="70" borderId="0" applyNumberFormat="0" applyBorder="0" applyAlignment="0" applyProtection="0"/>
    <xf numFmtId="185" fontId="39" fillId="0" borderId="0"/>
    <xf numFmtId="185" fontId="24" fillId="65" borderId="0" applyNumberFormat="0" applyBorder="0" applyAlignment="0" applyProtection="0"/>
    <xf numFmtId="185" fontId="39" fillId="0" borderId="0"/>
    <xf numFmtId="185" fontId="24" fillId="57" borderId="0" applyNumberFormat="0" applyBorder="0" applyAlignment="0" applyProtection="0"/>
    <xf numFmtId="185" fontId="39" fillId="0" borderId="0"/>
    <xf numFmtId="185" fontId="24" fillId="61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14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39" fillId="0" borderId="0"/>
    <xf numFmtId="185" fontId="39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79" fillId="0" borderId="0"/>
    <xf numFmtId="185" fontId="39" fillId="0" borderId="0"/>
    <xf numFmtId="185" fontId="24" fillId="53" borderId="0" applyNumberFormat="0" applyBorder="0" applyAlignment="0" applyProtection="0"/>
    <xf numFmtId="185" fontId="39" fillId="0" borderId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39" fillId="0" borderId="0"/>
    <xf numFmtId="185" fontId="39" fillId="0" borderId="0"/>
    <xf numFmtId="185" fontId="24" fillId="10" borderId="0" applyNumberFormat="0" applyBorder="0" applyAlignment="0" applyProtection="0"/>
    <xf numFmtId="185" fontId="24" fillId="60" borderId="0" applyNumberFormat="0" applyBorder="0" applyAlignment="0" applyProtection="0"/>
    <xf numFmtId="185" fontId="39" fillId="0" borderId="0"/>
    <xf numFmtId="185" fontId="39" fillId="0" borderId="0"/>
    <xf numFmtId="185" fontId="24" fillId="65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4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54" fillId="0" borderId="0" applyFill="0" applyBorder="0"/>
    <xf numFmtId="185" fontId="39" fillId="0" borderId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39" fillId="0" borderId="0"/>
    <xf numFmtId="185" fontId="24" fillId="10" borderId="0" applyNumberFormat="0" applyBorder="0" applyAlignment="0" applyProtection="0"/>
    <xf numFmtId="185" fontId="54" fillId="0" borderId="0" applyFill="0" applyBorder="0"/>
    <xf numFmtId="185" fontId="39" fillId="0" borderId="0"/>
    <xf numFmtId="185" fontId="24" fillId="9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54" fillId="0" borderId="0" applyFill="0" applyBorder="0"/>
    <xf numFmtId="185" fontId="54" fillId="0" borderId="0" applyFill="0" applyBorder="0"/>
    <xf numFmtId="185" fontId="54" fillId="0" borderId="0" applyFill="0" applyBorder="0"/>
    <xf numFmtId="185" fontId="54" fillId="0" borderId="0" applyFill="0" applyBorder="0"/>
    <xf numFmtId="185" fontId="54" fillId="0" borderId="0" applyFill="0" applyBorder="0"/>
    <xf numFmtId="185" fontId="54" fillId="0" borderId="0" applyFill="0" applyBorder="0"/>
    <xf numFmtId="185" fontId="54" fillId="0" borderId="0" applyFill="0" applyBorder="0"/>
    <xf numFmtId="43" fontId="24" fillId="0" borderId="0" applyFont="0" applyFill="0" applyBorder="0" applyAlignment="0" applyProtection="0"/>
    <xf numFmtId="185" fontId="24" fillId="70" borderId="0" applyNumberFormat="0" applyBorder="0" applyAlignment="0" applyProtection="0"/>
    <xf numFmtId="185" fontId="39" fillId="0" borderId="0"/>
    <xf numFmtId="185" fontId="24" fillId="57" borderId="0" applyNumberFormat="0" applyBorder="0" applyAlignment="0" applyProtection="0"/>
    <xf numFmtId="185" fontId="24" fillId="61" borderId="0" applyNumberFormat="0" applyBorder="0" applyAlignment="0" applyProtection="0"/>
    <xf numFmtId="185" fontId="54" fillId="0" borderId="0" applyFill="0" applyBorder="0"/>
    <xf numFmtId="185" fontId="39" fillId="0" borderId="0"/>
    <xf numFmtId="185" fontId="38" fillId="0" borderId="0"/>
    <xf numFmtId="185" fontId="39" fillId="0" borderId="0"/>
    <xf numFmtId="185" fontId="24" fillId="11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8" fillId="0" borderId="0"/>
    <xf numFmtId="185" fontId="39" fillId="0" borderId="0"/>
    <xf numFmtId="185" fontId="54" fillId="0" borderId="0" applyFill="0" applyBorder="0"/>
    <xf numFmtId="185" fontId="39" fillId="0" borderId="0"/>
    <xf numFmtId="185" fontId="38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10" borderId="0" applyNumberFormat="0" applyBorder="0" applyAlignment="0" applyProtection="0"/>
    <xf numFmtId="185" fontId="39" fillId="0" borderId="0"/>
    <xf numFmtId="185" fontId="39" fillId="0" borderId="0"/>
    <xf numFmtId="185" fontId="24" fillId="0" borderId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39" fillId="0" borderId="0"/>
    <xf numFmtId="185" fontId="39" fillId="0" borderId="0"/>
    <xf numFmtId="185" fontId="24" fillId="38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38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65" borderId="0" applyNumberFormat="0" applyBorder="0" applyAlignment="0" applyProtection="0"/>
    <xf numFmtId="185" fontId="39" fillId="0" borderId="0"/>
    <xf numFmtId="185" fontId="39" fillId="0" borderId="0"/>
    <xf numFmtId="185" fontId="24" fillId="57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70" borderId="0" applyNumberFormat="0" applyBorder="0" applyAlignment="0" applyProtection="0"/>
    <xf numFmtId="185" fontId="24" fillId="65" borderId="0" applyNumberFormat="0" applyBorder="0" applyAlignment="0" applyProtection="0"/>
    <xf numFmtId="185" fontId="79" fillId="0" borderId="0"/>
    <xf numFmtId="185" fontId="39" fillId="0" borderId="0"/>
    <xf numFmtId="185" fontId="24" fillId="60" borderId="0" applyNumberFormat="0" applyBorder="0" applyAlignment="0" applyProtection="0"/>
    <xf numFmtId="185" fontId="39" fillId="0" borderId="0"/>
    <xf numFmtId="185" fontId="24" fillId="41" borderId="34" applyNumberFormat="0" applyFont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4" borderId="0" applyNumberFormat="0" applyBorder="0" applyAlignment="0" applyProtection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38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79" fillId="0" borderId="0"/>
    <xf numFmtId="185" fontId="39" fillId="0" borderId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8" fillId="0" borderId="0"/>
    <xf numFmtId="185" fontId="24" fillId="8" borderId="0" applyNumberFormat="0" applyBorder="0" applyAlignment="0" applyProtection="0"/>
    <xf numFmtId="185" fontId="39" fillId="0" borderId="0"/>
    <xf numFmtId="185" fontId="24" fillId="9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7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8" borderId="0" applyNumberFormat="0" applyBorder="0" applyAlignment="0" applyProtection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24" fillId="10" borderId="0" applyNumberFormat="0" applyBorder="0" applyAlignment="0" applyProtection="0"/>
    <xf numFmtId="185" fontId="39" fillId="0" borderId="0"/>
    <xf numFmtId="185" fontId="24" fillId="9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39" fillId="0" borderId="0"/>
    <xf numFmtId="185" fontId="39" fillId="0" borderId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39" fillId="0" borderId="0"/>
    <xf numFmtId="185" fontId="39" fillId="0" borderId="0"/>
    <xf numFmtId="185" fontId="24" fillId="9" borderId="0" applyNumberFormat="0" applyBorder="0" applyAlignment="0" applyProtection="0"/>
    <xf numFmtId="185" fontId="24" fillId="67" borderId="0" applyNumberFormat="0" applyBorder="0" applyAlignment="0" applyProtection="0"/>
    <xf numFmtId="185" fontId="39" fillId="0" borderId="0"/>
    <xf numFmtId="185" fontId="39" fillId="0" borderId="0"/>
    <xf numFmtId="185" fontId="38" fillId="0" borderId="0"/>
    <xf numFmtId="185" fontId="24" fillId="61" borderId="0" applyNumberFormat="0" applyBorder="0" applyAlignment="0" applyProtection="0"/>
    <xf numFmtId="185" fontId="39" fillId="0" borderId="0"/>
    <xf numFmtId="185" fontId="24" fillId="41" borderId="34" applyNumberFormat="0" applyFont="0" applyAlignment="0" applyProtection="0"/>
    <xf numFmtId="185" fontId="39" fillId="0" borderId="0"/>
    <xf numFmtId="185" fontId="24" fillId="0" borderId="0"/>
    <xf numFmtId="185" fontId="39" fillId="0" borderId="0"/>
    <xf numFmtId="43" fontId="24" fillId="0" borderId="0" applyFont="0" applyFill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4" borderId="0" applyNumberFormat="0" applyBorder="0" applyAlignment="0" applyProtection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24" fillId="14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24" fillId="8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39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10" borderId="0" applyNumberFormat="0" applyBorder="0" applyAlignment="0" applyProtection="0"/>
    <xf numFmtId="185" fontId="39" fillId="0" borderId="0"/>
    <xf numFmtId="185" fontId="24" fillId="0" borderId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14" borderId="0" applyNumberFormat="0" applyBorder="0" applyAlignment="0" applyProtection="0"/>
    <xf numFmtId="185" fontId="39" fillId="0" borderId="0"/>
    <xf numFmtId="185" fontId="24" fillId="7" borderId="0" applyNumberFormat="0" applyBorder="0" applyAlignment="0" applyProtection="0"/>
    <xf numFmtId="185" fontId="39" fillId="0" borderId="0"/>
    <xf numFmtId="185" fontId="38" fillId="0" borderId="0"/>
    <xf numFmtId="185" fontId="24" fillId="10" borderId="0" applyNumberFormat="0" applyBorder="0" applyAlignment="0" applyProtection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71" borderId="0" applyNumberFormat="0" applyBorder="0" applyAlignment="0" applyProtection="0"/>
    <xf numFmtId="185" fontId="39" fillId="0" borderId="0"/>
    <xf numFmtId="185" fontId="24" fillId="70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70" borderId="0" applyNumberFormat="0" applyBorder="0" applyAlignment="0" applyProtection="0"/>
    <xf numFmtId="185" fontId="39" fillId="0" borderId="0"/>
    <xf numFmtId="185" fontId="24" fillId="65" borderId="0" applyNumberFormat="0" applyBorder="0" applyAlignment="0" applyProtection="0"/>
    <xf numFmtId="185" fontId="39" fillId="0" borderId="0"/>
    <xf numFmtId="185" fontId="24" fillId="61" borderId="0" applyNumberFormat="0" applyBorder="0" applyAlignment="0" applyProtection="0"/>
    <xf numFmtId="185" fontId="39" fillId="0" borderId="0"/>
    <xf numFmtId="185" fontId="24" fillId="39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0" borderId="0"/>
    <xf numFmtId="185" fontId="39" fillId="0" borderId="0"/>
    <xf numFmtId="185" fontId="24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54" fillId="0" borderId="0" applyFill="0" applyBorder="0"/>
    <xf numFmtId="185" fontId="39" fillId="0" borderId="0"/>
    <xf numFmtId="185" fontId="39" fillId="0" borderId="0"/>
    <xf numFmtId="185" fontId="39" fillId="0" borderId="0"/>
    <xf numFmtId="176" fontId="60" fillId="0" borderId="0"/>
    <xf numFmtId="185" fontId="54" fillId="0" borderId="0" applyFill="0" applyBorder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7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76" fontId="60" fillId="0" borderId="0"/>
    <xf numFmtId="185" fontId="39" fillId="0" borderId="0"/>
    <xf numFmtId="176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8" fillId="0" borderId="0" applyNumberFormat="0" applyBorder="0" applyAlignment="0"/>
    <xf numFmtId="185" fontId="39" fillId="0" borderId="0"/>
    <xf numFmtId="185" fontId="39" fillId="0" borderId="0"/>
    <xf numFmtId="185" fontId="38" fillId="0" borderId="0" applyNumberFormat="0" applyBorder="0" applyAlignment="0"/>
    <xf numFmtId="185" fontId="38" fillId="0" borderId="0" applyNumberFormat="0" applyBorder="0" applyAlignment="0"/>
    <xf numFmtId="185" fontId="38" fillId="0" borderId="0" applyNumberFormat="0" applyBorder="0" applyAlignment="0"/>
    <xf numFmtId="185" fontId="39" fillId="0" borderId="0"/>
    <xf numFmtId="185" fontId="39" fillId="0" borderId="0"/>
    <xf numFmtId="185" fontId="39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41" borderId="34" applyNumberFormat="0" applyFont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43" fontId="24" fillId="0" borderId="0" applyFont="0" applyFill="0" applyBorder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4" fillId="39" borderId="0" applyNumberFormat="0" applyBorder="0" applyAlignment="0" applyProtection="0"/>
    <xf numFmtId="185" fontId="39" fillId="0" borderId="0"/>
    <xf numFmtId="185" fontId="39" fillId="0" borderId="0"/>
    <xf numFmtId="185" fontId="24" fillId="54" borderId="0" applyNumberFormat="0" applyBorder="0" applyAlignment="0" applyProtection="0"/>
    <xf numFmtId="185" fontId="39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9" fillId="0" borderId="0"/>
    <xf numFmtId="185" fontId="3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24" fillId="0" borderId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24" fillId="67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85" fontId="24" fillId="4" borderId="0" applyNumberFormat="0" applyBorder="0" applyAlignment="0" applyProtection="0"/>
    <xf numFmtId="185" fontId="24" fillId="60" borderId="0" applyNumberFormat="0" applyBorder="0" applyAlignment="0" applyProtection="0"/>
    <xf numFmtId="185" fontId="24" fillId="53" borderId="0" applyNumberFormat="0" applyBorder="0" applyAlignment="0" applyProtection="0"/>
    <xf numFmtId="185" fontId="24" fillId="54" borderId="0" applyNumberFormat="0" applyBorder="0" applyAlignment="0" applyProtection="0"/>
    <xf numFmtId="185" fontId="24" fillId="57" borderId="0" applyNumberFormat="0" applyBorder="0" applyAlignment="0" applyProtection="0"/>
    <xf numFmtId="185" fontId="24" fillId="39" borderId="0" applyNumberFormat="0" applyBorder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65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71" borderId="0" applyNumberFormat="0" applyBorder="0" applyAlignment="0" applyProtection="0"/>
    <xf numFmtId="43" fontId="39" fillId="0" borderId="0" applyFont="0" applyFill="0" applyBorder="0" applyAlignment="0" applyProtection="0"/>
    <xf numFmtId="185" fontId="24" fillId="0" borderId="0"/>
    <xf numFmtId="4" fontId="122" fillId="0" borderId="0" applyNumberFormat="0" applyProtection="0">
      <alignment horizontal="right" vertical="center"/>
    </xf>
    <xf numFmtId="185" fontId="24" fillId="0" borderId="0"/>
    <xf numFmtId="185" fontId="194" fillId="46" borderId="0">
      <alignment horizontal="right"/>
    </xf>
    <xf numFmtId="185" fontId="24" fillId="0" borderId="0"/>
    <xf numFmtId="185" fontId="40" fillId="47" borderId="0"/>
    <xf numFmtId="185" fontId="24" fillId="0" borderId="0"/>
    <xf numFmtId="9" fontId="79" fillId="0" borderId="0" applyFont="0" applyFill="0" applyBorder="0" applyAlignment="0" applyProtection="0"/>
    <xf numFmtId="185" fontId="196" fillId="0" borderId="0" applyNumberFormat="0" applyBorder="0" applyAlignment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24" fillId="0" borderId="0"/>
    <xf numFmtId="164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64" fontId="141" fillId="0" borderId="0" applyFont="0" applyFill="0" applyBorder="0" applyAlignment="0" applyProtection="0"/>
    <xf numFmtId="185" fontId="40" fillId="47" borderId="0"/>
    <xf numFmtId="185" fontId="217" fillId="73" borderId="0" applyNumberFormat="0" applyBorder="0" applyAlignment="0" applyProtection="0"/>
    <xf numFmtId="185" fontId="188" fillId="75" borderId="0" applyNumberFormat="0" applyBorder="0" applyAlignment="0" applyProtection="0"/>
    <xf numFmtId="185" fontId="24" fillId="0" borderId="0"/>
    <xf numFmtId="185" fontId="24" fillId="0" borderId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93" fontId="224" fillId="34" borderId="0" applyBorder="0" applyAlignment="0">
      <protection hidden="1"/>
    </xf>
    <xf numFmtId="1" fontId="224" fillId="34" borderId="0">
      <alignment horizontal="center"/>
    </xf>
    <xf numFmtId="168" fontId="226" fillId="78" borderId="0" applyNumberFormat="0" applyBorder="0"/>
    <xf numFmtId="168" fontId="227" fillId="0" borderId="41"/>
    <xf numFmtId="43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193" fontId="224" fillId="34" borderId="24" applyBorder="0">
      <alignment horizontal="right" vertical="center"/>
      <protection locked="0"/>
    </xf>
    <xf numFmtId="1" fontId="221" fillId="26" borderId="0"/>
    <xf numFmtId="1" fontId="39" fillId="0" borderId="0">
      <alignment horizontal="center"/>
    </xf>
    <xf numFmtId="1" fontId="39" fillId="0" borderId="0">
      <alignment horizontal="center"/>
    </xf>
    <xf numFmtId="1" fontId="39" fillId="0" borderId="0">
      <alignment horizontal="center"/>
    </xf>
    <xf numFmtId="49" fontId="39" fillId="0" borderId="0">
      <alignment horizontal="right"/>
    </xf>
    <xf numFmtId="49" fontId="39" fillId="0" borderId="0">
      <alignment horizontal="right"/>
    </xf>
    <xf numFmtId="1" fontId="221" fillId="26" borderId="0"/>
    <xf numFmtId="190" fontId="141" fillId="0" borderId="0" applyFont="0" applyFill="0" applyBorder="0" applyAlignment="0" applyProtection="0"/>
    <xf numFmtId="9" fontId="79" fillId="0" borderId="0" applyFont="0" applyFill="0" applyBorder="0" applyAlignment="0" applyProtection="0"/>
    <xf numFmtId="168" fontId="226" fillId="78" borderId="0" applyNumberFormat="0" applyBorder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24" fillId="0" borderId="0"/>
    <xf numFmtId="1" fontId="221" fillId="26" borderId="0"/>
    <xf numFmtId="185" fontId="24" fillId="0" borderId="0"/>
    <xf numFmtId="168" fontId="226" fillId="78" borderId="0" applyNumberFormat="0" applyBorder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185" fontId="24" fillId="0" borderId="0"/>
    <xf numFmtId="185" fontId="40" fillId="47" borderId="0"/>
    <xf numFmtId="185" fontId="24" fillId="0" borderId="0"/>
    <xf numFmtId="185" fontId="24" fillId="0" borderId="0"/>
    <xf numFmtId="43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9" fontId="79" fillId="0" borderId="0" applyFont="0" applyFill="0" applyBorder="0" applyAlignment="0" applyProtection="0"/>
    <xf numFmtId="164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64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79" fillId="0" borderId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9" fontId="79" fillId="0" borderId="0" applyFont="0" applyFill="0" applyBorder="0" applyAlignment="0" applyProtection="0"/>
    <xf numFmtId="164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190" fillId="6" borderId="0" applyNumberFormat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190" fillId="6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64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191" fillId="0" borderId="0" applyNumberFormat="0" applyFill="0" applyBorder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5" fillId="40" borderId="33" applyNumberForma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196" fillId="0" borderId="0" applyNumberFormat="0" applyBorder="0" applyAlignment="0"/>
    <xf numFmtId="185" fontId="24" fillId="0" borderId="0"/>
    <xf numFmtId="185" fontId="24" fillId="0" borderId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40" fillId="26" borderId="0"/>
    <xf numFmtId="185" fontId="40" fillId="26" borderId="0"/>
    <xf numFmtId="185" fontId="40" fillId="26" borderId="0"/>
    <xf numFmtId="185" fontId="40" fillId="26" borderId="0"/>
    <xf numFmtId="185" fontId="40" fillId="26" borderId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75" fillId="0" borderId="15" applyNumberFormat="0" applyFill="0" applyAlignment="0" applyProtection="0"/>
    <xf numFmtId="164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76" fillId="23" borderId="11" applyNumberFormat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62" fillId="20" borderId="0" applyNumberFormat="0" applyBorder="0" applyAlignment="0" applyProtection="0"/>
    <xf numFmtId="185" fontId="188" fillId="2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62" fillId="21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62" fillId="22" borderId="0" applyNumberFormat="0" applyBorder="0" applyAlignment="0" applyProtection="0"/>
    <xf numFmtId="185" fontId="188" fillId="13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62" fillId="16" borderId="0" applyNumberFormat="0" applyBorder="0" applyAlignment="0" applyProtection="0"/>
    <xf numFmtId="185" fontId="188" fillId="28" borderId="0" applyNumberFormat="0" applyBorder="0" applyAlignment="0" applyProtection="0"/>
    <xf numFmtId="185" fontId="188" fillId="43" borderId="0" applyNumberFormat="0" applyBorder="0" applyAlignment="0" applyProtection="0"/>
    <xf numFmtId="185" fontId="62" fillId="17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62" fillId="19" borderId="0" applyNumberFormat="0" applyBorder="0" applyAlignment="0" applyProtection="0"/>
    <xf numFmtId="185" fontId="188" fillId="21" borderId="0" applyNumberFormat="0" applyBorder="0" applyAlignment="0" applyProtection="0"/>
    <xf numFmtId="185" fontId="200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05" fillId="0" borderId="9" applyNumberFormat="0" applyFill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06" fillId="0" borderId="12" applyNumberFormat="0" applyFill="0" applyAlignment="0" applyProtection="0"/>
    <xf numFmtId="185" fontId="207" fillId="0" borderId="13" applyNumberFormat="0" applyFill="0" applyAlignment="0" applyProtection="0"/>
    <xf numFmtId="185" fontId="208" fillId="0" borderId="14" applyNumberFormat="0" applyFill="0" applyAlignment="0" applyProtection="0"/>
    <xf numFmtId="185" fontId="208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209" fillId="0" borderId="0" applyNumberFormat="0" applyFill="0" applyBorder="0" applyAlignment="0" applyProtection="0"/>
    <xf numFmtId="9" fontId="79" fillId="0" borderId="0" applyFont="0" applyFill="0" applyBorder="0" applyAlignment="0" applyProtection="0"/>
    <xf numFmtId="164" fontId="39" fillId="0" borderId="0" applyFont="0" applyFill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5" fillId="0" borderId="0" applyNumberFormat="0" applyFill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77" fillId="0" borderId="9" applyNumberFormat="0" applyFill="0" applyAlignment="0" applyProtection="0"/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69" fillId="25" borderId="4" applyNumberForma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 applyNumberFormat="0" applyBorder="0" applyAlignment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156" fillId="0" borderId="12" applyNumberFormat="0" applyFill="0" applyAlignment="0" applyProtection="0"/>
    <xf numFmtId="185" fontId="157" fillId="0" borderId="13" applyNumberFormat="0" applyFill="0" applyAlignment="0" applyProtection="0"/>
    <xf numFmtId="185" fontId="158" fillId="0" borderId="14" applyNumberFormat="0" applyFill="0" applyAlignment="0" applyProtection="0"/>
    <xf numFmtId="185" fontId="158" fillId="0" borderId="0" applyNumberFormat="0" applyFill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36" fillId="34" borderId="0">
      <alignment horizontal="right"/>
    </xf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38" fillId="0" borderId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114" fillId="3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5" fillId="0" borderId="0" applyNumberFormat="0" applyFill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2" fillId="79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77" fillId="0" borderId="9" applyNumberFormat="0" applyFill="0" applyAlignment="0" applyProtection="0"/>
    <xf numFmtId="185" fontId="236" fillId="34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69" fillId="25" borderId="4" applyNumberForma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36" fillId="34" borderId="0">
      <alignment horizontal="right"/>
    </xf>
    <xf numFmtId="185" fontId="236" fillId="34" borderId="0">
      <alignment horizontal="right"/>
    </xf>
    <xf numFmtId="185" fontId="38" fillId="0" borderId="0"/>
    <xf numFmtId="185" fontId="38" fillId="0" borderId="0"/>
    <xf numFmtId="185" fontId="38" fillId="0" borderId="0" applyNumberFormat="0" applyBorder="0" applyAlignment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156" fillId="0" borderId="12" applyNumberFormat="0" applyFill="0" applyAlignment="0" applyProtection="0"/>
    <xf numFmtId="185" fontId="157" fillId="0" borderId="13" applyNumberFormat="0" applyFill="0" applyAlignment="0" applyProtection="0"/>
    <xf numFmtId="185" fontId="158" fillId="0" borderId="14" applyNumberFormat="0" applyFill="0" applyAlignment="0" applyProtection="0"/>
    <xf numFmtId="185" fontId="158" fillId="0" borderId="0" applyNumberFormat="0" applyFill="0" applyBorder="0" applyAlignment="0" applyProtection="0"/>
    <xf numFmtId="9" fontId="38" fillId="0" borderId="0" applyFont="0" applyFill="0" applyBorder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4" fillId="0" borderId="0"/>
    <xf numFmtId="1" fontId="221" fillId="26" borderId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24" fillId="0" borderId="0"/>
    <xf numFmtId="185" fontId="40" fillId="47" borderId="0"/>
    <xf numFmtId="9" fontId="79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226" fillId="78" borderId="0" applyNumberFormat="0" applyBorder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6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70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67" borderId="0" applyNumberFormat="0" applyBorder="0" applyAlignment="0" applyProtection="0"/>
    <xf numFmtId="9" fontId="24" fillId="0" borderId="0" applyFont="0" applyFill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38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8" borderId="0" applyNumberFormat="0" applyBorder="0" applyAlignment="0" applyProtection="0"/>
    <xf numFmtId="185" fontId="24" fillId="64" borderId="0" applyNumberFormat="0" applyBorder="0" applyAlignment="0" applyProtection="0"/>
    <xf numFmtId="185" fontId="24" fillId="0" borderId="0"/>
    <xf numFmtId="185" fontId="24" fillId="6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8" borderId="0" applyNumberFormat="0" applyBorder="0" applyAlignment="0" applyProtection="0"/>
    <xf numFmtId="185" fontId="24" fillId="6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5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41" borderId="34" applyNumberFormat="0" applyFont="0" applyAlignment="0" applyProtection="0"/>
    <xf numFmtId="185" fontId="24" fillId="67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4" borderId="0" applyNumberFormat="0" applyBorder="0" applyAlignment="0" applyProtection="0"/>
    <xf numFmtId="185" fontId="24" fillId="0" borderId="0"/>
    <xf numFmtId="185" fontId="24" fillId="54" borderId="0" applyNumberFormat="0" applyBorder="0" applyAlignment="0" applyProtection="0"/>
    <xf numFmtId="185" fontId="24" fillId="64" borderId="0" applyNumberFormat="0" applyBorder="0" applyAlignment="0" applyProtection="0"/>
    <xf numFmtId="185" fontId="24" fillId="57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65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57" borderId="0" applyNumberFormat="0" applyBorder="0" applyAlignment="0" applyProtection="0"/>
    <xf numFmtId="185" fontId="24" fillId="41" borderId="34" applyNumberFormat="0" applyFont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54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64" borderId="0" applyNumberFormat="0" applyBorder="0" applyAlignment="0" applyProtection="0"/>
    <xf numFmtId="185" fontId="24" fillId="57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41" borderId="34" applyNumberFormat="0" applyFont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54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9" fontId="24" fillId="0" borderId="0" applyFont="0" applyFill="0" applyBorder="0" applyAlignment="0" applyProtection="0"/>
    <xf numFmtId="185" fontId="24" fillId="14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65" borderId="0" applyNumberFormat="0" applyBorder="0" applyAlignment="0" applyProtection="0"/>
    <xf numFmtId="185" fontId="24" fillId="64" borderId="0" applyNumberFormat="0" applyBorder="0" applyAlignment="0" applyProtection="0"/>
    <xf numFmtId="185" fontId="24" fillId="38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1" fillId="0" borderId="5" applyNumberFormat="0" applyFill="0" applyAlignment="0" applyProtection="0"/>
    <xf numFmtId="185" fontId="24" fillId="0" borderId="0"/>
    <xf numFmtId="185" fontId="72" fillId="0" borderId="6" applyNumberFormat="0" applyFill="0" applyAlignment="0" applyProtection="0"/>
    <xf numFmtId="185" fontId="73" fillId="0" borderId="7" applyNumberFormat="0" applyFill="0" applyAlignment="0" applyProtection="0"/>
    <xf numFmtId="185" fontId="73" fillId="0" borderId="0" applyNumberFormat="0" applyFill="0" applyBorder="0" applyAlignment="0" applyProtection="0"/>
    <xf numFmtId="185" fontId="24" fillId="0" borderId="0"/>
    <xf numFmtId="185" fontId="24" fillId="57" borderId="0" applyNumberFormat="0" applyBorder="0" applyAlignment="0" applyProtection="0"/>
    <xf numFmtId="185" fontId="24" fillId="53" borderId="0" applyNumberFormat="0" applyBorder="0" applyAlignment="0" applyProtection="0"/>
    <xf numFmtId="185" fontId="24" fillId="54" borderId="0" applyNumberFormat="0" applyBorder="0" applyAlignment="0" applyProtection="0"/>
    <xf numFmtId="185" fontId="24" fillId="0" borderId="0"/>
    <xf numFmtId="190" fontId="141" fillId="0" borderId="0" applyFont="0" applyFill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43" fontId="24" fillId="0" borderId="0" applyFont="0" applyFill="0" applyBorder="0" applyAlignment="0" applyProtection="0"/>
    <xf numFmtId="185" fontId="24" fillId="54" borderId="0" applyNumberFormat="0" applyBorder="0" applyAlignment="0" applyProtection="0"/>
    <xf numFmtId="185" fontId="24" fillId="57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57" borderId="0" applyNumberFormat="0" applyBorder="0" applyAlignment="0" applyProtection="0"/>
    <xf numFmtId="185" fontId="24" fillId="61" borderId="0" applyNumberFormat="0" applyBorder="0" applyAlignment="0" applyProtection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7" borderId="0" applyNumberFormat="0" applyBorder="0" applyAlignment="0" applyProtection="0"/>
    <xf numFmtId="185" fontId="24" fillId="64" borderId="0" applyNumberFormat="0" applyBorder="0" applyAlignment="0" applyProtection="0"/>
    <xf numFmtId="185" fontId="24" fillId="65" borderId="0" applyNumberFormat="0" applyBorder="0" applyAlignment="0" applyProtection="0"/>
    <xf numFmtId="185" fontId="24" fillId="71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67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64" borderId="0" applyNumberFormat="0" applyBorder="0" applyAlignment="0" applyProtection="0"/>
    <xf numFmtId="185" fontId="24" fillId="61" borderId="0" applyNumberFormat="0" applyBorder="0" applyAlignment="0" applyProtection="0"/>
    <xf numFmtId="185" fontId="24" fillId="54" borderId="0" applyNumberFormat="0" applyBorder="0" applyAlignment="0" applyProtection="0"/>
    <xf numFmtId="185" fontId="24" fillId="39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90" fontId="141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71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73" fillId="0" borderId="0" applyNumberFormat="0" applyFill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73" fillId="0" borderId="7" applyNumberFormat="0" applyFill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72" fillId="0" borderId="6" applyNumberFormat="0" applyFill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70" fillId="14" borderId="0" applyNumberFormat="0" applyBorder="0" applyAlignment="0" applyProtection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41" borderId="34" applyNumberFormat="0" applyFont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7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24" fillId="60" borderId="0" applyNumberFormat="0" applyBorder="0" applyAlignment="0" applyProtection="0"/>
    <xf numFmtId="185" fontId="24" fillId="54" borderId="0" applyNumberFormat="0" applyBorder="0" applyAlignment="0" applyProtection="0"/>
    <xf numFmtId="185" fontId="24" fillId="53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5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4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57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4" borderId="0" applyNumberFormat="0" applyBorder="0" applyAlignment="0" applyProtection="0"/>
    <xf numFmtId="185" fontId="24" fillId="65" borderId="0" applyNumberFormat="0" applyBorder="0" applyAlignment="0" applyProtection="0"/>
    <xf numFmtId="185" fontId="24" fillId="38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57" borderId="0" applyNumberFormat="0" applyBorder="0" applyAlignment="0" applyProtection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39" fillId="11" borderId="10" applyNumberFormat="0" applyFont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24" fillId="0" borderId="0"/>
    <xf numFmtId="185" fontId="39" fillId="11" borderId="10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53" borderId="0" applyNumberFormat="0" applyBorder="0" applyAlignment="0" applyProtection="0"/>
    <xf numFmtId="185" fontId="24" fillId="67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41" borderId="34" applyNumberFormat="0" applyFont="0" applyAlignment="0" applyProtection="0"/>
    <xf numFmtId="185" fontId="24" fillId="53" borderId="0" applyNumberFormat="0" applyBorder="0" applyAlignment="0" applyProtection="0"/>
    <xf numFmtId="185" fontId="24" fillId="54" borderId="0" applyNumberFormat="0" applyBorder="0" applyAlignment="0" applyProtection="0"/>
    <xf numFmtId="185" fontId="24" fillId="57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67" fillId="8" borderId="2" applyNumberFormat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66" fillId="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6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64" fillId="4" borderId="0" applyNumberFormat="0" applyBorder="0" applyAlignment="0" applyProtection="0"/>
    <xf numFmtId="185" fontId="24" fillId="0" borderId="0"/>
    <xf numFmtId="185" fontId="24" fillId="0" borderId="0"/>
    <xf numFmtId="185" fontId="6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63" fillId="23" borderId="2" applyNumberFormat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62" fillId="1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62" fillId="18" borderId="0" applyNumberFormat="0" applyBorder="0" applyAlignment="0" applyProtection="0"/>
    <xf numFmtId="185" fontId="24" fillId="0" borderId="0"/>
    <xf numFmtId="185" fontId="62" fillId="18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62" fillId="1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62" fillId="1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62" fillId="12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62" fillId="12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62" fillId="10" borderId="0" applyNumberFormat="0" applyBorder="0" applyAlignment="0" applyProtection="0"/>
    <xf numFmtId="185" fontId="24" fillId="0" borderId="0"/>
    <xf numFmtId="185" fontId="24" fillId="0" borderId="0"/>
    <xf numFmtId="185" fontId="62" fillId="15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62" fillId="15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43" fontId="24" fillId="0" borderId="0" applyFont="0" applyFill="0" applyBorder="0" applyAlignment="0" applyProtection="0"/>
    <xf numFmtId="185" fontId="24" fillId="41" borderId="34" applyNumberFormat="0" applyFont="0" applyAlignment="0" applyProtection="0"/>
    <xf numFmtId="185" fontId="24" fillId="60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1" borderId="0" applyNumberFormat="0" applyBorder="0" applyAlignment="0" applyProtection="0"/>
    <xf numFmtId="185" fontId="24" fillId="5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54" borderId="0" applyNumberFormat="0" applyBorder="0" applyAlignment="0" applyProtection="0"/>
    <xf numFmtId="185" fontId="24" fillId="57" borderId="0" applyNumberFormat="0" applyBorder="0" applyAlignment="0" applyProtection="0"/>
    <xf numFmtId="185" fontId="24" fillId="6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61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54" borderId="0" applyNumberFormat="0" applyBorder="0" applyAlignment="0" applyProtection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67" borderId="0" applyNumberFormat="0" applyBorder="0" applyAlignment="0" applyProtection="0"/>
    <xf numFmtId="185" fontId="24" fillId="10" borderId="0" applyNumberFormat="0" applyBorder="0" applyAlignment="0" applyProtection="0"/>
    <xf numFmtId="185" fontId="24" fillId="67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54" borderId="0" applyNumberFormat="0" applyBorder="0" applyAlignment="0" applyProtection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5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64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39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62" fillId="16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62" fillId="16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43" fontId="24" fillId="0" borderId="0" applyFont="0" applyFill="0" applyBorder="0" applyAlignment="0" applyProtection="0"/>
    <xf numFmtId="185" fontId="24" fillId="54" borderId="0" applyNumberFormat="0" applyBorder="0" applyAlignment="0" applyProtection="0"/>
    <xf numFmtId="185" fontId="24" fillId="7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7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39" fillId="11" borderId="10" applyNumberFormat="0" applyFont="0" applyAlignment="0" applyProtection="0"/>
    <xf numFmtId="185" fontId="24" fillId="71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62" fillId="16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61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62" fillId="12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39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38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54" borderId="0" applyNumberFormat="0" applyBorder="0" applyAlignment="0" applyProtection="0"/>
    <xf numFmtId="185" fontId="24" fillId="64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66" fillId="5" borderId="0" applyNumberFormat="0" applyBorder="0" applyAlignment="0" applyProtection="0"/>
    <xf numFmtId="185" fontId="24" fillId="4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41" borderId="34" applyNumberFormat="0" applyFont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6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64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64" borderId="0" applyNumberFormat="0" applyBorder="0" applyAlignment="0" applyProtection="0"/>
    <xf numFmtId="185" fontId="24" fillId="54" borderId="0" applyNumberFormat="0" applyBorder="0" applyAlignment="0" applyProtection="0"/>
    <xf numFmtId="185" fontId="24" fillId="57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9" fontId="24" fillId="0" borderId="0" applyFont="0" applyFill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54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64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0" borderId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64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71" fillId="0" borderId="5" applyNumberFormat="0" applyFill="0" applyAlignment="0" applyProtection="0"/>
    <xf numFmtId="185" fontId="24" fillId="0" borderId="0"/>
    <xf numFmtId="185" fontId="70" fillId="14" borderId="0" applyNumberFormat="0" applyBorder="0" applyAlignment="0" applyProtection="0"/>
    <xf numFmtId="185" fontId="24" fillId="53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71" borderId="0" applyNumberFormat="0" applyBorder="0" applyAlignment="0" applyProtection="0"/>
    <xf numFmtId="185" fontId="24" fillId="65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67" borderId="0" applyNumberFormat="0" applyBorder="0" applyAlignment="0" applyProtection="0"/>
    <xf numFmtId="185" fontId="24" fillId="6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8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0" borderId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0" borderId="0"/>
    <xf numFmtId="185" fontId="24" fillId="71" borderId="0" applyNumberFormat="0" applyBorder="0" applyAlignment="0" applyProtection="0"/>
    <xf numFmtId="185" fontId="24" fillId="65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71" borderId="0" applyNumberFormat="0" applyBorder="0" applyAlignment="0" applyProtection="0"/>
    <xf numFmtId="185" fontId="24" fillId="5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6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53" borderId="0" applyNumberFormat="0" applyBorder="0" applyAlignment="0" applyProtection="0"/>
    <xf numFmtId="185" fontId="24" fillId="9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61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60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67" fillId="8" borderId="2" applyNumberFormat="0" applyAlignment="0" applyProtection="0"/>
    <xf numFmtId="185" fontId="66" fillId="5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159" fillId="0" borderId="0" applyNumberFormat="0" applyFill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65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54" borderId="0" applyNumberFormat="0" applyBorder="0" applyAlignment="0" applyProtection="0"/>
    <xf numFmtId="185" fontId="24" fillId="65" borderId="0" applyNumberFormat="0" applyBorder="0" applyAlignment="0" applyProtection="0"/>
    <xf numFmtId="185" fontId="24" fillId="57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3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71" borderId="0" applyNumberFormat="0" applyBorder="0" applyAlignment="0" applyProtection="0"/>
    <xf numFmtId="185" fontId="24" fillId="61" borderId="0" applyNumberFormat="0" applyBorder="0" applyAlignment="0" applyProtection="0"/>
    <xf numFmtId="185" fontId="24" fillId="39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11" borderId="0" applyNumberFormat="0" applyBorder="0" applyAlignment="0" applyProtection="0"/>
    <xf numFmtId="185" fontId="24" fillId="64" borderId="0" applyNumberFormat="0" applyBorder="0" applyAlignment="0" applyProtection="0"/>
    <xf numFmtId="185" fontId="24" fillId="10" borderId="0" applyNumberFormat="0" applyBorder="0" applyAlignment="0" applyProtection="0"/>
    <xf numFmtId="185" fontId="24" fillId="61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61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6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71" borderId="0" applyNumberFormat="0" applyBorder="0" applyAlignment="0" applyProtection="0"/>
    <xf numFmtId="185" fontId="24" fillId="11" borderId="0" applyNumberFormat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7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41" borderId="34" applyNumberFormat="0" applyFont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65" borderId="0" applyNumberFormat="0" applyBorder="0" applyAlignment="0" applyProtection="0"/>
    <xf numFmtId="185" fontId="24" fillId="0" borderId="0"/>
    <xf numFmtId="185" fontId="24" fillId="67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38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70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38" borderId="0" applyNumberFormat="0" applyBorder="0" applyAlignment="0" applyProtection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38" fillId="0" borderId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7" borderId="0" applyNumberFormat="0" applyBorder="0" applyAlignment="0" applyProtection="0"/>
    <xf numFmtId="185" fontId="24" fillId="54" borderId="0" applyNumberFormat="0" applyBorder="0" applyAlignment="0" applyProtection="0"/>
    <xf numFmtId="185" fontId="24" fillId="6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39" fillId="11" borderId="10" applyNumberFormat="0" applyFont="0" applyAlignment="0" applyProtection="0"/>
    <xf numFmtId="185" fontId="24" fillId="0" borderId="0"/>
    <xf numFmtId="43" fontId="24" fillId="0" borderId="0" applyFont="0" applyFill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61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4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67" fillId="8" borderId="2" applyNumberFormat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66" fillId="5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6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60" borderId="0" applyNumberFormat="0" applyBorder="0" applyAlignment="0" applyProtection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63" fillId="23" borderId="2" applyNumberFormat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62" fillId="17" borderId="0" applyNumberFormat="0" applyBorder="0" applyAlignment="0" applyProtection="0"/>
    <xf numFmtId="185" fontId="62" fillId="16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62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62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62" fillId="15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71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6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60" borderId="0" applyNumberFormat="0" applyBorder="0" applyAlignment="0" applyProtection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64" borderId="0" applyNumberFormat="0" applyBorder="0" applyAlignment="0" applyProtection="0"/>
    <xf numFmtId="185" fontId="24" fillId="9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4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61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38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11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41" borderId="34" applyNumberFormat="0" applyFont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65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0" borderId="0"/>
    <xf numFmtId="185" fontId="24" fillId="61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10" borderId="0" applyNumberFormat="0" applyBorder="0" applyAlignment="0" applyProtection="0"/>
    <xf numFmtId="185" fontId="24" fillId="4" borderId="0" applyNumberFormat="0" applyBorder="0" applyAlignment="0" applyProtection="0"/>
    <xf numFmtId="185" fontId="24" fillId="41" borderId="34" applyNumberFormat="0" applyFont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6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4" borderId="0" applyNumberFormat="0" applyBorder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7" borderId="0" applyNumberFormat="0" applyBorder="0" applyAlignment="0" applyProtection="0"/>
    <xf numFmtId="185" fontId="24" fillId="8" borderId="0" applyNumberFormat="0" applyBorder="0" applyAlignment="0" applyProtection="0"/>
    <xf numFmtId="185" fontId="24" fillId="6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39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38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6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4" borderId="0" applyNumberFormat="0" applyBorder="0" applyAlignment="0" applyProtection="0"/>
    <xf numFmtId="185" fontId="24" fillId="7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0" borderId="0" applyNumberFormat="0" applyBorder="0" applyAlignment="0" applyProtection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39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4" borderId="0" applyNumberFormat="0" applyBorder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5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4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5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60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54" borderId="0" applyNumberFormat="0" applyBorder="0" applyAlignment="0" applyProtection="0"/>
    <xf numFmtId="185" fontId="24" fillId="54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39" borderId="0" applyNumberFormat="0" applyBorder="0" applyAlignment="0" applyProtection="0"/>
    <xf numFmtId="185" fontId="24" fillId="67" borderId="0" applyNumberFormat="0" applyBorder="0" applyAlignment="0" applyProtection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5" borderId="0" applyNumberFormat="0" applyBorder="0" applyAlignment="0" applyProtection="0"/>
    <xf numFmtId="185" fontId="24" fillId="71" borderId="0" applyNumberFormat="0" applyBorder="0" applyAlignment="0" applyProtection="0"/>
    <xf numFmtId="185" fontId="24" fillId="60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39" fillId="11" borderId="10" applyNumberFormat="0" applyFont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70" borderId="0" applyNumberFormat="0" applyBorder="0" applyAlignment="0" applyProtection="0"/>
    <xf numFmtId="185" fontId="24" fillId="4" borderId="0" applyNumberFormat="0" applyBorder="0" applyAlignment="0" applyProtection="0"/>
    <xf numFmtId="185" fontId="24" fillId="0" borderId="0"/>
    <xf numFmtId="185" fontId="24" fillId="39" borderId="0" applyNumberFormat="0" applyBorder="0" applyAlignment="0" applyProtection="0"/>
    <xf numFmtId="185" fontId="24" fillId="65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0" borderId="0" applyNumberFormat="0" applyBorder="0" applyAlignment="0" applyProtection="0"/>
    <xf numFmtId="185" fontId="24" fillId="67" borderId="0" applyNumberFormat="0" applyBorder="0" applyAlignment="0" applyProtection="0"/>
    <xf numFmtId="185" fontId="24" fillId="0" borderId="0"/>
    <xf numFmtId="185" fontId="68" fillId="0" borderId="8" applyNumberFormat="0" applyFill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67" fillId="8" borderId="2" applyNumberFormat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41" borderId="34" applyNumberFormat="0" applyFont="0" applyAlignment="0" applyProtection="0"/>
    <xf numFmtId="185" fontId="24" fillId="65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63" fillId="23" borderId="2" applyNumberFormat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62" fillId="18" borderId="0" applyNumberFormat="0" applyBorder="0" applyAlignment="0" applyProtection="0"/>
    <xf numFmtId="185" fontId="62" fillId="17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62" fillId="12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62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62" fillId="15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53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4" borderId="0" applyNumberFormat="0" applyBorder="0" applyAlignment="0" applyProtection="0"/>
    <xf numFmtId="185" fontId="24" fillId="60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57" borderId="0" applyNumberFormat="0" applyBorder="0" applyAlignment="0" applyProtection="0"/>
    <xf numFmtId="185" fontId="24" fillId="65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4" borderId="0" applyNumberFormat="0" applyBorder="0" applyAlignment="0" applyProtection="0"/>
    <xf numFmtId="185" fontId="24" fillId="71" borderId="0" applyNumberFormat="0" applyBorder="0" applyAlignment="0" applyProtection="0"/>
    <xf numFmtId="185" fontId="24" fillId="41" borderId="34" applyNumberFormat="0" applyFont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60" borderId="0" applyNumberFormat="0" applyBorder="0" applyAlignment="0" applyProtection="0"/>
    <xf numFmtId="185" fontId="24" fillId="70" borderId="0" applyNumberFormat="0" applyBorder="0" applyAlignment="0" applyProtection="0"/>
    <xf numFmtId="185" fontId="24" fillId="7" borderId="0" applyNumberFormat="0" applyBorder="0" applyAlignment="0" applyProtection="0"/>
    <xf numFmtId="185" fontId="24" fillId="0" borderId="0"/>
    <xf numFmtId="185" fontId="24" fillId="0" borderId="0"/>
    <xf numFmtId="185" fontId="24" fillId="39" borderId="0" applyNumberFormat="0" applyBorder="0" applyAlignment="0" applyProtection="0"/>
    <xf numFmtId="185" fontId="24" fillId="0" borderId="0"/>
    <xf numFmtId="185" fontId="24" fillId="0" borderId="0"/>
    <xf numFmtId="185" fontId="24" fillId="70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43" fontId="24" fillId="0" borderId="0" applyFont="0" applyFill="0" applyBorder="0" applyAlignment="0" applyProtection="0"/>
    <xf numFmtId="185" fontId="24" fillId="0" borderId="0"/>
    <xf numFmtId="185" fontId="24" fillId="41" borderId="34" applyNumberFormat="0" applyFont="0" applyAlignment="0" applyProtection="0"/>
    <xf numFmtId="185" fontId="24" fillId="57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4" borderId="0" applyNumberFormat="0" applyBorder="0" applyAlignment="0" applyProtection="0"/>
    <xf numFmtId="185" fontId="24" fillId="61" borderId="0" applyNumberFormat="0" applyBorder="0" applyAlignment="0" applyProtection="0"/>
    <xf numFmtId="185" fontId="24" fillId="71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53" borderId="0" applyNumberFormat="0" applyBorder="0" applyAlignment="0" applyProtection="0"/>
    <xf numFmtId="185" fontId="24" fillId="61" borderId="0" applyNumberFormat="0" applyBorder="0" applyAlignment="0" applyProtection="0"/>
    <xf numFmtId="185" fontId="24" fillId="70" borderId="0" applyNumberFormat="0" applyBorder="0" applyAlignment="0" applyProtection="0"/>
    <xf numFmtId="185" fontId="24" fillId="9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9" borderId="0" applyNumberFormat="0" applyBorder="0" applyAlignment="0" applyProtection="0"/>
    <xf numFmtId="185" fontId="24" fillId="0" borderId="0"/>
    <xf numFmtId="185" fontId="24" fillId="10" borderId="0" applyNumberFormat="0" applyBorder="0" applyAlignment="0" applyProtection="0"/>
    <xf numFmtId="185" fontId="24" fillId="0" borderId="0"/>
    <xf numFmtId="185" fontId="24" fillId="9" borderId="0" applyNumberFormat="0" applyBorder="0" applyAlignment="0" applyProtection="0"/>
    <xf numFmtId="185" fontId="63" fillId="23" borderId="2" applyNumberFormat="0" applyAlignment="0" applyProtection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24" fillId="53" borderId="0" applyNumberFormat="0" applyBorder="0" applyAlignment="0" applyProtection="0"/>
    <xf numFmtId="185" fontId="24" fillId="0" borderId="0"/>
    <xf numFmtId="185" fontId="24" fillId="0" borderId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38" borderId="0" applyNumberFormat="0" applyBorder="0" applyAlignment="0" applyProtection="0"/>
    <xf numFmtId="185" fontId="24" fillId="14" borderId="0" applyNumberFormat="0" applyBorder="0" applyAlignment="0" applyProtection="0"/>
    <xf numFmtId="185" fontId="24" fillId="10" borderId="0" applyNumberFormat="0" applyBorder="0" applyAlignment="0" applyProtection="0"/>
    <xf numFmtId="185" fontId="24" fillId="0" borderId="0"/>
    <xf numFmtId="185" fontId="24" fillId="0" borderId="0"/>
    <xf numFmtId="185" fontId="24" fillId="10" borderId="0" applyNumberFormat="0" applyBorder="0" applyAlignment="0" applyProtection="0"/>
    <xf numFmtId="185" fontId="24" fillId="10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8" borderId="0" applyNumberFormat="0" applyBorder="0" applyAlignment="0" applyProtection="0"/>
    <xf numFmtId="185" fontId="24" fillId="38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39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1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4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7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11" borderId="0" applyNumberFormat="0" applyBorder="0" applyAlignment="0" applyProtection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4" fillId="0" borderId="0"/>
    <xf numFmtId="185" fontId="23" fillId="0" borderId="0"/>
    <xf numFmtId="185" fontId="62" fillId="15" borderId="0" applyNumberFormat="0" applyBorder="0" applyAlignment="0" applyProtection="0"/>
    <xf numFmtId="185" fontId="64" fillId="4" borderId="0" applyNumberFormat="0" applyBorder="0" applyAlignment="0" applyProtection="0"/>
    <xf numFmtId="185" fontId="62" fillId="10" borderId="0" applyNumberFormat="0" applyBorder="0" applyAlignment="0" applyProtection="0"/>
    <xf numFmtId="185" fontId="62" fillId="12" borderId="0" applyNumberFormat="0" applyBorder="0" applyAlignment="0" applyProtection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3" fillId="23" borderId="2" applyNumberFormat="0" applyAlignment="0" applyProtection="0"/>
    <xf numFmtId="185" fontId="67" fillId="8" borderId="2" applyNumberFormat="0" applyAlignment="0" applyProtection="0"/>
    <xf numFmtId="185" fontId="68" fillId="0" borderId="8" applyNumberFormat="0" applyFill="0" applyAlignment="0" applyProtection="0"/>
    <xf numFmtId="185" fontId="39" fillId="11" borderId="10" applyNumberFormat="0" applyFont="0" applyAlignment="0" applyProtection="0"/>
    <xf numFmtId="185" fontId="38" fillId="0" borderId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7" fillId="8" borderId="2" applyNumberFormat="0" applyAlignment="0" applyProtection="0"/>
    <xf numFmtId="185" fontId="39" fillId="0" borderId="0"/>
    <xf numFmtId="185" fontId="70" fillId="14" borderId="0" applyNumberFormat="0" applyBorder="0" applyAlignment="0" applyProtection="0"/>
    <xf numFmtId="190" fontId="141" fillId="0" borderId="0" applyFont="0" applyFill="0" applyBorder="0" applyAlignment="0" applyProtection="0"/>
    <xf numFmtId="185" fontId="64" fillId="4" borderId="0" applyNumberFormat="0" applyBorder="0" applyAlignment="0" applyProtection="0"/>
    <xf numFmtId="185" fontId="63" fillId="23" borderId="2" applyNumberFormat="0" applyAlignment="0" applyProtection="0"/>
    <xf numFmtId="185" fontId="62" fillId="18" borderId="0" applyNumberFormat="0" applyBorder="0" applyAlignment="0" applyProtection="0"/>
    <xf numFmtId="185" fontId="67" fillId="8" borderId="2" applyNumberFormat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6" borderId="0" applyNumberFormat="0" applyBorder="0" applyAlignment="0" applyProtection="0"/>
    <xf numFmtId="185" fontId="66" fillId="5" borderId="0" applyNumberFormat="0" applyBorder="0" applyAlignment="0" applyProtection="0"/>
    <xf numFmtId="185" fontId="62" fillId="15" borderId="0" applyNumberFormat="0" applyBorder="0" applyAlignment="0" applyProtection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3" fillId="23" borderId="2" applyNumberFormat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7" fillId="8" borderId="2" applyNumberFormat="0" applyAlignment="0" applyProtection="0"/>
    <xf numFmtId="185" fontId="39" fillId="11" borderId="10" applyNumberFormat="0" applyFont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4" fillId="4" borderId="0" applyNumberFormat="0" applyBorder="0" applyAlignment="0" applyProtection="0"/>
    <xf numFmtId="185" fontId="62" fillId="18" borderId="0" applyNumberFormat="0" applyBorder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85" fontId="38" fillId="0" borderId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67" fillId="8" borderId="2" applyNumberFormat="0" applyAlignment="0" applyProtection="0"/>
    <xf numFmtId="185" fontId="73" fillId="0" borderId="0" applyNumberFormat="0" applyFill="0" applyBorder="0" applyAlignment="0" applyProtection="0"/>
    <xf numFmtId="185" fontId="68" fillId="0" borderId="8" applyNumberFormat="0" applyFill="0" applyAlignment="0" applyProtection="0"/>
    <xf numFmtId="185" fontId="73" fillId="0" borderId="7" applyNumberFormat="0" applyFill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62" fillId="18" borderId="0" applyNumberFormat="0" applyBorder="0" applyAlignment="0" applyProtection="0"/>
    <xf numFmtId="185" fontId="38" fillId="0" borderId="0"/>
    <xf numFmtId="185" fontId="62" fillId="10" borderId="0" applyNumberFormat="0" applyBorder="0" applyAlignment="0" applyProtection="0"/>
    <xf numFmtId="185" fontId="67" fillId="8" borderId="2" applyNumberFormat="0" applyAlignment="0" applyProtection="0"/>
    <xf numFmtId="185" fontId="62" fillId="15" borderId="0" applyNumberFormat="0" applyBorder="0" applyAlignment="0" applyProtection="0"/>
    <xf numFmtId="185" fontId="66" fillId="5" borderId="0" applyNumberFormat="0" applyBorder="0" applyAlignment="0" applyProtection="0"/>
    <xf numFmtId="185" fontId="38" fillId="0" borderId="0"/>
    <xf numFmtId="185" fontId="70" fillId="14" borderId="0" applyNumberFormat="0" applyBorder="0" applyAlignment="0" applyProtection="0"/>
    <xf numFmtId="185" fontId="66" fillId="5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90" fontId="141" fillId="0" borderId="0" applyFont="0" applyFill="0" applyBorder="0" applyAlignment="0" applyProtection="0"/>
    <xf numFmtId="185" fontId="67" fillId="8" borderId="2" applyNumberFormat="0" applyAlignment="0" applyProtection="0"/>
    <xf numFmtId="185" fontId="62" fillId="17" borderId="0" applyNumberFormat="0" applyBorder="0" applyAlignment="0" applyProtection="0"/>
    <xf numFmtId="185" fontId="66" fillId="5" borderId="0" applyNumberFormat="0" applyBorder="0" applyAlignment="0" applyProtection="0"/>
    <xf numFmtId="185" fontId="62" fillId="10" borderId="0" applyNumberFormat="0" applyBorder="0" applyAlignment="0" applyProtection="0"/>
    <xf numFmtId="185" fontId="70" fillId="14" borderId="0" applyNumberFormat="0" applyBorder="0" applyAlignment="0" applyProtection="0"/>
    <xf numFmtId="185" fontId="71" fillId="0" borderId="5" applyNumberFormat="0" applyFill="0" applyAlignment="0" applyProtection="0"/>
    <xf numFmtId="185" fontId="62" fillId="16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38" fillId="0" borderId="0"/>
    <xf numFmtId="185" fontId="62" fillId="15" borderId="0" applyNumberFormat="0" applyBorder="0" applyAlignment="0" applyProtection="0"/>
    <xf numFmtId="185" fontId="62" fillId="16" borderId="0" applyNumberFormat="0" applyBorder="0" applyAlignment="0" applyProtection="0"/>
    <xf numFmtId="185" fontId="39" fillId="11" borderId="10" applyNumberFormat="0" applyFont="0" applyAlignment="0" applyProtection="0"/>
    <xf numFmtId="185" fontId="38" fillId="0" borderId="0"/>
    <xf numFmtId="185" fontId="70" fillId="14" borderId="0" applyNumberFormat="0" applyBorder="0" applyAlignment="0" applyProtection="0"/>
    <xf numFmtId="185" fontId="39" fillId="11" borderId="10" applyNumberFormat="0" applyFont="0" applyAlignment="0" applyProtection="0"/>
    <xf numFmtId="185" fontId="39" fillId="0" borderId="0"/>
    <xf numFmtId="185" fontId="64" fillId="4" borderId="0" applyNumberFormat="0" applyBorder="0" applyAlignment="0" applyProtection="0"/>
    <xf numFmtId="185" fontId="62" fillId="17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90" fontId="141" fillId="0" borderId="0" applyFont="0" applyFill="0" applyBorder="0" applyAlignment="0" applyProtection="0"/>
    <xf numFmtId="185" fontId="62" fillId="12" borderId="0" applyNumberFormat="0" applyBorder="0" applyAlignment="0" applyProtection="0"/>
    <xf numFmtId="185" fontId="62" fillId="16" borderId="0" applyNumberFormat="0" applyBorder="0" applyAlignment="0" applyProtection="0"/>
    <xf numFmtId="185" fontId="66" fillId="5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1" fillId="0" borderId="5" applyNumberFormat="0" applyFill="0" applyAlignment="0" applyProtection="0"/>
    <xf numFmtId="185" fontId="72" fillId="0" borderId="6" applyNumberFormat="0" applyFill="0" applyAlignment="0" applyProtection="0"/>
    <xf numFmtId="185" fontId="73" fillId="0" borderId="7" applyNumberFormat="0" applyFill="0" applyAlignment="0" applyProtection="0"/>
    <xf numFmtId="185" fontId="73" fillId="0" borderId="0" applyNumberFormat="0" applyFill="0" applyBorder="0" applyAlignment="0" applyProtection="0"/>
    <xf numFmtId="190" fontId="141" fillId="0" borderId="0" applyFont="0" applyFill="0" applyBorder="0" applyAlignment="0" applyProtection="0"/>
    <xf numFmtId="185" fontId="62" fillId="15" borderId="0" applyNumberFormat="0" applyBorder="0" applyAlignment="0" applyProtection="0"/>
    <xf numFmtId="185" fontId="62" fillId="12" borderId="0" applyNumberFormat="0" applyBorder="0" applyAlignment="0" applyProtection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3" fillId="23" borderId="2" applyNumberFormat="0" applyAlignment="0" applyProtection="0"/>
    <xf numFmtId="185" fontId="73" fillId="0" borderId="0" applyNumberFormat="0" applyFill="0" applyBorder="0" applyAlignment="0" applyProtection="0"/>
    <xf numFmtId="190" fontId="141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72" fillId="0" borderId="6" applyNumberFormat="0" applyFill="0" applyAlignment="0" applyProtection="0"/>
    <xf numFmtId="185" fontId="66" fillId="5" borderId="0" applyNumberFormat="0" applyBorder="0" applyAlignment="0" applyProtection="0"/>
    <xf numFmtId="185" fontId="62" fillId="18" borderId="0" applyNumberFormat="0" applyBorder="0" applyAlignment="0" applyProtection="0"/>
    <xf numFmtId="185" fontId="62" fillId="17" borderId="0" applyNumberFormat="0" applyBorder="0" applyAlignment="0" applyProtection="0"/>
    <xf numFmtId="185" fontId="62" fillId="15" borderId="0" applyNumberFormat="0" applyBorder="0" applyAlignment="0" applyProtection="0"/>
    <xf numFmtId="190" fontId="141" fillId="0" borderId="0" applyFont="0" applyFill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62" fillId="16" borderId="0" applyNumberFormat="0" applyBorder="0" applyAlignment="0" applyProtection="0"/>
    <xf numFmtId="185" fontId="38" fillId="0" borderId="0"/>
    <xf numFmtId="185" fontId="39" fillId="0" borderId="0"/>
    <xf numFmtId="185" fontId="39" fillId="11" borderId="10" applyNumberFormat="0" applyFont="0" applyAlignment="0" applyProtection="0"/>
    <xf numFmtId="185" fontId="62" fillId="12" borderId="0" applyNumberFormat="0" applyBorder="0" applyAlignment="0" applyProtection="0"/>
    <xf numFmtId="185" fontId="71" fillId="0" borderId="5" applyNumberFormat="0" applyFill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70" fillId="14" borderId="0" applyNumberFormat="0" applyBorder="0" applyAlignment="0" applyProtection="0"/>
    <xf numFmtId="185" fontId="67" fillId="8" borderId="2" applyNumberFormat="0" applyAlignment="0" applyProtection="0"/>
    <xf numFmtId="185" fontId="66" fillId="5" borderId="0" applyNumberFormat="0" applyBorder="0" applyAlignment="0" applyProtection="0"/>
    <xf numFmtId="185" fontId="66" fillId="5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3" fillId="23" borderId="2" applyNumberFormat="0" applyAlignment="0" applyProtection="0"/>
    <xf numFmtId="185" fontId="62" fillId="18" borderId="0" applyNumberFormat="0" applyBorder="0" applyAlignment="0" applyProtection="0"/>
    <xf numFmtId="185" fontId="62" fillId="17" borderId="0" applyNumberFormat="0" applyBorder="0" applyAlignment="0" applyProtection="0"/>
    <xf numFmtId="185" fontId="38" fillId="0" borderId="0"/>
    <xf numFmtId="185" fontId="62" fillId="17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2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3" fillId="23" borderId="2" applyNumberFormat="0" applyAlignment="0" applyProtection="0"/>
    <xf numFmtId="185" fontId="62" fillId="15" borderId="0" applyNumberFormat="0" applyBorder="0" applyAlignment="0" applyProtection="0"/>
    <xf numFmtId="185" fontId="38" fillId="0" borderId="0"/>
    <xf numFmtId="185" fontId="62" fillId="15" borderId="0" applyNumberFormat="0" applyBorder="0" applyAlignment="0" applyProtection="0"/>
    <xf numFmtId="185" fontId="39" fillId="0" borderId="0"/>
    <xf numFmtId="185" fontId="39" fillId="11" borderId="10" applyNumberFormat="0" applyFont="0" applyAlignment="0" applyProtection="0"/>
    <xf numFmtId="185" fontId="68" fillId="0" borderId="8" applyNumberFormat="0" applyFill="0" applyAlignment="0" applyProtection="0"/>
    <xf numFmtId="185" fontId="62" fillId="10" borderId="0" applyNumberFormat="0" applyBorder="0" applyAlignment="0" applyProtection="0"/>
    <xf numFmtId="185" fontId="62" fillId="15" borderId="0" applyNumberFormat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85" fontId="62" fillId="10" borderId="0" applyNumberFormat="0" applyBorder="0" applyAlignment="0" applyProtection="0"/>
    <xf numFmtId="185" fontId="23" fillId="53" borderId="0" applyNumberFormat="0" applyBorder="0" applyAlignment="0" applyProtection="0"/>
    <xf numFmtId="185" fontId="23" fillId="54" borderId="0" applyNumberFormat="0" applyBorder="0" applyAlignment="0" applyProtection="0"/>
    <xf numFmtId="185" fontId="23" fillId="57" borderId="0" applyNumberFormat="0" applyBorder="0" applyAlignment="0" applyProtection="0"/>
    <xf numFmtId="185" fontId="23" fillId="39" borderId="0" applyNumberFormat="0" applyBorder="0" applyAlignment="0" applyProtection="0"/>
    <xf numFmtId="185" fontId="23" fillId="60" borderId="0" applyNumberFormat="0" applyBorder="0" applyAlignment="0" applyProtection="0"/>
    <xf numFmtId="185" fontId="23" fillId="61" borderId="0" applyNumberFormat="0" applyBorder="0" applyAlignment="0" applyProtection="0"/>
    <xf numFmtId="185" fontId="23" fillId="64" borderId="0" applyNumberFormat="0" applyBorder="0" applyAlignment="0" applyProtection="0"/>
    <xf numFmtId="185" fontId="23" fillId="65" borderId="0" applyNumberFormat="0" applyBorder="0" applyAlignment="0" applyProtection="0"/>
    <xf numFmtId="185" fontId="23" fillId="38" borderId="0" applyNumberFormat="0" applyBorder="0" applyAlignment="0" applyProtection="0"/>
    <xf numFmtId="185" fontId="23" fillId="67" borderId="0" applyNumberFormat="0" applyBorder="0" applyAlignment="0" applyProtection="0"/>
    <xf numFmtId="185" fontId="23" fillId="70" borderId="0" applyNumberFormat="0" applyBorder="0" applyAlignment="0" applyProtection="0"/>
    <xf numFmtId="185" fontId="23" fillId="71" borderId="0" applyNumberFormat="0" applyBorder="0" applyAlignment="0" applyProtection="0"/>
    <xf numFmtId="185" fontId="23" fillId="0" borderId="0"/>
    <xf numFmtId="185" fontId="23" fillId="0" borderId="0"/>
    <xf numFmtId="185" fontId="23" fillId="0" borderId="0"/>
    <xf numFmtId="185" fontId="62" fillId="18" borderId="0" applyNumberFormat="0" applyBorder="0" applyAlignment="0" applyProtection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62" fillId="16" borderId="0" applyNumberFormat="0" applyBorder="0" applyAlignment="0" applyProtection="0"/>
    <xf numFmtId="185" fontId="62" fillId="12" borderId="0" applyNumberFormat="0" applyBorder="0" applyAlignment="0" applyProtection="0"/>
    <xf numFmtId="185" fontId="62" fillId="10" borderId="0" applyNumberFormat="0" applyBorder="0" applyAlignment="0" applyProtection="0"/>
    <xf numFmtId="185" fontId="62" fillId="15" borderId="0" applyNumberFormat="0" applyBorder="0" applyAlignment="0" applyProtection="0"/>
    <xf numFmtId="185" fontId="62" fillId="18" borderId="0" applyNumberFormat="0" applyBorder="0" applyAlignment="0" applyProtection="0"/>
    <xf numFmtId="185" fontId="39" fillId="11" borderId="10" applyNumberFormat="0" applyFont="0" applyAlignment="0" applyProtection="0"/>
    <xf numFmtId="185" fontId="63" fillId="23" borderId="2" applyNumberFormat="0" applyAlignment="0" applyProtection="0"/>
    <xf numFmtId="185" fontId="62" fillId="18" borderId="0" applyNumberFormat="0" applyBorder="0" applyAlignment="0" applyProtection="0"/>
    <xf numFmtId="185" fontId="72" fillId="0" borderId="6" applyNumberFormat="0" applyFill="0" applyAlignment="0" applyProtection="0"/>
    <xf numFmtId="185" fontId="70" fillId="14" borderId="0" applyNumberFormat="0" applyBorder="0" applyAlignment="0" applyProtection="0"/>
    <xf numFmtId="185" fontId="73" fillId="0" borderId="7" applyNumberFormat="0" applyFill="0" applyAlignment="0" applyProtection="0"/>
    <xf numFmtId="185" fontId="23" fillId="0" borderId="0"/>
    <xf numFmtId="185" fontId="38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85" fontId="64" fillId="4" borderId="0" applyNumberFormat="0" applyBorder="0" applyAlignment="0" applyProtection="0"/>
    <xf numFmtId="185" fontId="67" fillId="8" borderId="2" applyNumberFormat="0" applyAlignment="0" applyProtection="0"/>
    <xf numFmtId="185" fontId="63" fillId="23" borderId="2" applyNumberFormat="0" applyAlignment="0" applyProtection="0"/>
    <xf numFmtId="185" fontId="62" fillId="10" borderId="0" applyNumberFormat="0" applyBorder="0" applyAlignment="0" applyProtection="0"/>
    <xf numFmtId="185" fontId="62" fillId="16" borderId="0" applyNumberFormat="0" applyBorder="0" applyAlignment="0" applyProtection="0"/>
    <xf numFmtId="185" fontId="62" fillId="18" borderId="0" applyNumberFormat="0" applyBorder="0" applyAlignment="0" applyProtection="0"/>
    <xf numFmtId="185" fontId="66" fillId="5" borderId="0" applyNumberFormat="0" applyBorder="0" applyAlignment="0" applyProtection="0"/>
    <xf numFmtId="185" fontId="62" fillId="12" borderId="0" applyNumberFormat="0" applyBorder="0" applyAlignment="0" applyProtection="0"/>
    <xf numFmtId="185" fontId="62" fillId="12" borderId="0" applyNumberFormat="0" applyBorder="0" applyAlignment="0" applyProtection="0"/>
    <xf numFmtId="185" fontId="62" fillId="15" borderId="0" applyNumberFormat="0" applyBorder="0" applyAlignment="0" applyProtection="0"/>
    <xf numFmtId="185" fontId="73" fillId="0" borderId="7" applyNumberFormat="0" applyFill="0" applyAlignment="0" applyProtection="0"/>
    <xf numFmtId="185" fontId="67" fillId="8" borderId="2" applyNumberFormat="0" applyAlignment="0" applyProtection="0"/>
    <xf numFmtId="185" fontId="63" fillId="23" borderId="2" applyNumberFormat="0" applyAlignment="0" applyProtection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64" fillId="4" borderId="0" applyNumberFormat="0" applyBorder="0" applyAlignment="0" applyProtection="0"/>
    <xf numFmtId="185" fontId="67" fillId="8" borderId="2" applyNumberFormat="0" applyAlignment="0" applyProtection="0"/>
    <xf numFmtId="190" fontId="141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66" fillId="5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38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39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62" fillId="17" borderId="0" applyNumberFormat="0" applyBorder="0" applyAlignment="0" applyProtection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67" fillId="8" borderId="2" applyNumberFormat="0" applyAlignment="0" applyProtection="0"/>
    <xf numFmtId="185" fontId="62" fillId="18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9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0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8" borderId="0" applyNumberFormat="0" applyBorder="0" applyAlignment="0" applyProtection="0"/>
    <xf numFmtId="185" fontId="23" fillId="38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39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1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4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7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11" borderId="0" applyNumberFormat="0" applyBorder="0" applyAlignment="0" applyProtection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23" fillId="0" borderId="0"/>
    <xf numFmtId="185" fontId="70" fillId="14" borderId="0" applyNumberFormat="0" applyBorder="0" applyAlignment="0" applyProtection="0"/>
    <xf numFmtId="185" fontId="39" fillId="11" borderId="10" applyNumberFormat="0" applyFont="0" applyAlignment="0" applyProtection="0"/>
    <xf numFmtId="185" fontId="66" fillId="5" borderId="0" applyNumberFormat="0" applyBorder="0" applyAlignment="0" applyProtection="0"/>
    <xf numFmtId="185" fontId="64" fillId="4" borderId="0" applyNumberFormat="0" applyBorder="0" applyAlignment="0" applyProtection="0"/>
    <xf numFmtId="185" fontId="62" fillId="12" borderId="0" applyNumberFormat="0" applyBorder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7" fillId="8" borderId="2" applyNumberFormat="0" applyAlignment="0" applyProtection="0"/>
    <xf numFmtId="190" fontId="141" fillId="0" borderId="0" applyFont="0" applyFill="0" applyBorder="0" applyAlignment="0" applyProtection="0"/>
    <xf numFmtId="185" fontId="62" fillId="10" borderId="0" applyNumberFormat="0" applyBorder="0" applyAlignment="0" applyProtection="0"/>
    <xf numFmtId="185" fontId="38" fillId="0" borderId="0"/>
    <xf numFmtId="185" fontId="63" fillId="23" borderId="2" applyNumberFormat="0" applyAlignment="0" applyProtection="0"/>
    <xf numFmtId="185" fontId="72" fillId="0" borderId="6" applyNumberFormat="0" applyFill="0" applyAlignment="0" applyProtection="0"/>
    <xf numFmtId="185" fontId="62" fillId="12" borderId="0" applyNumberFormat="0" applyBorder="0" applyAlignment="0" applyProtection="0"/>
    <xf numFmtId="185" fontId="62" fillId="16" borderId="0" applyNumberFormat="0" applyBorder="0" applyAlignment="0" applyProtection="0"/>
    <xf numFmtId="190" fontId="141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70" fillId="14" borderId="0" applyNumberFormat="0" applyBorder="0" applyAlignment="0" applyProtection="0"/>
    <xf numFmtId="185" fontId="67" fillId="8" borderId="2" applyNumberFormat="0" applyAlignment="0" applyProtection="0"/>
    <xf numFmtId="185" fontId="64" fillId="4" borderId="0" applyNumberFormat="0" applyBorder="0" applyAlignment="0" applyProtection="0"/>
    <xf numFmtId="185" fontId="64" fillId="4" borderId="0" applyNumberFormat="0" applyBorder="0" applyAlignment="0" applyProtection="0"/>
    <xf numFmtId="185" fontId="62" fillId="17" borderId="0" applyNumberFormat="0" applyBorder="0" applyAlignment="0" applyProtection="0"/>
    <xf numFmtId="185" fontId="39" fillId="11" borderId="10" applyNumberFormat="0" applyFont="0" applyAlignment="0" applyProtection="0"/>
    <xf numFmtId="185" fontId="62" fillId="10" borderId="0" applyNumberFormat="0" applyBorder="0" applyAlignment="0" applyProtection="0"/>
    <xf numFmtId="185" fontId="62" fillId="15" borderId="0" applyNumberFormat="0" applyBorder="0" applyAlignment="0" applyProtection="0"/>
    <xf numFmtId="185" fontId="62" fillId="10" borderId="0" applyNumberFormat="0" applyBorder="0" applyAlignment="0" applyProtection="0"/>
    <xf numFmtId="185" fontId="62" fillId="15" borderId="0" applyNumberFormat="0" applyBorder="0" applyAlignment="0" applyProtection="0"/>
    <xf numFmtId="185" fontId="62" fillId="17" borderId="0" applyNumberFormat="0" applyBorder="0" applyAlignment="0" applyProtection="0"/>
    <xf numFmtId="185" fontId="39" fillId="0" borderId="0"/>
    <xf numFmtId="185" fontId="63" fillId="23" borderId="2" applyNumberFormat="0" applyAlignment="0" applyProtection="0"/>
    <xf numFmtId="185" fontId="62" fillId="17" borderId="0" applyNumberFormat="0" applyBorder="0" applyAlignment="0" applyProtection="0"/>
    <xf numFmtId="185" fontId="66" fillId="5" borderId="0" applyNumberFormat="0" applyBorder="0" applyAlignment="0" applyProtection="0"/>
    <xf numFmtId="185" fontId="38" fillId="0" borderId="0"/>
    <xf numFmtId="185" fontId="67" fillId="8" borderId="2" applyNumberFormat="0" applyAlignment="0" applyProtection="0"/>
    <xf numFmtId="185" fontId="66" fillId="5" borderId="0" applyNumberFormat="0" applyBorder="0" applyAlignment="0" applyProtection="0"/>
    <xf numFmtId="185" fontId="38" fillId="0" borderId="0"/>
    <xf numFmtId="185" fontId="62" fillId="17" borderId="0" applyNumberFormat="0" applyBorder="0" applyAlignment="0" applyProtection="0"/>
    <xf numFmtId="185" fontId="62" fillId="18" borderId="0" applyNumberFormat="0" applyBorder="0" applyAlignment="0" applyProtection="0"/>
    <xf numFmtId="185" fontId="64" fillId="4" borderId="0" applyNumberFormat="0" applyBorder="0" applyAlignment="0" applyProtection="0"/>
    <xf numFmtId="185" fontId="66" fillId="5" borderId="0" applyNumberFormat="0" applyBorder="0" applyAlignment="0" applyProtection="0"/>
    <xf numFmtId="185" fontId="39" fillId="11" borderId="10" applyNumberFormat="0" applyFont="0" applyAlignment="0" applyProtection="0"/>
    <xf numFmtId="185" fontId="38" fillId="0" borderId="0"/>
    <xf numFmtId="190" fontId="141" fillId="0" borderId="0" applyFont="0" applyFill="0" applyBorder="0" applyAlignment="0" applyProtection="0"/>
    <xf numFmtId="185" fontId="62" fillId="10" borderId="0" applyNumberFormat="0" applyBorder="0" applyAlignment="0" applyProtection="0"/>
    <xf numFmtId="185" fontId="73" fillId="0" borderId="0" applyNumberFormat="0" applyFill="0" applyBorder="0" applyAlignment="0" applyProtection="0"/>
    <xf numFmtId="185" fontId="71" fillId="0" borderId="5" applyNumberFormat="0" applyFill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62" fillId="16" borderId="0" applyNumberFormat="0" applyBorder="0" applyAlignment="0" applyProtection="0"/>
    <xf numFmtId="190" fontId="141" fillId="0" borderId="0" applyFont="0" applyFill="0" applyBorder="0" applyAlignment="0" applyProtection="0"/>
    <xf numFmtId="185" fontId="38" fillId="0" borderId="0"/>
    <xf numFmtId="185" fontId="39" fillId="11" borderId="10" applyNumberFormat="0" applyFont="0" applyAlignment="0" applyProtection="0"/>
    <xf numFmtId="185" fontId="68" fillId="0" borderId="8" applyNumberFormat="0" applyFill="0" applyAlignment="0" applyProtection="0"/>
    <xf numFmtId="190" fontId="141" fillId="0" borderId="0" applyFont="0" applyFill="0" applyBorder="0" applyAlignment="0" applyProtection="0"/>
    <xf numFmtId="185" fontId="67" fillId="8" borderId="2" applyNumberFormat="0" applyAlignment="0" applyProtection="0"/>
    <xf numFmtId="185" fontId="66" fillId="5" borderId="0" applyNumberFormat="0" applyBorder="0" applyAlignment="0" applyProtection="0"/>
    <xf numFmtId="185" fontId="63" fillId="23" borderId="2" applyNumberFormat="0" applyAlignment="0" applyProtection="0"/>
    <xf numFmtId="185" fontId="62" fillId="18" borderId="0" applyNumberFormat="0" applyBorder="0" applyAlignment="0" applyProtection="0"/>
    <xf numFmtId="185" fontId="62" fillId="18" borderId="0" applyNumberFormat="0" applyBorder="0" applyAlignment="0" applyProtection="0"/>
    <xf numFmtId="185" fontId="62" fillId="17" borderId="0" applyNumberFormat="0" applyBorder="0" applyAlignment="0" applyProtection="0"/>
    <xf numFmtId="185" fontId="62" fillId="12" borderId="0" applyNumberFormat="0" applyBorder="0" applyAlignment="0" applyProtection="0"/>
    <xf numFmtId="185" fontId="62" fillId="15" borderId="0" applyNumberFormat="0" applyBorder="0" applyAlignment="0" applyProtection="0"/>
    <xf numFmtId="185" fontId="62" fillId="15" borderId="0" applyNumberFormat="0" applyBorder="0" applyAlignment="0" applyProtection="0"/>
    <xf numFmtId="185" fontId="38" fillId="0" borderId="0"/>
    <xf numFmtId="185" fontId="23" fillId="0" borderId="0"/>
    <xf numFmtId="185" fontId="23" fillId="0" borderId="0"/>
    <xf numFmtId="185" fontId="63" fillId="23" borderId="2" applyNumberFormat="0" applyAlignment="0" applyProtection="0"/>
    <xf numFmtId="185" fontId="23" fillId="0" borderId="0"/>
    <xf numFmtId="185" fontId="23" fillId="0" borderId="0"/>
    <xf numFmtId="185" fontId="62" fillId="16" borderId="0" applyNumberFormat="0" applyBorder="0" applyAlignment="0" applyProtection="0"/>
    <xf numFmtId="185" fontId="63" fillId="23" borderId="2" applyNumberFormat="0" applyAlignment="0" applyProtection="0"/>
    <xf numFmtId="185" fontId="63" fillId="23" borderId="2" applyNumberFormat="0" applyAlignment="0" applyProtection="0"/>
    <xf numFmtId="190" fontId="141" fillId="0" borderId="0" applyFont="0" applyFill="0" applyBorder="0" applyAlignment="0" applyProtection="0"/>
    <xf numFmtId="185" fontId="22" fillId="0" borderId="0"/>
    <xf numFmtId="185" fontId="22" fillId="0" borderId="0"/>
    <xf numFmtId="185" fontId="21" fillId="0" borderId="0"/>
    <xf numFmtId="43" fontId="21" fillId="0" borderId="0" applyFont="0" applyFill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114" fillId="3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5" fillId="0" borderId="0" applyNumberFormat="0" applyFill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2" fillId="79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77" fillId="0" borderId="9" applyNumberFormat="0" applyFill="0" applyAlignment="0" applyProtection="0"/>
    <xf numFmtId="185" fontId="236" fillId="34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69" fillId="25" borderId="4" applyNumberForma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54" fillId="0" borderId="0" applyFill="0" applyBorder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79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66" fillId="5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68" fillId="0" borderId="8" applyNumberFormat="0" applyFill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3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60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61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64" borderId="0" applyNumberFormat="0" applyBorder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64" borderId="0" applyNumberFormat="0" applyBorder="0" applyAlignment="0" applyProtection="0"/>
    <xf numFmtId="185" fontId="20" fillId="60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9" borderId="0" applyNumberFormat="0" applyBorder="0" applyAlignment="0" applyProtection="0"/>
    <xf numFmtId="185" fontId="20" fillId="57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159" fillId="0" borderId="0" applyNumberForma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60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61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64" borderId="0" applyNumberFormat="0" applyBorder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64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67" borderId="0" applyNumberFormat="0" applyBorder="0" applyAlignment="0" applyProtection="0"/>
    <xf numFmtId="185" fontId="20" fillId="61" borderId="0" applyNumberFormat="0" applyBorder="0" applyAlignment="0" applyProtection="0"/>
    <xf numFmtId="185" fontId="20" fillId="65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67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67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4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39" borderId="0" applyNumberFormat="0" applyBorder="0" applyAlignment="0" applyProtection="0"/>
    <xf numFmtId="185" fontId="20" fillId="67" borderId="0" applyNumberFormat="0" applyBorder="0" applyAlignment="0" applyProtection="0"/>
    <xf numFmtId="185" fontId="20" fillId="61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1" borderId="0" applyNumberFormat="0" applyBorder="0" applyAlignment="0" applyProtection="0"/>
    <xf numFmtId="185" fontId="20" fillId="65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38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64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38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185" fontId="20" fillId="60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70" borderId="0" applyNumberFormat="0" applyBorder="0" applyAlignment="0" applyProtection="0"/>
    <xf numFmtId="9" fontId="20" fillId="0" borderId="0" applyFont="0" applyFill="0" applyBorder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71" borderId="0" applyNumberFormat="0" applyBorder="0" applyAlignment="0" applyProtection="0"/>
    <xf numFmtId="185" fontId="20" fillId="53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11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38" borderId="0" applyNumberFormat="0" applyBorder="0" applyAlignment="0" applyProtection="0"/>
    <xf numFmtId="185" fontId="20" fillId="53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" borderId="0" applyNumberFormat="0" applyBorder="0" applyAlignment="0" applyProtection="0"/>
    <xf numFmtId="185" fontId="20" fillId="9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57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7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65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70" borderId="0" applyNumberFormat="0" applyBorder="0" applyAlignment="0" applyProtection="0"/>
    <xf numFmtId="185" fontId="20" fillId="6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71" borderId="0" applyNumberFormat="0" applyBorder="0" applyAlignment="0" applyProtection="0"/>
    <xf numFmtId="185" fontId="20" fillId="65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65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0" borderId="0" applyNumberFormat="0" applyBorder="0" applyAlignment="0" applyProtection="0"/>
    <xf numFmtId="185" fontId="20" fillId="64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70" borderId="0" applyNumberFormat="0" applyBorder="0" applyAlignment="0" applyProtection="0"/>
    <xf numFmtId="185" fontId="20" fillId="64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60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65" borderId="0" applyNumberFormat="0" applyBorder="0" applyAlignment="0" applyProtection="0"/>
    <xf numFmtId="185" fontId="20" fillId="41" borderId="34" applyNumberFormat="0" applyFont="0" applyAlignment="0" applyProtection="0"/>
    <xf numFmtId="185" fontId="20" fillId="57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70" borderId="0" applyNumberFormat="0" applyBorder="0" applyAlignment="0" applyProtection="0"/>
    <xf numFmtId="185" fontId="20" fillId="65" borderId="0" applyNumberFormat="0" applyBorder="0" applyAlignment="0" applyProtection="0"/>
    <xf numFmtId="185" fontId="20" fillId="57" borderId="0" applyNumberFormat="0" applyBorder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53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60" borderId="0" applyNumberFormat="0" applyBorder="0" applyAlignment="0" applyProtection="0"/>
    <xf numFmtId="185" fontId="20" fillId="65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70" borderId="0" applyNumberFormat="0" applyBorder="0" applyAlignment="0" applyProtection="0"/>
    <xf numFmtId="185" fontId="20" fillId="57" borderId="0" applyNumberFormat="0" applyBorder="0" applyAlignment="0" applyProtection="0"/>
    <xf numFmtId="185" fontId="20" fillId="6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70" borderId="0" applyNumberFormat="0" applyBorder="0" applyAlignment="0" applyProtection="0"/>
    <xf numFmtId="185" fontId="20" fillId="65" borderId="0" applyNumberFormat="0" applyBorder="0" applyAlignment="0" applyProtection="0"/>
    <xf numFmtId="185" fontId="20" fillId="60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67" borderId="0" applyNumberFormat="0" applyBorder="0" applyAlignment="0" applyProtection="0"/>
    <xf numFmtId="185" fontId="20" fillId="61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70" borderId="0" applyNumberFormat="0" applyBorder="0" applyAlignment="0" applyProtection="0"/>
    <xf numFmtId="185" fontId="20" fillId="65" borderId="0" applyNumberFormat="0" applyBorder="0" applyAlignment="0" applyProtection="0"/>
    <xf numFmtId="185" fontId="20" fillId="61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43" fontId="20" fillId="0" borderId="0" applyFont="0" applyFill="0" applyBorder="0" applyAlignment="0" applyProtection="0"/>
    <xf numFmtId="185" fontId="20" fillId="39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185" fontId="20" fillId="67" borderId="0" applyNumberFormat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20" fillId="4" borderId="0" applyNumberFormat="0" applyBorder="0" applyAlignment="0" applyProtection="0"/>
    <xf numFmtId="185" fontId="20" fillId="60" borderId="0" applyNumberFormat="0" applyBorder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6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70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67" borderId="0" applyNumberFormat="0" applyBorder="0" applyAlignment="0" applyProtection="0"/>
    <xf numFmtId="9" fontId="20" fillId="0" borderId="0" applyFont="0" applyFill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38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8" borderId="0" applyNumberFormat="0" applyBorder="0" applyAlignment="0" applyProtection="0"/>
    <xf numFmtId="185" fontId="20" fillId="64" borderId="0" applyNumberFormat="0" applyBorder="0" applyAlignment="0" applyProtection="0"/>
    <xf numFmtId="185" fontId="20" fillId="0" borderId="0"/>
    <xf numFmtId="185" fontId="20" fillId="6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185" fontId="20" fillId="6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67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4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64" borderId="0" applyNumberFormat="0" applyBorder="0" applyAlignment="0" applyProtection="0"/>
    <xf numFmtId="185" fontId="20" fillId="57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65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57" borderId="0" applyNumberFormat="0" applyBorder="0" applyAlignment="0" applyProtection="0"/>
    <xf numFmtId="185" fontId="20" fillId="41" borderId="34" applyNumberFormat="0" applyFont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54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64" borderId="0" applyNumberFormat="0" applyBorder="0" applyAlignment="0" applyProtection="0"/>
    <xf numFmtId="185" fontId="20" fillId="57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41" borderId="34" applyNumberFormat="0" applyFont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54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9" fontId="20" fillId="0" borderId="0" applyFont="0" applyFill="0" applyBorder="0" applyAlignment="0" applyProtection="0"/>
    <xf numFmtId="185" fontId="20" fillId="14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64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57" borderId="0" applyNumberFormat="0" applyBorder="0" applyAlignment="0" applyProtection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7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71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67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185" fontId="20" fillId="54" borderId="0" applyNumberFormat="0" applyBorder="0" applyAlignment="0" applyProtection="0"/>
    <xf numFmtId="185" fontId="20" fillId="39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71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41" borderId="34" applyNumberFormat="0" applyFont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7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60" borderId="0" applyNumberFormat="0" applyBorder="0" applyAlignment="0" applyProtection="0"/>
    <xf numFmtId="185" fontId="20" fillId="54" borderId="0" applyNumberFormat="0" applyBorder="0" applyAlignment="0" applyProtection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5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57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4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67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41" borderId="34" applyNumberFormat="0" applyFont="0" applyAlignment="0" applyProtection="0"/>
    <xf numFmtId="185" fontId="20" fillId="60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1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6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61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67" borderId="0" applyNumberFormat="0" applyBorder="0" applyAlignment="0" applyProtection="0"/>
    <xf numFmtId="185" fontId="20" fillId="10" borderId="0" applyNumberFormat="0" applyBorder="0" applyAlignment="0" applyProtection="0"/>
    <xf numFmtId="185" fontId="20" fillId="67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5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64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54" borderId="0" applyNumberFormat="0" applyBorder="0" applyAlignment="0" applyProtection="0"/>
    <xf numFmtId="185" fontId="20" fillId="7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7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71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38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64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1" borderId="34" applyNumberFormat="0" applyFont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6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64" borderId="0" applyNumberFormat="0" applyBorder="0" applyAlignment="0" applyProtection="0"/>
    <xf numFmtId="185" fontId="20" fillId="54" borderId="0" applyNumberFormat="0" applyBorder="0" applyAlignment="0" applyProtection="0"/>
    <xf numFmtId="185" fontId="20" fillId="57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9" fontId="20" fillId="0" borderId="0" applyFont="0" applyFill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54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64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71" borderId="0" applyNumberFormat="0" applyBorder="0" applyAlignment="0" applyProtection="0"/>
    <xf numFmtId="185" fontId="20" fillId="65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67" borderId="0" applyNumberFormat="0" applyBorder="0" applyAlignment="0" applyProtection="0"/>
    <xf numFmtId="185" fontId="20" fillId="6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0" borderId="0"/>
    <xf numFmtId="185" fontId="20" fillId="71" borderId="0" applyNumberFormat="0" applyBorder="0" applyAlignment="0" applyProtection="0"/>
    <xf numFmtId="185" fontId="20" fillId="65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71" borderId="0" applyNumberFormat="0" applyBorder="0" applyAlignment="0" applyProtection="0"/>
    <xf numFmtId="185" fontId="20" fillId="5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53" borderId="0" applyNumberFormat="0" applyBorder="0" applyAlignment="0" applyProtection="0"/>
    <xf numFmtId="185" fontId="20" fillId="9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61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60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65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54" borderId="0" applyNumberFormat="0" applyBorder="0" applyAlignment="0" applyProtection="0"/>
    <xf numFmtId="185" fontId="20" fillId="65" borderId="0" applyNumberFormat="0" applyBorder="0" applyAlignment="0" applyProtection="0"/>
    <xf numFmtId="185" fontId="20" fillId="57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3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71" borderId="0" applyNumberFormat="0" applyBorder="0" applyAlignment="0" applyProtection="0"/>
    <xf numFmtId="185" fontId="20" fillId="61" borderId="0" applyNumberFormat="0" applyBorder="0" applyAlignment="0" applyProtection="0"/>
    <xf numFmtId="185" fontId="20" fillId="39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11" borderId="0" applyNumberFormat="0" applyBorder="0" applyAlignment="0" applyProtection="0"/>
    <xf numFmtId="185" fontId="20" fillId="64" borderId="0" applyNumberFormat="0" applyBorder="0" applyAlignment="0" applyProtection="0"/>
    <xf numFmtId="185" fontId="20" fillId="10" borderId="0" applyNumberFormat="0" applyBorder="0" applyAlignment="0" applyProtection="0"/>
    <xf numFmtId="185" fontId="20" fillId="61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61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6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71" borderId="0" applyNumberFormat="0" applyBorder="0" applyAlignment="0" applyProtection="0"/>
    <xf numFmtId="185" fontId="20" fillId="11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41" borderId="34" applyNumberFormat="0" applyFont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65" borderId="0" applyNumberFormat="0" applyBorder="0" applyAlignment="0" applyProtection="0"/>
    <xf numFmtId="185" fontId="20" fillId="0" borderId="0"/>
    <xf numFmtId="185" fontId="20" fillId="67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38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70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38" borderId="0" applyNumberFormat="0" applyBorder="0" applyAlignment="0" applyProtection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7" borderId="0" applyNumberFormat="0" applyBorder="0" applyAlignment="0" applyProtection="0"/>
    <xf numFmtId="185" fontId="20" fillId="54" borderId="0" applyNumberFormat="0" applyBorder="0" applyAlignment="0" applyProtection="0"/>
    <xf numFmtId="185" fontId="20" fillId="6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61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4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60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71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6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60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64" borderId="0" applyNumberFormat="0" applyBorder="0" applyAlignment="0" applyProtection="0"/>
    <xf numFmtId="185" fontId="20" fillId="9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4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6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38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11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41" borderId="34" applyNumberFormat="0" applyFont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65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0" borderId="0"/>
    <xf numFmtId="185" fontId="20" fillId="61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10" borderId="0" applyNumberFormat="0" applyBorder="0" applyAlignment="0" applyProtection="0"/>
    <xf numFmtId="185" fontId="20" fillId="4" borderId="0" applyNumberFormat="0" applyBorder="0" applyAlignment="0" applyProtection="0"/>
    <xf numFmtId="185" fontId="20" fillId="41" borderId="34" applyNumberFormat="0" applyFont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6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4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7" borderId="0" applyNumberFormat="0" applyBorder="0" applyAlignment="0" applyProtection="0"/>
    <xf numFmtId="185" fontId="20" fillId="8" borderId="0" applyNumberFormat="0" applyBorder="0" applyAlignment="0" applyProtection="0"/>
    <xf numFmtId="185" fontId="20" fillId="6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39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38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4" borderId="0" applyNumberFormat="0" applyBorder="0" applyAlignment="0" applyProtection="0"/>
    <xf numFmtId="185" fontId="20" fillId="7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0" borderId="0" applyNumberFormat="0" applyBorder="0" applyAlignment="0" applyProtection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4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5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4" borderId="0" applyNumberFormat="0" applyBorder="0" applyAlignment="0" applyProtection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5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60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54" borderId="0" applyNumberFormat="0" applyBorder="0" applyAlignment="0" applyProtection="0"/>
    <xf numFmtId="185" fontId="20" fillId="54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39" borderId="0" applyNumberFormat="0" applyBorder="0" applyAlignment="0" applyProtection="0"/>
    <xf numFmtId="185" fontId="20" fillId="67" borderId="0" applyNumberFormat="0" applyBorder="0" applyAlignment="0" applyProtection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5" borderId="0" applyNumberFormat="0" applyBorder="0" applyAlignment="0" applyProtection="0"/>
    <xf numFmtId="185" fontId="20" fillId="71" borderId="0" applyNumberFormat="0" applyBorder="0" applyAlignment="0" applyProtection="0"/>
    <xf numFmtId="185" fontId="20" fillId="60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70" borderId="0" applyNumberFormat="0" applyBorder="0" applyAlignment="0" applyProtection="0"/>
    <xf numFmtId="185" fontId="20" fillId="4" borderId="0" applyNumberFormat="0" applyBorder="0" applyAlignment="0" applyProtection="0"/>
    <xf numFmtId="185" fontId="20" fillId="0" borderId="0"/>
    <xf numFmtId="185" fontId="20" fillId="39" borderId="0" applyNumberFormat="0" applyBorder="0" applyAlignment="0" applyProtection="0"/>
    <xf numFmtId="185" fontId="20" fillId="65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0" borderId="0" applyNumberFormat="0" applyBorder="0" applyAlignment="0" applyProtection="0"/>
    <xf numFmtId="185" fontId="20" fillId="6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41" borderId="34" applyNumberFormat="0" applyFont="0" applyAlignment="0" applyProtection="0"/>
    <xf numFmtId="185" fontId="20" fillId="65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53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4" borderId="0" applyNumberFormat="0" applyBorder="0" applyAlignment="0" applyProtection="0"/>
    <xf numFmtId="185" fontId="20" fillId="60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57" borderId="0" applyNumberFormat="0" applyBorder="0" applyAlignment="0" applyProtection="0"/>
    <xf numFmtId="185" fontId="20" fillId="65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4" borderId="0" applyNumberFormat="0" applyBorder="0" applyAlignment="0" applyProtection="0"/>
    <xf numFmtId="185" fontId="20" fillId="71" borderId="0" applyNumberFormat="0" applyBorder="0" applyAlignment="0" applyProtection="0"/>
    <xf numFmtId="185" fontId="20" fillId="41" borderId="34" applyNumberFormat="0" applyFont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60" borderId="0" applyNumberFormat="0" applyBorder="0" applyAlignment="0" applyProtection="0"/>
    <xf numFmtId="185" fontId="20" fillId="70" borderId="0" applyNumberFormat="0" applyBorder="0" applyAlignment="0" applyProtection="0"/>
    <xf numFmtId="185" fontId="20" fillId="7" borderId="0" applyNumberFormat="0" applyBorder="0" applyAlignment="0" applyProtection="0"/>
    <xf numFmtId="185" fontId="20" fillId="0" borderId="0"/>
    <xf numFmtId="185" fontId="20" fillId="0" borderId="0"/>
    <xf numFmtId="185" fontId="20" fillId="39" borderId="0" applyNumberFormat="0" applyBorder="0" applyAlignment="0" applyProtection="0"/>
    <xf numFmtId="185" fontId="20" fillId="0" borderId="0"/>
    <xf numFmtId="185" fontId="20" fillId="0" borderId="0"/>
    <xf numFmtId="185" fontId="20" fillId="70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43" fontId="20" fillId="0" borderId="0" applyFont="0" applyFill="0" applyBorder="0" applyAlignment="0" applyProtection="0"/>
    <xf numFmtId="185" fontId="20" fillId="0" borderId="0"/>
    <xf numFmtId="185" fontId="20" fillId="41" borderId="34" applyNumberFormat="0" applyFont="0" applyAlignment="0" applyProtection="0"/>
    <xf numFmtId="185" fontId="20" fillId="57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4" borderId="0" applyNumberFormat="0" applyBorder="0" applyAlignment="0" applyProtection="0"/>
    <xf numFmtId="185" fontId="20" fillId="61" borderId="0" applyNumberFormat="0" applyBorder="0" applyAlignment="0" applyProtection="0"/>
    <xf numFmtId="185" fontId="20" fillId="71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53" borderId="0" applyNumberFormat="0" applyBorder="0" applyAlignment="0" applyProtection="0"/>
    <xf numFmtId="185" fontId="20" fillId="61" borderId="0" applyNumberFormat="0" applyBorder="0" applyAlignment="0" applyProtection="0"/>
    <xf numFmtId="185" fontId="20" fillId="70" borderId="0" applyNumberFormat="0" applyBorder="0" applyAlignment="0" applyProtection="0"/>
    <xf numFmtId="185" fontId="20" fillId="9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9" borderId="0" applyNumberFormat="0" applyBorder="0" applyAlignment="0" applyProtection="0"/>
    <xf numFmtId="185" fontId="20" fillId="0" borderId="0"/>
    <xf numFmtId="185" fontId="20" fillId="10" borderId="0" applyNumberFormat="0" applyBorder="0" applyAlignment="0" applyProtection="0"/>
    <xf numFmtId="185" fontId="20" fillId="0" borderId="0"/>
    <xf numFmtId="185" fontId="20" fillId="9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53" borderId="0" applyNumberFormat="0" applyBorder="0" applyAlignment="0" applyProtection="0"/>
    <xf numFmtId="185" fontId="20" fillId="0" borderId="0"/>
    <xf numFmtId="185" fontId="20" fillId="0" borderId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38" borderId="0" applyNumberFormat="0" applyBorder="0" applyAlignment="0" applyProtection="0"/>
    <xf numFmtId="185" fontId="20" fillId="14" borderId="0" applyNumberFormat="0" applyBorder="0" applyAlignment="0" applyProtection="0"/>
    <xf numFmtId="185" fontId="20" fillId="10" borderId="0" applyNumberFormat="0" applyBorder="0" applyAlignment="0" applyProtection="0"/>
    <xf numFmtId="185" fontId="20" fillId="0" borderId="0"/>
    <xf numFmtId="185" fontId="20" fillId="0" borderId="0"/>
    <xf numFmtId="185" fontId="20" fillId="10" borderId="0" applyNumberFormat="0" applyBorder="0" applyAlignment="0" applyProtection="0"/>
    <xf numFmtId="185" fontId="20" fillId="10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8" borderId="0" applyNumberFormat="0" applyBorder="0" applyAlignment="0" applyProtection="0"/>
    <xf numFmtId="185" fontId="20" fillId="38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39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1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4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7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11" borderId="0" applyNumberFormat="0" applyBorder="0" applyAlignment="0" applyProtection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19" fillId="0" borderId="0"/>
    <xf numFmtId="43" fontId="19" fillId="0" borderId="0" applyFont="0" applyFill="0" applyBorder="0" applyAlignment="0" applyProtection="0"/>
    <xf numFmtId="185" fontId="19" fillId="41" borderId="34" applyNumberFormat="0" applyFont="0" applyAlignment="0" applyProtection="0"/>
    <xf numFmtId="185" fontId="200" fillId="0" borderId="0" applyNumberFormat="0" applyFill="0" applyBorder="0" applyAlignment="0" applyProtection="0"/>
    <xf numFmtId="185" fontId="215" fillId="51" borderId="32" applyNumberFormat="0" applyAlignment="0" applyProtection="0"/>
    <xf numFmtId="185" fontId="199" fillId="51" borderId="35" applyNumberFormat="0" applyAlignment="0" applyProtection="0"/>
    <xf numFmtId="185" fontId="193" fillId="50" borderId="32" applyNumberFormat="0" applyAlignment="0" applyProtection="0"/>
    <xf numFmtId="185" fontId="214" fillId="42" borderId="0" applyNumberFormat="0" applyBorder="0" applyAlignment="0" applyProtection="0"/>
    <xf numFmtId="185" fontId="190" fillId="49" borderId="0" applyNumberFormat="0" applyBorder="0" applyAlignment="0" applyProtection="0"/>
    <xf numFmtId="185" fontId="192" fillId="48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" fillId="60" borderId="0" applyNumberFormat="0" applyBorder="0" applyAlignment="0" applyProtection="0"/>
    <xf numFmtId="185" fontId="188" fillId="43" borderId="0" applyNumberFormat="0" applyBorder="0" applyAlignment="0" applyProtection="0"/>
    <xf numFmtId="185" fontId="19" fillId="41" borderId="34" applyNumberFormat="0" applyFont="0" applyAlignment="0" applyProtection="0"/>
    <xf numFmtId="185" fontId="19" fillId="61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" fillId="54" borderId="0" applyNumberFormat="0" applyBorder="0" applyAlignment="0" applyProtection="0"/>
    <xf numFmtId="185" fontId="188" fillId="66" borderId="0" applyNumberFormat="0" applyBorder="0" applyAlignment="0" applyProtection="0"/>
    <xf numFmtId="185" fontId="190" fillId="49" borderId="0" applyNumberFormat="0" applyBorder="0" applyAlignment="0" applyProtection="0"/>
    <xf numFmtId="185" fontId="188" fillId="56" borderId="0" applyNumberFormat="0" applyBorder="0" applyAlignment="0" applyProtection="0"/>
    <xf numFmtId="185" fontId="19" fillId="71" borderId="0" applyNumberFormat="0" applyBorder="0" applyAlignment="0" applyProtection="0"/>
    <xf numFmtId="185" fontId="19" fillId="70" borderId="0" applyNumberFormat="0" applyBorder="0" applyAlignment="0" applyProtection="0"/>
    <xf numFmtId="185" fontId="188" fillId="69" borderId="0" applyNumberFormat="0" applyBorder="0" applyAlignment="0" applyProtection="0"/>
    <xf numFmtId="185" fontId="188" fillId="68" borderId="0" applyNumberFormat="0" applyBorder="0" applyAlignment="0" applyProtection="0"/>
    <xf numFmtId="185" fontId="19" fillId="67" borderId="0" applyNumberFormat="0" applyBorder="0" applyAlignment="0" applyProtection="0"/>
    <xf numFmtId="185" fontId="188" fillId="66" borderId="0" applyNumberFormat="0" applyBorder="0" applyAlignment="0" applyProtection="0"/>
    <xf numFmtId="185" fontId="19" fillId="65" borderId="0" applyNumberFormat="0" applyBorder="0" applyAlignment="0" applyProtection="0"/>
    <xf numFmtId="185" fontId="19" fillId="64" borderId="0" applyNumberFormat="0" applyBorder="0" applyAlignment="0" applyProtection="0"/>
    <xf numFmtId="185" fontId="188" fillId="63" borderId="0" applyNumberFormat="0" applyBorder="0" applyAlignment="0" applyProtection="0"/>
    <xf numFmtId="185" fontId="19" fillId="61" borderId="0" applyNumberFormat="0" applyBorder="0" applyAlignment="0" applyProtection="0"/>
    <xf numFmtId="185" fontId="188" fillId="59" borderId="0" applyNumberFormat="0" applyBorder="0" applyAlignment="0" applyProtection="0"/>
    <xf numFmtId="185" fontId="188" fillId="58" borderId="0" applyNumberFormat="0" applyBorder="0" applyAlignment="0" applyProtection="0"/>
    <xf numFmtId="185" fontId="19" fillId="57" borderId="0" applyNumberFormat="0" applyBorder="0" applyAlignment="0" applyProtection="0"/>
    <xf numFmtId="185" fontId="19" fillId="54" borderId="0" applyNumberFormat="0" applyBorder="0" applyAlignment="0" applyProtection="0"/>
    <xf numFmtId="185" fontId="19" fillId="53" borderId="0" applyNumberFormat="0" applyBorder="0" applyAlignment="0" applyProtection="0"/>
    <xf numFmtId="185" fontId="188" fillId="52" borderId="0" applyNumberFormat="0" applyBorder="0" applyAlignment="0" applyProtection="0"/>
    <xf numFmtId="185" fontId="198" fillId="0" borderId="40" applyNumberFormat="0" applyFill="0" applyAlignment="0" applyProtection="0"/>
    <xf numFmtId="185" fontId="19" fillId="41" borderId="34" applyNumberFormat="0" applyFont="0" applyAlignment="0" applyProtection="0"/>
    <xf numFmtId="185" fontId="200" fillId="0" borderId="0" applyNumberFormat="0" applyFill="0" applyBorder="0" applyAlignment="0" applyProtection="0"/>
    <xf numFmtId="185" fontId="215" fillId="51" borderId="32" applyNumberFormat="0" applyAlignment="0" applyProtection="0"/>
    <xf numFmtId="185" fontId="199" fillId="51" borderId="35" applyNumberFormat="0" applyAlignment="0" applyProtection="0"/>
    <xf numFmtId="185" fontId="193" fillId="50" borderId="32" applyNumberFormat="0" applyAlignment="0" applyProtection="0"/>
    <xf numFmtId="185" fontId="190" fillId="49" borderId="0" applyNumberFormat="0" applyBorder="0" applyAlignment="0" applyProtection="0"/>
    <xf numFmtId="185" fontId="192" fillId="48" borderId="0" applyNumberFormat="0" applyBorder="0" applyAlignment="0" applyProtection="0"/>
    <xf numFmtId="185" fontId="210" fillId="0" borderId="0" applyNumberFormat="0" applyFill="0" applyBorder="0" applyAlignment="0" applyProtection="0"/>
    <xf numFmtId="185" fontId="188" fillId="43" borderId="0" applyNumberFormat="0" applyBorder="0" applyAlignment="0" applyProtection="0"/>
    <xf numFmtId="185" fontId="188" fillId="72" borderId="0" applyNumberFormat="0" applyBorder="0" applyAlignment="0" applyProtection="0"/>
    <xf numFmtId="185" fontId="63" fillId="23" borderId="2" applyNumberFormat="0" applyAlignment="0" applyProtection="0"/>
    <xf numFmtId="185" fontId="66" fillId="5" borderId="0" applyNumberFormat="0" applyBorder="0" applyAlignment="0" applyProtection="0"/>
    <xf numFmtId="185" fontId="67" fillId="8" borderId="2" applyNumberFormat="0" applyAlignment="0" applyProtection="0"/>
    <xf numFmtId="185" fontId="68" fillId="0" borderId="8" applyNumberFormat="0" applyFill="0" applyAlignment="0" applyProtection="0"/>
    <xf numFmtId="185" fontId="19" fillId="70" borderId="0" applyNumberFormat="0" applyBorder="0" applyAlignment="0" applyProtection="0"/>
    <xf numFmtId="185" fontId="188" fillId="69" borderId="0" applyNumberFormat="0" applyBorder="0" applyAlignment="0" applyProtection="0"/>
    <xf numFmtId="185" fontId="188" fillId="68" borderId="0" applyNumberFormat="0" applyBorder="0" applyAlignment="0" applyProtection="0"/>
    <xf numFmtId="185" fontId="19" fillId="67" borderId="0" applyNumberFormat="0" applyBorder="0" applyAlignment="0" applyProtection="0"/>
    <xf numFmtId="185" fontId="19" fillId="65" borderId="0" applyNumberFormat="0" applyBorder="0" applyAlignment="0" applyProtection="0"/>
    <xf numFmtId="185" fontId="188" fillId="63" borderId="0" applyNumberFormat="0" applyBorder="0" applyAlignment="0" applyProtection="0"/>
    <xf numFmtId="185" fontId="188" fillId="62" borderId="0" applyNumberFormat="0" applyBorder="0" applyAlignment="0" applyProtection="0"/>
    <xf numFmtId="185" fontId="188" fillId="5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5" borderId="0" applyNumberFormat="0" applyBorder="0" applyAlignment="0" applyProtection="0"/>
    <xf numFmtId="185" fontId="19" fillId="53" borderId="0" applyNumberFormat="0" applyBorder="0" applyAlignment="0" applyProtection="0"/>
    <xf numFmtId="185" fontId="188" fillId="52" borderId="0" applyNumberFormat="0" applyBorder="0" applyAlignment="0" applyProtection="0"/>
    <xf numFmtId="185" fontId="198" fillId="0" borderId="40" applyNumberFormat="0" applyFill="0" applyAlignment="0" applyProtection="0"/>
    <xf numFmtId="185" fontId="215" fillId="51" borderId="32" applyNumberFormat="0" applyAlignment="0" applyProtection="0"/>
    <xf numFmtId="185" fontId="199" fillId="51" borderId="35" applyNumberFormat="0" applyAlignment="0" applyProtection="0"/>
    <xf numFmtId="185" fontId="193" fillId="50" borderId="32" applyNumberFormat="0" applyAlignment="0" applyProtection="0"/>
    <xf numFmtId="185" fontId="192" fillId="48" borderId="0" applyNumberFormat="0" applyBorder="0" applyAlignment="0" applyProtection="0"/>
    <xf numFmtId="185" fontId="38" fillId="0" borderId="0"/>
    <xf numFmtId="185" fontId="193" fillId="50" borderId="32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98" fillId="0" borderId="40" applyNumberFormat="0" applyFill="0" applyAlignment="0" applyProtection="0"/>
    <xf numFmtId="185" fontId="19" fillId="53" borderId="0" applyNumberFormat="0" applyBorder="0" applyAlignment="0" applyProtection="0"/>
    <xf numFmtId="185" fontId="188" fillId="59" borderId="0" applyNumberFormat="0" applyBorder="0" applyAlignment="0" applyProtection="0"/>
    <xf numFmtId="185" fontId="19" fillId="65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92" fillId="48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9" fillId="53" borderId="0" applyNumberFormat="0" applyBorder="0" applyAlignment="0" applyProtection="0"/>
    <xf numFmtId="185" fontId="188" fillId="55" borderId="0" applyNumberFormat="0" applyBorder="0" applyAlignment="0" applyProtection="0"/>
    <xf numFmtId="185" fontId="19" fillId="57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9" fillId="64" borderId="0" applyNumberFormat="0" applyBorder="0" applyAlignment="0" applyProtection="0"/>
    <xf numFmtId="185" fontId="19" fillId="65" borderId="0" applyNumberFormat="0" applyBorder="0" applyAlignment="0" applyProtection="0"/>
    <xf numFmtId="185" fontId="19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9" fillId="70" borderId="0" applyNumberFormat="0" applyBorder="0" applyAlignment="0" applyProtection="0"/>
    <xf numFmtId="185" fontId="19" fillId="71" borderId="0" applyNumberFormat="0" applyBorder="0" applyAlignment="0" applyProtection="0"/>
    <xf numFmtId="185" fontId="190" fillId="49" borderId="0" applyNumberFormat="0" applyBorder="0" applyAlignment="0" applyProtection="0"/>
    <xf numFmtId="185" fontId="188" fillId="66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" fillId="61" borderId="0" applyNumberFormat="0" applyBorder="0" applyAlignment="0" applyProtection="0"/>
    <xf numFmtId="185" fontId="188" fillId="72" borderId="0" applyNumberFormat="0" applyBorder="0" applyAlignment="0" applyProtection="0"/>
    <xf numFmtId="185" fontId="19" fillId="60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9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9" fillId="53" borderId="0" applyNumberFormat="0" applyBorder="0" applyAlignment="0" applyProtection="0"/>
    <xf numFmtId="185" fontId="19" fillId="54" borderId="0" applyNumberFormat="0" applyBorder="0" applyAlignment="0" applyProtection="0"/>
    <xf numFmtId="185" fontId="188" fillId="56" borderId="0" applyNumberFormat="0" applyBorder="0" applyAlignment="0" applyProtection="0"/>
    <xf numFmtId="185" fontId="19" fillId="57" borderId="0" applyNumberFormat="0" applyBorder="0" applyAlignment="0" applyProtection="0"/>
    <xf numFmtId="185" fontId="188" fillId="58" borderId="0" applyNumberFormat="0" applyBorder="0" applyAlignment="0" applyProtection="0"/>
    <xf numFmtId="185" fontId="19" fillId="60" borderId="0" applyNumberFormat="0" applyBorder="0" applyAlignment="0" applyProtection="0"/>
    <xf numFmtId="185" fontId="19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9" fillId="64" borderId="0" applyNumberFormat="0" applyBorder="0" applyAlignment="0" applyProtection="0"/>
    <xf numFmtId="185" fontId="19" fillId="65" borderId="0" applyNumberFormat="0" applyBorder="0" applyAlignment="0" applyProtection="0"/>
    <xf numFmtId="185" fontId="188" fillId="43" borderId="0" applyNumberFormat="0" applyBorder="0" applyAlignment="0" applyProtection="0"/>
    <xf numFmtId="185" fontId="19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9" fillId="70" borderId="0" applyNumberFormat="0" applyBorder="0" applyAlignment="0" applyProtection="0"/>
    <xf numFmtId="185" fontId="188" fillId="72" borderId="0" applyNumberFormat="0" applyBorder="0" applyAlignment="0" applyProtection="0"/>
    <xf numFmtId="185" fontId="188" fillId="56" borderId="0" applyNumberFormat="0" applyBorder="0" applyAlignment="0" applyProtection="0"/>
    <xf numFmtId="185" fontId="190" fillId="49" borderId="0" applyNumberFormat="0" applyBorder="0" applyAlignment="0" applyProtection="0"/>
    <xf numFmtId="185" fontId="188" fillId="66" borderId="0" applyNumberFormat="0" applyBorder="0" applyAlignment="0" applyProtection="0"/>
    <xf numFmtId="185" fontId="19" fillId="54" borderId="0" applyNumberFormat="0" applyBorder="0" applyAlignment="0" applyProtection="0"/>
    <xf numFmtId="185" fontId="19" fillId="41" borderId="34" applyNumberFormat="0" applyFont="0" applyAlignment="0" applyProtection="0"/>
    <xf numFmtId="185" fontId="188" fillId="55" borderId="0" applyNumberFormat="0" applyBorder="0" applyAlignment="0" applyProtection="0"/>
    <xf numFmtId="185" fontId="192" fillId="48" borderId="0" applyNumberFormat="0" applyBorder="0" applyAlignment="0" applyProtection="0"/>
    <xf numFmtId="185" fontId="19" fillId="70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" fillId="61" borderId="0" applyNumberFormat="0" applyBorder="0" applyAlignment="0" applyProtection="0"/>
    <xf numFmtId="185" fontId="19" fillId="41" borderId="34" applyNumberFormat="0" applyFont="0" applyAlignment="0" applyProtection="0"/>
    <xf numFmtId="185" fontId="188" fillId="72" borderId="0" applyNumberFormat="0" applyBorder="0" applyAlignment="0" applyProtection="0"/>
    <xf numFmtId="185" fontId="188" fillId="43" borderId="0" applyNumberFormat="0" applyBorder="0" applyAlignment="0" applyProtection="0"/>
    <xf numFmtId="185" fontId="19" fillId="60" borderId="0" applyNumberFormat="0" applyBorder="0" applyAlignment="0" applyProtection="0"/>
    <xf numFmtId="185" fontId="19" fillId="60" borderId="0" applyNumberFormat="0" applyBorder="0" applyAlignment="0" applyProtection="0"/>
    <xf numFmtId="185" fontId="38" fillId="0" borderId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9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9" fillId="53" borderId="0" applyNumberFormat="0" applyBorder="0" applyAlignment="0" applyProtection="0"/>
    <xf numFmtId="185" fontId="19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19" fillId="57" borderId="0" applyNumberFormat="0" applyBorder="0" applyAlignment="0" applyProtection="0"/>
    <xf numFmtId="185" fontId="19" fillId="3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19" fillId="60" borderId="0" applyNumberFormat="0" applyBorder="0" applyAlignment="0" applyProtection="0"/>
    <xf numFmtId="185" fontId="19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9" fillId="64" borderId="0" applyNumberFormat="0" applyBorder="0" applyAlignment="0" applyProtection="0"/>
    <xf numFmtId="185" fontId="19" fillId="65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19" fillId="38" borderId="0" applyNumberFormat="0" applyBorder="0" applyAlignment="0" applyProtection="0"/>
    <xf numFmtId="185" fontId="19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9" fillId="70" borderId="0" applyNumberFormat="0" applyBorder="0" applyAlignment="0" applyProtection="0"/>
    <xf numFmtId="185" fontId="19" fillId="71" borderId="0" applyNumberFormat="0" applyBorder="0" applyAlignment="0" applyProtection="0"/>
    <xf numFmtId="185" fontId="188" fillId="72" borderId="0" applyNumberFormat="0" applyBorder="0" applyAlignment="0" applyProtection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85" fontId="39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8" fillId="0" borderId="0" applyNumberFormat="0" applyBorder="0" applyAlignment="0"/>
    <xf numFmtId="185" fontId="38" fillId="0" borderId="0" applyNumberFormat="0" applyBorder="0" applyAlignment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7" fontId="60" fillId="0" borderId="0"/>
    <xf numFmtId="185" fontId="39" fillId="0" borderId="0"/>
    <xf numFmtId="185" fontId="39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76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77" fontId="60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0" borderId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39" fillId="11" borderId="10" applyNumberFormat="0" applyFont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70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71" fillId="0" borderId="5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156" fillId="0" borderId="12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72" fillId="0" borderId="6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157" fillId="0" borderId="13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73" fillId="0" borderId="7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158" fillId="0" borderId="14" applyNumberFormat="0" applyFill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73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185" fontId="158" fillId="0" borderId="0" applyNumberFormat="0" applyFill="0" applyBorder="0" applyAlignment="0" applyProtection="0"/>
    <xf numFmtId="9" fontId="39" fillId="0" borderId="0" applyFont="0" applyFill="0" applyBorder="0" applyAlignment="0" applyProtection="0"/>
    <xf numFmtId="185" fontId="222" fillId="76" borderId="0"/>
    <xf numFmtId="2" fontId="223" fillId="76" borderId="0">
      <alignment horizontal="center"/>
    </xf>
    <xf numFmtId="2" fontId="54" fillId="26" borderId="0">
      <protection locked="0"/>
    </xf>
    <xf numFmtId="1" fontId="54" fillId="34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9" fillId="0" borderId="0"/>
    <xf numFmtId="4" fontId="122" fillId="0" borderId="0" applyNumberFormat="0" applyProtection="0">
      <alignment horizontal="right" vertical="center"/>
    </xf>
    <xf numFmtId="185" fontId="19" fillId="0" borderId="0"/>
    <xf numFmtId="185" fontId="194" fillId="46" borderId="0">
      <alignment horizontal="right"/>
    </xf>
    <xf numFmtId="185" fontId="19" fillId="0" borderId="0"/>
    <xf numFmtId="185" fontId="40" fillId="47" borderId="0"/>
    <xf numFmtId="185" fontId="19" fillId="0" borderId="0"/>
    <xf numFmtId="9" fontId="79" fillId="0" borderId="0" applyFont="0" applyFill="0" applyBorder="0" applyAlignment="0" applyProtection="0"/>
    <xf numFmtId="185" fontId="196" fillId="0" borderId="0" applyNumberFormat="0" applyBorder="0" applyAlignment="0"/>
    <xf numFmtId="164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19" fillId="0" borderId="0"/>
    <xf numFmtId="9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85" fontId="19" fillId="0" borderId="0"/>
    <xf numFmtId="185" fontId="19" fillId="0" borderId="0"/>
    <xf numFmtId="185" fontId="19" fillId="0" borderId="0"/>
    <xf numFmtId="164" fontId="141" fillId="0" borderId="0" applyFont="0" applyFill="0" applyBorder="0" applyAlignment="0" applyProtection="0"/>
    <xf numFmtId="185" fontId="40" fillId="47" borderId="0"/>
    <xf numFmtId="185" fontId="217" fillId="73" borderId="0" applyNumberFormat="0" applyBorder="0" applyAlignment="0" applyProtection="0"/>
    <xf numFmtId="185" fontId="188" fillId="75" borderId="0" applyNumberFormat="0" applyBorder="0" applyAlignment="0" applyProtection="0"/>
    <xf numFmtId="185" fontId="19" fillId="0" borderId="0"/>
    <xf numFmtId="185" fontId="19" fillId="0" borderId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93" fontId="224" fillId="34" borderId="0" applyBorder="0" applyAlignment="0">
      <protection hidden="1"/>
    </xf>
    <xf numFmtId="1" fontId="224" fillId="34" borderId="0">
      <alignment horizontal="center"/>
    </xf>
    <xf numFmtId="168" fontId="226" fillId="78" borderId="0" applyNumberFormat="0" applyBorder="0"/>
    <xf numFmtId="168" fontId="227" fillId="0" borderId="41"/>
    <xf numFmtId="43" fontId="39" fillId="0" borderId="0" applyFont="0" applyFill="0" applyBorder="0" applyAlignment="0" applyProtection="0"/>
    <xf numFmtId="193" fontId="224" fillId="34" borderId="24" applyBorder="0">
      <alignment horizontal="right" vertical="center"/>
      <protection locked="0"/>
    </xf>
    <xf numFmtId="1" fontId="221" fillId="26" borderId="0"/>
    <xf numFmtId="1" fontId="39" fillId="0" borderId="0">
      <alignment horizontal="center"/>
    </xf>
    <xf numFmtId="1" fontId="39" fillId="0" borderId="0">
      <alignment horizontal="center"/>
    </xf>
    <xf numFmtId="1" fontId="39" fillId="0" borderId="0">
      <alignment horizontal="center"/>
    </xf>
    <xf numFmtId="49" fontId="39" fillId="0" borderId="0">
      <alignment horizontal="right"/>
    </xf>
    <xf numFmtId="49" fontId="39" fillId="0" borderId="0">
      <alignment horizontal="right"/>
    </xf>
    <xf numFmtId="1" fontId="221" fillId="26" borderId="0"/>
    <xf numFmtId="190" fontId="141" fillId="0" borderId="0" applyFont="0" applyFill="0" applyBorder="0" applyAlignment="0" applyProtection="0"/>
    <xf numFmtId="9" fontId="79" fillId="0" borderId="0" applyFont="0" applyFill="0" applyBorder="0" applyAlignment="0" applyProtection="0"/>
    <xf numFmtId="168" fontId="226" fillId="78" borderId="0" applyNumberFormat="0" applyBorder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9" fillId="0" borderId="0"/>
    <xf numFmtId="1" fontId="221" fillId="26" borderId="0"/>
    <xf numFmtId="164" fontId="141" fillId="0" borderId="0" applyFont="0" applyFill="0" applyBorder="0" applyAlignment="0" applyProtection="0"/>
    <xf numFmtId="168" fontId="226" fillId="78" borderId="0" applyNumberFormat="0" applyBorder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185" fontId="19" fillId="0" borderId="0"/>
    <xf numFmtId="185" fontId="40" fillId="47" borderId="0"/>
    <xf numFmtId="185" fontId="19" fillId="0" borderId="0"/>
    <xf numFmtId="185" fontId="19" fillId="0" borderId="0"/>
    <xf numFmtId="43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9" fontId="79" fillId="0" borderId="0" applyFont="0" applyFill="0" applyBorder="0" applyAlignment="0" applyProtection="0"/>
    <xf numFmtId="164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64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79" fillId="0" borderId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9" fontId="79" fillId="0" borderId="0" applyFont="0" applyFill="0" applyBorder="0" applyAlignment="0" applyProtection="0"/>
    <xf numFmtId="164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0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1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22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6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190" fillId="6" borderId="0" applyNumberFormat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190" fillId="6" borderId="0" applyNumberFormat="0" applyBorder="0" applyAlignment="0" applyProtection="0"/>
    <xf numFmtId="185" fontId="19" fillId="0" borderId="0"/>
    <xf numFmtId="185" fontId="19" fillId="0" borderId="0"/>
    <xf numFmtId="185" fontId="19" fillId="0" borderId="0"/>
    <xf numFmtId="185" fontId="19" fillId="0" borderId="0"/>
    <xf numFmtId="164" fontId="3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191" fillId="0" borderId="0" applyNumberFormat="0" applyFill="0" applyBorder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5" fillId="0" borderId="15" applyNumberFormat="0" applyFill="0" applyAlignment="0" applyProtection="0"/>
    <xf numFmtId="185" fontId="76" fillId="23" borderId="11" applyNumberFormat="0" applyAlignment="0" applyProtection="0"/>
    <xf numFmtId="185" fontId="76" fillId="23" borderId="11" applyNumberFormat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38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39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4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7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8" fillId="10" borderId="0" applyNumberFormat="0" applyBorder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89" fillId="24" borderId="32" applyNumberFormat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0" fillId="6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2" fillId="7" borderId="0" applyNumberFormat="0" applyBorder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3" fillId="14" borderId="32" applyNumberFormat="0" applyAlignment="0" applyProtection="0"/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4" fillId="2" borderId="0">
      <alignment horizontal="right"/>
    </xf>
    <xf numFmtId="185" fontId="195" fillId="40" borderId="33" applyNumberForma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6" fillId="0" borderId="0" applyNumberFormat="0" applyBorder="0" applyAlignment="0"/>
    <xf numFmtId="185" fontId="19" fillId="0" borderId="0"/>
    <xf numFmtId="185" fontId="19" fillId="0" borderId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85" fontId="197" fillId="42" borderId="0" applyNumberFormat="0" applyBorder="0" applyAlignment="0" applyProtection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85" fontId="40" fillId="26" borderId="0"/>
    <xf numFmtId="185" fontId="40" fillId="26" borderId="0"/>
    <xf numFmtId="185" fontId="40" fillId="26" borderId="0"/>
    <xf numFmtId="185" fontId="40" fillId="26" borderId="0"/>
    <xf numFmtId="185" fontId="40" fillId="26" borderId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74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198" fillId="0" borderId="16" applyNumberFormat="0" applyFill="0" applyAlignment="0" applyProtection="0"/>
    <xf numFmtId="185" fontId="75" fillId="0" borderId="15" applyNumberFormat="0" applyFill="0" applyAlignment="0" applyProtection="0"/>
    <xf numFmtId="164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199" fillId="24" borderId="35" applyNumberFormat="0" applyAlignment="0" applyProtection="0"/>
    <xf numFmtId="185" fontId="76" fillId="23" borderId="11" applyNumberFormat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188" fillId="27" borderId="0" applyNumberFormat="0" applyBorder="0" applyAlignment="0" applyProtection="0"/>
    <xf numFmtId="185" fontId="62" fillId="20" borderId="0" applyNumberFormat="0" applyBorder="0" applyAlignment="0" applyProtection="0"/>
    <xf numFmtId="185" fontId="188" fillId="27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188" fillId="19" borderId="0" applyNumberFormat="0" applyBorder="0" applyAlignment="0" applyProtection="0"/>
    <xf numFmtId="185" fontId="62" fillId="21" borderId="0" applyNumberFormat="0" applyBorder="0" applyAlignment="0" applyProtection="0"/>
    <xf numFmtId="185" fontId="188" fillId="19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188" fillId="13" borderId="0" applyNumberFormat="0" applyBorder="0" applyAlignment="0" applyProtection="0"/>
    <xf numFmtId="185" fontId="62" fillId="22" borderId="0" applyNumberFormat="0" applyBorder="0" applyAlignment="0" applyProtection="0"/>
    <xf numFmtId="185" fontId="188" fillId="13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188" fillId="28" borderId="0" applyNumberFormat="0" applyBorder="0" applyAlignment="0" applyProtection="0"/>
    <xf numFmtId="185" fontId="62" fillId="16" borderId="0" applyNumberFormat="0" applyBorder="0" applyAlignment="0" applyProtection="0"/>
    <xf numFmtId="185" fontId="188" fillId="28" borderId="0" applyNumberFormat="0" applyBorder="0" applyAlignment="0" applyProtection="0"/>
    <xf numFmtId="185" fontId="188" fillId="43" borderId="0" applyNumberFormat="0" applyBorder="0" applyAlignment="0" applyProtection="0"/>
    <xf numFmtId="185" fontId="62" fillId="17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188" fillId="21" borderId="0" applyNumberFormat="0" applyBorder="0" applyAlignment="0" applyProtection="0"/>
    <xf numFmtId="185" fontId="62" fillId="19" borderId="0" applyNumberFormat="0" applyBorder="0" applyAlignment="0" applyProtection="0"/>
    <xf numFmtId="185" fontId="188" fillId="21" borderId="0" applyNumberFormat="0" applyBorder="0" applyAlignment="0" applyProtection="0"/>
    <xf numFmtId="185" fontId="200" fillId="0" borderId="0" applyNumberFormat="0" applyFill="0" applyBorder="0" applyAlignment="0" applyProtection="0"/>
    <xf numFmtId="185" fontId="77" fillId="0" borderId="0" applyNumberFormat="0" applyFill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9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0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8" borderId="0" applyNumberFormat="0" applyBorder="0" applyAlignment="0" applyProtection="0"/>
    <xf numFmtId="185" fontId="19" fillId="38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39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1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4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7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19" fillId="11" borderId="0" applyNumberFormat="0" applyBorder="0" applyAlignment="0" applyProtection="0"/>
    <xf numFmtId="185" fontId="205" fillId="0" borderId="9" applyNumberFormat="0" applyFill="0" applyAlignment="0" applyProtection="0"/>
    <xf numFmtId="185" fontId="38" fillId="41" borderId="34" applyNumberFormat="0" applyFont="0" applyAlignment="0" applyProtection="0"/>
    <xf numFmtId="185" fontId="38" fillId="41" borderId="34" applyNumberFormat="0" applyFont="0" applyAlignment="0" applyProtection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19" fillId="0" borderId="0"/>
    <xf numFmtId="185" fontId="206" fillId="0" borderId="12" applyNumberFormat="0" applyFill="0" applyAlignment="0" applyProtection="0"/>
    <xf numFmtId="185" fontId="207" fillId="0" borderId="13" applyNumberFormat="0" applyFill="0" applyAlignment="0" applyProtection="0"/>
    <xf numFmtId="185" fontId="208" fillId="0" borderId="14" applyNumberFormat="0" applyFill="0" applyAlignment="0" applyProtection="0"/>
    <xf numFmtId="185" fontId="208" fillId="0" borderId="0" applyNumberFormat="0" applyFill="0" applyBorder="0" applyAlignment="0" applyProtection="0"/>
    <xf numFmtId="185" fontId="159" fillId="0" borderId="0" applyNumberFormat="0" applyFill="0" applyBorder="0" applyAlignment="0" applyProtection="0"/>
    <xf numFmtId="185" fontId="209" fillId="0" borderId="0" applyNumberFormat="0" applyFill="0" applyBorder="0" applyAlignment="0" applyProtection="0"/>
    <xf numFmtId="9" fontId="79" fillId="0" borderId="0" applyFont="0" applyFill="0" applyBorder="0" applyAlignment="0" applyProtection="0"/>
    <xf numFmtId="164" fontId="39" fillId="0" borderId="0" applyFont="0" applyFill="0" applyBorder="0" applyAlignment="0" applyProtection="0"/>
    <xf numFmtId="185" fontId="38" fillId="0" borderId="0" applyNumberFormat="0" applyBorder="0" applyAlignment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237" fillId="14" borderId="0" applyNumberFormat="0" applyBorder="0" applyAlignment="0" applyProtection="0"/>
    <xf numFmtId="185" fontId="156" fillId="0" borderId="12" applyNumberFormat="0" applyFill="0" applyAlignment="0" applyProtection="0"/>
    <xf numFmtId="185" fontId="157" fillId="0" borderId="13" applyNumberFormat="0" applyFill="0" applyAlignment="0" applyProtection="0"/>
    <xf numFmtId="185" fontId="158" fillId="0" borderId="14" applyNumberFormat="0" applyFill="0" applyAlignment="0" applyProtection="0"/>
    <xf numFmtId="185" fontId="158" fillId="0" borderId="0" applyNumberFormat="0" applyFill="0" applyBorder="0" applyAlignment="0" applyProtection="0"/>
    <xf numFmtId="9" fontId="38" fillId="0" borderId="0" applyFont="0" applyFill="0" applyBorder="0" applyAlignment="0" applyProtection="0"/>
    <xf numFmtId="185" fontId="19" fillId="0" borderId="0"/>
    <xf numFmtId="1" fontId="221" fillId="26" borderId="0"/>
    <xf numFmtId="9" fontId="39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19" fillId="0" borderId="0"/>
    <xf numFmtId="185" fontId="40" fillId="47" borderId="0"/>
    <xf numFmtId="9" fontId="79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226" fillId="78" borderId="0" applyNumberFormat="0" applyBorder="0"/>
    <xf numFmtId="190" fontId="141" fillId="0" borderId="0" applyFont="0" applyFill="0" applyBorder="0" applyAlignment="0" applyProtection="0"/>
    <xf numFmtId="9" fontId="3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1" fillId="0" borderId="0" applyFont="0" applyFill="0" applyBorder="0" applyAlignment="0" applyProtection="0"/>
    <xf numFmtId="185" fontId="19" fillId="0" borderId="0"/>
    <xf numFmtId="185" fontId="19" fillId="0" borderId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9" fillId="53" borderId="0" applyNumberFormat="0" applyBorder="0" applyAlignment="0" applyProtection="0"/>
    <xf numFmtId="185" fontId="19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19" fillId="57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19" fillId="60" borderId="0" applyNumberFormat="0" applyBorder="0" applyAlignment="0" applyProtection="0"/>
    <xf numFmtId="185" fontId="19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9" fillId="64" borderId="0" applyNumberFormat="0" applyBorder="0" applyAlignment="0" applyProtection="0"/>
    <xf numFmtId="185" fontId="19" fillId="65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19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9" fillId="70" borderId="0" applyNumberFormat="0" applyBorder="0" applyAlignment="0" applyProtection="0"/>
    <xf numFmtId="185" fontId="19" fillId="71" borderId="0" applyNumberFormat="0" applyBorder="0" applyAlignment="0" applyProtection="0"/>
    <xf numFmtId="185" fontId="188" fillId="72" borderId="0" applyNumberFormat="0" applyBorder="0" applyAlignment="0" applyProtection="0"/>
    <xf numFmtId="185" fontId="188" fillId="62" borderId="0" applyNumberFormat="0" applyBorder="0" applyAlignment="0" applyProtection="0"/>
    <xf numFmtId="185" fontId="19" fillId="71" borderId="0" applyNumberFormat="0" applyBorder="0" applyAlignment="0" applyProtection="0"/>
    <xf numFmtId="185" fontId="19" fillId="67" borderId="0" applyNumberFormat="0" applyBorder="0" applyAlignment="0" applyProtection="0"/>
    <xf numFmtId="185" fontId="19" fillId="64" borderId="0" applyNumberFormat="0" applyBorder="0" applyAlignment="0" applyProtection="0"/>
    <xf numFmtId="185" fontId="188" fillId="58" borderId="0" applyNumberFormat="0" applyBorder="0" applyAlignment="0" applyProtection="0"/>
    <xf numFmtId="185" fontId="19" fillId="57" borderId="0" applyNumberFormat="0" applyBorder="0" applyAlignment="0" applyProtection="0"/>
    <xf numFmtId="185" fontId="188" fillId="52" borderId="0" applyNumberFormat="0" applyBorder="0" applyAlignment="0" applyProtection="0"/>
    <xf numFmtId="185" fontId="199" fillId="51" borderId="35" applyNumberFormat="0" applyAlignment="0" applyProtection="0"/>
    <xf numFmtId="185" fontId="214" fillId="42" borderId="0" applyNumberFormat="0" applyBorder="0" applyAlignment="0" applyProtection="0"/>
    <xf numFmtId="185" fontId="19" fillId="54" borderId="0" applyNumberFormat="0" applyBorder="0" applyAlignment="0" applyProtection="0"/>
    <xf numFmtId="185" fontId="188" fillId="55" borderId="0" applyNumberFormat="0" applyBorder="0" applyAlignment="0" applyProtection="0"/>
    <xf numFmtId="185" fontId="214" fillId="42" borderId="0" applyNumberFormat="0" applyBorder="0" applyAlignment="0" applyProtection="0"/>
    <xf numFmtId="185" fontId="188" fillId="55" borderId="0" applyNumberFormat="0" applyBorder="0" applyAlignment="0" applyProtection="0"/>
    <xf numFmtId="185" fontId="19" fillId="57" borderId="0" applyNumberFormat="0" applyBorder="0" applyAlignment="0" applyProtection="0"/>
    <xf numFmtId="185" fontId="214" fillId="42" borderId="0" applyNumberFormat="0" applyBorder="0" applyAlignment="0" applyProtection="0"/>
    <xf numFmtId="185" fontId="200" fillId="0" borderId="0" applyNumberFormat="0" applyFill="0" applyBorder="0" applyAlignment="0" applyProtection="0"/>
    <xf numFmtId="185" fontId="19" fillId="64" borderId="0" applyNumberFormat="0" applyBorder="0" applyAlignment="0" applyProtection="0"/>
    <xf numFmtId="185" fontId="19" fillId="7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9" fillId="71" borderId="0" applyNumberFormat="0" applyBorder="0" applyAlignment="0" applyProtection="0"/>
    <xf numFmtId="185" fontId="188" fillId="66" borderId="0" applyNumberFormat="0" applyBorder="0" applyAlignment="0" applyProtection="0"/>
    <xf numFmtId="185" fontId="188" fillId="59" borderId="0" applyNumberFormat="0" applyBorder="0" applyAlignment="0" applyProtection="0"/>
    <xf numFmtId="185" fontId="188" fillId="72" borderId="0" applyNumberFormat="0" applyBorder="0" applyAlignment="0" applyProtection="0"/>
    <xf numFmtId="185" fontId="188" fillId="56" borderId="0" applyNumberFormat="0" applyBorder="0" applyAlignment="0" applyProtection="0"/>
    <xf numFmtId="185" fontId="188" fillId="43" borderId="0" applyNumberFormat="0" applyBorder="0" applyAlignment="0" applyProtection="0"/>
    <xf numFmtId="185" fontId="188" fillId="56" borderId="0" applyNumberFormat="0" applyBorder="0" applyAlignment="0" applyProtection="0"/>
    <xf numFmtId="185" fontId="18" fillId="0" borderId="0"/>
    <xf numFmtId="43" fontId="18" fillId="0" borderId="0" applyFont="0" applyFill="0" applyBorder="0" applyAlignment="0" applyProtection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8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8" fillId="53" borderId="0" applyNumberFormat="0" applyBorder="0" applyAlignment="0" applyProtection="0"/>
    <xf numFmtId="185" fontId="18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18" fillId="57" borderId="0" applyNumberFormat="0" applyBorder="0" applyAlignment="0" applyProtection="0"/>
    <xf numFmtId="185" fontId="18" fillId="3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18" fillId="60" borderId="0" applyNumberFormat="0" applyBorder="0" applyAlignment="0" applyProtection="0"/>
    <xf numFmtId="185" fontId="18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8" fillId="64" borderId="0" applyNumberFormat="0" applyBorder="0" applyAlignment="0" applyProtection="0"/>
    <xf numFmtId="185" fontId="18" fillId="65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18" fillId="38" borderId="0" applyNumberFormat="0" applyBorder="0" applyAlignment="0" applyProtection="0"/>
    <xf numFmtId="185" fontId="18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8" fillId="70" borderId="0" applyNumberFormat="0" applyBorder="0" applyAlignment="0" applyProtection="0"/>
    <xf numFmtId="185" fontId="18" fillId="71" borderId="0" applyNumberFormat="0" applyBorder="0" applyAlignment="0" applyProtection="0"/>
    <xf numFmtId="185" fontId="188" fillId="72" borderId="0" applyNumberFormat="0" applyBorder="0" applyAlignment="0" applyProtection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38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39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9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0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8" borderId="0" applyNumberFormat="0" applyBorder="0" applyAlignment="0" applyProtection="0"/>
    <xf numFmtId="185" fontId="18" fillId="38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39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1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4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7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11" borderId="0" applyNumberFormat="0" applyBorder="0" applyAlignment="0" applyProtection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8" fillId="0" borderId="0"/>
    <xf numFmtId="185" fontId="17" fillId="0" borderId="0"/>
    <xf numFmtId="43" fontId="17" fillId="0" borderId="0" applyFont="0" applyFill="0" applyBorder="0" applyAlignment="0" applyProtection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7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7" fillId="53" borderId="0" applyNumberFormat="0" applyBorder="0" applyAlignment="0" applyProtection="0"/>
    <xf numFmtId="185" fontId="17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17" fillId="57" borderId="0" applyNumberFormat="0" applyBorder="0" applyAlignment="0" applyProtection="0"/>
    <xf numFmtId="185" fontId="17" fillId="3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17" fillId="60" borderId="0" applyNumberFormat="0" applyBorder="0" applyAlignment="0" applyProtection="0"/>
    <xf numFmtId="185" fontId="17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7" fillId="64" borderId="0" applyNumberFormat="0" applyBorder="0" applyAlignment="0" applyProtection="0"/>
    <xf numFmtId="185" fontId="17" fillId="65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17" fillId="38" borderId="0" applyNumberFormat="0" applyBorder="0" applyAlignment="0" applyProtection="0"/>
    <xf numFmtId="185" fontId="17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7" fillId="70" borderId="0" applyNumberFormat="0" applyBorder="0" applyAlignment="0" applyProtection="0"/>
    <xf numFmtId="185" fontId="17" fillId="71" borderId="0" applyNumberFormat="0" applyBorder="0" applyAlignment="0" applyProtection="0"/>
    <xf numFmtId="185" fontId="188" fillId="72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93" fillId="50" borderId="32" applyNumberFormat="0" applyAlignment="0" applyProtection="0"/>
    <xf numFmtId="185" fontId="17" fillId="0" borderId="0"/>
    <xf numFmtId="185" fontId="196" fillId="0" borderId="0" applyNumberFormat="0" applyBorder="0" applyAlignment="0"/>
    <xf numFmtId="164" fontId="141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1" fillId="0" borderId="0" applyFont="0" applyFill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90" fontId="141" fillId="0" borderId="0" applyFont="0" applyFill="0" applyBorder="0" applyAlignment="0" applyProtection="0"/>
    <xf numFmtId="168" fontId="226" fillId="78" borderId="0" applyNumberFormat="0" applyBorder="0"/>
    <xf numFmtId="164" fontId="141" fillId="0" borderId="0" applyFont="0" applyFill="0" applyBorder="0" applyAlignment="0" applyProtection="0"/>
    <xf numFmtId="185" fontId="188" fillId="66" borderId="0" applyNumberFormat="0" applyBorder="0" applyAlignment="0" applyProtection="0"/>
    <xf numFmtId="185" fontId="17" fillId="65" borderId="0" applyNumberFormat="0" applyBorder="0" applyAlignment="0" applyProtection="0"/>
    <xf numFmtId="185" fontId="17" fillId="60" borderId="0" applyNumberFormat="0" applyBorder="0" applyAlignment="0" applyProtection="0"/>
    <xf numFmtId="185" fontId="188" fillId="59" borderId="0" applyNumberFormat="0" applyBorder="0" applyAlignment="0" applyProtection="0"/>
    <xf numFmtId="185" fontId="190" fillId="49" borderId="0" applyNumberFormat="0" applyBorder="0" applyAlignment="0" applyProtection="0"/>
    <xf numFmtId="185" fontId="192" fillId="48" borderId="0" applyNumberFormat="0" applyBorder="0" applyAlignment="0" applyProtection="0"/>
    <xf numFmtId="185" fontId="17" fillId="61" borderId="0" applyNumberFormat="0" applyBorder="0" applyAlignment="0" applyProtection="0"/>
    <xf numFmtId="185" fontId="190" fillId="49" borderId="0" applyNumberFormat="0" applyBorder="0" applyAlignment="0" applyProtection="0"/>
    <xf numFmtId="185" fontId="17" fillId="57" borderId="0" applyNumberFormat="0" applyBorder="0" applyAlignment="0" applyProtection="0"/>
    <xf numFmtId="185" fontId="17" fillId="60" borderId="0" applyNumberFormat="0" applyBorder="0" applyAlignment="0" applyProtection="0"/>
    <xf numFmtId="185" fontId="192" fillId="48" borderId="0" applyNumberFormat="0" applyBorder="0" applyAlignment="0" applyProtection="0"/>
    <xf numFmtId="185" fontId="188" fillId="58" borderId="0" applyNumberFormat="0" applyBorder="0" applyAlignment="0" applyProtection="0"/>
    <xf numFmtId="185" fontId="198" fillId="0" borderId="40" applyNumberFormat="0" applyFill="0" applyAlignment="0" applyProtection="0"/>
    <xf numFmtId="185" fontId="196" fillId="0" borderId="0" applyNumberFormat="0" applyBorder="0" applyAlignment="0"/>
    <xf numFmtId="185" fontId="198" fillId="0" borderId="40" applyNumberFormat="0" applyFill="0" applyAlignment="0" applyProtection="0"/>
    <xf numFmtId="190" fontId="141" fillId="0" borderId="0" applyFont="0" applyFill="0" applyBorder="0" applyAlignment="0" applyProtection="0"/>
    <xf numFmtId="185" fontId="17" fillId="54" borderId="0" applyNumberFormat="0" applyBorder="0" applyAlignment="0" applyProtection="0"/>
    <xf numFmtId="185" fontId="199" fillId="51" borderId="35" applyNumberFormat="0" applyAlignment="0" applyProtection="0"/>
    <xf numFmtId="185" fontId="200" fillId="0" borderId="0" applyNumberFormat="0" applyFill="0" applyBorder="0" applyAlignment="0" applyProtection="0"/>
    <xf numFmtId="185" fontId="190" fillId="49" borderId="0" applyNumberFormat="0" applyBorder="0" applyAlignment="0" applyProtection="0"/>
    <xf numFmtId="185" fontId="188" fillId="66" borderId="0" applyNumberFormat="0" applyBorder="0" applyAlignment="0" applyProtection="0"/>
    <xf numFmtId="185" fontId="17" fillId="61" borderId="0" applyNumberFormat="0" applyBorder="0" applyAlignment="0" applyProtection="0"/>
    <xf numFmtId="185" fontId="17" fillId="71" borderId="0" applyNumberFormat="0" applyBorder="0" applyAlignment="0" applyProtection="0"/>
    <xf numFmtId="185" fontId="17" fillId="57" borderId="0" applyNumberFormat="0" applyBorder="0" applyAlignment="0" applyProtection="0"/>
    <xf numFmtId="185" fontId="214" fillId="42" borderId="0" applyNumberFormat="0" applyBorder="0" applyAlignment="0" applyProtection="0"/>
    <xf numFmtId="185" fontId="188" fillId="43" borderId="0" applyNumberFormat="0" applyBorder="0" applyAlignment="0" applyProtection="0"/>
    <xf numFmtId="185" fontId="188" fillId="62" borderId="0" applyNumberFormat="0" applyBorder="0" applyAlignment="0" applyProtection="0"/>
    <xf numFmtId="185" fontId="200" fillId="0" borderId="0" applyNumberFormat="0" applyFill="0" applyBorder="0" applyAlignment="0" applyProtection="0"/>
    <xf numFmtId="185" fontId="188" fillId="62" borderId="0" applyNumberFormat="0" applyBorder="0" applyAlignment="0" applyProtection="0"/>
    <xf numFmtId="190" fontId="141" fillId="0" borderId="0" applyFont="0" applyFill="0" applyBorder="0" applyAlignment="0" applyProtection="0"/>
    <xf numFmtId="185" fontId="188" fillId="52" borderId="0" applyNumberFormat="0" applyBorder="0" applyAlignment="0" applyProtection="0"/>
    <xf numFmtId="185" fontId="199" fillId="51" borderId="35" applyNumberFormat="0" applyAlignment="0" applyProtection="0"/>
    <xf numFmtId="185" fontId="17" fillId="70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85" fontId="188" fillId="69" borderId="0" applyNumberFormat="0" applyBorder="0" applyAlignment="0" applyProtection="0"/>
    <xf numFmtId="185" fontId="188" fillId="69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38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39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38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39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214" fillId="42" borderId="0" applyNumberFormat="0" applyBorder="0" applyAlignment="0" applyProtection="0"/>
    <xf numFmtId="185" fontId="196" fillId="0" borderId="0" applyNumberFormat="0" applyBorder="0" applyAlignment="0"/>
    <xf numFmtId="168" fontId="226" fillId="78" borderId="0" applyNumberFormat="0" applyBorder="0"/>
    <xf numFmtId="185" fontId="188" fillId="55" borderId="0" applyNumberFormat="0" applyBorder="0" applyAlignment="0" applyProtection="0"/>
    <xf numFmtId="185" fontId="193" fillId="50" borderId="32" applyNumberFormat="0" applyAlignment="0" applyProtection="0"/>
    <xf numFmtId="168" fontId="226" fillId="78" borderId="0" applyNumberFormat="0" applyBorder="0"/>
    <xf numFmtId="185" fontId="196" fillId="0" borderId="0" applyNumberFormat="0" applyBorder="0" applyAlignment="0"/>
    <xf numFmtId="185" fontId="17" fillId="71" borderId="0" applyNumberFormat="0" applyBorder="0" applyAlignment="0" applyProtection="0"/>
    <xf numFmtId="185" fontId="188" fillId="43" borderId="0" applyNumberFormat="0" applyBorder="0" applyAlignment="0" applyProtection="0"/>
    <xf numFmtId="185" fontId="214" fillId="42" borderId="0" applyNumberFormat="0" applyBorder="0" applyAlignment="0" applyProtection="0"/>
    <xf numFmtId="185" fontId="17" fillId="61" borderId="0" applyNumberFormat="0" applyBorder="0" applyAlignment="0" applyProtection="0"/>
    <xf numFmtId="185" fontId="188" fillId="52" borderId="0" applyNumberFormat="0" applyBorder="0" applyAlignment="0" applyProtection="0"/>
    <xf numFmtId="185" fontId="188" fillId="56" borderId="0" applyNumberFormat="0" applyBorder="0" applyAlignment="0" applyProtection="0"/>
    <xf numFmtId="185" fontId="17" fillId="0" borderId="0"/>
    <xf numFmtId="185" fontId="188" fillId="72" borderId="0" applyNumberFormat="0" applyBorder="0" applyAlignment="0" applyProtection="0"/>
    <xf numFmtId="185" fontId="188" fillId="72" borderId="0" applyNumberFormat="0" applyBorder="0" applyAlignment="0" applyProtection="0"/>
    <xf numFmtId="185" fontId="215" fillId="51" borderId="32" applyNumberFormat="0" applyAlignment="0" applyProtection="0"/>
    <xf numFmtId="185" fontId="17" fillId="70" borderId="0" applyNumberFormat="0" applyBorder="0" applyAlignment="0" applyProtection="0"/>
    <xf numFmtId="185" fontId="188" fillId="59" borderId="0" applyNumberFormat="0" applyBorder="0" applyAlignment="0" applyProtection="0"/>
    <xf numFmtId="185" fontId="17" fillId="67" borderId="0" applyNumberFormat="0" applyBorder="0" applyAlignment="0" applyProtection="0"/>
    <xf numFmtId="185" fontId="188" fillId="68" borderId="0" applyNumberFormat="0" applyBorder="0" applyAlignment="0" applyProtection="0"/>
    <xf numFmtId="185" fontId="198" fillId="0" borderId="40" applyNumberFormat="0" applyFill="0" applyAlignment="0" applyProtection="0"/>
    <xf numFmtId="185" fontId="17" fillId="6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8" borderId="0" applyNumberFormat="0" applyBorder="0" applyAlignment="0" applyProtection="0"/>
    <xf numFmtId="185" fontId="210" fillId="0" borderId="0" applyNumberFormat="0" applyFill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88" fillId="63" borderId="0" applyNumberFormat="0" applyBorder="0" applyAlignment="0" applyProtection="0"/>
    <xf numFmtId="185" fontId="17" fillId="54" borderId="0" applyNumberFormat="0" applyBorder="0" applyAlignment="0" applyProtection="0"/>
    <xf numFmtId="185" fontId="199" fillId="51" borderId="35" applyNumberFormat="0" applyAlignment="0" applyProtection="0"/>
    <xf numFmtId="185" fontId="17" fillId="0" borderId="0"/>
    <xf numFmtId="185" fontId="200" fillId="0" borderId="0" applyNumberFormat="0" applyFill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85" fontId="17" fillId="64" borderId="0" applyNumberFormat="0" applyBorder="0" applyAlignment="0" applyProtection="0"/>
    <xf numFmtId="185" fontId="17" fillId="67" borderId="0" applyNumberFormat="0" applyBorder="0" applyAlignment="0" applyProtection="0"/>
    <xf numFmtId="190" fontId="141" fillId="0" borderId="0" applyFont="0" applyFill="0" applyBorder="0" applyAlignment="0" applyProtection="0"/>
    <xf numFmtId="185" fontId="210" fillId="0" borderId="0" applyNumberFormat="0" applyFill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38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39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88" fillId="68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38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39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9" fontId="79" fillId="0" borderId="0" applyFont="0" applyFill="0" applyBorder="0" applyAlignment="0" applyProtection="0"/>
    <xf numFmtId="185" fontId="38" fillId="0" borderId="0"/>
    <xf numFmtId="185" fontId="38" fillId="0" borderId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0" borderId="0"/>
    <xf numFmtId="185" fontId="38" fillId="9" borderId="0" applyNumberFormat="0" applyBorder="0" applyAlignment="0" applyProtection="0"/>
    <xf numFmtId="185" fontId="38" fillId="9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8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0" borderId="0"/>
    <xf numFmtId="185" fontId="38" fillId="10" borderId="0" applyNumberFormat="0" applyBorder="0" applyAlignment="0" applyProtection="0"/>
    <xf numFmtId="185" fontId="38" fillId="10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1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4" borderId="0" applyNumberFormat="0" applyBorder="0" applyAlignment="0" applyProtection="0"/>
    <xf numFmtId="185" fontId="38" fillId="0" borderId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7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38" fillId="11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9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13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38" fillId="0" borderId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4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7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62" fillId="10" borderId="0" applyNumberFormat="0" applyBorder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113" fillId="24" borderId="2" applyNumberFormat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114" fillId="34" borderId="0" applyNumberFormat="0" applyBorder="0" applyAlignment="0" applyProtection="0"/>
    <xf numFmtId="185" fontId="64" fillId="6" borderId="0" applyNumberFormat="0" applyBorder="0" applyAlignment="0" applyProtection="0"/>
    <xf numFmtId="185" fontId="64" fillId="6" borderId="0" applyNumberFormat="0" applyBorder="0" applyAlignment="0" applyProtection="0"/>
    <xf numFmtId="185" fontId="65" fillId="0" borderId="0" applyNumberFormat="0" applyFill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2" fillId="79" borderId="0" applyNumberFormat="0" applyBorder="0" applyAlignment="0" applyProtection="0"/>
    <xf numFmtId="185" fontId="66" fillId="7" borderId="0" applyNumberFormat="0" applyBorder="0" applyAlignment="0" applyProtection="0"/>
    <xf numFmtId="185" fontId="66" fillId="7" borderId="0" applyNumberFormat="0" applyBorder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67" fillId="14" borderId="2" applyNumberFormat="0" applyAlignment="0" applyProtection="0"/>
    <xf numFmtId="185" fontId="77" fillId="0" borderId="9" applyNumberFormat="0" applyFill="0" applyAlignment="0" applyProtection="0"/>
    <xf numFmtId="185" fontId="236" fillId="34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236" fillId="2" borderId="0">
      <alignment horizontal="right"/>
    </xf>
    <xf numFmtId="185" fontId="69" fillId="25" borderId="4" applyNumberForma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11" borderId="10" applyNumberFormat="0" applyFont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215" fillId="51" borderId="32" applyNumberFormat="0" applyAlignment="0" applyProtection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17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58" borderId="0" applyNumberFormat="0" applyBorder="0" applyAlignment="0" applyProtection="0"/>
    <xf numFmtId="185" fontId="188" fillId="63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41" borderId="34" applyNumberFormat="0" applyFont="0" applyAlignment="0" applyProtection="0"/>
    <xf numFmtId="185" fontId="188" fillId="62" borderId="0" applyNumberFormat="0" applyBorder="0" applyAlignment="0" applyProtection="0"/>
    <xf numFmtId="185" fontId="17" fillId="53" borderId="0" applyNumberFormat="0" applyBorder="0" applyAlignment="0" applyProtection="0"/>
    <xf numFmtId="185" fontId="17" fillId="57" borderId="0" applyNumberFormat="0" applyBorder="0" applyAlignment="0" applyProtection="0"/>
    <xf numFmtId="185" fontId="193" fillId="50" borderId="32" applyNumberFormat="0" applyAlignment="0" applyProtection="0"/>
    <xf numFmtId="185" fontId="188" fillId="63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85" fontId="188" fillId="72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53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38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39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9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0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8" borderId="0" applyNumberFormat="0" applyBorder="0" applyAlignment="0" applyProtection="0"/>
    <xf numFmtId="185" fontId="17" fillId="38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39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1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4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7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11" borderId="0" applyNumberFormat="0" applyBorder="0" applyAlignment="0" applyProtection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17" fillId="0" borderId="0"/>
    <xf numFmtId="185" fontId="215" fillId="51" borderId="32" applyNumberFormat="0" applyAlignment="0" applyProtection="0"/>
    <xf numFmtId="185" fontId="17" fillId="0" borderId="0"/>
    <xf numFmtId="185" fontId="17" fillId="0" borderId="0"/>
    <xf numFmtId="185" fontId="17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38" fillId="0" borderId="0"/>
    <xf numFmtId="185" fontId="188" fillId="69" borderId="0" applyNumberFormat="0" applyBorder="0" applyAlignment="0" applyProtection="0"/>
    <xf numFmtId="185" fontId="17" fillId="64" borderId="0" applyNumberFormat="0" applyBorder="0" applyAlignment="0" applyProtection="0"/>
    <xf numFmtId="185" fontId="188" fillId="59" borderId="0" applyNumberFormat="0" applyBorder="0" applyAlignment="0" applyProtection="0"/>
    <xf numFmtId="185" fontId="188" fillId="55" borderId="0" applyNumberFormat="0" applyBorder="0" applyAlignment="0" applyProtection="0"/>
    <xf numFmtId="185" fontId="188" fillId="52" borderId="0" applyNumberFormat="0" applyBorder="0" applyAlignment="0" applyProtection="0"/>
    <xf numFmtId="185" fontId="17" fillId="41" borderId="34" applyNumberFormat="0" applyFont="0" applyAlignment="0" applyProtection="0"/>
    <xf numFmtId="185" fontId="17" fillId="65" borderId="0" applyNumberFormat="0" applyBorder="0" applyAlignment="0" applyProtection="0"/>
    <xf numFmtId="185" fontId="188" fillId="56" borderId="0" applyNumberFormat="0" applyBorder="0" applyAlignment="0" applyProtection="0"/>
    <xf numFmtId="185" fontId="17" fillId="71" borderId="0" applyNumberFormat="0" applyBorder="0" applyAlignment="0" applyProtection="0"/>
    <xf numFmtId="185" fontId="188" fillId="66" borderId="0" applyNumberFormat="0" applyBorder="0" applyAlignment="0" applyProtection="0"/>
    <xf numFmtId="185" fontId="188" fillId="56" borderId="0" applyNumberFormat="0" applyBorder="0" applyAlignment="0" applyProtection="0"/>
    <xf numFmtId="185" fontId="17" fillId="70" borderId="0" applyNumberFormat="0" applyBorder="0" applyAlignment="0" applyProtection="0"/>
    <xf numFmtId="185" fontId="17" fillId="60" borderId="0" applyNumberFormat="0" applyBorder="0" applyAlignment="0" applyProtection="0"/>
    <xf numFmtId="185" fontId="17" fillId="65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68" fontId="226" fillId="78" borderId="0" applyNumberFormat="0" applyBorder="0"/>
    <xf numFmtId="185" fontId="17" fillId="53" borderId="0" applyNumberFormat="0" applyBorder="0" applyAlignment="0" applyProtection="0"/>
    <xf numFmtId="185" fontId="188" fillId="43" borderId="0" applyNumberFormat="0" applyBorder="0" applyAlignment="0" applyProtection="0"/>
    <xf numFmtId="185" fontId="17" fillId="54" borderId="0" applyNumberFormat="0" applyBorder="0" applyAlignment="0" applyProtection="0"/>
    <xf numFmtId="185" fontId="17" fillId="41" borderId="34" applyNumberFormat="0" applyFont="0" applyAlignment="0" applyProtection="0"/>
    <xf numFmtId="185" fontId="16" fillId="0" borderId="0"/>
    <xf numFmtId="43" fontId="16" fillId="0" borderId="0" applyFont="0" applyFill="0" applyBorder="0" applyAlignment="0" applyProtection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90" fillId="49" borderId="0" applyNumberFormat="0" applyBorder="0" applyAlignment="0" applyProtection="0"/>
    <xf numFmtId="185" fontId="214" fillId="4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200" fillId="0" borderId="0" applyNumberFormat="0" applyFill="0" applyBorder="0" applyAlignment="0" applyProtection="0"/>
    <xf numFmtId="185" fontId="16" fillId="41" borderId="34" applyNumberFormat="0" applyFont="0" applyAlignment="0" applyProtection="0"/>
    <xf numFmtId="185" fontId="198" fillId="0" borderId="40" applyNumberFormat="0" applyFill="0" applyAlignment="0" applyProtection="0"/>
    <xf numFmtId="185" fontId="188" fillId="52" borderId="0" applyNumberFormat="0" applyBorder="0" applyAlignment="0" applyProtection="0"/>
    <xf numFmtId="185" fontId="16" fillId="53" borderId="0" applyNumberFormat="0" applyBorder="0" applyAlignment="0" applyProtection="0"/>
    <xf numFmtId="185" fontId="16" fillId="54" borderId="0" applyNumberFormat="0" applyBorder="0" applyAlignment="0" applyProtection="0"/>
    <xf numFmtId="185" fontId="188" fillId="55" borderId="0" applyNumberFormat="0" applyBorder="0" applyAlignment="0" applyProtection="0"/>
    <xf numFmtId="185" fontId="188" fillId="56" borderId="0" applyNumberFormat="0" applyBorder="0" applyAlignment="0" applyProtection="0"/>
    <xf numFmtId="185" fontId="16" fillId="57" borderId="0" applyNumberFormat="0" applyBorder="0" applyAlignment="0" applyProtection="0"/>
    <xf numFmtId="185" fontId="16" fillId="39" borderId="0" applyNumberFormat="0" applyBorder="0" applyAlignment="0" applyProtection="0"/>
    <xf numFmtId="185" fontId="188" fillId="58" borderId="0" applyNumberFormat="0" applyBorder="0" applyAlignment="0" applyProtection="0"/>
    <xf numFmtId="185" fontId="188" fillId="59" borderId="0" applyNumberFormat="0" applyBorder="0" applyAlignment="0" applyProtection="0"/>
    <xf numFmtId="185" fontId="16" fillId="60" borderId="0" applyNumberFormat="0" applyBorder="0" applyAlignment="0" applyProtection="0"/>
    <xf numFmtId="185" fontId="16" fillId="61" borderId="0" applyNumberFormat="0" applyBorder="0" applyAlignment="0" applyProtection="0"/>
    <xf numFmtId="185" fontId="188" fillId="62" borderId="0" applyNumberFormat="0" applyBorder="0" applyAlignment="0" applyProtection="0"/>
    <xf numFmtId="185" fontId="188" fillId="63" borderId="0" applyNumberFormat="0" applyBorder="0" applyAlignment="0" applyProtection="0"/>
    <xf numFmtId="185" fontId="16" fillId="64" borderId="0" applyNumberFormat="0" applyBorder="0" applyAlignment="0" applyProtection="0"/>
    <xf numFmtId="185" fontId="16" fillId="65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16" fillId="38" borderId="0" applyNumberFormat="0" applyBorder="0" applyAlignment="0" applyProtection="0"/>
    <xf numFmtId="185" fontId="16" fillId="67" borderId="0" applyNumberFormat="0" applyBorder="0" applyAlignment="0" applyProtection="0"/>
    <xf numFmtId="185" fontId="188" fillId="68" borderId="0" applyNumberFormat="0" applyBorder="0" applyAlignment="0" applyProtection="0"/>
    <xf numFmtId="185" fontId="188" fillId="69" borderId="0" applyNumberFormat="0" applyBorder="0" applyAlignment="0" applyProtection="0"/>
    <xf numFmtId="185" fontId="16" fillId="70" borderId="0" applyNumberFormat="0" applyBorder="0" applyAlignment="0" applyProtection="0"/>
    <xf numFmtId="185" fontId="16" fillId="71" borderId="0" applyNumberFormat="0" applyBorder="0" applyAlignment="0" applyProtection="0"/>
    <xf numFmtId="185" fontId="188" fillId="72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90" fontId="141" fillId="0" borderId="0" applyFont="0" applyFill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68" fontId="226" fillId="78" borderId="0" applyNumberFormat="0" applyBorder="0"/>
    <xf numFmtId="185" fontId="16" fillId="67" borderId="0" applyNumberFormat="0" applyBorder="0" applyAlignment="0" applyProtection="0"/>
    <xf numFmtId="185" fontId="199" fillId="51" borderId="35" applyNumberFormat="0" applyAlignment="0" applyProtection="0"/>
    <xf numFmtId="185" fontId="193" fillId="50" borderId="32" applyNumberFormat="0" applyAlignment="0" applyProtection="0"/>
    <xf numFmtId="185" fontId="198" fillId="0" borderId="40" applyNumberFormat="0" applyFill="0" applyAlignment="0" applyProtection="0"/>
    <xf numFmtId="185" fontId="16" fillId="70" borderId="0" applyNumberFormat="0" applyBorder="0" applyAlignment="0" applyProtection="0"/>
    <xf numFmtId="168" fontId="226" fillId="78" borderId="0" applyNumberFormat="0" applyBorder="0"/>
    <xf numFmtId="185" fontId="16" fillId="53" borderId="0" applyNumberFormat="0" applyBorder="0" applyAlignment="0" applyProtection="0"/>
    <xf numFmtId="185" fontId="16" fillId="65" borderId="0" applyNumberFormat="0" applyBorder="0" applyAlignment="0" applyProtection="0"/>
    <xf numFmtId="185" fontId="16" fillId="67" borderId="0" applyNumberFormat="0" applyBorder="0" applyAlignment="0" applyProtection="0"/>
    <xf numFmtId="185" fontId="188" fillId="68" borderId="0" applyNumberFormat="0" applyBorder="0" applyAlignment="0" applyProtection="0"/>
    <xf numFmtId="185" fontId="192" fillId="48" borderId="0" applyNumberFormat="0" applyBorder="0" applyAlignment="0" applyProtection="0"/>
    <xf numFmtId="185" fontId="210" fillId="0" borderId="0" applyNumberFormat="0" applyFill="0" applyBorder="0" applyAlignment="0" applyProtection="0"/>
    <xf numFmtId="185" fontId="16" fillId="65" borderId="0" applyNumberFormat="0" applyBorder="0" applyAlignment="0" applyProtection="0"/>
    <xf numFmtId="185" fontId="16" fillId="60" borderId="0" applyNumberFormat="0" applyBorder="0" applyAlignment="0" applyProtection="0"/>
    <xf numFmtId="185" fontId="16" fillId="70" borderId="0" applyNumberFormat="0" applyBorder="0" applyAlignment="0" applyProtection="0"/>
    <xf numFmtId="185" fontId="188" fillId="56" borderId="0" applyNumberFormat="0" applyBorder="0" applyAlignment="0" applyProtection="0"/>
    <xf numFmtId="185" fontId="188" fillId="43" borderId="0" applyNumberFormat="0" applyBorder="0" applyAlignment="0" applyProtection="0"/>
    <xf numFmtId="185" fontId="188" fillId="72" borderId="0" applyNumberFormat="0" applyBorder="0" applyAlignment="0" applyProtection="0"/>
    <xf numFmtId="185" fontId="16" fillId="57" borderId="0" applyNumberFormat="0" applyBorder="0" applyAlignment="0" applyProtection="0"/>
    <xf numFmtId="185" fontId="188" fillId="66" borderId="0" applyNumberFormat="0" applyBorder="0" applyAlignment="0" applyProtection="0"/>
    <xf numFmtId="185" fontId="200" fillId="0" borderId="0" applyNumberFormat="0" applyFill="0" applyBorder="0" applyAlignment="0" applyProtection="0"/>
    <xf numFmtId="185" fontId="215" fillId="51" borderId="32" applyNumberFormat="0" applyAlignment="0" applyProtection="0"/>
    <xf numFmtId="185" fontId="188" fillId="56" borderId="0" applyNumberFormat="0" applyBorder="0" applyAlignment="0" applyProtection="0"/>
    <xf numFmtId="185" fontId="16" fillId="41" borderId="34" applyNumberFormat="0" applyFont="0" applyAlignment="0" applyProtection="0"/>
    <xf numFmtId="185" fontId="188" fillId="59" borderId="0" applyNumberFormat="0" applyBorder="0" applyAlignment="0" applyProtection="0"/>
    <xf numFmtId="185" fontId="16" fillId="64" borderId="0" applyNumberFormat="0" applyBorder="0" applyAlignment="0" applyProtection="0"/>
    <xf numFmtId="185" fontId="16" fillId="61" borderId="0" applyNumberFormat="0" applyBorder="0" applyAlignment="0" applyProtection="0"/>
    <xf numFmtId="185" fontId="214" fillId="42" borderId="0" applyNumberFormat="0" applyBorder="0" applyAlignment="0" applyProtection="0"/>
    <xf numFmtId="185" fontId="190" fillId="49" borderId="0" applyNumberFormat="0" applyBorder="0" applyAlignment="0" applyProtection="0"/>
    <xf numFmtId="185" fontId="199" fillId="51" borderId="35" applyNumberFormat="0" applyAlignment="0" applyProtection="0"/>
    <xf numFmtId="185" fontId="188" fillId="55" borderId="0" applyNumberFormat="0" applyBorder="0" applyAlignment="0" applyProtection="0"/>
    <xf numFmtId="185" fontId="16" fillId="64" borderId="0" applyNumberFormat="0" applyBorder="0" applyAlignment="0" applyProtection="0"/>
    <xf numFmtId="185" fontId="198" fillId="0" borderId="40" applyNumberFormat="0" applyFill="0" applyAlignment="0" applyProtection="0"/>
    <xf numFmtId="185" fontId="188" fillId="56" borderId="0" applyNumberFormat="0" applyBorder="0" applyAlignment="0" applyProtection="0"/>
    <xf numFmtId="190" fontId="141" fillId="0" borderId="0" applyFont="0" applyFill="0" applyBorder="0" applyAlignment="0" applyProtection="0"/>
    <xf numFmtId="185" fontId="188" fillId="62" borderId="0" applyNumberFormat="0" applyBorder="0" applyAlignment="0" applyProtection="0"/>
    <xf numFmtId="185" fontId="188" fillId="66" borderId="0" applyNumberFormat="0" applyBorder="0" applyAlignment="0" applyProtection="0"/>
    <xf numFmtId="185" fontId="188" fillId="43" borderId="0" applyNumberFormat="0" applyBorder="0" applyAlignment="0" applyProtection="0"/>
    <xf numFmtId="185" fontId="188" fillId="55" borderId="0" applyNumberFormat="0" applyBorder="0" applyAlignment="0" applyProtection="0"/>
    <xf numFmtId="185" fontId="16" fillId="65" borderId="0" applyNumberFormat="0" applyBorder="0" applyAlignment="0" applyProtection="0"/>
    <xf numFmtId="185" fontId="198" fillId="0" borderId="40" applyNumberFormat="0" applyFill="0" applyAlignment="0" applyProtection="0"/>
    <xf numFmtId="185" fontId="192" fillId="48" borderId="0" applyNumberFormat="0" applyBorder="0" applyAlignment="0" applyProtection="0"/>
    <xf numFmtId="185" fontId="188" fillId="63" borderId="0" applyNumberFormat="0" applyBorder="0" applyAlignment="0" applyProtection="0"/>
    <xf numFmtId="185" fontId="188" fillId="55" borderId="0" applyNumberFormat="0" applyBorder="0" applyAlignment="0" applyProtection="0"/>
    <xf numFmtId="185" fontId="193" fillId="50" borderId="32" applyNumberFormat="0" applyAlignment="0" applyProtection="0"/>
    <xf numFmtId="185" fontId="188" fillId="66" borderId="0" applyNumberFormat="0" applyBorder="0" applyAlignment="0" applyProtection="0"/>
    <xf numFmtId="185" fontId="188" fillId="72" borderId="0" applyNumberFormat="0" applyBorder="0" applyAlignment="0" applyProtection="0"/>
    <xf numFmtId="185" fontId="210" fillId="0" borderId="0" applyNumberFormat="0" applyFill="0" applyBorder="0" applyAlignment="0" applyProtection="0"/>
    <xf numFmtId="185" fontId="188" fillId="52" borderId="0" applyNumberFormat="0" applyBorder="0" applyAlignment="0" applyProtection="0"/>
    <xf numFmtId="168" fontId="226" fillId="78" borderId="0" applyNumberFormat="0" applyBorder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85" fontId="188" fillId="62" borderId="0" applyNumberFormat="0" applyBorder="0" applyAlignment="0" applyProtection="0"/>
    <xf numFmtId="185" fontId="188" fillId="59" borderId="0" applyNumberFormat="0" applyBorder="0" applyAlignment="0" applyProtection="0"/>
    <xf numFmtId="185" fontId="16" fillId="57" borderId="0" applyNumberFormat="0" applyBorder="0" applyAlignment="0" applyProtection="0"/>
    <xf numFmtId="185" fontId="192" fillId="48" borderId="0" applyNumberFormat="0" applyBorder="0" applyAlignment="0" applyProtection="0"/>
    <xf numFmtId="185" fontId="16" fillId="71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88" fillId="72" borderId="0" applyNumberFormat="0" applyBorder="0" applyAlignment="0" applyProtection="0"/>
    <xf numFmtId="185" fontId="215" fillId="51" borderId="32" applyNumberFormat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38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39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88" fillId="69" borderId="0" applyNumberFormat="0" applyBorder="0" applyAlignment="0" applyProtection="0"/>
    <xf numFmtId="185" fontId="16" fillId="60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38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39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88" fillId="55" borderId="0" applyNumberFormat="0" applyBorder="0" applyAlignment="0" applyProtection="0"/>
    <xf numFmtId="185" fontId="16" fillId="53" borderId="0" applyNumberFormat="0" applyBorder="0" applyAlignment="0" applyProtection="0"/>
    <xf numFmtId="185" fontId="16" fillId="57" borderId="0" applyNumberFormat="0" applyBorder="0" applyAlignment="0" applyProtection="0"/>
    <xf numFmtId="185" fontId="215" fillId="51" borderId="32" applyNumberFormat="0" applyAlignment="0" applyProtection="0"/>
    <xf numFmtId="185" fontId="188" fillId="58" borderId="0" applyNumberFormat="0" applyBorder="0" applyAlignment="0" applyProtection="0"/>
    <xf numFmtId="185" fontId="16" fillId="53" borderId="0" applyNumberFormat="0" applyBorder="0" applyAlignment="0" applyProtection="0"/>
    <xf numFmtId="185" fontId="200" fillId="0" borderId="0" applyNumberFormat="0" applyFill="0" applyBorder="0" applyAlignment="0" applyProtection="0"/>
    <xf numFmtId="185" fontId="16" fillId="65" borderId="0" applyNumberFormat="0" applyBorder="0" applyAlignment="0" applyProtection="0"/>
    <xf numFmtId="185" fontId="215" fillId="51" borderId="32" applyNumberFormat="0" applyAlignment="0" applyProtection="0"/>
    <xf numFmtId="185" fontId="188" fillId="68" borderId="0" applyNumberFormat="0" applyBorder="0" applyAlignment="0" applyProtection="0"/>
    <xf numFmtId="185" fontId="188" fillId="58" borderId="0" applyNumberFormat="0" applyBorder="0" applyAlignment="0" applyProtection="0"/>
    <xf numFmtId="185" fontId="188" fillId="63" borderId="0" applyNumberFormat="0" applyBorder="0" applyAlignment="0" applyProtection="0"/>
    <xf numFmtId="185" fontId="190" fillId="49" borderId="0" applyNumberFormat="0" applyBorder="0" applyAlignment="0" applyProtection="0"/>
    <xf numFmtId="190" fontId="141" fillId="0" borderId="0" applyFont="0" applyFill="0" applyBorder="0" applyAlignment="0" applyProtection="0"/>
    <xf numFmtId="185" fontId="16" fillId="67" borderId="0" applyNumberFormat="0" applyBorder="0" applyAlignment="0" applyProtection="0"/>
    <xf numFmtId="185" fontId="16" fillId="0" borderId="0"/>
    <xf numFmtId="185" fontId="200" fillId="0" borderId="0" applyNumberFormat="0" applyFill="0" applyBorder="0" applyAlignment="0" applyProtection="0"/>
    <xf numFmtId="185" fontId="16" fillId="61" borderId="0" applyNumberFormat="0" applyBorder="0" applyAlignment="0" applyProtection="0"/>
    <xf numFmtId="185" fontId="16" fillId="67" borderId="0" applyNumberFormat="0" applyBorder="0" applyAlignment="0" applyProtection="0"/>
    <xf numFmtId="185" fontId="210" fillId="0" borderId="0" applyNumberFormat="0" applyFill="0" applyBorder="0" applyAlignment="0" applyProtection="0"/>
    <xf numFmtId="185" fontId="188" fillId="52" borderId="0" applyNumberFormat="0" applyBorder="0" applyAlignment="0" applyProtection="0"/>
    <xf numFmtId="185" fontId="16" fillId="54" borderId="0" applyNumberFormat="0" applyBorder="0" applyAlignment="0" applyProtection="0"/>
    <xf numFmtId="185" fontId="190" fillId="49" borderId="0" applyNumberFormat="0" applyBorder="0" applyAlignment="0" applyProtection="0"/>
    <xf numFmtId="185" fontId="16" fillId="41" borderId="34" applyNumberFormat="0" applyFont="0" applyAlignment="0" applyProtection="0"/>
    <xf numFmtId="185" fontId="16" fillId="70" borderId="0" applyNumberFormat="0" applyBorder="0" applyAlignment="0" applyProtection="0"/>
    <xf numFmtId="185" fontId="193" fillId="50" borderId="32" applyNumberFormat="0" applyAlignment="0" applyProtection="0"/>
    <xf numFmtId="185" fontId="188" fillId="72" borderId="0" applyNumberFormat="0" applyBorder="0" applyAlignment="0" applyProtection="0"/>
    <xf numFmtId="185" fontId="188" fillId="62" borderId="0" applyNumberFormat="0" applyBorder="0" applyAlignment="0" applyProtection="0"/>
    <xf numFmtId="185" fontId="188" fillId="43" borderId="0" applyNumberFormat="0" applyBorder="0" applyAlignment="0" applyProtection="0"/>
    <xf numFmtId="185" fontId="214" fillId="42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60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57" borderId="0" applyNumberFormat="0" applyBorder="0" applyAlignment="0" applyProtection="0"/>
    <xf numFmtId="185" fontId="16" fillId="71" borderId="0" applyNumberFormat="0" applyBorder="0" applyAlignment="0" applyProtection="0"/>
    <xf numFmtId="185" fontId="16" fillId="61" borderId="0" applyNumberFormat="0" applyBorder="0" applyAlignment="0" applyProtection="0"/>
    <xf numFmtId="185" fontId="188" fillId="66" borderId="0" applyNumberFormat="0" applyBorder="0" applyAlignment="0" applyProtection="0"/>
    <xf numFmtId="185" fontId="190" fillId="49" borderId="0" applyNumberFormat="0" applyBorder="0" applyAlignment="0" applyProtection="0"/>
    <xf numFmtId="185" fontId="200" fillId="0" borderId="0" applyNumberFormat="0" applyFill="0" applyBorder="0" applyAlignment="0" applyProtection="0"/>
    <xf numFmtId="185" fontId="188" fillId="68" borderId="0" applyNumberFormat="0" applyBorder="0" applyAlignment="0" applyProtection="0"/>
    <xf numFmtId="185" fontId="188" fillId="68" borderId="0" applyNumberFormat="0" applyBorder="0" applyAlignment="0" applyProtection="0"/>
    <xf numFmtId="190" fontId="141" fillId="0" borderId="0" applyFont="0" applyFill="0" applyBorder="0" applyAlignment="0" applyProtection="0"/>
    <xf numFmtId="185" fontId="188" fillId="63" borderId="0" applyNumberFormat="0" applyBorder="0" applyAlignment="0" applyProtection="0"/>
    <xf numFmtId="185" fontId="16" fillId="0" borderId="0"/>
    <xf numFmtId="185" fontId="16" fillId="54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85" fontId="16" fillId="61" borderId="0" applyNumberFormat="0" applyBorder="0" applyAlignment="0" applyProtection="0"/>
    <xf numFmtId="190" fontId="141" fillId="0" borderId="0" applyFont="0" applyFill="0" applyBorder="0" applyAlignment="0" applyProtection="0"/>
    <xf numFmtId="185" fontId="188" fillId="43" borderId="0" applyNumberFormat="0" applyBorder="0" applyAlignment="0" applyProtection="0"/>
    <xf numFmtId="185" fontId="188" fillId="56" borderId="0" applyNumberFormat="0" applyBorder="0" applyAlignment="0" applyProtection="0"/>
    <xf numFmtId="168" fontId="226" fillId="78" borderId="0" applyNumberFormat="0" applyBorder="0"/>
    <xf numFmtId="185" fontId="199" fillId="51" borderId="35" applyNumberFormat="0" applyAlignment="0" applyProtection="0"/>
    <xf numFmtId="185" fontId="16" fillId="57" borderId="0" applyNumberFormat="0" applyBorder="0" applyAlignment="0" applyProtection="0"/>
    <xf numFmtId="185" fontId="214" fillId="42" borderId="0" applyNumberFormat="0" applyBorder="0" applyAlignment="0" applyProtection="0"/>
    <xf numFmtId="185" fontId="188" fillId="59" borderId="0" applyNumberFormat="0" applyBorder="0" applyAlignment="0" applyProtection="0"/>
    <xf numFmtId="185" fontId="16" fillId="64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88" fillId="58" borderId="0" applyNumberFormat="0" applyBorder="0" applyAlignment="0" applyProtection="0"/>
    <xf numFmtId="185" fontId="188" fillId="66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38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39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38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39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88" fillId="62" borderId="0" applyNumberFormat="0" applyBorder="0" applyAlignment="0" applyProtection="0"/>
    <xf numFmtId="185" fontId="16" fillId="0" borderId="0"/>
    <xf numFmtId="185" fontId="198" fillId="0" borderId="40" applyNumberFormat="0" applyFill="0" applyAlignment="0" applyProtection="0"/>
    <xf numFmtId="185" fontId="16" fillId="0" borderId="0"/>
    <xf numFmtId="185" fontId="16" fillId="0" borderId="0"/>
    <xf numFmtId="185" fontId="16" fillId="0" borderId="0"/>
    <xf numFmtId="185" fontId="16" fillId="61" borderId="0" applyNumberFormat="0" applyBorder="0" applyAlignment="0" applyProtection="0"/>
    <xf numFmtId="185" fontId="188" fillId="52" borderId="0" applyNumberFormat="0" applyBorder="0" applyAlignment="0" applyProtection="0"/>
    <xf numFmtId="185" fontId="193" fillId="50" borderId="32" applyNumberFormat="0" applyAlignment="0" applyProtection="0"/>
    <xf numFmtId="185" fontId="199" fillId="51" borderId="35" applyNumberFormat="0" applyAlignment="0" applyProtection="0"/>
    <xf numFmtId="185" fontId="199" fillId="51" borderId="35" applyNumberFormat="0" applyAlignment="0" applyProtection="0"/>
    <xf numFmtId="185" fontId="215" fillId="51" borderId="32" applyNumberFormat="0" applyAlignment="0" applyProtection="0"/>
    <xf numFmtId="185" fontId="190" fillId="49" borderId="0" applyNumberFormat="0" applyBorder="0" applyAlignment="0" applyProtection="0"/>
    <xf numFmtId="185" fontId="16" fillId="71" borderId="0" applyNumberFormat="0" applyBorder="0" applyAlignment="0" applyProtection="0"/>
    <xf numFmtId="185" fontId="188" fillId="72" borderId="0" applyNumberFormat="0" applyBorder="0" applyAlignment="0" applyProtection="0"/>
    <xf numFmtId="185" fontId="188" fillId="63" borderId="0" applyNumberFormat="0" applyBorder="0" applyAlignment="0" applyProtection="0"/>
    <xf numFmtId="185" fontId="188" fillId="68" borderId="0" applyNumberFormat="0" applyBorder="0" applyAlignment="0" applyProtection="0"/>
    <xf numFmtId="185" fontId="200" fillId="0" borderId="0" applyNumberFormat="0" applyFill="0" applyBorder="0" applyAlignment="0" applyProtection="0"/>
    <xf numFmtId="168" fontId="226" fillId="78" borderId="0" applyNumberFormat="0" applyBorder="0"/>
    <xf numFmtId="185" fontId="188" fillId="58" borderId="0" applyNumberFormat="0" applyBorder="0" applyAlignment="0" applyProtection="0"/>
    <xf numFmtId="190" fontId="141" fillId="0" borderId="0" applyFont="0" applyFill="0" applyBorder="0" applyAlignment="0" applyProtection="0"/>
    <xf numFmtId="185" fontId="188" fillId="63" borderId="0" applyNumberFormat="0" applyBorder="0" applyAlignment="0" applyProtection="0"/>
    <xf numFmtId="185" fontId="198" fillId="0" borderId="40" applyNumberFormat="0" applyFill="0" applyAlignment="0" applyProtection="0"/>
    <xf numFmtId="185" fontId="214" fillId="42" borderId="0" applyNumberFormat="0" applyBorder="0" applyAlignment="0" applyProtection="0"/>
    <xf numFmtId="185" fontId="16" fillId="64" borderId="0" applyNumberFormat="0" applyBorder="0" applyAlignment="0" applyProtection="0"/>
    <xf numFmtId="185" fontId="16" fillId="60" borderId="0" applyNumberFormat="0" applyBorder="0" applyAlignment="0" applyProtection="0"/>
    <xf numFmtId="185" fontId="16" fillId="53" borderId="0" applyNumberFormat="0" applyBorder="0" applyAlignment="0" applyProtection="0"/>
    <xf numFmtId="185" fontId="16" fillId="67" borderId="0" applyNumberFormat="0" applyBorder="0" applyAlignment="0" applyProtection="0"/>
    <xf numFmtId="185" fontId="188" fillId="69" borderId="0" applyNumberFormat="0" applyBorder="0" applyAlignment="0" applyProtection="0"/>
    <xf numFmtId="185" fontId="16" fillId="64" borderId="0" applyNumberFormat="0" applyBorder="0" applyAlignment="0" applyProtection="0"/>
    <xf numFmtId="185" fontId="188" fillId="59" borderId="0" applyNumberFormat="0" applyBorder="0" applyAlignment="0" applyProtection="0"/>
    <xf numFmtId="185" fontId="188" fillId="55" borderId="0" applyNumberFormat="0" applyBorder="0" applyAlignment="0" applyProtection="0"/>
    <xf numFmtId="185" fontId="188" fillId="52" borderId="0" applyNumberFormat="0" applyBorder="0" applyAlignment="0" applyProtection="0"/>
    <xf numFmtId="185" fontId="16" fillId="41" borderId="34" applyNumberFormat="0" applyFont="0" applyAlignment="0" applyProtection="0"/>
    <xf numFmtId="185" fontId="16" fillId="41" borderId="34" applyNumberFormat="0" applyFont="0" applyAlignment="0" applyProtection="0"/>
    <xf numFmtId="185" fontId="16" fillId="71" borderId="0" applyNumberFormat="0" applyBorder="0" applyAlignment="0" applyProtection="0"/>
    <xf numFmtId="168" fontId="226" fillId="78" borderId="0" applyNumberFormat="0" applyBorder="0"/>
    <xf numFmtId="185" fontId="188" fillId="43" borderId="0" applyNumberFormat="0" applyBorder="0" applyAlignment="0" applyProtection="0"/>
    <xf numFmtId="185" fontId="188" fillId="59" borderId="0" applyNumberFormat="0" applyBorder="0" applyAlignment="0" applyProtection="0"/>
    <xf numFmtId="185" fontId="16" fillId="54" borderId="0" applyNumberFormat="0" applyBorder="0" applyAlignment="0" applyProtection="0"/>
    <xf numFmtId="185" fontId="214" fillId="42" borderId="0" applyNumberFormat="0" applyBorder="0" applyAlignment="0" applyProtection="0"/>
    <xf numFmtId="185" fontId="188" fillId="62" borderId="0" applyNumberFormat="0" applyBorder="0" applyAlignment="0" applyProtection="0"/>
    <xf numFmtId="185" fontId="193" fillId="50" borderId="32" applyNumberFormat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88" fillId="56" borderId="0" applyNumberFormat="0" applyBorder="0" applyAlignment="0" applyProtection="0"/>
    <xf numFmtId="185" fontId="16" fillId="70" borderId="0" applyNumberFormat="0" applyBorder="0" applyAlignment="0" applyProtection="0"/>
    <xf numFmtId="185" fontId="16" fillId="60" borderId="0" applyNumberFormat="0" applyBorder="0" applyAlignment="0" applyProtection="0"/>
    <xf numFmtId="185" fontId="16" fillId="65" borderId="0" applyNumberFormat="0" applyBorder="0" applyAlignment="0" applyProtection="0"/>
    <xf numFmtId="185" fontId="210" fillId="0" borderId="0" applyNumberFormat="0" applyFill="0" applyBorder="0" applyAlignment="0" applyProtection="0"/>
    <xf numFmtId="185" fontId="192" fillId="48" borderId="0" applyNumberFormat="0" applyBorder="0" applyAlignment="0" applyProtection="0"/>
    <xf numFmtId="185" fontId="188" fillId="69" borderId="0" applyNumberFormat="0" applyBorder="0" applyAlignment="0" applyProtection="0"/>
    <xf numFmtId="185" fontId="188" fillId="58" borderId="0" applyNumberFormat="0" applyBorder="0" applyAlignment="0" applyProtection="0"/>
    <xf numFmtId="185" fontId="16" fillId="0" borderId="0"/>
    <xf numFmtId="185" fontId="16" fillId="53" borderId="0" applyNumberFormat="0" applyBorder="0" applyAlignment="0" applyProtection="0"/>
    <xf numFmtId="185" fontId="188" fillId="69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85" fontId="16" fillId="70" borderId="0" applyNumberFormat="0" applyBorder="0" applyAlignment="0" applyProtection="0"/>
    <xf numFmtId="185" fontId="16" fillId="54" borderId="0" applyNumberFormat="0" applyBorder="0" applyAlignment="0" applyProtection="0"/>
    <xf numFmtId="185" fontId="210" fillId="0" borderId="0" applyNumberFormat="0" applyFill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71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38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39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41" borderId="34" applyNumberFormat="0" applyFont="0" applyAlignment="0" applyProtection="0"/>
    <xf numFmtId="185" fontId="188" fillId="69" borderId="0" applyNumberFormat="0" applyBorder="0" applyAlignment="0" applyProtection="0"/>
    <xf numFmtId="185" fontId="192" fillId="48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9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0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8" borderId="0" applyNumberFormat="0" applyBorder="0" applyAlignment="0" applyProtection="0"/>
    <xf numFmtId="185" fontId="16" fillId="38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39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1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4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7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11" borderId="0" applyNumberFormat="0" applyBorder="0" applyAlignment="0" applyProtection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54" borderId="0" applyNumberFormat="0" applyBorder="0" applyAlignment="0" applyProtection="0"/>
    <xf numFmtId="185" fontId="188" fillId="52" borderId="0" applyNumberFormat="0" applyBorder="0" applyAlignment="0" applyProtection="0"/>
    <xf numFmtId="185" fontId="15" fillId="0" borderId="0"/>
    <xf numFmtId="43" fontId="15" fillId="0" borderId="0" applyFont="0" applyFill="0" applyBorder="0" applyAlignment="0" applyProtection="0"/>
    <xf numFmtId="185" fontId="15" fillId="53" borderId="0" applyNumberFormat="0" applyBorder="0" applyAlignment="0" applyProtection="0"/>
    <xf numFmtId="185" fontId="15" fillId="54" borderId="0" applyNumberFormat="0" applyBorder="0" applyAlignment="0" applyProtection="0"/>
    <xf numFmtId="185" fontId="15" fillId="57" borderId="0" applyNumberFormat="0" applyBorder="0" applyAlignment="0" applyProtection="0"/>
    <xf numFmtId="185" fontId="15" fillId="39" borderId="0" applyNumberFormat="0" applyBorder="0" applyAlignment="0" applyProtection="0"/>
    <xf numFmtId="185" fontId="15" fillId="60" borderId="0" applyNumberFormat="0" applyBorder="0" applyAlignment="0" applyProtection="0"/>
    <xf numFmtId="185" fontId="15" fillId="61" borderId="0" applyNumberFormat="0" applyBorder="0" applyAlignment="0" applyProtection="0"/>
    <xf numFmtId="185" fontId="15" fillId="64" borderId="0" applyNumberFormat="0" applyBorder="0" applyAlignment="0" applyProtection="0"/>
    <xf numFmtId="185" fontId="15" fillId="65" borderId="0" applyNumberFormat="0" applyBorder="0" applyAlignment="0" applyProtection="0"/>
    <xf numFmtId="185" fontId="15" fillId="38" borderId="0" applyNumberFormat="0" applyBorder="0" applyAlignment="0" applyProtection="0"/>
    <xf numFmtId="185" fontId="15" fillId="67" borderId="0" applyNumberFormat="0" applyBorder="0" applyAlignment="0" applyProtection="0"/>
    <xf numFmtId="185" fontId="15" fillId="70" borderId="0" applyNumberFormat="0" applyBorder="0" applyAlignment="0" applyProtection="0"/>
    <xf numFmtId="185" fontId="15" fillId="71" borderId="0" applyNumberFormat="0" applyBorder="0" applyAlignment="0" applyProtection="0"/>
    <xf numFmtId="185" fontId="15" fillId="0" borderId="0"/>
    <xf numFmtId="185" fontId="15" fillId="0" borderId="0"/>
    <xf numFmtId="43" fontId="15" fillId="0" borderId="0" applyFont="0" applyFill="0" applyBorder="0" applyAlignment="0" applyProtection="0"/>
    <xf numFmtId="185" fontId="15" fillId="0" borderId="0"/>
    <xf numFmtId="185" fontId="15" fillId="0" borderId="0"/>
    <xf numFmtId="190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68" fontId="226" fillId="78" borderId="0" applyNumberFormat="0" applyBorder="0"/>
    <xf numFmtId="190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38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39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38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39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168" fontId="226" fillId="78" borderId="0" applyNumberFormat="0" applyBorder="0"/>
    <xf numFmtId="185" fontId="15" fillId="0" borderId="0"/>
    <xf numFmtId="190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38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39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38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39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168" fontId="226" fillId="78" borderId="0" applyNumberFormat="0" applyBorder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185" fontId="15" fillId="0" borderId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38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39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9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0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8" borderId="0" applyNumberFormat="0" applyBorder="0" applyAlignment="0" applyProtection="0"/>
    <xf numFmtId="185" fontId="15" fillId="38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39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1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4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7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11" borderId="0" applyNumberFormat="0" applyBorder="0" applyAlignment="0" applyProtection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185" fontId="15" fillId="0" borderId="0"/>
    <xf numFmtId="185" fontId="15" fillId="0" borderId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5" fillId="0" borderId="0"/>
    <xf numFmtId="185" fontId="15" fillId="0" borderId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85" fontId="14" fillId="0" borderId="0"/>
    <xf numFmtId="43" fontId="14" fillId="0" borderId="0" applyFont="0" applyFill="0" applyBorder="0" applyAlignment="0" applyProtection="0"/>
    <xf numFmtId="185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85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85" fontId="11" fillId="0" borderId="0"/>
    <xf numFmtId="43" fontId="11" fillId="0" borderId="0" applyFont="0" applyFill="0" applyBorder="0" applyAlignment="0" applyProtection="0"/>
    <xf numFmtId="185" fontId="10" fillId="0" borderId="0"/>
    <xf numFmtId="43" fontId="10" fillId="0" borderId="0" applyFont="0" applyFill="0" applyBorder="0" applyAlignment="0" applyProtection="0"/>
    <xf numFmtId="185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2" fillId="0" borderId="0"/>
    <xf numFmtId="0" fontId="1" fillId="0" borderId="0"/>
  </cellStyleXfs>
  <cellXfs count="808">
    <xf numFmtId="185" fontId="0" fillId="0" borderId="0" xfId="0"/>
    <xf numFmtId="1" fontId="0" fillId="0" borderId="0" xfId="0" applyNumberFormat="1"/>
    <xf numFmtId="185" fontId="40" fillId="0" borderId="0" xfId="0" applyFont="1"/>
    <xf numFmtId="1" fontId="41" fillId="0" borderId="0" xfId="0" applyNumberFormat="1" applyFont="1"/>
    <xf numFmtId="2" fontId="44" fillId="0" borderId="0" xfId="0" applyNumberFormat="1" applyFont="1"/>
    <xf numFmtId="1" fontId="44" fillId="0" borderId="0" xfId="0" applyNumberFormat="1" applyFont="1"/>
    <xf numFmtId="185" fontId="44" fillId="0" borderId="0" xfId="0" applyFont="1"/>
    <xf numFmtId="168" fontId="44" fillId="0" borderId="0" xfId="0" applyNumberFormat="1" applyFont="1"/>
    <xf numFmtId="165" fontId="44" fillId="0" borderId="0" xfId="0" applyNumberFormat="1" applyFont="1"/>
    <xf numFmtId="185" fontId="0" fillId="0" borderId="17" xfId="0" applyBorder="1"/>
    <xf numFmtId="185" fontId="44" fillId="0" borderId="17" xfId="0" applyFont="1" applyBorder="1"/>
    <xf numFmtId="1" fontId="44" fillId="29" borderId="0" xfId="0" applyNumberFormat="1" applyFont="1" applyFill="1"/>
    <xf numFmtId="185" fontId="40" fillId="0" borderId="17" xfId="0" applyFont="1" applyBorder="1"/>
    <xf numFmtId="170" fontId="44" fillId="0" borderId="0" xfId="2366" applyNumberFormat="1" applyFont="1" applyFill="1" applyBorder="1"/>
    <xf numFmtId="185" fontId="43" fillId="0" borderId="0" xfId="0" applyFont="1"/>
    <xf numFmtId="166" fontId="44" fillId="0" borderId="0" xfId="0" applyNumberFormat="1" applyFont="1"/>
    <xf numFmtId="185" fontId="46" fillId="0" borderId="0" xfId="0" applyFont="1"/>
    <xf numFmtId="185" fontId="41" fillId="0" borderId="0" xfId="0" applyFont="1"/>
    <xf numFmtId="168" fontId="44" fillId="0" borderId="17" xfId="0" applyNumberFormat="1" applyFont="1" applyBorder="1"/>
    <xf numFmtId="1" fontId="40" fillId="0" borderId="0" xfId="0" applyNumberFormat="1" applyFont="1"/>
    <xf numFmtId="6" fontId="0" fillId="0" borderId="0" xfId="0" applyNumberFormat="1"/>
    <xf numFmtId="185" fontId="50" fillId="0" borderId="0" xfId="0" applyFont="1"/>
    <xf numFmtId="2" fontId="40" fillId="0" borderId="0" xfId="0" applyNumberFormat="1" applyFont="1"/>
    <xf numFmtId="185" fontId="0" fillId="0" borderId="0" xfId="0" applyAlignment="1">
      <alignment horizontal="center"/>
    </xf>
    <xf numFmtId="168" fontId="0" fillId="0" borderId="0" xfId="0" applyNumberFormat="1"/>
    <xf numFmtId="185" fontId="51" fillId="0" borderId="0" xfId="0" applyFon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85" fontId="42" fillId="0" borderId="0" xfId="0" applyFont="1" applyAlignment="1">
      <alignment vertical="top" wrapText="1"/>
    </xf>
    <xf numFmtId="185" fontId="42" fillId="0" borderId="0" xfId="0" applyFont="1" applyAlignment="1">
      <alignment horizontal="center" wrapText="1"/>
    </xf>
    <xf numFmtId="1" fontId="40" fillId="0" borderId="0" xfId="2366" applyNumberFormat="1" applyFont="1" applyFill="1" applyBorder="1"/>
    <xf numFmtId="185" fontId="0" fillId="31" borderId="0" xfId="0" applyFill="1"/>
    <xf numFmtId="185" fontId="39" fillId="0" borderId="0" xfId="0" applyFont="1"/>
    <xf numFmtId="2" fontId="41" fillId="0" borderId="0" xfId="0" applyNumberFormat="1" applyFont="1"/>
    <xf numFmtId="3" fontId="0" fillId="0" borderId="0" xfId="0" applyNumberFormat="1"/>
    <xf numFmtId="1" fontId="42" fillId="0" borderId="0" xfId="0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185" fontId="42" fillId="0" borderId="0" xfId="0" applyFont="1" applyAlignment="1">
      <alignment horizontal="left" wrapText="1"/>
    </xf>
    <xf numFmtId="168" fontId="40" fillId="0" borderId="0" xfId="0" applyNumberFormat="1" applyFont="1"/>
    <xf numFmtId="185" fontId="57" fillId="0" borderId="28" xfId="0" applyFont="1" applyBorder="1" applyAlignment="1">
      <alignment horizontal="right"/>
    </xf>
    <xf numFmtId="175" fontId="41" fillId="0" borderId="0" xfId="1201" applyNumberFormat="1" applyFont="1" applyFill="1"/>
    <xf numFmtId="175" fontId="0" fillId="0" borderId="0" xfId="1201" applyNumberFormat="1" applyFont="1" applyFill="1"/>
    <xf numFmtId="3" fontId="41" fillId="0" borderId="0" xfId="1201" applyNumberFormat="1" applyFont="1" applyFill="1"/>
    <xf numFmtId="3" fontId="0" fillId="0" borderId="0" xfId="1201" applyNumberFormat="1" applyFont="1" applyFill="1"/>
    <xf numFmtId="3" fontId="44" fillId="0" borderId="0" xfId="1201" applyNumberFormat="1" applyFont="1" applyFill="1"/>
    <xf numFmtId="3" fontId="39" fillId="0" borderId="0" xfId="1201" applyNumberFormat="1" applyFont="1" applyFill="1"/>
    <xf numFmtId="3" fontId="44" fillId="0" borderId="0" xfId="0" applyNumberFormat="1" applyFont="1"/>
    <xf numFmtId="43" fontId="41" fillId="0" borderId="0" xfId="1201" applyFont="1" applyFill="1"/>
    <xf numFmtId="3" fontId="42" fillId="0" borderId="0" xfId="0" applyNumberFormat="1" applyFont="1" applyAlignment="1">
      <alignment horizontal="center" wrapText="1"/>
    </xf>
    <xf numFmtId="172" fontId="44" fillId="0" borderId="0" xfId="0" applyNumberFormat="1" applyFont="1"/>
    <xf numFmtId="185" fontId="57" fillId="0" borderId="20" xfId="0" applyFont="1" applyBorder="1" applyAlignment="1">
      <alignment horizontal="left"/>
    </xf>
    <xf numFmtId="185" fontId="57" fillId="0" borderId="0" xfId="0" applyFont="1" applyAlignment="1">
      <alignment horizontal="right"/>
    </xf>
    <xf numFmtId="185" fontId="51" fillId="0" borderId="0" xfId="0" applyFont="1" applyAlignment="1">
      <alignment horizontal="left"/>
    </xf>
    <xf numFmtId="49" fontId="40" fillId="0" borderId="0" xfId="0" applyNumberFormat="1" applyFont="1"/>
    <xf numFmtId="173" fontId="44" fillId="0" borderId="0" xfId="0" applyNumberFormat="1" applyFont="1"/>
    <xf numFmtId="173" fontId="44" fillId="31" borderId="0" xfId="0" applyNumberFormat="1" applyFont="1" applyFill="1"/>
    <xf numFmtId="173" fontId="40" fillId="0" borderId="0" xfId="0" applyNumberFormat="1" applyFont="1"/>
    <xf numFmtId="173" fontId="40" fillId="31" borderId="0" xfId="0" applyNumberFormat="1" applyFont="1" applyFill="1"/>
    <xf numFmtId="173" fontId="44" fillId="30" borderId="0" xfId="0" applyNumberFormat="1" applyFont="1" applyFill="1"/>
    <xf numFmtId="173" fontId="0" fillId="31" borderId="0" xfId="0" applyNumberFormat="1" applyFill="1"/>
    <xf numFmtId="173" fontId="44" fillId="0" borderId="17" xfId="0" applyNumberFormat="1" applyFont="1" applyBorder="1"/>
    <xf numFmtId="173" fontId="44" fillId="31" borderId="26" xfId="0" applyNumberFormat="1" applyFont="1" applyFill="1" applyBorder="1"/>
    <xf numFmtId="173" fontId="0" fillId="0" borderId="0" xfId="0" applyNumberFormat="1"/>
    <xf numFmtId="173" fontId="44" fillId="0" borderId="0" xfId="2366" applyNumberFormat="1" applyFont="1" applyFill="1" applyBorder="1"/>
    <xf numFmtId="173" fontId="44" fillId="31" borderId="0" xfId="2366" applyNumberFormat="1" applyFont="1" applyFill="1" applyBorder="1"/>
    <xf numFmtId="173" fontId="41" fillId="0" borderId="0" xfId="0" applyNumberFormat="1" applyFont="1"/>
    <xf numFmtId="9" fontId="0" fillId="0" borderId="0" xfId="2366" applyFont="1" applyFill="1"/>
    <xf numFmtId="185" fontId="40" fillId="32" borderId="0" xfId="0" applyFont="1" applyFill="1" applyAlignment="1">
      <alignment horizontal="center"/>
    </xf>
    <xf numFmtId="173" fontId="44" fillId="32" borderId="0" xfId="0" applyNumberFormat="1" applyFont="1" applyFill="1"/>
    <xf numFmtId="173" fontId="40" fillId="32" borderId="0" xfId="0" applyNumberFormat="1" applyFont="1" applyFill="1"/>
    <xf numFmtId="173" fontId="0" fillId="32" borderId="0" xfId="0" applyNumberFormat="1" applyFill="1"/>
    <xf numFmtId="173" fontId="44" fillId="32" borderId="26" xfId="0" applyNumberFormat="1" applyFont="1" applyFill="1" applyBorder="1"/>
    <xf numFmtId="173" fontId="44" fillId="32" borderId="0" xfId="2366" applyNumberFormat="1" applyFont="1" applyFill="1" applyBorder="1"/>
    <xf numFmtId="185" fontId="57" fillId="0" borderId="0" xfId="0" applyFont="1"/>
    <xf numFmtId="4" fontId="44" fillId="0" borderId="0" xfId="2366" applyNumberFormat="1" applyFont="1" applyFill="1"/>
    <xf numFmtId="9" fontId="41" fillId="0" borderId="0" xfId="2366" applyFont="1" applyFill="1"/>
    <xf numFmtId="185" fontId="0" fillId="0" borderId="27" xfId="0" applyBorder="1"/>
    <xf numFmtId="4" fontId="0" fillId="0" borderId="0" xfId="1201" applyNumberFormat="1" applyFont="1" applyFill="1"/>
    <xf numFmtId="185" fontId="107" fillId="0" borderId="0" xfId="0" applyFont="1"/>
    <xf numFmtId="185" fontId="108" fillId="0" borderId="0" xfId="0" applyFont="1"/>
    <xf numFmtId="3" fontId="108" fillId="0" borderId="0" xfId="0" applyNumberFormat="1" applyFont="1"/>
    <xf numFmtId="185" fontId="109" fillId="0" borderId="0" xfId="0" applyFont="1"/>
    <xf numFmtId="168" fontId="108" fillId="0" borderId="0" xfId="2265" applyNumberFormat="1" applyFont="1"/>
    <xf numFmtId="167" fontId="108" fillId="0" borderId="0" xfId="0" applyNumberFormat="1" applyFont="1"/>
    <xf numFmtId="186" fontId="111" fillId="0" borderId="0" xfId="1778" applyNumberFormat="1" applyFont="1"/>
    <xf numFmtId="3" fontId="108" fillId="0" borderId="0" xfId="1342" applyNumberFormat="1" applyFont="1"/>
    <xf numFmtId="3" fontId="110" fillId="0" borderId="0" xfId="0" applyNumberFormat="1" applyFont="1"/>
    <xf numFmtId="2" fontId="108" fillId="0" borderId="0" xfId="0" applyNumberFormat="1" applyFont="1"/>
    <xf numFmtId="168" fontId="108" fillId="0" borderId="0" xfId="0" applyNumberFormat="1" applyFont="1"/>
    <xf numFmtId="167" fontId="110" fillId="0" borderId="0" xfId="0" applyNumberFormat="1" applyFont="1"/>
    <xf numFmtId="1" fontId="108" fillId="0" borderId="0" xfId="0" applyNumberFormat="1" applyFont="1"/>
    <xf numFmtId="1" fontId="110" fillId="0" borderId="0" xfId="0" applyNumberFormat="1" applyFont="1"/>
    <xf numFmtId="168" fontId="110" fillId="0" borderId="0" xfId="0" applyNumberFormat="1" applyFont="1"/>
    <xf numFmtId="185" fontId="108" fillId="0" borderId="17" xfId="0" applyFont="1" applyBorder="1"/>
    <xf numFmtId="3" fontId="112" fillId="0" borderId="0" xfId="0" applyNumberFormat="1" applyFont="1"/>
    <xf numFmtId="185" fontId="108" fillId="0" borderId="0" xfId="0" applyFont="1" applyAlignment="1">
      <alignment wrapText="1"/>
    </xf>
    <xf numFmtId="2" fontId="110" fillId="0" borderId="0" xfId="0" applyNumberFormat="1" applyFont="1"/>
    <xf numFmtId="185" fontId="113" fillId="0" borderId="0" xfId="0" applyFont="1"/>
    <xf numFmtId="167" fontId="112" fillId="0" borderId="0" xfId="0" applyNumberFormat="1" applyFont="1"/>
    <xf numFmtId="3" fontId="110" fillId="29" borderId="0" xfId="0" applyNumberFormat="1" applyFont="1" applyFill="1"/>
    <xf numFmtId="185" fontId="115" fillId="0" borderId="0" xfId="0" applyFont="1"/>
    <xf numFmtId="166" fontId="108" fillId="0" borderId="0" xfId="0" applyNumberFormat="1" applyFont="1"/>
    <xf numFmtId="2" fontId="108" fillId="0" borderId="0" xfId="0" applyNumberFormat="1" applyFont="1" applyAlignment="1">
      <alignment horizontal="right"/>
    </xf>
    <xf numFmtId="3" fontId="108" fillId="0" borderId="0" xfId="0" applyNumberFormat="1" applyFont="1" applyAlignment="1">
      <alignment horizontal="right"/>
    </xf>
    <xf numFmtId="3" fontId="108" fillId="0" borderId="0" xfId="1915" applyNumberFormat="1" applyFont="1"/>
    <xf numFmtId="3" fontId="110" fillId="0" borderId="0" xfId="1915" applyNumberFormat="1" applyFont="1"/>
    <xf numFmtId="1" fontId="108" fillId="0" borderId="0" xfId="0" applyNumberFormat="1" applyFont="1" applyAlignment="1">
      <alignment horizontal="right"/>
    </xf>
    <xf numFmtId="168" fontId="108" fillId="0" borderId="0" xfId="0" applyNumberFormat="1" applyFont="1" applyAlignment="1">
      <alignment horizontal="right"/>
    </xf>
    <xf numFmtId="3" fontId="110" fillId="0" borderId="0" xfId="1916" applyNumberFormat="1" applyFont="1"/>
    <xf numFmtId="168" fontId="108" fillId="0" borderId="0" xfId="2262" applyNumberFormat="1" applyFont="1"/>
    <xf numFmtId="181" fontId="108" fillId="0" borderId="0" xfId="2268" applyNumberFormat="1" applyFont="1" applyAlignment="1"/>
    <xf numFmtId="2" fontId="108" fillId="0" borderId="0" xfId="2267" applyNumberFormat="1" applyFont="1" applyAlignment="1">
      <alignment horizontal="center"/>
    </xf>
    <xf numFmtId="178" fontId="108" fillId="0" borderId="0" xfId="2268" applyFont="1" applyAlignment="1"/>
    <xf numFmtId="166" fontId="110" fillId="0" borderId="0" xfId="0" applyNumberFormat="1" applyFont="1"/>
    <xf numFmtId="170" fontId="108" fillId="0" borderId="0" xfId="2366" applyNumberFormat="1" applyFont="1"/>
    <xf numFmtId="49" fontId="108" fillId="0" borderId="0" xfId="0" applyNumberFormat="1" applyFont="1" applyAlignment="1">
      <alignment horizontal="center"/>
    </xf>
    <xf numFmtId="49" fontId="108" fillId="0" borderId="0" xfId="0" applyNumberFormat="1" applyFont="1" applyAlignment="1">
      <alignment horizontal="right"/>
    </xf>
    <xf numFmtId="3" fontId="108" fillId="30" borderId="0" xfId="0" applyNumberFormat="1" applyFont="1" applyFill="1"/>
    <xf numFmtId="185" fontId="108" fillId="0" borderId="0" xfId="2267" applyFont="1"/>
    <xf numFmtId="168" fontId="112" fillId="0" borderId="0" xfId="0" applyNumberFormat="1" applyFont="1"/>
    <xf numFmtId="168" fontId="112" fillId="30" borderId="0" xfId="0" applyNumberFormat="1" applyFont="1" applyFill="1"/>
    <xf numFmtId="3" fontId="113" fillId="0" borderId="0" xfId="0" applyNumberFormat="1" applyFont="1"/>
    <xf numFmtId="167" fontId="108" fillId="0" borderId="0" xfId="0" applyNumberFormat="1" applyFont="1" applyAlignment="1">
      <alignment horizontal="right"/>
    </xf>
    <xf numFmtId="2" fontId="108" fillId="0" borderId="0" xfId="1342" applyNumberFormat="1" applyFont="1"/>
    <xf numFmtId="3" fontId="110" fillId="30" borderId="0" xfId="0" applyNumberFormat="1" applyFont="1" applyFill="1"/>
    <xf numFmtId="174" fontId="110" fillId="0" borderId="0" xfId="0" applyNumberFormat="1" applyFont="1"/>
    <xf numFmtId="4" fontId="110" fillId="0" borderId="0" xfId="0" applyNumberFormat="1" applyFont="1"/>
    <xf numFmtId="3" fontId="107" fillId="0" borderId="0" xfId="0" applyNumberFormat="1" applyFont="1"/>
    <xf numFmtId="3" fontId="115" fillId="0" borderId="0" xfId="0" applyNumberFormat="1" applyFont="1"/>
    <xf numFmtId="170" fontId="108" fillId="0" borderId="0" xfId="2366" applyNumberFormat="1" applyFont="1" applyFill="1"/>
    <xf numFmtId="185" fontId="107" fillId="36" borderId="0" xfId="0" applyFont="1" applyFill="1"/>
    <xf numFmtId="3" fontId="110" fillId="36" borderId="0" xfId="0" applyNumberFormat="1" applyFont="1" applyFill="1"/>
    <xf numFmtId="173" fontId="110" fillId="36" borderId="0" xfId="0" applyNumberFormat="1" applyFont="1" applyFill="1"/>
    <xf numFmtId="173" fontId="107" fillId="36" borderId="0" xfId="0" applyNumberFormat="1" applyFont="1" applyFill="1"/>
    <xf numFmtId="185" fontId="108" fillId="36" borderId="0" xfId="0" applyFont="1" applyFill="1"/>
    <xf numFmtId="4" fontId="112" fillId="0" borderId="0" xfId="0" applyNumberFormat="1" applyFont="1"/>
    <xf numFmtId="1" fontId="110" fillId="0" borderId="0" xfId="2266" applyNumberFormat="1" applyFont="1" applyProtection="1">
      <protection locked="0"/>
    </xf>
    <xf numFmtId="168" fontId="110" fillId="30" borderId="0" xfId="0" applyNumberFormat="1" applyFont="1" applyFill="1"/>
    <xf numFmtId="185" fontId="113" fillId="29" borderId="0" xfId="0" applyFont="1" applyFill="1" applyAlignment="1">
      <alignment horizontal="center"/>
    </xf>
    <xf numFmtId="176" fontId="117" fillId="0" borderId="0" xfId="0" quotePrefix="1" applyNumberFormat="1" applyFont="1" applyAlignment="1" applyProtection="1">
      <alignment horizontal="left"/>
      <protection locked="0"/>
    </xf>
    <xf numFmtId="168" fontId="110" fillId="34" borderId="0" xfId="0" applyNumberFormat="1" applyFont="1" applyFill="1" applyProtection="1">
      <protection locked="0"/>
    </xf>
    <xf numFmtId="2" fontId="110" fillId="34" borderId="0" xfId="0" applyNumberFormat="1" applyFont="1" applyFill="1"/>
    <xf numFmtId="168" fontId="108" fillId="2" borderId="0" xfId="0" applyNumberFormat="1" applyFont="1" applyFill="1" applyAlignment="1" applyProtection="1">
      <alignment horizontal="right"/>
      <protection locked="0"/>
    </xf>
    <xf numFmtId="168" fontId="110" fillId="34" borderId="0" xfId="0" applyNumberFormat="1" applyFont="1" applyFill="1"/>
    <xf numFmtId="168" fontId="108" fillId="0" borderId="0" xfId="0" applyNumberFormat="1" applyFont="1" applyProtection="1">
      <protection locked="0"/>
    </xf>
    <xf numFmtId="1" fontId="118" fillId="29" borderId="0" xfId="0" applyNumberFormat="1" applyFont="1" applyFill="1" applyProtection="1">
      <protection locked="0"/>
    </xf>
    <xf numFmtId="169" fontId="108" fillId="0" borderId="0" xfId="0" applyNumberFormat="1" applyFont="1"/>
    <xf numFmtId="185" fontId="108" fillId="0" borderId="0" xfId="0" quotePrefix="1" applyFont="1" applyAlignment="1">
      <alignment horizontal="left"/>
    </xf>
    <xf numFmtId="185" fontId="119" fillId="0" borderId="0" xfId="0" applyFont="1"/>
    <xf numFmtId="168" fontId="107" fillId="0" borderId="0" xfId="0" applyNumberFormat="1" applyFont="1"/>
    <xf numFmtId="166" fontId="112" fillId="29" borderId="0" xfId="0" applyNumberFormat="1" applyFont="1" applyFill="1"/>
    <xf numFmtId="185" fontId="120" fillId="0" borderId="0" xfId="0" applyFont="1"/>
    <xf numFmtId="185" fontId="112" fillId="0" borderId="0" xfId="0" applyFont="1"/>
    <xf numFmtId="185" fontId="108" fillId="0" borderId="17" xfId="0" applyFont="1" applyBorder="1" applyAlignment="1">
      <alignment wrapText="1"/>
    </xf>
    <xf numFmtId="1" fontId="108" fillId="0" borderId="17" xfId="0" applyNumberFormat="1" applyFont="1" applyBorder="1"/>
    <xf numFmtId="167" fontId="110" fillId="0" borderId="17" xfId="0" applyNumberFormat="1" applyFont="1" applyBorder="1"/>
    <xf numFmtId="185" fontId="108" fillId="0" borderId="0" xfId="0" applyFont="1" applyAlignment="1">
      <alignment horizontal="left"/>
    </xf>
    <xf numFmtId="1" fontId="110" fillId="0" borderId="0" xfId="0" applyNumberFormat="1" applyFont="1" applyAlignment="1">
      <alignment horizontal="right"/>
    </xf>
    <xf numFmtId="185" fontId="110" fillId="0" borderId="0" xfId="0" applyFont="1"/>
    <xf numFmtId="2" fontId="110" fillId="0" borderId="0" xfId="0" applyNumberFormat="1" applyFont="1" applyAlignment="1">
      <alignment horizontal="right"/>
    </xf>
    <xf numFmtId="173" fontId="108" fillId="0" borderId="0" xfId="0" applyNumberFormat="1" applyFont="1"/>
    <xf numFmtId="173" fontId="112" fillId="0" borderId="0" xfId="0" applyNumberFormat="1" applyFont="1"/>
    <xf numFmtId="173" fontId="110" fillId="0" borderId="0" xfId="0" applyNumberFormat="1" applyFont="1"/>
    <xf numFmtId="185" fontId="110" fillId="0" borderId="0" xfId="0" applyFont="1" applyAlignment="1">
      <alignment horizontal="right"/>
    </xf>
    <xf numFmtId="185" fontId="107" fillId="0" borderId="0" xfId="0" applyFont="1" applyAlignment="1">
      <alignment horizontal="right" wrapText="1"/>
    </xf>
    <xf numFmtId="185" fontId="108" fillId="0" borderId="0" xfId="0" applyFont="1" applyAlignment="1">
      <alignment horizontal="right" wrapText="1"/>
    </xf>
    <xf numFmtId="17" fontId="108" fillId="0" borderId="0" xfId="0" applyNumberFormat="1" applyFont="1" applyAlignment="1">
      <alignment horizontal="right" wrapText="1"/>
    </xf>
    <xf numFmtId="14" fontId="108" fillId="0" borderId="0" xfId="0" applyNumberFormat="1" applyFont="1"/>
    <xf numFmtId="1" fontId="107" fillId="0" borderId="26" xfId="0" applyNumberFormat="1" applyFont="1" applyBorder="1"/>
    <xf numFmtId="185" fontId="113" fillId="0" borderId="0" xfId="0" quotePrefix="1" applyFont="1" applyAlignment="1">
      <alignment horizontal="left"/>
    </xf>
    <xf numFmtId="185" fontId="121" fillId="0" borderId="0" xfId="0" applyFont="1" applyAlignment="1">
      <alignment horizontal="right"/>
    </xf>
    <xf numFmtId="185" fontId="121" fillId="0" borderId="0" xfId="0" applyFont="1"/>
    <xf numFmtId="185" fontId="107" fillId="0" borderId="26" xfId="0" applyFont="1" applyBorder="1"/>
    <xf numFmtId="37" fontId="108" fillId="0" borderId="0" xfId="0" applyNumberFormat="1" applyFont="1"/>
    <xf numFmtId="3" fontId="108" fillId="0" borderId="0" xfId="2269" applyNumberFormat="1" applyFont="1" applyAlignment="1">
      <alignment horizontal="right" vertical="top" wrapText="1"/>
    </xf>
    <xf numFmtId="3" fontId="108" fillId="0" borderId="0" xfId="1772" applyNumberFormat="1" applyFont="1"/>
    <xf numFmtId="1" fontId="107" fillId="0" borderId="0" xfId="0" applyNumberFormat="1" applyFont="1"/>
    <xf numFmtId="185" fontId="108" fillId="0" borderId="0" xfId="0" quotePrefix="1" applyFont="1"/>
    <xf numFmtId="49" fontId="108" fillId="0" borderId="0" xfId="0" applyNumberFormat="1" applyFont="1"/>
    <xf numFmtId="3" fontId="108" fillId="0" borderId="0" xfId="0" applyNumberFormat="1" applyFont="1" applyAlignment="1">
      <alignment horizontal="right" vertical="top" wrapText="1"/>
    </xf>
    <xf numFmtId="3" fontId="108" fillId="29" borderId="0" xfId="0" applyNumberFormat="1" applyFont="1" applyFill="1"/>
    <xf numFmtId="3" fontId="108" fillId="0" borderId="0" xfId="2269" applyNumberFormat="1" applyFont="1"/>
    <xf numFmtId="4" fontId="108" fillId="0" borderId="0" xfId="0" applyNumberFormat="1" applyFont="1"/>
    <xf numFmtId="185" fontId="107" fillId="0" borderId="0" xfId="0" quotePrefix="1" applyFont="1"/>
    <xf numFmtId="185" fontId="108" fillId="0" borderId="27" xfId="0" applyFont="1" applyBorder="1"/>
    <xf numFmtId="185" fontId="107" fillId="0" borderId="0" xfId="0" applyFont="1" applyAlignment="1">
      <alignment horizontal="right"/>
    </xf>
    <xf numFmtId="185" fontId="108" fillId="0" borderId="0" xfId="0" applyFont="1" applyAlignment="1">
      <alignment horizontal="right"/>
    </xf>
    <xf numFmtId="185" fontId="115" fillId="0" borderId="0" xfId="0" applyFont="1" applyAlignment="1">
      <alignment horizontal="right"/>
    </xf>
    <xf numFmtId="185" fontId="107" fillId="0" borderId="24" xfId="0" applyFont="1" applyBorder="1"/>
    <xf numFmtId="185" fontId="108" fillId="0" borderId="1" xfId="0" applyFont="1" applyBorder="1"/>
    <xf numFmtId="3" fontId="108" fillId="0" borderId="1" xfId="0" applyNumberFormat="1" applyFont="1" applyBorder="1"/>
    <xf numFmtId="3" fontId="108" fillId="0" borderId="0" xfId="1201" applyNumberFormat="1" applyFont="1" applyFill="1"/>
    <xf numFmtId="3" fontId="108" fillId="0" borderId="0" xfId="1201" applyNumberFormat="1" applyFont="1"/>
    <xf numFmtId="3" fontId="110" fillId="0" borderId="0" xfId="1201" applyNumberFormat="1" applyFont="1"/>
    <xf numFmtId="175" fontId="108" fillId="0" borderId="0" xfId="1201" applyNumberFormat="1" applyFont="1"/>
    <xf numFmtId="185" fontId="108" fillId="37" borderId="0" xfId="0" applyFont="1" applyFill="1"/>
    <xf numFmtId="1" fontId="108" fillId="37" borderId="0" xfId="0" applyNumberFormat="1" applyFont="1" applyFill="1"/>
    <xf numFmtId="175" fontId="108" fillId="37" borderId="0" xfId="1201" applyNumberFormat="1" applyFont="1" applyFill="1"/>
    <xf numFmtId="175" fontId="108" fillId="0" borderId="0" xfId="1201" applyNumberFormat="1" applyFont="1" applyFill="1"/>
    <xf numFmtId="185" fontId="108" fillId="0" borderId="24" xfId="0" applyFont="1" applyBorder="1"/>
    <xf numFmtId="3" fontId="108" fillId="0" borderId="24" xfId="0" applyNumberFormat="1" applyFont="1" applyBorder="1"/>
    <xf numFmtId="174" fontId="108" fillId="0" borderId="0" xfId="0" applyNumberFormat="1" applyFont="1"/>
    <xf numFmtId="185" fontId="109" fillId="0" borderId="24" xfId="0" applyFont="1" applyBorder="1"/>
    <xf numFmtId="185" fontId="115" fillId="0" borderId="24" xfId="0" applyFont="1" applyBorder="1"/>
    <xf numFmtId="180" fontId="108" fillId="0" borderId="0" xfId="0" applyNumberFormat="1" applyFont="1"/>
    <xf numFmtId="185" fontId="107" fillId="34" borderId="0" xfId="0" applyFont="1" applyFill="1"/>
    <xf numFmtId="3" fontId="110" fillId="34" borderId="0" xfId="0" applyNumberFormat="1" applyFont="1" applyFill="1"/>
    <xf numFmtId="186" fontId="187" fillId="0" borderId="0" xfId="1778" applyNumberFormat="1"/>
    <xf numFmtId="189" fontId="41" fillId="0" borderId="0" xfId="1201" applyNumberFormat="1" applyFont="1" applyFill="1"/>
    <xf numFmtId="186" fontId="108" fillId="0" borderId="0" xfId="1778" applyNumberFormat="1" applyFont="1"/>
    <xf numFmtId="187" fontId="108" fillId="0" borderId="0" xfId="1778" applyNumberFormat="1" applyFont="1"/>
    <xf numFmtId="176" fontId="38" fillId="0" borderId="0" xfId="0" applyNumberFormat="1" applyFont="1" applyProtection="1">
      <protection locked="0"/>
    </xf>
    <xf numFmtId="188" fontId="108" fillId="0" borderId="0" xfId="1778" applyNumberFormat="1" applyFont="1"/>
    <xf numFmtId="3" fontId="38" fillId="0" borderId="0" xfId="2074" applyNumberFormat="1" applyFont="1" applyProtection="1">
      <protection locked="0"/>
    </xf>
    <xf numFmtId="3" fontId="41" fillId="0" borderId="0" xfId="0" applyNumberFormat="1" applyFont="1"/>
    <xf numFmtId="3" fontId="121" fillId="0" borderId="0" xfId="0" applyNumberFormat="1" applyFont="1" applyAlignment="1">
      <alignment horizontal="right"/>
    </xf>
    <xf numFmtId="3" fontId="38" fillId="0" borderId="0" xfId="1608" applyNumberFormat="1" applyFont="1" applyProtection="1">
      <protection locked="0"/>
    </xf>
    <xf numFmtId="168" fontId="130" fillId="0" borderId="0" xfId="0" applyNumberFormat="1" applyFont="1"/>
    <xf numFmtId="1" fontId="38" fillId="0" borderId="0" xfId="1342" applyNumberFormat="1" applyFont="1" applyProtection="1">
      <protection locked="0"/>
    </xf>
    <xf numFmtId="186" fontId="187" fillId="0" borderId="0" xfId="1578" applyNumberFormat="1"/>
    <xf numFmtId="1" fontId="187" fillId="0" borderId="0" xfId="1578" applyNumberFormat="1"/>
    <xf numFmtId="3" fontId="38" fillId="0" borderId="0" xfId="2150" applyNumberFormat="1" applyFont="1" applyProtection="1">
      <protection locked="0"/>
    </xf>
    <xf numFmtId="3" fontId="38" fillId="0" borderId="0" xfId="2150" applyNumberFormat="1" applyFont="1"/>
    <xf numFmtId="1" fontId="77" fillId="34" borderId="0" xfId="1342" applyNumberFormat="1" applyFont="1" applyFill="1" applyProtection="1">
      <protection locked="0"/>
    </xf>
    <xf numFmtId="3" fontId="77" fillId="34" borderId="0" xfId="2150" applyNumberFormat="1" applyFont="1" applyFill="1" applyProtection="1">
      <protection locked="0"/>
    </xf>
    <xf numFmtId="3" fontId="108" fillId="0" borderId="0" xfId="2150" applyNumberFormat="1" applyFont="1"/>
    <xf numFmtId="3" fontId="77" fillId="0" borderId="0" xfId="2150" applyNumberFormat="1" applyFont="1" applyProtection="1">
      <protection locked="0"/>
    </xf>
    <xf numFmtId="184" fontId="38" fillId="0" borderId="0" xfId="1608" applyNumberFormat="1" applyFont="1"/>
    <xf numFmtId="184" fontId="38" fillId="0" borderId="0" xfId="1608" applyNumberFormat="1" applyFont="1" applyProtection="1">
      <protection locked="0"/>
    </xf>
    <xf numFmtId="3" fontId="77" fillId="0" borderId="0" xfId="1608" applyNumberFormat="1" applyFont="1" applyProtection="1">
      <protection locked="0"/>
    </xf>
    <xf numFmtId="168" fontId="38" fillId="0" borderId="0" xfId="1342" applyNumberFormat="1" applyFont="1" applyProtection="1">
      <protection locked="0"/>
    </xf>
    <xf numFmtId="185" fontId="38" fillId="0" borderId="0" xfId="1342" applyFont="1"/>
    <xf numFmtId="3" fontId="38" fillId="0" borderId="0" xfId="1608" applyNumberFormat="1" applyFont="1"/>
    <xf numFmtId="3" fontId="131" fillId="0" borderId="0" xfId="0" applyNumberFormat="1" applyFont="1"/>
    <xf numFmtId="186" fontId="108" fillId="0" borderId="0" xfId="1578" applyNumberFormat="1" applyFont="1"/>
    <xf numFmtId="187" fontId="108" fillId="0" borderId="0" xfId="1578" applyNumberFormat="1" applyFont="1"/>
    <xf numFmtId="188" fontId="108" fillId="0" borderId="0" xfId="1578" applyNumberFormat="1" applyFont="1"/>
    <xf numFmtId="3" fontId="38" fillId="0" borderId="0" xfId="2137" applyNumberFormat="1" applyFont="1" applyProtection="1">
      <protection locked="0"/>
    </xf>
    <xf numFmtId="186" fontId="134" fillId="0" borderId="0" xfId="1578" applyNumberFormat="1" applyFont="1"/>
    <xf numFmtId="185" fontId="108" fillId="45" borderId="0" xfId="0" applyFont="1" applyFill="1"/>
    <xf numFmtId="3" fontId="110" fillId="45" borderId="0" xfId="0" applyNumberFormat="1" applyFont="1" applyFill="1"/>
    <xf numFmtId="3" fontId="108" fillId="45" borderId="0" xfId="0" applyNumberFormat="1" applyFont="1" applyFill="1"/>
    <xf numFmtId="185" fontId="38" fillId="0" borderId="0" xfId="0" applyFont="1"/>
    <xf numFmtId="3" fontId="77" fillId="0" borderId="0" xfId="0" applyNumberFormat="1" applyFont="1"/>
    <xf numFmtId="3" fontId="66" fillId="0" borderId="0" xfId="0" applyNumberFormat="1" applyFont="1"/>
    <xf numFmtId="185" fontId="77" fillId="0" borderId="0" xfId="0" applyFont="1"/>
    <xf numFmtId="1" fontId="77" fillId="0" borderId="0" xfId="0" applyNumberFormat="1" applyFont="1"/>
    <xf numFmtId="3" fontId="38" fillId="0" borderId="0" xfId="0" applyNumberFormat="1" applyFont="1" applyAlignment="1">
      <alignment horizontal="right" vertical="top" wrapText="1"/>
    </xf>
    <xf numFmtId="185" fontId="66" fillId="0" borderId="0" xfId="0" applyFont="1"/>
    <xf numFmtId="3" fontId="38" fillId="0" borderId="0" xfId="2269" applyNumberFormat="1" applyFont="1" applyAlignment="1">
      <alignment horizontal="right" vertical="top" wrapText="1"/>
    </xf>
    <xf numFmtId="1" fontId="66" fillId="0" borderId="0" xfId="0" applyNumberFormat="1" applyFont="1"/>
    <xf numFmtId="3" fontId="202" fillId="0" borderId="0" xfId="0" applyNumberFormat="1" applyFont="1"/>
    <xf numFmtId="186" fontId="200" fillId="0" borderId="0" xfId="4502" applyNumberFormat="1" applyFont="1"/>
    <xf numFmtId="185" fontId="196" fillId="0" borderId="0" xfId="0" applyFont="1"/>
    <xf numFmtId="3" fontId="203" fillId="0" borderId="1" xfId="0" applyNumberFormat="1" applyFont="1" applyBorder="1"/>
    <xf numFmtId="186" fontId="231" fillId="0" borderId="0" xfId="4502" applyNumberFormat="1" applyFont="1"/>
    <xf numFmtId="185" fontId="230" fillId="0" borderId="0" xfId="0" applyFont="1"/>
    <xf numFmtId="3" fontId="203" fillId="0" borderId="24" xfId="0" applyNumberFormat="1" applyFont="1" applyBorder="1"/>
    <xf numFmtId="3" fontId="203" fillId="0" borderId="0" xfId="0" applyNumberFormat="1" applyFont="1"/>
    <xf numFmtId="4" fontId="203" fillId="0" borderId="0" xfId="0" applyNumberFormat="1" applyFont="1"/>
    <xf numFmtId="173" fontId="203" fillId="0" borderId="24" xfId="0" applyNumberFormat="1" applyFont="1" applyBorder="1"/>
    <xf numFmtId="173" fontId="203" fillId="0" borderId="0" xfId="0" applyNumberFormat="1" applyFont="1"/>
    <xf numFmtId="3" fontId="233" fillId="0" borderId="0" xfId="0" applyNumberFormat="1" applyFont="1"/>
    <xf numFmtId="185" fontId="232" fillId="0" borderId="0" xfId="0" applyFont="1"/>
    <xf numFmtId="1" fontId="201" fillId="0" borderId="0" xfId="0" applyNumberFormat="1" applyFont="1"/>
    <xf numFmtId="3" fontId="201" fillId="0" borderId="0" xfId="1342" applyNumberFormat="1" applyFont="1"/>
    <xf numFmtId="166" fontId="107" fillId="0" borderId="0" xfId="0" applyNumberFormat="1" applyFont="1"/>
    <xf numFmtId="176" fontId="75" fillId="0" borderId="0" xfId="0" applyNumberFormat="1" applyFont="1" applyAlignment="1" applyProtection="1">
      <alignment horizontal="left"/>
      <protection locked="0"/>
    </xf>
    <xf numFmtId="1" fontId="77" fillId="26" borderId="0" xfId="0" applyNumberFormat="1" applyFont="1" applyFill="1" applyProtection="1">
      <protection locked="0"/>
    </xf>
    <xf numFmtId="3" fontId="77" fillId="0" borderId="0" xfId="1342" applyNumberFormat="1" applyFont="1" applyProtection="1">
      <protection locked="0"/>
    </xf>
    <xf numFmtId="3" fontId="77" fillId="0" borderId="0" xfId="2263" applyNumberFormat="1" applyFont="1" applyProtection="1">
      <protection locked="0"/>
    </xf>
    <xf numFmtId="1" fontId="77" fillId="34" borderId="0" xfId="0" applyNumberFormat="1" applyFont="1" applyFill="1" applyProtection="1">
      <protection locked="0"/>
    </xf>
    <xf numFmtId="1" fontId="38" fillId="0" borderId="0" xfId="0" applyNumberFormat="1" applyFont="1" applyProtection="1">
      <protection locked="0"/>
    </xf>
    <xf numFmtId="176" fontId="38" fillId="0" borderId="0" xfId="0" applyNumberFormat="1" applyFont="1" applyAlignment="1" applyProtection="1">
      <alignment horizontal="left"/>
      <protection locked="0"/>
    </xf>
    <xf numFmtId="2" fontId="77" fillId="34" borderId="0" xfId="0" applyNumberFormat="1" applyFont="1" applyFill="1"/>
    <xf numFmtId="176" fontId="38" fillId="36" borderId="0" xfId="0" applyNumberFormat="1" applyFont="1" applyFill="1" applyAlignment="1" applyProtection="1">
      <alignment horizontal="left"/>
      <protection locked="0"/>
    </xf>
    <xf numFmtId="176" fontId="38" fillId="36" borderId="0" xfId="0" quotePrefix="1" applyNumberFormat="1" applyFont="1" applyFill="1" applyAlignment="1" applyProtection="1">
      <alignment horizontal="left"/>
      <protection locked="0"/>
    </xf>
    <xf numFmtId="185" fontId="38" fillId="0" borderId="0" xfId="0" quotePrefix="1" applyFont="1" applyAlignment="1">
      <alignment horizontal="left"/>
    </xf>
    <xf numFmtId="168" fontId="38" fillId="34" borderId="0" xfId="0" applyNumberFormat="1" applyFont="1" applyFill="1"/>
    <xf numFmtId="185" fontId="38" fillId="36" borderId="0" xfId="0" quotePrefix="1" applyFont="1" applyFill="1" applyAlignment="1">
      <alignment horizontal="left"/>
    </xf>
    <xf numFmtId="185" fontId="38" fillId="36" borderId="0" xfId="0" applyFont="1" applyFill="1"/>
    <xf numFmtId="168" fontId="38" fillId="0" borderId="0" xfId="0" applyNumberFormat="1" applyFont="1"/>
    <xf numFmtId="2" fontId="77" fillId="34" borderId="0" xfId="0" applyNumberFormat="1" applyFont="1" applyFill="1" applyProtection="1">
      <protection locked="0"/>
    </xf>
    <xf numFmtId="168" fontId="77" fillId="0" borderId="0" xfId="0" applyNumberFormat="1" applyFont="1" applyProtection="1">
      <protection locked="0"/>
    </xf>
    <xf numFmtId="168" fontId="38" fillId="0" borderId="0" xfId="0" applyNumberFormat="1" applyFont="1" applyProtection="1">
      <protection locked="0"/>
    </xf>
    <xf numFmtId="176" fontId="38" fillId="0" borderId="0" xfId="0" quotePrefix="1" applyNumberFormat="1" applyFont="1" applyAlignment="1" applyProtection="1">
      <alignment horizontal="left"/>
      <protection locked="0"/>
    </xf>
    <xf numFmtId="168" fontId="77" fillId="34" borderId="0" xfId="0" applyNumberFormat="1" applyFont="1" applyFill="1" applyProtection="1">
      <protection locked="0"/>
    </xf>
    <xf numFmtId="176" fontId="75" fillId="0" borderId="0" xfId="0" quotePrefix="1" applyNumberFormat="1" applyFont="1" applyAlignment="1" applyProtection="1">
      <alignment horizontal="left"/>
      <protection locked="0"/>
    </xf>
    <xf numFmtId="1" fontId="38" fillId="0" borderId="0" xfId="1614" applyNumberFormat="1" applyFont="1" applyProtection="1">
      <protection locked="0"/>
    </xf>
    <xf numFmtId="1" fontId="38" fillId="0" borderId="0" xfId="1610" applyNumberFormat="1" applyFont="1" applyProtection="1">
      <protection locked="0"/>
    </xf>
    <xf numFmtId="1" fontId="38" fillId="0" borderId="0" xfId="1612" applyNumberFormat="1" applyFont="1" applyProtection="1">
      <protection locked="0"/>
    </xf>
    <xf numFmtId="1" fontId="38" fillId="0" borderId="0" xfId="1608" applyNumberFormat="1" applyFont="1" applyProtection="1">
      <protection locked="0"/>
    </xf>
    <xf numFmtId="2" fontId="77" fillId="0" borderId="0" xfId="0" applyNumberFormat="1" applyFont="1"/>
    <xf numFmtId="1" fontId="38" fillId="0" borderId="0" xfId="0" applyNumberFormat="1" applyFont="1"/>
    <xf numFmtId="186" fontId="200" fillId="0" borderId="0" xfId="46292" applyNumberFormat="1" applyFont="1"/>
    <xf numFmtId="2" fontId="108" fillId="0" borderId="0" xfId="2265" applyNumberFormat="1" applyFont="1"/>
    <xf numFmtId="4" fontId="238" fillId="0" borderId="0" xfId="0" applyNumberFormat="1" applyFont="1"/>
    <xf numFmtId="185" fontId="202" fillId="0" borderId="0" xfId="0" applyFont="1"/>
    <xf numFmtId="185" fontId="239" fillId="0" borderId="0" xfId="0" applyFont="1"/>
    <xf numFmtId="185" fontId="240" fillId="0" borderId="0" xfId="0" applyFont="1"/>
    <xf numFmtId="186" fontId="228" fillId="0" borderId="0" xfId="3710" applyNumberFormat="1" applyFont="1"/>
    <xf numFmtId="3" fontId="196" fillId="0" borderId="0" xfId="0" applyNumberFormat="1" applyFont="1"/>
    <xf numFmtId="170" fontId="203" fillId="0" borderId="0" xfId="2366" applyNumberFormat="1" applyFont="1" applyFill="1" applyBorder="1"/>
    <xf numFmtId="3" fontId="108" fillId="0" borderId="0" xfId="1770" applyNumberFormat="1" applyFont="1"/>
    <xf numFmtId="186" fontId="196" fillId="0" borderId="0" xfId="3710" applyNumberFormat="1" applyFont="1"/>
    <xf numFmtId="3" fontId="108" fillId="0" borderId="0" xfId="1606" applyNumberFormat="1" applyFont="1"/>
    <xf numFmtId="3" fontId="108" fillId="0" borderId="0" xfId="1676" applyNumberFormat="1" applyFont="1"/>
    <xf numFmtId="186" fontId="200" fillId="0" borderId="0" xfId="47700" applyNumberFormat="1" applyFont="1"/>
    <xf numFmtId="186" fontId="200" fillId="0" borderId="0" xfId="47705" applyNumberFormat="1" applyFont="1"/>
    <xf numFmtId="4" fontId="112" fillId="44" borderId="0" xfId="0" applyNumberFormat="1" applyFont="1" applyFill="1"/>
    <xf numFmtId="182" fontId="39" fillId="0" borderId="0" xfId="1201" applyNumberFormat="1" applyFont="1"/>
    <xf numFmtId="3" fontId="201" fillId="0" borderId="0" xfId="1201" applyNumberFormat="1" applyFont="1" applyFill="1"/>
    <xf numFmtId="2" fontId="202" fillId="0" borderId="0" xfId="0" applyNumberFormat="1" applyFont="1"/>
    <xf numFmtId="2" fontId="203" fillId="0" borderId="0" xfId="0" applyNumberFormat="1" applyFont="1"/>
    <xf numFmtId="3" fontId="108" fillId="0" borderId="0" xfId="0" quotePrefix="1" applyNumberFormat="1" applyFont="1"/>
    <xf numFmtId="168" fontId="202" fillId="0" borderId="0" xfId="0" applyNumberFormat="1" applyFont="1"/>
    <xf numFmtId="2" fontId="202" fillId="0" borderId="0" xfId="1778" applyNumberFormat="1" applyFont="1"/>
    <xf numFmtId="1" fontId="200" fillId="0" borderId="0" xfId="4502" applyNumberFormat="1" applyFont="1"/>
    <xf numFmtId="186" fontId="229" fillId="0" borderId="0" xfId="4502" applyNumberFormat="1" applyFont="1"/>
    <xf numFmtId="186" fontId="108" fillId="0" borderId="0" xfId="0" applyNumberFormat="1" applyFont="1"/>
    <xf numFmtId="185" fontId="0" fillId="0" borderId="0" xfId="0" quotePrefix="1"/>
    <xf numFmtId="185" fontId="241" fillId="0" borderId="0" xfId="0" applyFont="1"/>
    <xf numFmtId="185" fontId="108" fillId="80" borderId="0" xfId="0" applyFont="1" applyFill="1"/>
    <xf numFmtId="185" fontId="40" fillId="80" borderId="0" xfId="0" applyFont="1" applyFill="1"/>
    <xf numFmtId="185" fontId="242" fillId="0" borderId="0" xfId="0" applyFont="1"/>
    <xf numFmtId="185" fontId="243" fillId="0" borderId="0" xfId="0" applyFont="1"/>
    <xf numFmtId="186" fontId="244" fillId="0" borderId="0" xfId="43404" applyNumberFormat="1" applyFont="1"/>
    <xf numFmtId="186" fontId="244" fillId="0" borderId="0" xfId="47703" applyNumberFormat="1" applyFont="1"/>
    <xf numFmtId="186" fontId="245" fillId="0" borderId="0" xfId="47703" applyNumberFormat="1" applyFont="1"/>
    <xf numFmtId="187" fontId="244" fillId="0" borderId="0" xfId="4149" applyNumberFormat="1" applyFont="1"/>
    <xf numFmtId="187" fontId="244" fillId="0" borderId="0" xfId="43404" applyNumberFormat="1" applyFont="1"/>
    <xf numFmtId="187" fontId="244" fillId="0" borderId="0" xfId="47703" applyNumberFormat="1" applyFont="1"/>
    <xf numFmtId="185" fontId="246" fillId="0" borderId="0" xfId="1948" applyFont="1"/>
    <xf numFmtId="185" fontId="246" fillId="0" borderId="0" xfId="0" applyFont="1"/>
    <xf numFmtId="3" fontId="246" fillId="0" borderId="0" xfId="0" applyNumberFormat="1" applyFont="1"/>
    <xf numFmtId="194" fontId="40" fillId="0" borderId="0" xfId="0" applyNumberFormat="1" applyFont="1"/>
    <xf numFmtId="2" fontId="201" fillId="0" borderId="0" xfId="0" applyNumberFormat="1" applyFont="1"/>
    <xf numFmtId="1" fontId="203" fillId="30" borderId="0" xfId="0" applyNumberFormat="1" applyFont="1" applyFill="1"/>
    <xf numFmtId="49" fontId="0" fillId="0" borderId="0" xfId="0" applyNumberFormat="1"/>
    <xf numFmtId="185" fontId="50" fillId="0" borderId="18" xfId="0" applyFont="1" applyBorder="1"/>
    <xf numFmtId="185" fontId="50" fillId="0" borderId="19" xfId="0" applyFont="1" applyBorder="1" applyAlignment="1">
      <alignment horizontal="center"/>
    </xf>
    <xf numFmtId="185" fontId="50" fillId="0" borderId="29" xfId="0" applyFont="1" applyBorder="1" applyAlignment="1">
      <alignment horizontal="center"/>
    </xf>
    <xf numFmtId="167" fontId="0" fillId="0" borderId="0" xfId="0" applyNumberFormat="1"/>
    <xf numFmtId="185" fontId="49" fillId="0" borderId="20" xfId="0" applyFont="1" applyBorder="1"/>
    <xf numFmtId="185" fontId="49" fillId="0" borderId="0" xfId="0" applyFont="1"/>
    <xf numFmtId="185" fontId="49" fillId="0" borderId="30" xfId="0" applyFont="1" applyBorder="1"/>
    <xf numFmtId="166" fontId="50" fillId="0" borderId="0" xfId="0" applyNumberFormat="1" applyFont="1"/>
    <xf numFmtId="166" fontId="50" fillId="0" borderId="30" xfId="0" applyNumberFormat="1" applyFont="1" applyBorder="1"/>
    <xf numFmtId="167" fontId="50" fillId="0" borderId="0" xfId="0" applyNumberFormat="1" applyFont="1"/>
    <xf numFmtId="167" fontId="50" fillId="0" borderId="30" xfId="0" applyNumberFormat="1" applyFont="1" applyBorder="1"/>
    <xf numFmtId="185" fontId="49" fillId="0" borderId="21" xfId="0" applyFont="1" applyBorder="1"/>
    <xf numFmtId="171" fontId="50" fillId="0" borderId="17" xfId="0" applyNumberFormat="1" applyFont="1" applyBorder="1"/>
    <xf numFmtId="171" fontId="50" fillId="0" borderId="31" xfId="0" applyNumberFormat="1" applyFont="1" applyBorder="1"/>
    <xf numFmtId="185" fontId="0" fillId="0" borderId="22" xfId="0" applyBorder="1"/>
    <xf numFmtId="185" fontId="0" fillId="0" borderId="23" xfId="0" applyBorder="1"/>
    <xf numFmtId="185" fontId="48" fillId="0" borderId="23" xfId="0" applyFont="1" applyBorder="1"/>
    <xf numFmtId="185" fontId="0" fillId="0" borderId="24" xfId="0" applyBorder="1"/>
    <xf numFmtId="185" fontId="48" fillId="0" borderId="0" xfId="0" applyFont="1"/>
    <xf numFmtId="185" fontId="45" fillId="0" borderId="0" xfId="0" applyFont="1"/>
    <xf numFmtId="175" fontId="44" fillId="0" borderId="0" xfId="1201" applyNumberFormat="1" applyFont="1" applyFill="1" applyBorder="1"/>
    <xf numFmtId="9" fontId="44" fillId="0" borderId="0" xfId="2366" applyFont="1" applyFill="1" applyBorder="1"/>
    <xf numFmtId="185" fontId="0" fillId="0" borderId="25" xfId="0" applyBorder="1"/>
    <xf numFmtId="175" fontId="44" fillId="0" borderId="26" xfId="1201" applyNumberFormat="1" applyFont="1" applyFill="1" applyBorder="1"/>
    <xf numFmtId="175" fontId="47" fillId="0" borderId="26" xfId="1201" applyNumberFormat="1" applyFont="1" applyFill="1" applyBorder="1" applyAlignment="1"/>
    <xf numFmtId="9" fontId="44" fillId="0" borderId="26" xfId="2366" applyFont="1" applyFill="1" applyBorder="1"/>
    <xf numFmtId="49" fontId="39" fillId="0" borderId="0" xfId="0" applyNumberFormat="1" applyFont="1"/>
    <xf numFmtId="175" fontId="0" fillId="0" borderId="0" xfId="0" applyNumberFormat="1"/>
    <xf numFmtId="3" fontId="79" fillId="0" borderId="0" xfId="0" applyNumberFormat="1" applyFont="1"/>
    <xf numFmtId="185" fontId="40" fillId="0" borderId="0" xfId="0" quotePrefix="1" applyFont="1" applyAlignment="1">
      <alignment horizontal="left"/>
    </xf>
    <xf numFmtId="4" fontId="40" fillId="0" borderId="0" xfId="0" applyNumberFormat="1" applyFont="1"/>
    <xf numFmtId="185" fontId="57" fillId="0" borderId="0" xfId="0" applyFont="1" applyAlignment="1">
      <alignment horizontal="left"/>
    </xf>
    <xf numFmtId="4" fontId="0" fillId="0" borderId="0" xfId="0" applyNumberFormat="1"/>
    <xf numFmtId="183" fontId="0" fillId="0" borderId="0" xfId="0" applyNumberFormat="1"/>
    <xf numFmtId="185" fontId="40" fillId="44" borderId="18" xfId="0" applyFont="1" applyFill="1" applyBorder="1"/>
    <xf numFmtId="185" fontId="40" fillId="44" borderId="22" xfId="0" applyFont="1" applyFill="1" applyBorder="1"/>
    <xf numFmtId="185" fontId="40" fillId="44" borderId="25" xfId="0" applyFont="1" applyFill="1" applyBorder="1"/>
    <xf numFmtId="185" fontId="0" fillId="44" borderId="22" xfId="0" applyFill="1" applyBorder="1"/>
    <xf numFmtId="185" fontId="0" fillId="44" borderId="24" xfId="0" applyFill="1" applyBorder="1"/>
    <xf numFmtId="185" fontId="0" fillId="44" borderId="25" xfId="0" applyFill="1" applyBorder="1"/>
    <xf numFmtId="185" fontId="40" fillId="82" borderId="0" xfId="0" applyFont="1" applyFill="1"/>
    <xf numFmtId="49" fontId="40" fillId="82" borderId="0" xfId="0" applyNumberFormat="1" applyFont="1" applyFill="1"/>
    <xf numFmtId="49" fontId="0" fillId="82" borderId="0" xfId="0" applyNumberFormat="1" applyFill="1"/>
    <xf numFmtId="185" fontId="0" fillId="82" borderId="0" xfId="0" applyFill="1"/>
    <xf numFmtId="2" fontId="0" fillId="82" borderId="0" xfId="0" applyNumberFormat="1" applyFill="1"/>
    <xf numFmtId="3" fontId="41" fillId="82" borderId="0" xfId="1201" applyNumberFormat="1" applyFont="1" applyFill="1"/>
    <xf numFmtId="175" fontId="41" fillId="82" borderId="0" xfId="1201" applyNumberFormat="1" applyFont="1" applyFill="1"/>
    <xf numFmtId="185" fontId="41" fillId="82" borderId="0" xfId="0" applyFont="1" applyFill="1"/>
    <xf numFmtId="2" fontId="41" fillId="82" borderId="0" xfId="0" applyNumberFormat="1" applyFont="1" applyFill="1"/>
    <xf numFmtId="175" fontId="0" fillId="82" borderId="0" xfId="1201" applyNumberFormat="1" applyFont="1" applyFill="1"/>
    <xf numFmtId="3" fontId="44" fillId="82" borderId="0" xfId="1201" applyNumberFormat="1" applyFont="1" applyFill="1"/>
    <xf numFmtId="1" fontId="0" fillId="82" borderId="0" xfId="0" applyNumberFormat="1" applyFill="1"/>
    <xf numFmtId="1" fontId="41" fillId="82" borderId="0" xfId="0" applyNumberFormat="1" applyFont="1" applyFill="1"/>
    <xf numFmtId="3" fontId="39" fillId="82" borderId="0" xfId="1201" applyNumberFormat="1" applyFont="1" applyFill="1"/>
    <xf numFmtId="3" fontId="0" fillId="82" borderId="0" xfId="1201" applyNumberFormat="1" applyFont="1" applyFill="1"/>
    <xf numFmtId="4" fontId="40" fillId="82" borderId="0" xfId="0" applyNumberFormat="1" applyFont="1" applyFill="1"/>
    <xf numFmtId="185" fontId="0" fillId="82" borderId="27" xfId="0" applyFill="1" applyBorder="1"/>
    <xf numFmtId="3" fontId="0" fillId="82" borderId="0" xfId="0" applyNumberFormat="1" applyFill="1"/>
    <xf numFmtId="195" fontId="0" fillId="0" borderId="0" xfId="0" applyNumberFormat="1"/>
    <xf numFmtId="174" fontId="41" fillId="0" borderId="0" xfId="1201" applyNumberFormat="1" applyFont="1" applyFill="1"/>
    <xf numFmtId="49" fontId="242" fillId="0" borderId="0" xfId="1937" applyNumberFormat="1" applyFont="1"/>
    <xf numFmtId="188" fontId="244" fillId="0" borderId="0" xfId="47703" applyNumberFormat="1" applyFont="1"/>
    <xf numFmtId="188" fontId="245" fillId="0" borderId="0" xfId="47703" applyNumberFormat="1" applyFont="1"/>
    <xf numFmtId="2" fontId="108" fillId="0" borderId="0" xfId="2270" applyNumberFormat="1" applyFont="1"/>
    <xf numFmtId="2" fontId="39" fillId="0" borderId="0" xfId="0" applyNumberFormat="1" applyFont="1"/>
    <xf numFmtId="2" fontId="0" fillId="0" borderId="0" xfId="0" applyNumberFormat="1"/>
    <xf numFmtId="176" fontId="241" fillId="0" borderId="0" xfId="0" applyNumberFormat="1" applyFont="1" applyProtection="1">
      <protection locked="0"/>
    </xf>
    <xf numFmtId="3" fontId="241" fillId="0" borderId="0" xfId="1608" applyNumberFormat="1" applyFont="1" applyProtection="1">
      <protection locked="0"/>
    </xf>
    <xf numFmtId="173" fontId="241" fillId="0" borderId="0" xfId="1608" applyNumberFormat="1" applyFont="1" applyProtection="1">
      <protection locked="0"/>
    </xf>
    <xf numFmtId="176" fontId="241" fillId="0" borderId="0" xfId="0" applyNumberFormat="1" applyFont="1" applyAlignment="1" applyProtection="1">
      <alignment horizontal="left"/>
      <protection locked="0"/>
    </xf>
    <xf numFmtId="185" fontId="108" fillId="81" borderId="0" xfId="0" applyFont="1" applyFill="1"/>
    <xf numFmtId="176" fontId="38" fillId="81" borderId="0" xfId="0" applyNumberFormat="1" applyFont="1" applyFill="1" applyProtection="1">
      <protection locked="0"/>
    </xf>
    <xf numFmtId="176" fontId="113" fillId="0" borderId="0" xfId="0" applyNumberFormat="1" applyFont="1" applyProtection="1">
      <protection locked="0"/>
    </xf>
    <xf numFmtId="173" fontId="38" fillId="0" borderId="0" xfId="2074" applyNumberFormat="1" applyFont="1" applyProtection="1">
      <protection locked="0"/>
    </xf>
    <xf numFmtId="168" fontId="203" fillId="34" borderId="0" xfId="0" applyNumberFormat="1" applyFont="1" applyFill="1" applyProtection="1">
      <protection locked="0"/>
    </xf>
    <xf numFmtId="173" fontId="38" fillId="0" borderId="0" xfId="1608" applyNumberFormat="1" applyFont="1" applyProtection="1">
      <protection locked="0"/>
    </xf>
    <xf numFmtId="168" fontId="77" fillId="83" borderId="0" xfId="0" applyNumberFormat="1" applyFont="1" applyFill="1" applyProtection="1">
      <protection locked="0"/>
    </xf>
    <xf numFmtId="185" fontId="108" fillId="83" borderId="0" xfId="0" applyFont="1" applyFill="1"/>
    <xf numFmtId="185" fontId="108" fillId="80" borderId="1" xfId="0" applyFont="1" applyFill="1" applyBorder="1"/>
    <xf numFmtId="176" fontId="38" fillId="80" borderId="1" xfId="0" applyNumberFormat="1" applyFont="1" applyFill="1" applyBorder="1" applyProtection="1">
      <protection locked="0"/>
    </xf>
    <xf numFmtId="185" fontId="115" fillId="80" borderId="1" xfId="0" applyFont="1" applyFill="1" applyBorder="1"/>
    <xf numFmtId="168" fontId="108" fillId="80" borderId="1" xfId="0" applyNumberFormat="1" applyFont="1" applyFill="1" applyBorder="1"/>
    <xf numFmtId="176" fontId="113" fillId="80" borderId="1" xfId="0" applyNumberFormat="1" applyFont="1" applyFill="1" applyBorder="1" applyProtection="1">
      <protection locked="0"/>
    </xf>
    <xf numFmtId="168" fontId="77" fillId="80" borderId="1" xfId="0" applyNumberFormat="1" applyFont="1" applyFill="1" applyBorder="1" applyProtection="1">
      <protection locked="0"/>
    </xf>
    <xf numFmtId="176" fontId="38" fillId="80" borderId="26" xfId="0" applyNumberFormat="1" applyFont="1" applyFill="1" applyBorder="1" applyAlignment="1" applyProtection="1">
      <alignment horizontal="left"/>
      <protection locked="0"/>
    </xf>
    <xf numFmtId="176" fontId="38" fillId="80" borderId="26" xfId="0" applyNumberFormat="1" applyFont="1" applyFill="1" applyBorder="1" applyProtection="1">
      <protection locked="0"/>
    </xf>
    <xf numFmtId="173" fontId="38" fillId="80" borderId="26" xfId="2074" applyNumberFormat="1" applyFont="1" applyFill="1" applyBorder="1" applyProtection="1">
      <protection locked="0"/>
    </xf>
    <xf numFmtId="173" fontId="38" fillId="80" borderId="26" xfId="1608" applyNumberFormat="1" applyFont="1" applyFill="1" applyBorder="1" applyProtection="1">
      <protection locked="0"/>
    </xf>
    <xf numFmtId="168" fontId="77" fillId="80" borderId="26" xfId="0" applyNumberFormat="1" applyFont="1" applyFill="1" applyBorder="1" applyProtection="1">
      <protection locked="0"/>
    </xf>
    <xf numFmtId="185" fontId="108" fillId="80" borderId="26" xfId="0" applyFont="1" applyFill="1" applyBorder="1"/>
    <xf numFmtId="176" fontId="38" fillId="0" borderId="26" xfId="0" applyNumberFormat="1" applyFont="1" applyBorder="1" applyAlignment="1" applyProtection="1">
      <alignment horizontal="left"/>
      <protection locked="0"/>
    </xf>
    <xf numFmtId="176" fontId="38" fillId="0" borderId="26" xfId="0" applyNumberFormat="1" applyFont="1" applyBorder="1" applyProtection="1">
      <protection locked="0"/>
    </xf>
    <xf numFmtId="173" fontId="38" fillId="0" borderId="26" xfId="2074" applyNumberFormat="1" applyFont="1" applyBorder="1" applyProtection="1">
      <protection locked="0"/>
    </xf>
    <xf numFmtId="173" fontId="38" fillId="0" borderId="26" xfId="1608" applyNumberFormat="1" applyFont="1" applyBorder="1" applyProtection="1">
      <protection locked="0"/>
    </xf>
    <xf numFmtId="168" fontId="77" fillId="0" borderId="26" xfId="0" applyNumberFormat="1" applyFont="1" applyBorder="1" applyProtection="1">
      <protection locked="0"/>
    </xf>
    <xf numFmtId="185" fontId="108" fillId="0" borderId="26" xfId="0" applyFont="1" applyBorder="1"/>
    <xf numFmtId="168" fontId="203" fillId="83" borderId="0" xfId="0" applyNumberFormat="1" applyFont="1" applyFill="1" applyProtection="1">
      <protection locked="0"/>
    </xf>
    <xf numFmtId="49" fontId="107" fillId="0" borderId="0" xfId="0" applyNumberFormat="1" applyFont="1"/>
    <xf numFmtId="186" fontId="110" fillId="0" borderId="0" xfId="0" applyNumberFormat="1" applyFont="1"/>
    <xf numFmtId="3" fontId="108" fillId="0" borderId="0" xfId="1778" applyNumberFormat="1" applyFont="1"/>
    <xf numFmtId="2" fontId="233" fillId="0" borderId="0" xfId="0" applyNumberFormat="1" applyFont="1"/>
    <xf numFmtId="186" fontId="108" fillId="0" borderId="0" xfId="40781" applyNumberFormat="1" applyFont="1"/>
    <xf numFmtId="186" fontId="108" fillId="0" borderId="0" xfId="47696" applyNumberFormat="1" applyFont="1"/>
    <xf numFmtId="186" fontId="202" fillId="0" borderId="0" xfId="47696" applyNumberFormat="1" applyFont="1"/>
    <xf numFmtId="187" fontId="108" fillId="0" borderId="0" xfId="47696" applyNumberFormat="1" applyFont="1"/>
    <xf numFmtId="187" fontId="202" fillId="0" borderId="0" xfId="47696" applyNumberFormat="1" applyFont="1"/>
    <xf numFmtId="186" fontId="108" fillId="0" borderId="0" xfId="47703" applyNumberFormat="1" applyFont="1"/>
    <xf numFmtId="186" fontId="202" fillId="0" borderId="0" xfId="47703" applyNumberFormat="1" applyFont="1"/>
    <xf numFmtId="1" fontId="228" fillId="0" borderId="0" xfId="4146" applyNumberFormat="1" applyFont="1"/>
    <xf numFmtId="1" fontId="228" fillId="0" borderId="0" xfId="4271" applyNumberFormat="1" applyFont="1"/>
    <xf numFmtId="187" fontId="108" fillId="0" borderId="0" xfId="43190" applyNumberFormat="1" applyFont="1"/>
    <xf numFmtId="188" fontId="108" fillId="0" borderId="0" xfId="43190" applyNumberFormat="1" applyFont="1"/>
    <xf numFmtId="188" fontId="108" fillId="0" borderId="0" xfId="47696" applyNumberFormat="1" applyFont="1"/>
    <xf numFmtId="1" fontId="228" fillId="0" borderId="0" xfId="4153" applyNumberFormat="1" applyFont="1"/>
    <xf numFmtId="1" fontId="228" fillId="0" borderId="0" xfId="1578" applyNumberFormat="1" applyFont="1"/>
    <xf numFmtId="1" fontId="228" fillId="0" borderId="0" xfId="4149" applyNumberFormat="1" applyFont="1"/>
    <xf numFmtId="176" fontId="109" fillId="0" borderId="0" xfId="0" applyNumberFormat="1" applyFont="1" applyAlignment="1" applyProtection="1">
      <alignment horizontal="left"/>
      <protection locked="0"/>
    </xf>
    <xf numFmtId="168" fontId="203" fillId="0" borderId="0" xfId="0" applyNumberFormat="1" applyFont="1" applyProtection="1">
      <protection locked="0"/>
    </xf>
    <xf numFmtId="185" fontId="247" fillId="0" borderId="0" xfId="0" applyFont="1"/>
    <xf numFmtId="166" fontId="228" fillId="0" borderId="0" xfId="4149" applyNumberFormat="1" applyFont="1"/>
    <xf numFmtId="185" fontId="228" fillId="0" borderId="0" xfId="4149" applyFont="1"/>
    <xf numFmtId="166" fontId="243" fillId="0" borderId="0" xfId="0" applyNumberFormat="1" applyFont="1"/>
    <xf numFmtId="185" fontId="228" fillId="0" borderId="0" xfId="1578" applyFont="1"/>
    <xf numFmtId="2" fontId="108" fillId="0" borderId="0" xfId="1778" applyNumberFormat="1" applyFont="1"/>
    <xf numFmtId="2" fontId="77" fillId="0" borderId="0" xfId="1578" applyNumberFormat="1" applyFont="1"/>
    <xf numFmtId="1" fontId="233" fillId="0" borderId="0" xfId="0" applyNumberFormat="1" applyFont="1"/>
    <xf numFmtId="2" fontId="245" fillId="0" borderId="0" xfId="0" applyNumberFormat="1" applyFont="1"/>
    <xf numFmtId="173" fontId="108" fillId="0" borderId="0" xfId="1608" applyNumberFormat="1" applyFont="1" applyProtection="1">
      <protection locked="0"/>
    </xf>
    <xf numFmtId="3" fontId="108" fillId="0" borderId="0" xfId="1608" applyNumberFormat="1" applyFont="1" applyProtection="1">
      <protection locked="0"/>
    </xf>
    <xf numFmtId="3" fontId="108" fillId="0" borderId="0" xfId="0" applyNumberFormat="1" applyFont="1" applyProtection="1">
      <protection locked="0"/>
    </xf>
    <xf numFmtId="3" fontId="108" fillId="0" borderId="0" xfId="1578" applyNumberFormat="1" applyFont="1"/>
    <xf numFmtId="188" fontId="108" fillId="0" borderId="0" xfId="25232" applyNumberFormat="1" applyFont="1"/>
    <xf numFmtId="49" fontId="44" fillId="0" borderId="0" xfId="0" applyNumberFormat="1" applyFont="1"/>
    <xf numFmtId="49" fontId="40" fillId="0" borderId="17" xfId="0" applyNumberFormat="1" applyFont="1" applyBorder="1" applyAlignment="1">
      <alignment horizontal="center"/>
    </xf>
    <xf numFmtId="185" fontId="248" fillId="0" borderId="0" xfId="0" applyFont="1"/>
    <xf numFmtId="185" fontId="234" fillId="0" borderId="0" xfId="0" applyFont="1"/>
    <xf numFmtId="1" fontId="202" fillId="0" borderId="0" xfId="0" applyNumberFormat="1" applyFont="1"/>
    <xf numFmtId="2" fontId="202" fillId="0" borderId="0" xfId="0" applyNumberFormat="1" applyFont="1" applyAlignment="1">
      <alignment horizontal="right"/>
    </xf>
    <xf numFmtId="168" fontId="202" fillId="0" borderId="0" xfId="2267" applyNumberFormat="1" applyFont="1"/>
    <xf numFmtId="168" fontId="202" fillId="0" borderId="0" xfId="1953" applyNumberFormat="1" applyFont="1"/>
    <xf numFmtId="168" fontId="202" fillId="0" borderId="0" xfId="1778" applyNumberFormat="1" applyFont="1"/>
    <xf numFmtId="3" fontId="202" fillId="83" borderId="0" xfId="0" applyNumberFormat="1" applyFont="1" applyFill="1"/>
    <xf numFmtId="3" fontId="203" fillId="34" borderId="0" xfId="0" applyNumberFormat="1" applyFont="1" applyFill="1"/>
    <xf numFmtId="2" fontId="201" fillId="0" borderId="0" xfId="1342" applyNumberFormat="1" applyFont="1"/>
    <xf numFmtId="167" fontId="233" fillId="0" borderId="0" xfId="0" applyNumberFormat="1" applyFont="1"/>
    <xf numFmtId="185" fontId="233" fillId="0" borderId="0" xfId="0" applyFont="1"/>
    <xf numFmtId="167" fontId="201" fillId="0" borderId="0" xfId="0" applyNumberFormat="1" applyFont="1"/>
    <xf numFmtId="3" fontId="110" fillId="0" borderId="0" xfId="1201" applyNumberFormat="1" applyFont="1" applyFill="1"/>
    <xf numFmtId="1" fontId="243" fillId="0" borderId="0" xfId="0" applyNumberFormat="1" applyFont="1"/>
    <xf numFmtId="1" fontId="242" fillId="0" borderId="0" xfId="0" applyNumberFormat="1" applyFont="1"/>
    <xf numFmtId="185" fontId="249" fillId="0" borderId="0" xfId="0" applyFont="1"/>
    <xf numFmtId="185" fontId="250" fillId="0" borderId="0" xfId="0" applyFont="1"/>
    <xf numFmtId="185" fontId="251" fillId="0" borderId="0" xfId="0" applyFont="1"/>
    <xf numFmtId="185" fontId="252" fillId="0" borderId="0" xfId="0" applyFont="1"/>
    <xf numFmtId="185" fontId="253" fillId="0" borderId="0" xfId="0" applyFont="1"/>
    <xf numFmtId="185" fontId="254" fillId="0" borderId="0" xfId="0" applyFont="1"/>
    <xf numFmtId="168" fontId="242" fillId="0" borderId="0" xfId="0" applyNumberFormat="1" applyFont="1"/>
    <xf numFmtId="182" fontId="243" fillId="0" borderId="0" xfId="1201" applyNumberFormat="1" applyFont="1"/>
    <xf numFmtId="186" fontId="243" fillId="0" borderId="0" xfId="0" applyNumberFormat="1" applyFont="1"/>
    <xf numFmtId="185" fontId="242" fillId="80" borderId="0" xfId="0" applyFont="1" applyFill="1"/>
    <xf numFmtId="185" fontId="243" fillId="80" borderId="0" xfId="0" applyFont="1" applyFill="1"/>
    <xf numFmtId="168" fontId="242" fillId="80" borderId="0" xfId="0" applyNumberFormat="1" applyFont="1" applyFill="1"/>
    <xf numFmtId="182" fontId="243" fillId="80" borderId="0" xfId="1201" applyNumberFormat="1" applyFont="1" applyFill="1"/>
    <xf numFmtId="186" fontId="243" fillId="80" borderId="0" xfId="0" applyNumberFormat="1" applyFont="1" applyFill="1"/>
    <xf numFmtId="185" fontId="255" fillId="0" borderId="0" xfId="0" applyFont="1"/>
    <xf numFmtId="3" fontId="243" fillId="0" borderId="0" xfId="0" applyNumberFormat="1" applyFont="1"/>
    <xf numFmtId="3" fontId="251" fillId="0" borderId="0" xfId="0" applyNumberFormat="1" applyFont="1"/>
    <xf numFmtId="186" fontId="256" fillId="0" borderId="0" xfId="1778" applyNumberFormat="1" applyFont="1"/>
    <xf numFmtId="186" fontId="251" fillId="0" borderId="0" xfId="1578" applyNumberFormat="1" applyFont="1"/>
    <xf numFmtId="186" fontId="256" fillId="0" borderId="0" xfId="47696" applyNumberFormat="1" applyFont="1"/>
    <xf numFmtId="1" fontId="256" fillId="0" borderId="0" xfId="47696" applyNumberFormat="1" applyFont="1"/>
    <xf numFmtId="186" fontId="251" fillId="0" borderId="0" xfId="1778" applyNumberFormat="1" applyFont="1"/>
    <xf numFmtId="3" fontId="256" fillId="0" borderId="0" xfId="47710" applyNumberFormat="1" applyFont="1"/>
    <xf numFmtId="3" fontId="251" fillId="0" borderId="0" xfId="1342" applyNumberFormat="1" applyFont="1"/>
    <xf numFmtId="3" fontId="251" fillId="0" borderId="0" xfId="1578" applyNumberFormat="1" applyFont="1"/>
    <xf numFmtId="3" fontId="253" fillId="0" borderId="0" xfId="0" applyNumberFormat="1" applyFont="1"/>
    <xf numFmtId="3" fontId="243" fillId="0" borderId="0" xfId="2074" applyNumberFormat="1" applyFont="1" applyProtection="1">
      <protection locked="0"/>
    </xf>
    <xf numFmtId="185" fontId="257" fillId="0" borderId="0" xfId="0" applyFont="1"/>
    <xf numFmtId="3" fontId="258" fillId="0" borderId="0" xfId="0" applyNumberFormat="1" applyFont="1"/>
    <xf numFmtId="3" fontId="259" fillId="0" borderId="0" xfId="0" applyNumberFormat="1" applyFont="1"/>
    <xf numFmtId="3" fontId="243" fillId="0" borderId="0" xfId="0" applyNumberFormat="1" applyFont="1" applyAlignment="1">
      <alignment horizontal="center"/>
    </xf>
    <xf numFmtId="175" fontId="39" fillId="0" borderId="0" xfId="1201" applyNumberFormat="1" applyFont="1"/>
    <xf numFmtId="182" fontId="39" fillId="0" borderId="0" xfId="1201" applyNumberFormat="1" applyFont="1" applyBorder="1"/>
    <xf numFmtId="2" fontId="243" fillId="0" borderId="0" xfId="0" applyNumberFormat="1" applyFont="1"/>
    <xf numFmtId="10" fontId="243" fillId="0" borderId="0" xfId="0" applyNumberFormat="1" applyFont="1" applyAlignment="1">
      <alignment horizontal="center"/>
    </xf>
    <xf numFmtId="182" fontId="243" fillId="0" borderId="0" xfId="1201" applyNumberFormat="1" applyFont="1" applyFill="1" applyAlignment="1">
      <alignment horizontal="center"/>
    </xf>
    <xf numFmtId="182" fontId="243" fillId="0" borderId="0" xfId="1201" applyNumberFormat="1" applyFont="1" applyFill="1" applyBorder="1" applyAlignment="1">
      <alignment horizontal="center"/>
    </xf>
    <xf numFmtId="2" fontId="243" fillId="80" borderId="0" xfId="0" applyNumberFormat="1" applyFont="1" applyFill="1"/>
    <xf numFmtId="10" fontId="243" fillId="80" borderId="0" xfId="0" applyNumberFormat="1" applyFont="1" applyFill="1" applyAlignment="1">
      <alignment horizontal="center"/>
    </xf>
    <xf numFmtId="3" fontId="243" fillId="80" borderId="0" xfId="0" applyNumberFormat="1" applyFont="1" applyFill="1"/>
    <xf numFmtId="182" fontId="243" fillId="80" borderId="0" xfId="1201" applyNumberFormat="1" applyFont="1" applyFill="1" applyAlignment="1">
      <alignment horizontal="center"/>
    </xf>
    <xf numFmtId="182" fontId="243" fillId="80" borderId="0" xfId="1201" applyNumberFormat="1" applyFont="1" applyFill="1" applyBorder="1" applyAlignment="1">
      <alignment horizontal="center"/>
    </xf>
    <xf numFmtId="168" fontId="243" fillId="0" borderId="0" xfId="0" applyNumberFormat="1" applyFont="1"/>
    <xf numFmtId="168" fontId="262" fillId="0" borderId="0" xfId="0" applyNumberFormat="1" applyFont="1"/>
    <xf numFmtId="168" fontId="254" fillId="0" borderId="0" xfId="0" applyNumberFormat="1" applyFont="1"/>
    <xf numFmtId="168" fontId="252" fillId="0" borderId="0" xfId="0" applyNumberFormat="1" applyFont="1"/>
    <xf numFmtId="168" fontId="258" fillId="0" borderId="0" xfId="0" applyNumberFormat="1" applyFont="1"/>
    <xf numFmtId="167" fontId="253" fillId="0" borderId="0" xfId="0" applyNumberFormat="1" applyFont="1"/>
    <xf numFmtId="167" fontId="252" fillId="0" borderId="0" xfId="0" applyNumberFormat="1" applyFont="1"/>
    <xf numFmtId="185" fontId="259" fillId="80" borderId="0" xfId="0" applyFont="1" applyFill="1"/>
    <xf numFmtId="167" fontId="259" fillId="80" borderId="0" xfId="0" applyNumberFormat="1" applyFont="1" applyFill="1"/>
    <xf numFmtId="3" fontId="254" fillId="0" borderId="0" xfId="0" applyNumberFormat="1" applyFont="1"/>
    <xf numFmtId="185" fontId="258" fillId="0" borderId="0" xfId="0" applyFont="1"/>
    <xf numFmtId="3" fontId="263" fillId="0" borderId="0" xfId="0" applyNumberFormat="1" applyFont="1"/>
    <xf numFmtId="185" fontId="263" fillId="0" borderId="0" xfId="0" applyFont="1"/>
    <xf numFmtId="1" fontId="253" fillId="0" borderId="0" xfId="0" applyNumberFormat="1" applyFont="1"/>
    <xf numFmtId="1" fontId="253" fillId="80" borderId="0" xfId="0" applyNumberFormat="1" applyFont="1" applyFill="1"/>
    <xf numFmtId="185" fontId="39" fillId="80" borderId="0" xfId="0" applyFont="1" applyFill="1"/>
    <xf numFmtId="175" fontId="253" fillId="0" borderId="0" xfId="1201" applyNumberFormat="1" applyFont="1" applyFill="1" applyBorder="1"/>
    <xf numFmtId="175" fontId="253" fillId="0" borderId="0" xfId="1201" applyNumberFormat="1" applyFont="1" applyFill="1"/>
    <xf numFmtId="175" fontId="259" fillId="0" borderId="0" xfId="1201" applyNumberFormat="1" applyFont="1" applyFill="1"/>
    <xf numFmtId="175" fontId="259" fillId="0" borderId="0" xfId="1201" applyNumberFormat="1" applyFont="1" applyFill="1" applyBorder="1"/>
    <xf numFmtId="1" fontId="259" fillId="0" borderId="0" xfId="0" applyNumberFormat="1" applyFont="1"/>
    <xf numFmtId="167" fontId="259" fillId="0" borderId="0" xfId="0" applyNumberFormat="1" applyFont="1"/>
    <xf numFmtId="43" fontId="39" fillId="0" borderId="0" xfId="1201" applyFont="1" applyBorder="1"/>
    <xf numFmtId="168" fontId="253" fillId="0" borderId="0" xfId="0" applyNumberFormat="1" applyFont="1"/>
    <xf numFmtId="1" fontId="258" fillId="0" borderId="0" xfId="0" applyNumberFormat="1" applyFont="1"/>
    <xf numFmtId="2" fontId="258" fillId="0" borderId="0" xfId="0" applyNumberFormat="1" applyFont="1"/>
    <xf numFmtId="1" fontId="263" fillId="0" borderId="0" xfId="0" applyNumberFormat="1" applyFont="1"/>
    <xf numFmtId="168" fontId="263" fillId="0" borderId="0" xfId="0" applyNumberFormat="1" applyFont="1"/>
    <xf numFmtId="2" fontId="263" fillId="0" borderId="0" xfId="0" applyNumberFormat="1" applyFont="1"/>
    <xf numFmtId="185" fontId="263" fillId="80" borderId="0" xfId="0" applyFont="1" applyFill="1"/>
    <xf numFmtId="1" fontId="263" fillId="80" borderId="0" xfId="0" applyNumberFormat="1" applyFont="1" applyFill="1"/>
    <xf numFmtId="168" fontId="263" fillId="80" borderId="0" xfId="0" applyNumberFormat="1" applyFont="1" applyFill="1"/>
    <xf numFmtId="2" fontId="263" fillId="80" borderId="0" xfId="0" applyNumberFormat="1" applyFont="1" applyFill="1"/>
    <xf numFmtId="3" fontId="258" fillId="0" borderId="0" xfId="0" applyNumberFormat="1" applyFont="1" applyAlignment="1">
      <alignment horizontal="right"/>
    </xf>
    <xf numFmtId="3" fontId="257" fillId="0" borderId="0" xfId="0" applyNumberFormat="1" applyFont="1"/>
    <xf numFmtId="3" fontId="264" fillId="33" borderId="0" xfId="0" applyNumberFormat="1" applyFont="1" applyFill="1"/>
    <xf numFmtId="3" fontId="265" fillId="33" borderId="0" xfId="0" applyNumberFormat="1" applyFont="1" applyFill="1"/>
    <xf numFmtId="167" fontId="263" fillId="0" borderId="0" xfId="0" applyNumberFormat="1" applyFont="1"/>
    <xf numFmtId="167" fontId="243" fillId="0" borderId="0" xfId="0" applyNumberFormat="1" applyFont="1"/>
    <xf numFmtId="1" fontId="242" fillId="80" borderId="0" xfId="0" applyNumberFormat="1" applyFont="1" applyFill="1"/>
    <xf numFmtId="3" fontId="242" fillId="80" borderId="0" xfId="0" applyNumberFormat="1" applyFont="1" applyFill="1"/>
    <xf numFmtId="1" fontId="246" fillId="0" borderId="0" xfId="0" applyNumberFormat="1" applyFont="1"/>
    <xf numFmtId="175" fontId="243" fillId="0" borderId="0" xfId="1201" applyNumberFormat="1" applyFont="1" applyFill="1"/>
    <xf numFmtId="175" fontId="243" fillId="0" borderId="0" xfId="1201" applyNumberFormat="1" applyFont="1" applyFill="1" applyBorder="1"/>
    <xf numFmtId="185" fontId="243" fillId="0" borderId="42" xfId="0" applyFont="1" applyBorder="1"/>
    <xf numFmtId="1" fontId="253" fillId="0" borderId="42" xfId="0" applyNumberFormat="1" applyFont="1" applyBorder="1"/>
    <xf numFmtId="1" fontId="243" fillId="0" borderId="42" xfId="0" applyNumberFormat="1" applyFont="1" applyBorder="1"/>
    <xf numFmtId="185" fontId="262" fillId="81" borderId="0" xfId="0" applyFont="1" applyFill="1"/>
    <xf numFmtId="170" fontId="243" fillId="0" borderId="0" xfId="2366" applyNumberFormat="1" applyFont="1"/>
    <xf numFmtId="185" fontId="266" fillId="0" borderId="0" xfId="0" applyFont="1" applyAlignment="1">
      <alignment horizontal="left"/>
    </xf>
    <xf numFmtId="15" fontId="267" fillId="0" borderId="0" xfId="0" applyNumberFormat="1" applyFont="1" applyAlignment="1">
      <alignment horizontal="center"/>
    </xf>
    <xf numFmtId="185" fontId="268" fillId="0" borderId="0" xfId="0" applyFont="1" applyAlignment="1">
      <alignment horizontal="left"/>
    </xf>
    <xf numFmtId="3" fontId="260" fillId="0" borderId="0" xfId="2074" applyNumberFormat="1" applyFont="1" applyProtection="1">
      <protection locked="0"/>
    </xf>
    <xf numFmtId="177" fontId="260" fillId="0" borderId="0" xfId="0" applyNumberFormat="1" applyFont="1" applyProtection="1">
      <protection locked="0"/>
    </xf>
    <xf numFmtId="185" fontId="260" fillId="0" borderId="0" xfId="1350" applyNumberFormat="1" applyFont="1" applyAlignment="1" applyProtection="1">
      <alignment horizontal="left"/>
      <protection locked="0"/>
    </xf>
    <xf numFmtId="185" fontId="260" fillId="0" borderId="0" xfId="1877" quotePrefix="1" applyNumberFormat="1" applyFont="1" applyAlignment="1" applyProtection="1">
      <alignment horizontal="left"/>
      <protection locked="0"/>
    </xf>
    <xf numFmtId="3" fontId="258" fillId="0" borderId="0" xfId="2074" applyNumberFormat="1" applyFont="1" applyProtection="1">
      <protection locked="0"/>
    </xf>
    <xf numFmtId="185" fontId="269" fillId="0" borderId="0" xfId="0" applyFont="1"/>
    <xf numFmtId="3" fontId="269" fillId="0" borderId="0" xfId="2074" applyNumberFormat="1" applyFont="1" applyProtection="1">
      <protection locked="0"/>
    </xf>
    <xf numFmtId="185" fontId="268" fillId="0" borderId="0" xfId="0" applyFont="1"/>
    <xf numFmtId="3" fontId="260" fillId="0" borderId="0" xfId="1350" applyNumberFormat="1" applyFont="1" applyProtection="1">
      <protection locked="0"/>
    </xf>
    <xf numFmtId="3" fontId="261" fillId="0" borderId="0" xfId="1578" applyNumberFormat="1" applyFont="1"/>
    <xf numFmtId="3" fontId="261" fillId="0" borderId="0" xfId="4149" applyNumberFormat="1" applyFont="1"/>
    <xf numFmtId="185" fontId="260" fillId="0" borderId="0" xfId="0" applyFont="1"/>
    <xf numFmtId="3" fontId="260" fillId="0" borderId="0" xfId="2087" applyNumberFormat="1" applyFont="1"/>
    <xf numFmtId="3" fontId="260" fillId="0" borderId="0" xfId="1350" applyNumberFormat="1" applyFont="1"/>
    <xf numFmtId="1" fontId="269" fillId="0" borderId="0" xfId="0" applyNumberFormat="1" applyFont="1"/>
    <xf numFmtId="1" fontId="267" fillId="0" borderId="0" xfId="0" applyNumberFormat="1" applyFont="1"/>
    <xf numFmtId="185" fontId="267" fillId="0" borderId="0" xfId="0" applyFont="1"/>
    <xf numFmtId="1" fontId="270" fillId="0" borderId="0" xfId="0" applyNumberFormat="1" applyFont="1"/>
    <xf numFmtId="166" fontId="270" fillId="0" borderId="0" xfId="0" applyNumberFormat="1" applyFont="1"/>
    <xf numFmtId="167" fontId="270" fillId="0" borderId="0" xfId="0" applyNumberFormat="1" applyFont="1"/>
    <xf numFmtId="168" fontId="270" fillId="0" borderId="0" xfId="0" applyNumberFormat="1" applyFont="1"/>
    <xf numFmtId="2" fontId="270" fillId="0" borderId="0" xfId="0" applyNumberFormat="1" applyFont="1"/>
    <xf numFmtId="1" fontId="271" fillId="0" borderId="0" xfId="0" applyNumberFormat="1" applyFont="1"/>
    <xf numFmtId="168" fontId="259" fillId="0" borderId="0" xfId="0" applyNumberFormat="1" applyFont="1"/>
    <xf numFmtId="185" fontId="265" fillId="0" borderId="0" xfId="0" applyFont="1"/>
    <xf numFmtId="177" fontId="253" fillId="0" borderId="0" xfId="0" applyNumberFormat="1" applyFont="1"/>
    <xf numFmtId="3" fontId="253" fillId="34" borderId="0" xfId="0" applyNumberFormat="1" applyFont="1" applyFill="1"/>
    <xf numFmtId="177" fontId="253" fillId="34" borderId="0" xfId="0" applyNumberFormat="1" applyFont="1" applyFill="1"/>
    <xf numFmtId="185" fontId="272" fillId="0" borderId="0" xfId="0" applyFont="1"/>
    <xf numFmtId="3" fontId="261" fillId="0" borderId="0" xfId="5170" applyNumberFormat="1" applyFont="1"/>
    <xf numFmtId="185" fontId="260" fillId="80" borderId="42" xfId="0" applyFont="1" applyFill="1" applyBorder="1"/>
    <xf numFmtId="185" fontId="243" fillId="80" borderId="42" xfId="0" applyFont="1" applyFill="1" applyBorder="1"/>
    <xf numFmtId="177" fontId="253" fillId="80" borderId="42" xfId="0" applyNumberFormat="1" applyFont="1" applyFill="1" applyBorder="1"/>
    <xf numFmtId="1" fontId="243" fillId="80" borderId="42" xfId="0" applyNumberFormat="1" applyFont="1" applyFill="1" applyBorder="1"/>
    <xf numFmtId="1" fontId="253" fillId="80" borderId="42" xfId="0" applyNumberFormat="1" applyFont="1" applyFill="1" applyBorder="1"/>
    <xf numFmtId="178" fontId="253" fillId="80" borderId="42" xfId="0" applyNumberFormat="1" applyFont="1" applyFill="1" applyBorder="1"/>
    <xf numFmtId="178" fontId="253" fillId="80" borderId="0" xfId="0" applyNumberFormat="1" applyFont="1" applyFill="1"/>
    <xf numFmtId="1" fontId="273" fillId="0" borderId="0" xfId="0" applyNumberFormat="1" applyFont="1"/>
    <xf numFmtId="185" fontId="273" fillId="0" borderId="0" xfId="0" applyFont="1"/>
    <xf numFmtId="168" fontId="273" fillId="0" borderId="0" xfId="0" applyNumberFormat="1" applyFont="1"/>
    <xf numFmtId="177" fontId="243" fillId="0" borderId="0" xfId="0" applyNumberFormat="1" applyFont="1"/>
    <xf numFmtId="2" fontId="253" fillId="0" borderId="0" xfId="0" applyNumberFormat="1" applyFont="1"/>
    <xf numFmtId="185" fontId="274" fillId="0" borderId="0" xfId="0" applyFont="1"/>
    <xf numFmtId="170" fontId="259" fillId="0" borderId="0" xfId="2366" applyNumberFormat="1" applyFont="1" applyBorder="1"/>
    <xf numFmtId="170" fontId="259" fillId="0" borderId="0" xfId="2366" applyNumberFormat="1" applyFont="1" applyFill="1" applyBorder="1"/>
    <xf numFmtId="170" fontId="253" fillId="0" borderId="0" xfId="0" applyNumberFormat="1" applyFont="1"/>
    <xf numFmtId="170" fontId="259" fillId="0" borderId="0" xfId="0" applyNumberFormat="1" applyFont="1"/>
    <xf numFmtId="4" fontId="243" fillId="0" borderId="0" xfId="0" applyNumberFormat="1" applyFont="1"/>
    <xf numFmtId="185" fontId="259" fillId="29" borderId="0" xfId="0" applyFont="1" applyFill="1"/>
    <xf numFmtId="3" fontId="259" fillId="29" borderId="0" xfId="0" applyNumberFormat="1" applyFont="1" applyFill="1"/>
    <xf numFmtId="185" fontId="243" fillId="29" borderId="0" xfId="0" applyFont="1" applyFill="1"/>
    <xf numFmtId="177" fontId="242" fillId="0" borderId="0" xfId="0" applyNumberFormat="1" applyFont="1"/>
    <xf numFmtId="185" fontId="242" fillId="35" borderId="0" xfId="0" applyFont="1" applyFill="1"/>
    <xf numFmtId="185" fontId="243" fillId="35" borderId="0" xfId="0" applyFont="1" applyFill="1"/>
    <xf numFmtId="177" fontId="253" fillId="35" borderId="0" xfId="0" applyNumberFormat="1" applyFont="1" applyFill="1"/>
    <xf numFmtId="177" fontId="242" fillId="35" borderId="0" xfId="0" applyNumberFormat="1" applyFont="1" applyFill="1"/>
    <xf numFmtId="179" fontId="242" fillId="35" borderId="0" xfId="0" applyNumberFormat="1" applyFont="1" applyFill="1"/>
    <xf numFmtId="167" fontId="242" fillId="35" borderId="0" xfId="0" applyNumberFormat="1" applyFont="1" applyFill="1"/>
    <xf numFmtId="1" fontId="242" fillId="35" borderId="0" xfId="0" applyNumberFormat="1" applyFont="1" applyFill="1"/>
    <xf numFmtId="1" fontId="259" fillId="35" borderId="0" xfId="0" applyNumberFormat="1" applyFont="1" applyFill="1"/>
    <xf numFmtId="1" fontId="253" fillId="35" borderId="0" xfId="0" applyNumberFormat="1" applyFont="1" applyFill="1"/>
    <xf numFmtId="2" fontId="259" fillId="0" borderId="0" xfId="0" applyNumberFormat="1" applyFont="1"/>
    <xf numFmtId="3" fontId="251" fillId="0" borderId="0" xfId="2264" applyNumberFormat="1" applyFont="1"/>
    <xf numFmtId="3" fontId="251" fillId="0" borderId="0" xfId="1347" applyNumberFormat="1" applyFont="1"/>
    <xf numFmtId="186" fontId="256" fillId="0" borderId="0" xfId="1578" applyNumberFormat="1" applyFont="1"/>
    <xf numFmtId="173" fontId="252" fillId="0" borderId="0" xfId="2074" applyNumberFormat="1" applyFont="1" applyProtection="1">
      <protection locked="0"/>
    </xf>
    <xf numFmtId="175" fontId="258" fillId="0" borderId="0" xfId="1201" applyNumberFormat="1" applyFont="1" applyFill="1"/>
    <xf numFmtId="175" fontId="258" fillId="0" borderId="0" xfId="1201" applyNumberFormat="1" applyFont="1" applyFill="1" applyBorder="1"/>
    <xf numFmtId="177" fontId="258" fillId="0" borderId="0" xfId="0" applyNumberFormat="1" applyFont="1" applyProtection="1">
      <protection locked="0"/>
    </xf>
    <xf numFmtId="3" fontId="203" fillId="83" borderId="0" xfId="0" applyNumberFormat="1" applyFont="1" applyFill="1" applyProtection="1">
      <protection locked="0"/>
    </xf>
    <xf numFmtId="186" fontId="275" fillId="0" borderId="0" xfId="46292" applyNumberFormat="1" applyFont="1"/>
    <xf numFmtId="3" fontId="275" fillId="0" borderId="0" xfId="1201" applyNumberFormat="1" applyFont="1" applyFill="1"/>
    <xf numFmtId="3" fontId="275" fillId="0" borderId="0" xfId="46292" applyNumberFormat="1" applyFont="1"/>
    <xf numFmtId="3" fontId="201" fillId="0" borderId="0" xfId="0" applyNumberFormat="1" applyFont="1"/>
    <xf numFmtId="175" fontId="277" fillId="0" borderId="0" xfId="1201" applyNumberFormat="1" applyFont="1" applyFill="1" applyBorder="1" applyAlignment="1"/>
    <xf numFmtId="3" fontId="238" fillId="0" borderId="0" xfId="0" applyNumberFormat="1" applyFont="1"/>
    <xf numFmtId="173" fontId="243" fillId="0" borderId="0" xfId="0" applyNumberFormat="1" applyFont="1"/>
    <xf numFmtId="185" fontId="276" fillId="0" borderId="0" xfId="0" applyFont="1"/>
    <xf numFmtId="186" fontId="200" fillId="84" borderId="0" xfId="4502" applyNumberFormat="1" applyFont="1" applyFill="1"/>
    <xf numFmtId="1" fontId="200" fillId="84" borderId="0" xfId="4502" applyNumberFormat="1" applyFont="1" applyFill="1"/>
    <xf numFmtId="186" fontId="3" fillId="0" borderId="0" xfId="4502" applyNumberFormat="1" applyFont="1"/>
    <xf numFmtId="3" fontId="200" fillId="84" borderId="0" xfId="4502" applyNumberFormat="1" applyFont="1" applyFill="1"/>
    <xf numFmtId="185" fontId="196" fillId="85" borderId="0" xfId="0" applyFont="1" applyFill="1"/>
    <xf numFmtId="3" fontId="110" fillId="85" borderId="0" xfId="0" applyNumberFormat="1" applyFont="1" applyFill="1"/>
    <xf numFmtId="3" fontId="203" fillId="85" borderId="0" xfId="0" applyNumberFormat="1" applyFont="1" applyFill="1"/>
    <xf numFmtId="49" fontId="279" fillId="0" borderId="0" xfId="0" applyNumberFormat="1" applyFont="1"/>
    <xf numFmtId="185" fontId="198" fillId="0" borderId="0" xfId="0" applyFont="1"/>
    <xf numFmtId="3" fontId="202" fillId="0" borderId="0" xfId="1201" applyNumberFormat="1" applyFont="1" applyFill="1"/>
    <xf numFmtId="173" fontId="259" fillId="0" borderId="0" xfId="0" applyNumberFormat="1" applyFont="1"/>
    <xf numFmtId="177" fontId="253" fillId="80" borderId="0" xfId="0" applyNumberFormat="1" applyFont="1" applyFill="1"/>
    <xf numFmtId="1" fontId="280" fillId="0" borderId="0" xfId="0" applyNumberFormat="1" applyFont="1"/>
    <xf numFmtId="185" fontId="196" fillId="0" borderId="24" xfId="0" applyFont="1" applyBorder="1"/>
    <xf numFmtId="185" fontId="108" fillId="44" borderId="24" xfId="0" applyFont="1" applyFill="1" applyBorder="1"/>
    <xf numFmtId="3" fontId="202" fillId="44" borderId="0" xfId="0" applyNumberFormat="1" applyFont="1" applyFill="1"/>
    <xf numFmtId="3" fontId="203" fillId="44" borderId="0" xfId="0" applyNumberFormat="1" applyFont="1" applyFill="1"/>
    <xf numFmtId="3" fontId="108" fillId="44" borderId="0" xfId="0" applyNumberFormat="1" applyFont="1" applyFill="1"/>
    <xf numFmtId="185" fontId="108" fillId="44" borderId="0" xfId="0" applyFont="1" applyFill="1"/>
    <xf numFmtId="168" fontId="281" fillId="0" borderId="0" xfId="0" applyNumberFormat="1" applyFont="1"/>
    <xf numFmtId="186" fontId="275" fillId="0" borderId="0" xfId="47694" applyNumberFormat="1" applyFont="1"/>
    <xf numFmtId="186" fontId="275" fillId="0" borderId="0" xfId="47700" applyNumberFormat="1" applyFont="1"/>
    <xf numFmtId="186" fontId="275" fillId="0" borderId="0" xfId="47705" applyNumberFormat="1" applyFont="1"/>
    <xf numFmtId="1" fontId="252" fillId="0" borderId="0" xfId="0" applyNumberFormat="1" applyFont="1"/>
    <xf numFmtId="2" fontId="252" fillId="0" borderId="0" xfId="0" applyNumberFormat="1" applyFont="1"/>
    <xf numFmtId="187" fontId="202" fillId="0" borderId="0" xfId="0" applyNumberFormat="1" applyFont="1"/>
    <xf numFmtId="3" fontId="254" fillId="86" borderId="0" xfId="0" applyNumberFormat="1" applyFont="1" applyFill="1"/>
    <xf numFmtId="185" fontId="57" fillId="0" borderId="27" xfId="0" applyFont="1" applyBorder="1" applyAlignment="1">
      <alignment horizontal="right"/>
    </xf>
    <xf numFmtId="185" fontId="0" fillId="44" borderId="43" xfId="0" applyFill="1" applyBorder="1"/>
    <xf numFmtId="2" fontId="40" fillId="44" borderId="44" xfId="0" applyNumberFormat="1" applyFont="1" applyFill="1" applyBorder="1" applyAlignment="1">
      <alignment horizontal="right"/>
    </xf>
    <xf numFmtId="3" fontId="41" fillId="44" borderId="44" xfId="0" applyNumberFormat="1" applyFont="1" applyFill="1" applyBorder="1" applyAlignment="1">
      <alignment horizontal="right"/>
    </xf>
    <xf numFmtId="3" fontId="41" fillId="44" borderId="46" xfId="0" applyNumberFormat="1" applyFont="1" applyFill="1" applyBorder="1" applyAlignment="1">
      <alignment horizontal="right"/>
    </xf>
    <xf numFmtId="3" fontId="44" fillId="44" borderId="45" xfId="0" applyNumberFormat="1" applyFont="1" applyFill="1" applyBorder="1" applyAlignment="1">
      <alignment horizontal="right"/>
    </xf>
    <xf numFmtId="2" fontId="232" fillId="44" borderId="44" xfId="0" applyNumberFormat="1" applyFont="1" applyFill="1" applyBorder="1" applyAlignment="1">
      <alignment horizontal="right"/>
    </xf>
    <xf numFmtId="3" fontId="97" fillId="44" borderId="46" xfId="0" applyNumberFormat="1" applyFont="1" applyFill="1" applyBorder="1" applyAlignment="1">
      <alignment horizontal="right"/>
    </xf>
    <xf numFmtId="3" fontId="97" fillId="44" borderId="47" xfId="0" applyNumberFormat="1" applyFont="1" applyFill="1" applyBorder="1" applyAlignment="1">
      <alignment horizontal="right"/>
    </xf>
    <xf numFmtId="2" fontId="44" fillId="0" borderId="26" xfId="0" applyNumberFormat="1" applyFont="1" applyBorder="1"/>
    <xf numFmtId="185" fontId="0" fillId="0" borderId="48" xfId="0" applyBorder="1"/>
    <xf numFmtId="168" fontId="252" fillId="44" borderId="0" xfId="0" applyNumberFormat="1" applyFont="1" applyFill="1"/>
    <xf numFmtId="4" fontId="243" fillId="0" borderId="0" xfId="0" applyNumberFormat="1" applyFont="1" applyAlignment="1">
      <alignment horizontal="center"/>
    </xf>
    <xf numFmtId="168" fontId="278" fillId="0" borderId="0" xfId="0" applyNumberFormat="1" applyFont="1"/>
    <xf numFmtId="175" fontId="243" fillId="0" borderId="0" xfId="1201" applyNumberFormat="1" applyFont="1" applyBorder="1"/>
    <xf numFmtId="175" fontId="243" fillId="80" borderId="0" xfId="1201" applyNumberFormat="1" applyFont="1" applyFill="1" applyBorder="1"/>
    <xf numFmtId="168" fontId="77" fillId="0" borderId="0" xfId="0" applyNumberFormat="1" applyFont="1"/>
    <xf numFmtId="173" fontId="77" fillId="0" borderId="0" xfId="0" applyNumberFormat="1" applyFont="1" applyAlignment="1">
      <alignment horizontal="right"/>
    </xf>
    <xf numFmtId="182" fontId="77" fillId="0" borderId="0" xfId="1201" applyNumberFormat="1" applyFont="1" applyFill="1"/>
    <xf numFmtId="168" fontId="77" fillId="0" borderId="0" xfId="1776" applyNumberFormat="1" applyFont="1"/>
    <xf numFmtId="187" fontId="77" fillId="0" borderId="0" xfId="1778" applyNumberFormat="1" applyFont="1"/>
    <xf numFmtId="187" fontId="77" fillId="0" borderId="0" xfId="1578" applyNumberFormat="1" applyFont="1"/>
    <xf numFmtId="187" fontId="202" fillId="0" borderId="0" xfId="1578" applyNumberFormat="1" applyFont="1"/>
    <xf numFmtId="49" fontId="77" fillId="0" borderId="0" xfId="0" applyNumberFormat="1" applyFont="1" applyAlignment="1">
      <alignment horizontal="right"/>
    </xf>
    <xf numFmtId="168" fontId="77" fillId="0" borderId="0" xfId="0" applyNumberFormat="1" applyFont="1" applyAlignment="1">
      <alignment horizontal="right"/>
    </xf>
    <xf numFmtId="168" fontId="77" fillId="0" borderId="0" xfId="1578" applyNumberFormat="1" applyFont="1"/>
    <xf numFmtId="3" fontId="228" fillId="0" borderId="0" xfId="1578" applyNumberFormat="1" applyFont="1"/>
    <xf numFmtId="3" fontId="228" fillId="0" borderId="0" xfId="4149" applyNumberFormat="1" applyFont="1"/>
    <xf numFmtId="182" fontId="245" fillId="83" borderId="0" xfId="1201" applyNumberFormat="1" applyFont="1" applyFill="1" applyBorder="1"/>
    <xf numFmtId="170" fontId="110" fillId="0" borderId="0" xfId="2366" applyNumberFormat="1" applyFont="1" applyFill="1"/>
    <xf numFmtId="168" fontId="203" fillId="0" borderId="0" xfId="0" applyNumberFormat="1" applyFont="1"/>
    <xf numFmtId="182" fontId="245" fillId="0" borderId="0" xfId="1201" applyNumberFormat="1" applyFont="1" applyFill="1" applyBorder="1"/>
    <xf numFmtId="182" fontId="245" fillId="0" borderId="0" xfId="1201" applyNumberFormat="1" applyFont="1" applyBorder="1"/>
    <xf numFmtId="168" fontId="201" fillId="0" borderId="0" xfId="0" applyNumberFormat="1" applyFont="1"/>
    <xf numFmtId="168" fontId="233" fillId="0" borderId="0" xfId="0" applyNumberFormat="1" applyFont="1"/>
    <xf numFmtId="182" fontId="233" fillId="0" borderId="0" xfId="1201" applyNumberFormat="1" applyFont="1" applyFill="1"/>
    <xf numFmtId="182" fontId="201" fillId="0" borderId="0" xfId="1201" applyNumberFormat="1" applyFont="1" applyFill="1"/>
    <xf numFmtId="3" fontId="39" fillId="0" borderId="0" xfId="0" applyNumberFormat="1" applyFont="1"/>
    <xf numFmtId="4" fontId="233" fillId="0" borderId="0" xfId="0" applyNumberFormat="1" applyFont="1"/>
    <xf numFmtId="168" fontId="252" fillId="0" borderId="49" xfId="0" applyNumberFormat="1" applyFont="1" applyBorder="1"/>
    <xf numFmtId="185" fontId="243" fillId="0" borderId="49" xfId="0" applyFont="1" applyBorder="1"/>
    <xf numFmtId="1" fontId="242" fillId="0" borderId="49" xfId="0" applyNumberFormat="1" applyFont="1" applyBorder="1"/>
    <xf numFmtId="185" fontId="243" fillId="80" borderId="49" xfId="0" applyFont="1" applyFill="1" applyBorder="1"/>
    <xf numFmtId="186" fontId="256" fillId="0" borderId="49" xfId="47696" applyNumberFormat="1" applyFont="1" applyBorder="1"/>
    <xf numFmtId="3" fontId="256" fillId="0" borderId="49" xfId="47710" applyNumberFormat="1" applyFont="1" applyBorder="1"/>
    <xf numFmtId="3" fontId="253" fillId="0" borderId="49" xfId="0" applyNumberFormat="1" applyFont="1" applyBorder="1"/>
    <xf numFmtId="3" fontId="243" fillId="0" borderId="49" xfId="0" applyNumberFormat="1" applyFont="1" applyBorder="1"/>
    <xf numFmtId="3" fontId="259" fillId="0" borderId="49" xfId="0" applyNumberFormat="1" applyFont="1" applyBorder="1"/>
    <xf numFmtId="3" fontId="243" fillId="0" borderId="49" xfId="0" applyNumberFormat="1" applyFont="1" applyBorder="1" applyAlignment="1">
      <alignment horizontal="center"/>
    </xf>
    <xf numFmtId="182" fontId="243" fillId="0" borderId="49" xfId="1201" applyNumberFormat="1" applyFont="1" applyFill="1" applyBorder="1" applyAlignment="1">
      <alignment horizontal="center"/>
    </xf>
    <xf numFmtId="10" fontId="243" fillId="80" borderId="49" xfId="0" applyNumberFormat="1" applyFont="1" applyFill="1" applyBorder="1" applyAlignment="1">
      <alignment horizontal="center"/>
    </xf>
    <xf numFmtId="168" fontId="243" fillId="0" borderId="49" xfId="0" applyNumberFormat="1" applyFont="1" applyBorder="1"/>
    <xf numFmtId="167" fontId="253" fillId="0" borderId="49" xfId="0" applyNumberFormat="1" applyFont="1" applyBorder="1"/>
    <xf numFmtId="167" fontId="259" fillId="80" borderId="49" xfId="0" applyNumberFormat="1" applyFont="1" applyFill="1" applyBorder="1"/>
    <xf numFmtId="1" fontId="243" fillId="0" borderId="49" xfId="0" applyNumberFormat="1" applyFont="1" applyBorder="1"/>
    <xf numFmtId="3" fontId="263" fillId="0" borderId="49" xfId="0" applyNumberFormat="1" applyFont="1" applyBorder="1"/>
    <xf numFmtId="1" fontId="253" fillId="0" borderId="49" xfId="0" applyNumberFormat="1" applyFont="1" applyBorder="1"/>
    <xf numFmtId="1" fontId="253" fillId="80" borderId="49" xfId="0" applyNumberFormat="1" applyFont="1" applyFill="1" applyBorder="1"/>
    <xf numFmtId="175" fontId="253" fillId="0" borderId="49" xfId="1201" applyNumberFormat="1" applyFont="1" applyFill="1" applyBorder="1"/>
    <xf numFmtId="175" fontId="259" fillId="0" borderId="49" xfId="1201" applyNumberFormat="1" applyFont="1" applyFill="1" applyBorder="1"/>
    <xf numFmtId="182" fontId="39" fillId="0" borderId="49" xfId="1201" applyNumberFormat="1" applyFont="1" applyBorder="1"/>
    <xf numFmtId="168" fontId="253" fillId="0" borderId="49" xfId="0" applyNumberFormat="1" applyFont="1" applyBorder="1"/>
    <xf numFmtId="2" fontId="258" fillId="0" borderId="49" xfId="0" applyNumberFormat="1" applyFont="1" applyBorder="1"/>
    <xf numFmtId="2" fontId="263" fillId="0" borderId="49" xfId="0" applyNumberFormat="1" applyFont="1" applyBorder="1"/>
    <xf numFmtId="2" fontId="263" fillId="80" borderId="49" xfId="0" applyNumberFormat="1" applyFont="1" applyFill="1" applyBorder="1"/>
    <xf numFmtId="3" fontId="254" fillId="0" borderId="49" xfId="0" applyNumberFormat="1" applyFont="1" applyBorder="1"/>
    <xf numFmtId="168" fontId="258" fillId="0" borderId="49" xfId="0" applyNumberFormat="1" applyFont="1" applyBorder="1"/>
    <xf numFmtId="185" fontId="242" fillId="80" borderId="49" xfId="0" applyFont="1" applyFill="1" applyBorder="1"/>
    <xf numFmtId="1" fontId="258" fillId="0" borderId="49" xfId="0" applyNumberFormat="1" applyFont="1" applyBorder="1"/>
    <xf numFmtId="1" fontId="253" fillId="0" borderId="50" xfId="0" applyNumberFormat="1" applyFont="1" applyBorder="1"/>
    <xf numFmtId="43" fontId="243" fillId="0" borderId="49" xfId="1201" applyFont="1" applyBorder="1"/>
    <xf numFmtId="185" fontId="242" fillId="0" borderId="49" xfId="0" applyFont="1" applyBorder="1"/>
    <xf numFmtId="177" fontId="260" fillId="0" borderId="49" xfId="0" applyNumberFormat="1" applyFont="1" applyBorder="1" applyProtection="1">
      <protection locked="0"/>
    </xf>
    <xf numFmtId="1" fontId="269" fillId="0" borderId="49" xfId="0" applyNumberFormat="1" applyFont="1" applyBorder="1"/>
    <xf numFmtId="3" fontId="257" fillId="0" borderId="49" xfId="0" applyNumberFormat="1" applyFont="1" applyBorder="1"/>
    <xf numFmtId="3" fontId="258" fillId="0" borderId="49" xfId="0" applyNumberFormat="1" applyFont="1" applyBorder="1"/>
    <xf numFmtId="168" fontId="259" fillId="0" borderId="49" xfId="0" applyNumberFormat="1" applyFont="1" applyBorder="1"/>
    <xf numFmtId="1" fontId="259" fillId="0" borderId="49" xfId="0" applyNumberFormat="1" applyFont="1" applyBorder="1"/>
    <xf numFmtId="177" fontId="253" fillId="0" borderId="49" xfId="0" applyNumberFormat="1" applyFont="1" applyBorder="1"/>
    <xf numFmtId="3" fontId="261" fillId="0" borderId="49" xfId="5170" applyNumberFormat="1" applyFont="1" applyBorder="1"/>
    <xf numFmtId="177" fontId="253" fillId="80" borderId="50" xfId="0" applyNumberFormat="1" applyFont="1" applyFill="1" applyBorder="1"/>
    <xf numFmtId="2" fontId="253" fillId="0" borderId="49" xfId="0" applyNumberFormat="1" applyFont="1" applyBorder="1"/>
    <xf numFmtId="2" fontId="243" fillId="0" borderId="49" xfId="0" applyNumberFormat="1" applyFont="1" applyBorder="1"/>
    <xf numFmtId="170" fontId="259" fillId="0" borderId="49" xfId="2366" applyNumberFormat="1" applyFont="1" applyBorder="1"/>
    <xf numFmtId="170" fontId="259" fillId="0" borderId="49" xfId="2366" applyNumberFormat="1" applyFont="1" applyFill="1" applyBorder="1"/>
    <xf numFmtId="170" fontId="253" fillId="0" borderId="49" xfId="0" applyNumberFormat="1" applyFont="1" applyBorder="1"/>
    <xf numFmtId="170" fontId="259" fillId="0" borderId="49" xfId="0" applyNumberFormat="1" applyFont="1" applyBorder="1"/>
    <xf numFmtId="3" fontId="259" fillId="29" borderId="49" xfId="0" applyNumberFormat="1" applyFont="1" applyFill="1" applyBorder="1"/>
    <xf numFmtId="43" fontId="243" fillId="0" borderId="0" xfId="1201" applyFont="1" applyBorder="1"/>
    <xf numFmtId="182" fontId="245" fillId="0" borderId="49" xfId="1201" applyNumberFormat="1" applyFont="1" applyFill="1" applyBorder="1"/>
    <xf numFmtId="3" fontId="258" fillId="0" borderId="49" xfId="0" applyNumberFormat="1" applyFont="1" applyBorder="1" applyAlignment="1">
      <alignment horizontal="right"/>
    </xf>
    <xf numFmtId="3" fontId="258" fillId="0" borderId="49" xfId="2074" applyNumberFormat="1" applyFont="1" applyBorder="1" applyProtection="1">
      <protection locked="0"/>
    </xf>
    <xf numFmtId="177" fontId="243" fillId="0" borderId="0" xfId="0" applyNumberFormat="1" applyFont="1" applyProtection="1">
      <protection locked="0"/>
    </xf>
    <xf numFmtId="177" fontId="243" fillId="0" borderId="49" xfId="0" applyNumberFormat="1" applyFont="1" applyBorder="1" applyProtection="1">
      <protection locked="0"/>
    </xf>
    <xf numFmtId="196" fontId="280" fillId="0" borderId="0" xfId="0" applyNumberFormat="1" applyFont="1"/>
    <xf numFmtId="2" fontId="203" fillId="34" borderId="0" xfId="0" applyNumberFormat="1" applyFont="1" applyFill="1" applyProtection="1">
      <protection locked="0"/>
    </xf>
    <xf numFmtId="4" fontId="233" fillId="82" borderId="0" xfId="0" applyNumberFormat="1" applyFont="1" applyFill="1"/>
    <xf numFmtId="3" fontId="110" fillId="83" borderId="0" xfId="0" applyNumberFormat="1" applyFont="1" applyFill="1"/>
    <xf numFmtId="3" fontId="108" fillId="80" borderId="0" xfId="0" applyNumberFormat="1" applyFont="1" applyFill="1"/>
    <xf numFmtId="3" fontId="108" fillId="80" borderId="0" xfId="1201" applyNumberFormat="1" applyFont="1" applyFill="1"/>
    <xf numFmtId="0" fontId="40" fillId="0" borderId="26" xfId="0" applyNumberFormat="1" applyFont="1" applyBorder="1"/>
    <xf numFmtId="0" fontId="40" fillId="0" borderId="25" xfId="0" applyNumberFormat="1" applyFont="1" applyBorder="1"/>
    <xf numFmtId="0" fontId="40" fillId="0" borderId="51" xfId="0" applyNumberFormat="1" applyFont="1" applyBorder="1"/>
    <xf numFmtId="185" fontId="282" fillId="0" borderId="0" xfId="0" applyFont="1"/>
    <xf numFmtId="2" fontId="282" fillId="0" borderId="0" xfId="0" applyNumberFormat="1" applyFont="1"/>
    <xf numFmtId="2" fontId="282" fillId="0" borderId="24" xfId="0" applyNumberFormat="1" applyFont="1" applyBorder="1"/>
    <xf numFmtId="2" fontId="284" fillId="0" borderId="0" xfId="0" applyNumberFormat="1" applyFont="1"/>
    <xf numFmtId="2" fontId="282" fillId="0" borderId="49" xfId="0" applyNumberFormat="1" applyFont="1" applyBorder="1"/>
    <xf numFmtId="0" fontId="282" fillId="0" borderId="0" xfId="0" applyNumberFormat="1" applyFont="1"/>
    <xf numFmtId="0" fontId="40" fillId="0" borderId="52" xfId="0" applyNumberFormat="1" applyFont="1" applyBorder="1" applyAlignment="1">
      <alignment horizontal="center"/>
    </xf>
    <xf numFmtId="0" fontId="40" fillId="0" borderId="49" xfId="0" applyNumberFormat="1" applyFont="1" applyBorder="1" applyAlignment="1">
      <alignment horizontal="center"/>
    </xf>
    <xf numFmtId="0" fontId="285" fillId="0" borderId="24" xfId="0" applyNumberFormat="1" applyFont="1" applyBorder="1" applyAlignment="1">
      <alignment horizontal="center"/>
    </xf>
    <xf numFmtId="0" fontId="283" fillId="87" borderId="26" xfId="0" applyNumberFormat="1" applyFont="1" applyFill="1" applyBorder="1"/>
    <xf numFmtId="0" fontId="283" fillId="0" borderId="26" xfId="0" applyNumberFormat="1" applyFont="1" applyBorder="1" applyAlignment="1">
      <alignment wrapText="1"/>
    </xf>
    <xf numFmtId="0" fontId="282" fillId="0" borderId="24" xfId="0" applyNumberFormat="1" applyFont="1" applyBorder="1"/>
    <xf numFmtId="0" fontId="282" fillId="0" borderId="49" xfId="0" applyNumberFormat="1" applyFont="1" applyBorder="1"/>
    <xf numFmtId="0" fontId="284" fillId="0" borderId="0" xfId="0" applyNumberFormat="1" applyFont="1"/>
    <xf numFmtId="0" fontId="285" fillId="0" borderId="0" xfId="0" applyNumberFormat="1" applyFont="1" applyBorder="1" applyAlignment="1">
      <alignment horizontal="center"/>
    </xf>
    <xf numFmtId="0" fontId="285" fillId="0" borderId="49" xfId="0" applyNumberFormat="1" applyFont="1" applyBorder="1" applyAlignment="1">
      <alignment horizontal="center"/>
    </xf>
    <xf numFmtId="0" fontId="282" fillId="0" borderId="0" xfId="0" applyNumberFormat="1" applyFont="1" applyBorder="1"/>
  </cellXfs>
  <cellStyles count="47715">
    <cellStyle name="=C:\WINNT35\SYSTEM32\COMMAND.COM" xfId="1" xr:uid="{00000000-0005-0000-0000-000000000000}"/>
    <cellStyle name="=C:\WINNT35\SYSTEM32\COMMAND.COM 10" xfId="2" xr:uid="{00000000-0005-0000-0000-000001000000}"/>
    <cellStyle name="=C:\WINNT35\SYSTEM32\COMMAND.COM 10 2" xfId="3" xr:uid="{00000000-0005-0000-0000-000002000000}"/>
    <cellStyle name="=C:\WINNT35\SYSTEM32\COMMAND.COM 10 2 2" xfId="10299" xr:uid="{00000000-0005-0000-0000-000003000000}"/>
    <cellStyle name="=C:\WINNT35\SYSTEM32\COMMAND.COM 10 3" xfId="10300" xr:uid="{00000000-0005-0000-0000-000004000000}"/>
    <cellStyle name="=C:\WINNT35\SYSTEM32\COMMAND.COM 11" xfId="4" xr:uid="{00000000-0005-0000-0000-000005000000}"/>
    <cellStyle name="=C:\WINNT35\SYSTEM32\COMMAND.COM 11 2" xfId="5" xr:uid="{00000000-0005-0000-0000-000006000000}"/>
    <cellStyle name="=C:\WINNT35\SYSTEM32\COMMAND.COM 11 2 2" xfId="10303" xr:uid="{00000000-0005-0000-0000-000007000000}"/>
    <cellStyle name="=C:\WINNT35\SYSTEM32\COMMAND.COM 11 3" xfId="10304" xr:uid="{00000000-0005-0000-0000-000008000000}"/>
    <cellStyle name="=C:\WINNT35\SYSTEM32\COMMAND.COM 12" xfId="6" xr:uid="{00000000-0005-0000-0000-000009000000}"/>
    <cellStyle name="=C:\WINNT35\SYSTEM32\COMMAND.COM 12 2" xfId="7" xr:uid="{00000000-0005-0000-0000-00000A000000}"/>
    <cellStyle name="=C:\WINNT35\SYSTEM32\COMMAND.COM 12 2 2" xfId="10307" xr:uid="{00000000-0005-0000-0000-00000B000000}"/>
    <cellStyle name="=C:\WINNT35\SYSTEM32\COMMAND.COM 12 3" xfId="10308" xr:uid="{00000000-0005-0000-0000-00000C000000}"/>
    <cellStyle name="=C:\WINNT35\SYSTEM32\COMMAND.COM 13" xfId="8" xr:uid="{00000000-0005-0000-0000-00000D000000}"/>
    <cellStyle name="=C:\WINNT35\SYSTEM32\COMMAND.COM 13 2" xfId="9" xr:uid="{00000000-0005-0000-0000-00000E000000}"/>
    <cellStyle name="=C:\WINNT35\SYSTEM32\COMMAND.COM 13 2 2" xfId="10311" xr:uid="{00000000-0005-0000-0000-00000F000000}"/>
    <cellStyle name="=C:\WINNT35\SYSTEM32\COMMAND.COM 13 3" xfId="10312" xr:uid="{00000000-0005-0000-0000-000010000000}"/>
    <cellStyle name="=C:\WINNT35\SYSTEM32\COMMAND.COM 14" xfId="10" xr:uid="{00000000-0005-0000-0000-000011000000}"/>
    <cellStyle name="=C:\WINNT35\SYSTEM32\COMMAND.COM 14 2" xfId="11" xr:uid="{00000000-0005-0000-0000-000012000000}"/>
    <cellStyle name="=C:\WINNT35\SYSTEM32\COMMAND.COM 14 2 2" xfId="10315" xr:uid="{00000000-0005-0000-0000-000013000000}"/>
    <cellStyle name="=C:\WINNT35\SYSTEM32\COMMAND.COM 14 3" xfId="10316" xr:uid="{00000000-0005-0000-0000-000014000000}"/>
    <cellStyle name="=C:\WINNT35\SYSTEM32\COMMAND.COM 15" xfId="12" xr:uid="{00000000-0005-0000-0000-000015000000}"/>
    <cellStyle name="=C:\WINNT35\SYSTEM32\COMMAND.COM 15 2" xfId="13" xr:uid="{00000000-0005-0000-0000-000016000000}"/>
    <cellStyle name="=C:\WINNT35\SYSTEM32\COMMAND.COM 15 2 2" xfId="10319" xr:uid="{00000000-0005-0000-0000-000017000000}"/>
    <cellStyle name="=C:\WINNT35\SYSTEM32\COMMAND.COM 15 3" xfId="10320" xr:uid="{00000000-0005-0000-0000-000018000000}"/>
    <cellStyle name="=C:\WINNT35\SYSTEM32\COMMAND.COM 16" xfId="14" xr:uid="{00000000-0005-0000-0000-000019000000}"/>
    <cellStyle name="=C:\WINNT35\SYSTEM32\COMMAND.COM 16 2" xfId="15" xr:uid="{00000000-0005-0000-0000-00001A000000}"/>
    <cellStyle name="=C:\WINNT35\SYSTEM32\COMMAND.COM 16 2 2" xfId="10323" xr:uid="{00000000-0005-0000-0000-00001B000000}"/>
    <cellStyle name="=C:\WINNT35\SYSTEM32\COMMAND.COM 16 3" xfId="10324" xr:uid="{00000000-0005-0000-0000-00001C000000}"/>
    <cellStyle name="=C:\WINNT35\SYSTEM32\COMMAND.COM 17" xfId="16" xr:uid="{00000000-0005-0000-0000-00001D000000}"/>
    <cellStyle name="=C:\WINNT35\SYSTEM32\COMMAND.COM 17 2" xfId="17" xr:uid="{00000000-0005-0000-0000-00001E000000}"/>
    <cellStyle name="=C:\WINNT35\SYSTEM32\COMMAND.COM 17 2 2" xfId="10327" xr:uid="{00000000-0005-0000-0000-00001F000000}"/>
    <cellStyle name="=C:\WINNT35\SYSTEM32\COMMAND.COM 17 3" xfId="10328" xr:uid="{00000000-0005-0000-0000-000020000000}"/>
    <cellStyle name="=C:\WINNT35\SYSTEM32\COMMAND.COM 18" xfId="18" xr:uid="{00000000-0005-0000-0000-000021000000}"/>
    <cellStyle name="=C:\WINNT35\SYSTEM32\COMMAND.COM 18 2" xfId="19" xr:uid="{00000000-0005-0000-0000-000022000000}"/>
    <cellStyle name="=C:\WINNT35\SYSTEM32\COMMAND.COM 18 2 2" xfId="10331" xr:uid="{00000000-0005-0000-0000-000023000000}"/>
    <cellStyle name="=C:\WINNT35\SYSTEM32\COMMAND.COM 18 3" xfId="10332" xr:uid="{00000000-0005-0000-0000-000024000000}"/>
    <cellStyle name="=C:\WINNT35\SYSTEM32\COMMAND.COM 19" xfId="20" xr:uid="{00000000-0005-0000-0000-000025000000}"/>
    <cellStyle name="=C:\WINNT35\SYSTEM32\COMMAND.COM 19 2" xfId="21" xr:uid="{00000000-0005-0000-0000-000026000000}"/>
    <cellStyle name="=C:\WINNT35\SYSTEM32\COMMAND.COM 19 2 2" xfId="10335" xr:uid="{00000000-0005-0000-0000-000027000000}"/>
    <cellStyle name="=C:\WINNT35\SYSTEM32\COMMAND.COM 19 3" xfId="10336" xr:uid="{00000000-0005-0000-0000-000028000000}"/>
    <cellStyle name="=C:\WINNT35\SYSTEM32\COMMAND.COM 2" xfId="22" xr:uid="{00000000-0005-0000-0000-000029000000}"/>
    <cellStyle name="=C:\WINNT35\SYSTEM32\COMMAND.COM 2 2" xfId="23" xr:uid="{00000000-0005-0000-0000-00002A000000}"/>
    <cellStyle name="=C:\WINNT35\SYSTEM32\COMMAND.COM 2 2 2" xfId="24" xr:uid="{00000000-0005-0000-0000-00002B000000}"/>
    <cellStyle name="=C:\WINNT35\SYSTEM32\COMMAND.COM 2 2 2 2" xfId="25" xr:uid="{00000000-0005-0000-0000-00002C000000}"/>
    <cellStyle name="=C:\WINNT35\SYSTEM32\COMMAND.COM 2 2 2 3" xfId="10341" xr:uid="{00000000-0005-0000-0000-00002D000000}"/>
    <cellStyle name="=C:\WINNT35\SYSTEM32\COMMAND.COM 2 2 3" xfId="10342" xr:uid="{00000000-0005-0000-0000-00002E000000}"/>
    <cellStyle name="=C:\WINNT35\SYSTEM32\COMMAND.COM 2 2_NGL-pris" xfId="26" xr:uid="{00000000-0005-0000-0000-00002F000000}"/>
    <cellStyle name="=C:\WINNT35\SYSTEM32\COMMAND.COM 2 3" xfId="10344" xr:uid="{00000000-0005-0000-0000-000030000000}"/>
    <cellStyle name="=C:\WINNT35\SYSTEM32\COMMAND.COM 20" xfId="27" xr:uid="{00000000-0005-0000-0000-000031000000}"/>
    <cellStyle name="=C:\WINNT35\SYSTEM32\COMMAND.COM 20 2" xfId="28" xr:uid="{00000000-0005-0000-0000-000032000000}"/>
    <cellStyle name="=C:\WINNT35\SYSTEM32\COMMAND.COM 20 2 2" xfId="10347" xr:uid="{00000000-0005-0000-0000-000033000000}"/>
    <cellStyle name="=C:\WINNT35\SYSTEM32\COMMAND.COM 20 3" xfId="10348" xr:uid="{00000000-0005-0000-0000-000034000000}"/>
    <cellStyle name="=C:\WINNT35\SYSTEM32\COMMAND.COM 21" xfId="29" xr:uid="{00000000-0005-0000-0000-000035000000}"/>
    <cellStyle name="=C:\WINNT35\SYSTEM32\COMMAND.COM 21 2" xfId="30" xr:uid="{00000000-0005-0000-0000-000036000000}"/>
    <cellStyle name="=C:\WINNT35\SYSTEM32\COMMAND.COM 21 2 2" xfId="10351" xr:uid="{00000000-0005-0000-0000-000037000000}"/>
    <cellStyle name="=C:\WINNT35\SYSTEM32\COMMAND.COM 21 3" xfId="10352" xr:uid="{00000000-0005-0000-0000-000038000000}"/>
    <cellStyle name="=C:\WINNT35\SYSTEM32\COMMAND.COM 22" xfId="31" xr:uid="{00000000-0005-0000-0000-000039000000}"/>
    <cellStyle name="=C:\WINNT35\SYSTEM32\COMMAND.COM 22 2" xfId="32" xr:uid="{00000000-0005-0000-0000-00003A000000}"/>
    <cellStyle name="=C:\WINNT35\SYSTEM32\COMMAND.COM 22 2 2" xfId="10355" xr:uid="{00000000-0005-0000-0000-00003B000000}"/>
    <cellStyle name="=C:\WINNT35\SYSTEM32\COMMAND.COM 22 3" xfId="10356" xr:uid="{00000000-0005-0000-0000-00003C000000}"/>
    <cellStyle name="=C:\WINNT35\SYSTEM32\COMMAND.COM 23" xfId="33" xr:uid="{00000000-0005-0000-0000-00003D000000}"/>
    <cellStyle name="=C:\WINNT35\SYSTEM32\COMMAND.COM 23 2" xfId="34" xr:uid="{00000000-0005-0000-0000-00003E000000}"/>
    <cellStyle name="=C:\WINNT35\SYSTEM32\COMMAND.COM 23 2 2" xfId="10359" xr:uid="{00000000-0005-0000-0000-00003F000000}"/>
    <cellStyle name="=C:\WINNT35\SYSTEM32\COMMAND.COM 23 3" xfId="10360" xr:uid="{00000000-0005-0000-0000-000040000000}"/>
    <cellStyle name="=C:\WINNT35\SYSTEM32\COMMAND.COM 24" xfId="35" xr:uid="{00000000-0005-0000-0000-000041000000}"/>
    <cellStyle name="=C:\WINNT35\SYSTEM32\COMMAND.COM 24 2" xfId="36" xr:uid="{00000000-0005-0000-0000-000042000000}"/>
    <cellStyle name="=C:\WINNT35\SYSTEM32\COMMAND.COM 24 2 2" xfId="10363" xr:uid="{00000000-0005-0000-0000-000043000000}"/>
    <cellStyle name="=C:\WINNT35\SYSTEM32\COMMAND.COM 24 3" xfId="10364" xr:uid="{00000000-0005-0000-0000-000044000000}"/>
    <cellStyle name="=C:\WINNT35\SYSTEM32\COMMAND.COM 25" xfId="37" xr:uid="{00000000-0005-0000-0000-000045000000}"/>
    <cellStyle name="=C:\WINNT35\SYSTEM32\COMMAND.COM 25 2" xfId="38" xr:uid="{00000000-0005-0000-0000-000046000000}"/>
    <cellStyle name="=C:\WINNT35\SYSTEM32\COMMAND.COM 25 2 2" xfId="10367" xr:uid="{00000000-0005-0000-0000-000047000000}"/>
    <cellStyle name="=C:\WINNT35\SYSTEM32\COMMAND.COM 25 3" xfId="10368" xr:uid="{00000000-0005-0000-0000-000048000000}"/>
    <cellStyle name="=C:\WINNT35\SYSTEM32\COMMAND.COM 26" xfId="39" xr:uid="{00000000-0005-0000-0000-000049000000}"/>
    <cellStyle name="=C:\WINNT35\SYSTEM32\COMMAND.COM 26 2" xfId="40" xr:uid="{00000000-0005-0000-0000-00004A000000}"/>
    <cellStyle name="=C:\WINNT35\SYSTEM32\COMMAND.COM 26 2 2" xfId="10371" xr:uid="{00000000-0005-0000-0000-00004B000000}"/>
    <cellStyle name="=C:\WINNT35\SYSTEM32\COMMAND.COM 26 3" xfId="10372" xr:uid="{00000000-0005-0000-0000-00004C000000}"/>
    <cellStyle name="=C:\WINNT35\SYSTEM32\COMMAND.COM 27" xfId="41" xr:uid="{00000000-0005-0000-0000-00004D000000}"/>
    <cellStyle name="=C:\WINNT35\SYSTEM32\COMMAND.COM 27 2" xfId="42" xr:uid="{00000000-0005-0000-0000-00004E000000}"/>
    <cellStyle name="=C:\WINNT35\SYSTEM32\COMMAND.COM 27 2 2" xfId="10374" xr:uid="{00000000-0005-0000-0000-00004F000000}"/>
    <cellStyle name="=C:\WINNT35\SYSTEM32\COMMAND.COM 27 3" xfId="10375" xr:uid="{00000000-0005-0000-0000-000050000000}"/>
    <cellStyle name="=C:\WINNT35\SYSTEM32\COMMAND.COM 28" xfId="43" xr:uid="{00000000-0005-0000-0000-000051000000}"/>
    <cellStyle name="=C:\WINNT35\SYSTEM32\COMMAND.COM 28 2" xfId="44" xr:uid="{00000000-0005-0000-0000-000052000000}"/>
    <cellStyle name="=C:\WINNT35\SYSTEM32\COMMAND.COM 28 2 2" xfId="10376" xr:uid="{00000000-0005-0000-0000-000053000000}"/>
    <cellStyle name="=C:\WINNT35\SYSTEM32\COMMAND.COM 28 3" xfId="10377" xr:uid="{00000000-0005-0000-0000-000054000000}"/>
    <cellStyle name="=C:\WINNT35\SYSTEM32\COMMAND.COM 29" xfId="45" xr:uid="{00000000-0005-0000-0000-000055000000}"/>
    <cellStyle name="=C:\WINNT35\SYSTEM32\COMMAND.COM 29 2" xfId="46" xr:uid="{00000000-0005-0000-0000-000056000000}"/>
    <cellStyle name="=C:\WINNT35\SYSTEM32\COMMAND.COM 29 2 2" xfId="10379" xr:uid="{00000000-0005-0000-0000-000057000000}"/>
    <cellStyle name="=C:\WINNT35\SYSTEM32\COMMAND.COM 29 3" xfId="10380" xr:uid="{00000000-0005-0000-0000-000058000000}"/>
    <cellStyle name="=C:\WINNT35\SYSTEM32\COMMAND.COM 3" xfId="47" xr:uid="{00000000-0005-0000-0000-000059000000}"/>
    <cellStyle name="=C:\WINNT35\SYSTEM32\COMMAND.COM 3 2" xfId="48" xr:uid="{00000000-0005-0000-0000-00005A000000}"/>
    <cellStyle name="=C:\WINNT35\SYSTEM32\COMMAND.COM 3 2 2" xfId="10383" xr:uid="{00000000-0005-0000-0000-00005B000000}"/>
    <cellStyle name="=C:\WINNT35\SYSTEM32\COMMAND.COM 3 3" xfId="10384" xr:uid="{00000000-0005-0000-0000-00005C000000}"/>
    <cellStyle name="=C:\WINNT35\SYSTEM32\COMMAND.COM 30" xfId="49" xr:uid="{00000000-0005-0000-0000-00005D000000}"/>
    <cellStyle name="=C:\WINNT35\SYSTEM32\COMMAND.COM 30 2" xfId="50" xr:uid="{00000000-0005-0000-0000-00005E000000}"/>
    <cellStyle name="=C:\WINNT35\SYSTEM32\COMMAND.COM 30 2 2" xfId="10387" xr:uid="{00000000-0005-0000-0000-00005F000000}"/>
    <cellStyle name="=C:\WINNT35\SYSTEM32\COMMAND.COM 30 3" xfId="10388" xr:uid="{00000000-0005-0000-0000-000060000000}"/>
    <cellStyle name="=C:\WINNT35\SYSTEM32\COMMAND.COM 31" xfId="51" xr:uid="{00000000-0005-0000-0000-000061000000}"/>
    <cellStyle name="=C:\WINNT35\SYSTEM32\COMMAND.COM 31 2" xfId="52" xr:uid="{00000000-0005-0000-0000-000062000000}"/>
    <cellStyle name="=C:\WINNT35\SYSTEM32\COMMAND.COM 31 2 2" xfId="10391" xr:uid="{00000000-0005-0000-0000-000063000000}"/>
    <cellStyle name="=C:\WINNT35\SYSTEM32\COMMAND.COM 31 3" xfId="10392" xr:uid="{00000000-0005-0000-0000-000064000000}"/>
    <cellStyle name="=C:\WINNT35\SYSTEM32\COMMAND.COM 32" xfId="53" xr:uid="{00000000-0005-0000-0000-000065000000}"/>
    <cellStyle name="=C:\WINNT35\SYSTEM32\COMMAND.COM 32 2" xfId="54" xr:uid="{00000000-0005-0000-0000-000066000000}"/>
    <cellStyle name="=C:\WINNT35\SYSTEM32\COMMAND.COM 32 2 2" xfId="10395" xr:uid="{00000000-0005-0000-0000-000067000000}"/>
    <cellStyle name="=C:\WINNT35\SYSTEM32\COMMAND.COM 32 3" xfId="10396" xr:uid="{00000000-0005-0000-0000-000068000000}"/>
    <cellStyle name="=C:\WINNT35\SYSTEM32\COMMAND.COM 33" xfId="55" xr:uid="{00000000-0005-0000-0000-000069000000}"/>
    <cellStyle name="=C:\WINNT35\SYSTEM32\COMMAND.COM 33 2" xfId="56" xr:uid="{00000000-0005-0000-0000-00006A000000}"/>
    <cellStyle name="=C:\WINNT35\SYSTEM32\COMMAND.COM 33 2 2" xfId="10399" xr:uid="{00000000-0005-0000-0000-00006B000000}"/>
    <cellStyle name="=C:\WINNT35\SYSTEM32\COMMAND.COM 33 3" xfId="10400" xr:uid="{00000000-0005-0000-0000-00006C000000}"/>
    <cellStyle name="=C:\WINNT35\SYSTEM32\COMMAND.COM 34" xfId="57" xr:uid="{00000000-0005-0000-0000-00006D000000}"/>
    <cellStyle name="=C:\WINNT35\SYSTEM32\COMMAND.COM 34 2" xfId="58" xr:uid="{00000000-0005-0000-0000-00006E000000}"/>
    <cellStyle name="=C:\WINNT35\SYSTEM32\COMMAND.COM 34 2 2" xfId="10403" xr:uid="{00000000-0005-0000-0000-00006F000000}"/>
    <cellStyle name="=C:\WINNT35\SYSTEM32\COMMAND.COM 34 3" xfId="10404" xr:uid="{00000000-0005-0000-0000-000070000000}"/>
    <cellStyle name="=C:\WINNT35\SYSTEM32\COMMAND.COM 35" xfId="59" xr:uid="{00000000-0005-0000-0000-000071000000}"/>
    <cellStyle name="=C:\WINNT35\SYSTEM32\COMMAND.COM 35 2" xfId="60" xr:uid="{00000000-0005-0000-0000-000072000000}"/>
    <cellStyle name="=C:\WINNT35\SYSTEM32\COMMAND.COM 35 2 2" xfId="10407" xr:uid="{00000000-0005-0000-0000-000073000000}"/>
    <cellStyle name="=C:\WINNT35\SYSTEM32\COMMAND.COM 35 3" xfId="10408" xr:uid="{00000000-0005-0000-0000-000074000000}"/>
    <cellStyle name="=C:\WINNT35\SYSTEM32\COMMAND.COM 36" xfId="61" xr:uid="{00000000-0005-0000-0000-000075000000}"/>
    <cellStyle name="=C:\WINNT35\SYSTEM32\COMMAND.COM 36 2" xfId="62" xr:uid="{00000000-0005-0000-0000-000076000000}"/>
    <cellStyle name="=C:\WINNT35\SYSTEM32\COMMAND.COM 36 2 2" xfId="10411" xr:uid="{00000000-0005-0000-0000-000077000000}"/>
    <cellStyle name="=C:\WINNT35\SYSTEM32\COMMAND.COM 36 3" xfId="10412" xr:uid="{00000000-0005-0000-0000-000078000000}"/>
    <cellStyle name="=C:\WINNT35\SYSTEM32\COMMAND.COM 37" xfId="63" xr:uid="{00000000-0005-0000-0000-000079000000}"/>
    <cellStyle name="=C:\WINNT35\SYSTEM32\COMMAND.COM 37 2" xfId="64" xr:uid="{00000000-0005-0000-0000-00007A000000}"/>
    <cellStyle name="=C:\WINNT35\SYSTEM32\COMMAND.COM 37 2 2" xfId="10415" xr:uid="{00000000-0005-0000-0000-00007B000000}"/>
    <cellStyle name="=C:\WINNT35\SYSTEM32\COMMAND.COM 37 3" xfId="10416" xr:uid="{00000000-0005-0000-0000-00007C000000}"/>
    <cellStyle name="=C:\WINNT35\SYSTEM32\COMMAND.COM 38" xfId="65" xr:uid="{00000000-0005-0000-0000-00007D000000}"/>
    <cellStyle name="=C:\WINNT35\SYSTEM32\COMMAND.COM 38 2" xfId="66" xr:uid="{00000000-0005-0000-0000-00007E000000}"/>
    <cellStyle name="=C:\WINNT35\SYSTEM32\COMMAND.COM 38 2 2" xfId="10419" xr:uid="{00000000-0005-0000-0000-00007F000000}"/>
    <cellStyle name="=C:\WINNT35\SYSTEM32\COMMAND.COM 38 3" xfId="10420" xr:uid="{00000000-0005-0000-0000-000080000000}"/>
    <cellStyle name="=C:\WINNT35\SYSTEM32\COMMAND.COM 39" xfId="67" xr:uid="{00000000-0005-0000-0000-000081000000}"/>
    <cellStyle name="=C:\WINNT35\SYSTEM32\COMMAND.COM 39 2" xfId="68" xr:uid="{00000000-0005-0000-0000-000082000000}"/>
    <cellStyle name="=C:\WINNT35\SYSTEM32\COMMAND.COM 39 2 2" xfId="10423" xr:uid="{00000000-0005-0000-0000-000083000000}"/>
    <cellStyle name="=C:\WINNT35\SYSTEM32\COMMAND.COM 39 3" xfId="10424" xr:uid="{00000000-0005-0000-0000-000084000000}"/>
    <cellStyle name="=C:\WINNT35\SYSTEM32\COMMAND.COM 4" xfId="69" xr:uid="{00000000-0005-0000-0000-000085000000}"/>
    <cellStyle name="=C:\WINNT35\SYSTEM32\COMMAND.COM 4 2" xfId="70" xr:uid="{00000000-0005-0000-0000-000086000000}"/>
    <cellStyle name="=C:\WINNT35\SYSTEM32\COMMAND.COM 4 2 2" xfId="10427" xr:uid="{00000000-0005-0000-0000-000087000000}"/>
    <cellStyle name="=C:\WINNT35\SYSTEM32\COMMAND.COM 4 3" xfId="10428" xr:uid="{00000000-0005-0000-0000-000088000000}"/>
    <cellStyle name="=C:\WINNT35\SYSTEM32\COMMAND.COM 40" xfId="71" xr:uid="{00000000-0005-0000-0000-000089000000}"/>
    <cellStyle name="=C:\WINNT35\SYSTEM32\COMMAND.COM 40 2" xfId="72" xr:uid="{00000000-0005-0000-0000-00008A000000}"/>
    <cellStyle name="=C:\WINNT35\SYSTEM32\COMMAND.COM 40 2 2" xfId="10431" xr:uid="{00000000-0005-0000-0000-00008B000000}"/>
    <cellStyle name="=C:\WINNT35\SYSTEM32\COMMAND.COM 40 3" xfId="10432" xr:uid="{00000000-0005-0000-0000-00008C000000}"/>
    <cellStyle name="=C:\WINNT35\SYSTEM32\COMMAND.COM 41" xfId="73" xr:uid="{00000000-0005-0000-0000-00008D000000}"/>
    <cellStyle name="=C:\WINNT35\SYSTEM32\COMMAND.COM 41 2" xfId="74" xr:uid="{00000000-0005-0000-0000-00008E000000}"/>
    <cellStyle name="=C:\WINNT35\SYSTEM32\COMMAND.COM 41 2 2" xfId="10435" xr:uid="{00000000-0005-0000-0000-00008F000000}"/>
    <cellStyle name="=C:\WINNT35\SYSTEM32\COMMAND.COM 41 3" xfId="10436" xr:uid="{00000000-0005-0000-0000-000090000000}"/>
    <cellStyle name="=C:\WINNT35\SYSTEM32\COMMAND.COM 42" xfId="75" xr:uid="{00000000-0005-0000-0000-000091000000}"/>
    <cellStyle name="=C:\WINNT35\SYSTEM32\COMMAND.COM 42 2" xfId="76" xr:uid="{00000000-0005-0000-0000-000092000000}"/>
    <cellStyle name="=C:\WINNT35\SYSTEM32\COMMAND.COM 42 2 2" xfId="10439" xr:uid="{00000000-0005-0000-0000-000093000000}"/>
    <cellStyle name="=C:\WINNT35\SYSTEM32\COMMAND.COM 42 3" xfId="10440" xr:uid="{00000000-0005-0000-0000-000094000000}"/>
    <cellStyle name="=C:\WINNT35\SYSTEM32\COMMAND.COM 43" xfId="77" xr:uid="{00000000-0005-0000-0000-000095000000}"/>
    <cellStyle name="=C:\WINNT35\SYSTEM32\COMMAND.COM 43 2" xfId="78" xr:uid="{00000000-0005-0000-0000-000096000000}"/>
    <cellStyle name="=C:\WINNT35\SYSTEM32\COMMAND.COM 43 2 2" xfId="10443" xr:uid="{00000000-0005-0000-0000-000097000000}"/>
    <cellStyle name="=C:\WINNT35\SYSTEM32\COMMAND.COM 43 3" xfId="10444" xr:uid="{00000000-0005-0000-0000-000098000000}"/>
    <cellStyle name="=C:\WINNT35\SYSTEM32\COMMAND.COM 44" xfId="79" xr:uid="{00000000-0005-0000-0000-000099000000}"/>
    <cellStyle name="=C:\WINNT35\SYSTEM32\COMMAND.COM 44 2" xfId="80" xr:uid="{00000000-0005-0000-0000-00009A000000}"/>
    <cellStyle name="=C:\WINNT35\SYSTEM32\COMMAND.COM 44 2 2" xfId="10447" xr:uid="{00000000-0005-0000-0000-00009B000000}"/>
    <cellStyle name="=C:\WINNT35\SYSTEM32\COMMAND.COM 44 3" xfId="10448" xr:uid="{00000000-0005-0000-0000-00009C000000}"/>
    <cellStyle name="=C:\WINNT35\SYSTEM32\COMMAND.COM 45" xfId="81" xr:uid="{00000000-0005-0000-0000-00009D000000}"/>
    <cellStyle name="=C:\WINNT35\SYSTEM32\COMMAND.COM 45 2" xfId="82" xr:uid="{00000000-0005-0000-0000-00009E000000}"/>
    <cellStyle name="=C:\WINNT35\SYSTEM32\COMMAND.COM 45 2 2" xfId="10451" xr:uid="{00000000-0005-0000-0000-00009F000000}"/>
    <cellStyle name="=C:\WINNT35\SYSTEM32\COMMAND.COM 45 3" xfId="10452" xr:uid="{00000000-0005-0000-0000-0000A0000000}"/>
    <cellStyle name="=C:\WINNT35\SYSTEM32\COMMAND.COM 46" xfId="83" xr:uid="{00000000-0005-0000-0000-0000A1000000}"/>
    <cellStyle name="=C:\WINNT35\SYSTEM32\COMMAND.COM 46 2" xfId="84" xr:uid="{00000000-0005-0000-0000-0000A2000000}"/>
    <cellStyle name="=C:\WINNT35\SYSTEM32\COMMAND.COM 46 2 2" xfId="10455" xr:uid="{00000000-0005-0000-0000-0000A3000000}"/>
    <cellStyle name="=C:\WINNT35\SYSTEM32\COMMAND.COM 46 3" xfId="10456" xr:uid="{00000000-0005-0000-0000-0000A4000000}"/>
    <cellStyle name="=C:\WINNT35\SYSTEM32\COMMAND.COM 47" xfId="85" xr:uid="{00000000-0005-0000-0000-0000A5000000}"/>
    <cellStyle name="=C:\WINNT35\SYSTEM32\COMMAND.COM 47 2" xfId="86" xr:uid="{00000000-0005-0000-0000-0000A6000000}"/>
    <cellStyle name="=C:\WINNT35\SYSTEM32\COMMAND.COM 47 2 2" xfId="10459" xr:uid="{00000000-0005-0000-0000-0000A7000000}"/>
    <cellStyle name="=C:\WINNT35\SYSTEM32\COMMAND.COM 47 3" xfId="10460" xr:uid="{00000000-0005-0000-0000-0000A8000000}"/>
    <cellStyle name="=C:\WINNT35\SYSTEM32\COMMAND.COM 48" xfId="87" xr:uid="{00000000-0005-0000-0000-0000A9000000}"/>
    <cellStyle name="=C:\WINNT35\SYSTEM32\COMMAND.COM 48 2" xfId="88" xr:uid="{00000000-0005-0000-0000-0000AA000000}"/>
    <cellStyle name="=C:\WINNT35\SYSTEM32\COMMAND.COM 48 2 2" xfId="10463" xr:uid="{00000000-0005-0000-0000-0000AB000000}"/>
    <cellStyle name="=C:\WINNT35\SYSTEM32\COMMAND.COM 48 3" xfId="10464" xr:uid="{00000000-0005-0000-0000-0000AC000000}"/>
    <cellStyle name="=C:\WINNT35\SYSTEM32\COMMAND.COM 49" xfId="89" xr:uid="{00000000-0005-0000-0000-0000AD000000}"/>
    <cellStyle name="=C:\WINNT35\SYSTEM32\COMMAND.COM 49 2" xfId="90" xr:uid="{00000000-0005-0000-0000-0000AE000000}"/>
    <cellStyle name="=C:\WINNT35\SYSTEM32\COMMAND.COM 49 2 2" xfId="10467" xr:uid="{00000000-0005-0000-0000-0000AF000000}"/>
    <cellStyle name="=C:\WINNT35\SYSTEM32\COMMAND.COM 49 3" xfId="10468" xr:uid="{00000000-0005-0000-0000-0000B0000000}"/>
    <cellStyle name="=C:\WINNT35\SYSTEM32\COMMAND.COM 5" xfId="91" xr:uid="{00000000-0005-0000-0000-0000B1000000}"/>
    <cellStyle name="=C:\WINNT35\SYSTEM32\COMMAND.COM 5 2" xfId="92" xr:uid="{00000000-0005-0000-0000-0000B2000000}"/>
    <cellStyle name="=C:\WINNT35\SYSTEM32\COMMAND.COM 5 2 2" xfId="10471" xr:uid="{00000000-0005-0000-0000-0000B3000000}"/>
    <cellStyle name="=C:\WINNT35\SYSTEM32\COMMAND.COM 5 3" xfId="10472" xr:uid="{00000000-0005-0000-0000-0000B4000000}"/>
    <cellStyle name="=C:\WINNT35\SYSTEM32\COMMAND.COM 50" xfId="93" xr:uid="{00000000-0005-0000-0000-0000B5000000}"/>
    <cellStyle name="=C:\WINNT35\SYSTEM32\COMMAND.COM 50 2" xfId="94" xr:uid="{00000000-0005-0000-0000-0000B6000000}"/>
    <cellStyle name="=C:\WINNT35\SYSTEM32\COMMAND.COM 50 2 2" xfId="10475" xr:uid="{00000000-0005-0000-0000-0000B7000000}"/>
    <cellStyle name="=C:\WINNT35\SYSTEM32\COMMAND.COM 50 3" xfId="10476" xr:uid="{00000000-0005-0000-0000-0000B8000000}"/>
    <cellStyle name="=C:\WINNT35\SYSTEM32\COMMAND.COM 51" xfId="95" xr:uid="{00000000-0005-0000-0000-0000B9000000}"/>
    <cellStyle name="=C:\WINNT35\SYSTEM32\COMMAND.COM 51 2" xfId="96" xr:uid="{00000000-0005-0000-0000-0000BA000000}"/>
    <cellStyle name="=C:\WINNT35\SYSTEM32\COMMAND.COM 51 2 2" xfId="10479" xr:uid="{00000000-0005-0000-0000-0000BB000000}"/>
    <cellStyle name="=C:\WINNT35\SYSTEM32\COMMAND.COM 51 3" xfId="10480" xr:uid="{00000000-0005-0000-0000-0000BC000000}"/>
    <cellStyle name="=C:\WINNT35\SYSTEM32\COMMAND.COM 52" xfId="97" xr:uid="{00000000-0005-0000-0000-0000BD000000}"/>
    <cellStyle name="=C:\WINNT35\SYSTEM32\COMMAND.COM 52 2" xfId="98" xr:uid="{00000000-0005-0000-0000-0000BE000000}"/>
    <cellStyle name="=C:\WINNT35\SYSTEM32\COMMAND.COM 52 2 2" xfId="10483" xr:uid="{00000000-0005-0000-0000-0000BF000000}"/>
    <cellStyle name="=C:\WINNT35\SYSTEM32\COMMAND.COM 52 3" xfId="10484" xr:uid="{00000000-0005-0000-0000-0000C0000000}"/>
    <cellStyle name="=C:\WINNT35\SYSTEM32\COMMAND.COM 53" xfId="99" xr:uid="{00000000-0005-0000-0000-0000C1000000}"/>
    <cellStyle name="=C:\WINNT35\SYSTEM32\COMMAND.COM 53 2" xfId="100" xr:uid="{00000000-0005-0000-0000-0000C2000000}"/>
    <cellStyle name="=C:\WINNT35\SYSTEM32\COMMAND.COM 53 2 2" xfId="10487" xr:uid="{00000000-0005-0000-0000-0000C3000000}"/>
    <cellStyle name="=C:\WINNT35\SYSTEM32\COMMAND.COM 53 3" xfId="10488" xr:uid="{00000000-0005-0000-0000-0000C4000000}"/>
    <cellStyle name="=C:\WINNT35\SYSTEM32\COMMAND.COM 54" xfId="101" xr:uid="{00000000-0005-0000-0000-0000C5000000}"/>
    <cellStyle name="=C:\WINNT35\SYSTEM32\COMMAND.COM 54 2" xfId="102" xr:uid="{00000000-0005-0000-0000-0000C6000000}"/>
    <cellStyle name="=C:\WINNT35\SYSTEM32\COMMAND.COM 54 2 2" xfId="10491" xr:uid="{00000000-0005-0000-0000-0000C7000000}"/>
    <cellStyle name="=C:\WINNT35\SYSTEM32\COMMAND.COM 54 3" xfId="10492" xr:uid="{00000000-0005-0000-0000-0000C8000000}"/>
    <cellStyle name="=C:\WINNT35\SYSTEM32\COMMAND.COM 55" xfId="103" xr:uid="{00000000-0005-0000-0000-0000C9000000}"/>
    <cellStyle name="=C:\WINNT35\SYSTEM32\COMMAND.COM 55 2" xfId="104" xr:uid="{00000000-0005-0000-0000-0000CA000000}"/>
    <cellStyle name="=C:\WINNT35\SYSTEM32\COMMAND.COM 55 2 2" xfId="10495" xr:uid="{00000000-0005-0000-0000-0000CB000000}"/>
    <cellStyle name="=C:\WINNT35\SYSTEM32\COMMAND.COM 55 3" xfId="10496" xr:uid="{00000000-0005-0000-0000-0000CC000000}"/>
    <cellStyle name="=C:\WINNT35\SYSTEM32\COMMAND.COM 56" xfId="105" xr:uid="{00000000-0005-0000-0000-0000CD000000}"/>
    <cellStyle name="=C:\WINNT35\SYSTEM32\COMMAND.COM 56 2" xfId="106" xr:uid="{00000000-0005-0000-0000-0000CE000000}"/>
    <cellStyle name="=C:\WINNT35\SYSTEM32\COMMAND.COM 56 2 2" xfId="10499" xr:uid="{00000000-0005-0000-0000-0000CF000000}"/>
    <cellStyle name="=C:\WINNT35\SYSTEM32\COMMAND.COM 56 3" xfId="10500" xr:uid="{00000000-0005-0000-0000-0000D0000000}"/>
    <cellStyle name="=C:\WINNT35\SYSTEM32\COMMAND.COM 57" xfId="107" xr:uid="{00000000-0005-0000-0000-0000D1000000}"/>
    <cellStyle name="=C:\WINNT35\SYSTEM32\COMMAND.COM 57 2" xfId="108" xr:uid="{00000000-0005-0000-0000-0000D2000000}"/>
    <cellStyle name="=C:\WINNT35\SYSTEM32\COMMAND.COM 57 2 2" xfId="10503" xr:uid="{00000000-0005-0000-0000-0000D3000000}"/>
    <cellStyle name="=C:\WINNT35\SYSTEM32\COMMAND.COM 57 3" xfId="10504" xr:uid="{00000000-0005-0000-0000-0000D4000000}"/>
    <cellStyle name="=C:\WINNT35\SYSTEM32\COMMAND.COM 58" xfId="109" xr:uid="{00000000-0005-0000-0000-0000D5000000}"/>
    <cellStyle name="=C:\WINNT35\SYSTEM32\COMMAND.COM 58 2" xfId="10506" xr:uid="{00000000-0005-0000-0000-0000D6000000}"/>
    <cellStyle name="=C:\WINNT35\SYSTEM32\COMMAND.COM 59" xfId="110" xr:uid="{00000000-0005-0000-0000-0000D7000000}"/>
    <cellStyle name="=C:\WINNT35\SYSTEM32\COMMAND.COM 59 2" xfId="10508" xr:uid="{00000000-0005-0000-0000-0000D8000000}"/>
    <cellStyle name="=C:\WINNT35\SYSTEM32\COMMAND.COM 6" xfId="111" xr:uid="{00000000-0005-0000-0000-0000D9000000}"/>
    <cellStyle name="=C:\WINNT35\SYSTEM32\COMMAND.COM 6 2" xfId="112" xr:uid="{00000000-0005-0000-0000-0000DA000000}"/>
    <cellStyle name="=C:\WINNT35\SYSTEM32\COMMAND.COM 6 2 2" xfId="10511" xr:uid="{00000000-0005-0000-0000-0000DB000000}"/>
    <cellStyle name="=C:\WINNT35\SYSTEM32\COMMAND.COM 6 3" xfId="10512" xr:uid="{00000000-0005-0000-0000-0000DC000000}"/>
    <cellStyle name="=C:\WINNT35\SYSTEM32\COMMAND.COM 60" xfId="113" xr:uid="{00000000-0005-0000-0000-0000DD000000}"/>
    <cellStyle name="=C:\WINNT35\SYSTEM32\COMMAND.COM 60 2" xfId="10514" xr:uid="{00000000-0005-0000-0000-0000DE000000}"/>
    <cellStyle name="=C:\WINNT35\SYSTEM32\COMMAND.COM 61" xfId="114" xr:uid="{00000000-0005-0000-0000-0000DF000000}"/>
    <cellStyle name="=C:\WINNT35\SYSTEM32\COMMAND.COM 61 2" xfId="10516" xr:uid="{00000000-0005-0000-0000-0000E0000000}"/>
    <cellStyle name="=C:\WINNT35\SYSTEM32\COMMAND.COM 62" xfId="115" xr:uid="{00000000-0005-0000-0000-0000E1000000}"/>
    <cellStyle name="=C:\WINNT35\SYSTEM32\COMMAND.COM 62 2" xfId="10518" xr:uid="{00000000-0005-0000-0000-0000E2000000}"/>
    <cellStyle name="=C:\WINNT35\SYSTEM32\COMMAND.COM 63" xfId="116" xr:uid="{00000000-0005-0000-0000-0000E3000000}"/>
    <cellStyle name="=C:\WINNT35\SYSTEM32\COMMAND.COM 63 2" xfId="10520" xr:uid="{00000000-0005-0000-0000-0000E4000000}"/>
    <cellStyle name="=C:\WINNT35\SYSTEM32\COMMAND.COM 64" xfId="117" xr:uid="{00000000-0005-0000-0000-0000E5000000}"/>
    <cellStyle name="=C:\WINNT35\SYSTEM32\COMMAND.COM 64 2" xfId="10522" xr:uid="{00000000-0005-0000-0000-0000E6000000}"/>
    <cellStyle name="=C:\WINNT35\SYSTEM32\COMMAND.COM 65" xfId="118" xr:uid="{00000000-0005-0000-0000-0000E7000000}"/>
    <cellStyle name="=C:\WINNT35\SYSTEM32\COMMAND.COM 65 2" xfId="10524" xr:uid="{00000000-0005-0000-0000-0000E8000000}"/>
    <cellStyle name="=C:\WINNT35\SYSTEM32\COMMAND.COM 66" xfId="119" xr:uid="{00000000-0005-0000-0000-0000E9000000}"/>
    <cellStyle name="=C:\WINNT35\SYSTEM32\COMMAND.COM 66 2" xfId="10526" xr:uid="{00000000-0005-0000-0000-0000EA000000}"/>
    <cellStyle name="=C:\WINNT35\SYSTEM32\COMMAND.COM 67" xfId="120" xr:uid="{00000000-0005-0000-0000-0000EB000000}"/>
    <cellStyle name="=C:\WINNT35\SYSTEM32\COMMAND.COM 67 2" xfId="10528" xr:uid="{00000000-0005-0000-0000-0000EC000000}"/>
    <cellStyle name="=C:\WINNT35\SYSTEM32\COMMAND.COM 68" xfId="121" xr:uid="{00000000-0005-0000-0000-0000ED000000}"/>
    <cellStyle name="=C:\WINNT35\SYSTEM32\COMMAND.COM 68 2" xfId="10530" xr:uid="{00000000-0005-0000-0000-0000EE000000}"/>
    <cellStyle name="=C:\WINNT35\SYSTEM32\COMMAND.COM 69" xfId="122" xr:uid="{00000000-0005-0000-0000-0000EF000000}"/>
    <cellStyle name="=C:\WINNT35\SYSTEM32\COMMAND.COM 69 2" xfId="10532" xr:uid="{00000000-0005-0000-0000-0000F0000000}"/>
    <cellStyle name="=C:\WINNT35\SYSTEM32\COMMAND.COM 7" xfId="123" xr:uid="{00000000-0005-0000-0000-0000F1000000}"/>
    <cellStyle name="=C:\WINNT35\SYSTEM32\COMMAND.COM 7 2" xfId="124" xr:uid="{00000000-0005-0000-0000-0000F2000000}"/>
    <cellStyle name="=C:\WINNT35\SYSTEM32\COMMAND.COM 7 2 2" xfId="10535" xr:uid="{00000000-0005-0000-0000-0000F3000000}"/>
    <cellStyle name="=C:\WINNT35\SYSTEM32\COMMAND.COM 7 3" xfId="10536" xr:uid="{00000000-0005-0000-0000-0000F4000000}"/>
    <cellStyle name="=C:\WINNT35\SYSTEM32\COMMAND.COM 70" xfId="125" xr:uid="{00000000-0005-0000-0000-0000F5000000}"/>
    <cellStyle name="=C:\WINNT35\SYSTEM32\COMMAND.COM 70 2" xfId="10538" xr:uid="{00000000-0005-0000-0000-0000F6000000}"/>
    <cellStyle name="=C:\WINNT35\SYSTEM32\COMMAND.COM 71" xfId="126" xr:uid="{00000000-0005-0000-0000-0000F7000000}"/>
    <cellStyle name="=C:\WINNT35\SYSTEM32\COMMAND.COM 71 2" xfId="10540" xr:uid="{00000000-0005-0000-0000-0000F8000000}"/>
    <cellStyle name="=C:\WINNT35\SYSTEM32\COMMAND.COM 72" xfId="127" xr:uid="{00000000-0005-0000-0000-0000F9000000}"/>
    <cellStyle name="=C:\WINNT35\SYSTEM32\COMMAND.COM 72 2" xfId="10542" xr:uid="{00000000-0005-0000-0000-0000FA000000}"/>
    <cellStyle name="=C:\WINNT35\SYSTEM32\COMMAND.COM 73" xfId="128" xr:uid="{00000000-0005-0000-0000-0000FB000000}"/>
    <cellStyle name="=C:\WINNT35\SYSTEM32\COMMAND.COM 73 2" xfId="10544" xr:uid="{00000000-0005-0000-0000-0000FC000000}"/>
    <cellStyle name="=C:\WINNT35\SYSTEM32\COMMAND.COM 74" xfId="129" xr:uid="{00000000-0005-0000-0000-0000FD000000}"/>
    <cellStyle name="=C:\WINNT35\SYSTEM32\COMMAND.COM 74 2" xfId="10546" xr:uid="{00000000-0005-0000-0000-0000FE000000}"/>
    <cellStyle name="=C:\WINNT35\SYSTEM32\COMMAND.COM 75" xfId="130" xr:uid="{00000000-0005-0000-0000-0000FF000000}"/>
    <cellStyle name="=C:\WINNT35\SYSTEM32\COMMAND.COM 75 2" xfId="10548" xr:uid="{00000000-0005-0000-0000-000000010000}"/>
    <cellStyle name="=C:\WINNT35\SYSTEM32\COMMAND.COM 76" xfId="131" xr:uid="{00000000-0005-0000-0000-000001010000}"/>
    <cellStyle name="=C:\WINNT35\SYSTEM32\COMMAND.COM 76 2" xfId="10550" xr:uid="{00000000-0005-0000-0000-000002010000}"/>
    <cellStyle name="=C:\WINNT35\SYSTEM32\COMMAND.COM 77" xfId="132" xr:uid="{00000000-0005-0000-0000-000003010000}"/>
    <cellStyle name="=C:\WINNT35\SYSTEM32\COMMAND.COM 77 2" xfId="10552" xr:uid="{00000000-0005-0000-0000-000004010000}"/>
    <cellStyle name="=C:\WINNT35\SYSTEM32\COMMAND.COM 78" xfId="133" xr:uid="{00000000-0005-0000-0000-000005010000}"/>
    <cellStyle name="=C:\WINNT35\SYSTEM32\COMMAND.COM 78 2" xfId="10554" xr:uid="{00000000-0005-0000-0000-000006010000}"/>
    <cellStyle name="=C:\WINNT35\SYSTEM32\COMMAND.COM 79" xfId="134" xr:uid="{00000000-0005-0000-0000-000007010000}"/>
    <cellStyle name="=C:\WINNT35\SYSTEM32\COMMAND.COM 79 2" xfId="10556" xr:uid="{00000000-0005-0000-0000-000008010000}"/>
    <cellStyle name="=C:\WINNT35\SYSTEM32\COMMAND.COM 8" xfId="135" xr:uid="{00000000-0005-0000-0000-000009010000}"/>
    <cellStyle name="=C:\WINNT35\SYSTEM32\COMMAND.COM 8 2" xfId="136" xr:uid="{00000000-0005-0000-0000-00000A010000}"/>
    <cellStyle name="=C:\WINNT35\SYSTEM32\COMMAND.COM 8 2 2" xfId="10559" xr:uid="{00000000-0005-0000-0000-00000B010000}"/>
    <cellStyle name="=C:\WINNT35\SYSTEM32\COMMAND.COM 8 3" xfId="10560" xr:uid="{00000000-0005-0000-0000-00000C010000}"/>
    <cellStyle name="=C:\WINNT35\SYSTEM32\COMMAND.COM 80" xfId="137" xr:uid="{00000000-0005-0000-0000-00000D010000}"/>
    <cellStyle name="=C:\WINNT35\SYSTEM32\COMMAND.COM 80 2" xfId="10562" xr:uid="{00000000-0005-0000-0000-00000E010000}"/>
    <cellStyle name="=C:\WINNT35\SYSTEM32\COMMAND.COM 81" xfId="138" xr:uid="{00000000-0005-0000-0000-00000F010000}"/>
    <cellStyle name="=C:\WINNT35\SYSTEM32\COMMAND.COM 81 2" xfId="10564" xr:uid="{00000000-0005-0000-0000-000010010000}"/>
    <cellStyle name="=C:\WINNT35\SYSTEM32\COMMAND.COM 82" xfId="139" xr:uid="{00000000-0005-0000-0000-000011010000}"/>
    <cellStyle name="=C:\WINNT35\SYSTEM32\COMMAND.COM 82 2" xfId="10566" xr:uid="{00000000-0005-0000-0000-000012010000}"/>
    <cellStyle name="=C:\WINNT35\SYSTEM32\COMMAND.COM 83" xfId="140" xr:uid="{00000000-0005-0000-0000-000013010000}"/>
    <cellStyle name="=C:\WINNT35\SYSTEM32\COMMAND.COM 83 2" xfId="10568" xr:uid="{00000000-0005-0000-0000-000014010000}"/>
    <cellStyle name="=C:\WINNT35\SYSTEM32\COMMAND.COM 84" xfId="141" xr:uid="{00000000-0005-0000-0000-000015010000}"/>
    <cellStyle name="=C:\WINNT35\SYSTEM32\COMMAND.COM 84 2" xfId="10570" xr:uid="{00000000-0005-0000-0000-000016010000}"/>
    <cellStyle name="=C:\WINNT35\SYSTEM32\COMMAND.COM 85" xfId="142" xr:uid="{00000000-0005-0000-0000-000017010000}"/>
    <cellStyle name="=C:\WINNT35\SYSTEM32\COMMAND.COM 85 2" xfId="10572" xr:uid="{00000000-0005-0000-0000-000018010000}"/>
    <cellStyle name="=C:\WINNT35\SYSTEM32\COMMAND.COM 86" xfId="143" xr:uid="{00000000-0005-0000-0000-000019010000}"/>
    <cellStyle name="=C:\WINNT35\SYSTEM32\COMMAND.COM 86 2" xfId="10574" xr:uid="{00000000-0005-0000-0000-00001A010000}"/>
    <cellStyle name="=C:\WINNT35\SYSTEM32\COMMAND.COM 87" xfId="144" xr:uid="{00000000-0005-0000-0000-00001B010000}"/>
    <cellStyle name="=C:\WINNT35\SYSTEM32\COMMAND.COM 87 2" xfId="10576" xr:uid="{00000000-0005-0000-0000-00001C010000}"/>
    <cellStyle name="=C:\WINNT35\SYSTEM32\COMMAND.COM 88" xfId="145" xr:uid="{00000000-0005-0000-0000-00001D010000}"/>
    <cellStyle name="=C:\WINNT35\SYSTEM32\COMMAND.COM 88 2" xfId="10578" xr:uid="{00000000-0005-0000-0000-00001E010000}"/>
    <cellStyle name="=C:\WINNT35\SYSTEM32\COMMAND.COM 89" xfId="146" xr:uid="{00000000-0005-0000-0000-00001F010000}"/>
    <cellStyle name="=C:\WINNT35\SYSTEM32\COMMAND.COM 89 2" xfId="10580" xr:uid="{00000000-0005-0000-0000-000020010000}"/>
    <cellStyle name="=C:\WINNT35\SYSTEM32\COMMAND.COM 9" xfId="147" xr:uid="{00000000-0005-0000-0000-000021010000}"/>
    <cellStyle name="=C:\WINNT35\SYSTEM32\COMMAND.COM 9 2" xfId="148" xr:uid="{00000000-0005-0000-0000-000022010000}"/>
    <cellStyle name="=C:\WINNT35\SYSTEM32\COMMAND.COM 9 2 2" xfId="10583" xr:uid="{00000000-0005-0000-0000-000023010000}"/>
    <cellStyle name="=C:\WINNT35\SYSTEM32\COMMAND.COM 9 3" xfId="10584" xr:uid="{00000000-0005-0000-0000-000024010000}"/>
    <cellStyle name="=C:\WINNT35\SYSTEM32\COMMAND.COM 90" xfId="149" xr:uid="{00000000-0005-0000-0000-000025010000}"/>
    <cellStyle name="=C:\WINNT35\SYSTEM32\COMMAND.COM 90 2" xfId="10586" xr:uid="{00000000-0005-0000-0000-000026010000}"/>
    <cellStyle name="=C:\WINNT35\SYSTEM32\COMMAND.COM 91" xfId="150" xr:uid="{00000000-0005-0000-0000-000027010000}"/>
    <cellStyle name="=C:\WINNT35\SYSTEM32\COMMAND.COM 91 2" xfId="10588" xr:uid="{00000000-0005-0000-0000-000028010000}"/>
    <cellStyle name="=C:\WINNT35\SYSTEM32\COMMAND.COM 92" xfId="10589" xr:uid="{00000000-0005-0000-0000-000029010000}"/>
    <cellStyle name="=C:\WINNT35\SYSTEM32\COMMAND.COM_NGL-pris" xfId="151" xr:uid="{00000000-0005-0000-0000-00002A010000}"/>
    <cellStyle name="01_Page Heading" xfId="152" xr:uid="{00000000-0005-0000-0000-00002B010000}"/>
    <cellStyle name="02_Rule above and below" xfId="153" xr:uid="{00000000-0005-0000-0000-00002C010000}"/>
    <cellStyle name="03_Table Notes" xfId="154" xr:uid="{00000000-0005-0000-0000-00002D010000}"/>
    <cellStyle name="04_Bold table figs" xfId="155" xr:uid="{00000000-0005-0000-0000-00002E010000}"/>
    <cellStyle name="05_table figs" xfId="156" xr:uid="{00000000-0005-0000-0000-00002F010000}"/>
    <cellStyle name="06_per cent" xfId="157" xr:uid="{00000000-0005-0000-0000-000030010000}"/>
    <cellStyle name="07_Bold table text" xfId="158" xr:uid="{00000000-0005-0000-0000-000031010000}"/>
    <cellStyle name="20% - Accent1" xfId="4084" xr:uid="{00000000-0005-0000-0000-000032010000}"/>
    <cellStyle name="20% - Accent1 10" xfId="160" xr:uid="{00000000-0005-0000-0000-000033010000}"/>
    <cellStyle name="20% - Accent1 11" xfId="161" xr:uid="{00000000-0005-0000-0000-000034010000}"/>
    <cellStyle name="20% - Accent1 12" xfId="162" xr:uid="{00000000-0005-0000-0000-000035010000}"/>
    <cellStyle name="20% - Accent1 13" xfId="163" xr:uid="{00000000-0005-0000-0000-000036010000}"/>
    <cellStyle name="20% - Accent1 14" xfId="164" xr:uid="{00000000-0005-0000-0000-000037010000}"/>
    <cellStyle name="20% - Accent1 15" xfId="165" xr:uid="{00000000-0005-0000-0000-000038010000}"/>
    <cellStyle name="20% - Accent1 16" xfId="166" xr:uid="{00000000-0005-0000-0000-000039010000}"/>
    <cellStyle name="20% - Accent1 17" xfId="167" xr:uid="{00000000-0005-0000-0000-00003A010000}"/>
    <cellStyle name="20% - Accent1 18" xfId="168" xr:uid="{00000000-0005-0000-0000-00003B010000}"/>
    <cellStyle name="20% - Accent1 19" xfId="169" xr:uid="{00000000-0005-0000-0000-00003C010000}"/>
    <cellStyle name="20% - Accent1 2" xfId="170" xr:uid="{00000000-0005-0000-0000-00003D010000}"/>
    <cellStyle name="20% - Accent1 20" xfId="1005" xr:uid="{00000000-0005-0000-0000-00003E010000}"/>
    <cellStyle name="20% - Accent1 20 2" xfId="5369" xr:uid="{00000000-0005-0000-0000-00003F010000}"/>
    <cellStyle name="20% - Accent1 20 2 2" xfId="8784" xr:uid="{00000000-0005-0000-0000-000040010000}"/>
    <cellStyle name="20% - Accent1 20 2 2 2" xfId="10489" xr:uid="{00000000-0005-0000-0000-000041010000}"/>
    <cellStyle name="20% - Accent1 20 2 2 2 2" xfId="34389" xr:uid="{00000000-0005-0000-0000-000042010000}"/>
    <cellStyle name="20% - Accent1 20 2 2 3" xfId="29014" xr:uid="{00000000-0005-0000-0000-000043010000}"/>
    <cellStyle name="20% - Accent1 20 2 3" xfId="23858" xr:uid="{00000000-0005-0000-0000-000044010000}"/>
    <cellStyle name="20% - Accent1 20 2 3 2" xfId="39914" xr:uid="{00000000-0005-0000-0000-000045010000}"/>
    <cellStyle name="20% - Accent1 20 2 4" xfId="32405" xr:uid="{00000000-0005-0000-0000-000046010000}"/>
    <cellStyle name="20% - Accent1 20 3" xfId="6963" xr:uid="{00000000-0005-0000-0000-000047010000}"/>
    <cellStyle name="20% - Accent1 20 3 2" xfId="22164" xr:uid="{00000000-0005-0000-0000-000048010000}"/>
    <cellStyle name="20% - Accent1 20 3 2 2" xfId="38238" xr:uid="{00000000-0005-0000-0000-000049010000}"/>
    <cellStyle name="20% - Accent1 20 3 3" xfId="30835" xr:uid="{00000000-0005-0000-0000-00004A010000}"/>
    <cellStyle name="20% - Accent1 20 4" xfId="19911" xr:uid="{00000000-0005-0000-0000-00004B010000}"/>
    <cellStyle name="20% - Accent1 20 4 2" xfId="36016" xr:uid="{00000000-0005-0000-0000-00004C010000}"/>
    <cellStyle name="20% - Accent1 20 5" xfId="34223" xr:uid="{00000000-0005-0000-0000-00004D010000}"/>
    <cellStyle name="20% - Accent1 21" xfId="1115" xr:uid="{00000000-0005-0000-0000-00004E010000}"/>
    <cellStyle name="20% - Accent1 21 2" xfId="6222" xr:uid="{00000000-0005-0000-0000-00004F010000}"/>
    <cellStyle name="20% - Accent1 21 2 2" xfId="9636" xr:uid="{00000000-0005-0000-0000-000050010000}"/>
    <cellStyle name="20% - Accent1 21 2 2 2" xfId="10409" xr:uid="{00000000-0005-0000-0000-000051010000}"/>
    <cellStyle name="20% - Accent1 21 2 2 2 2" xfId="34349" xr:uid="{00000000-0005-0000-0000-000052010000}"/>
    <cellStyle name="20% - Accent1 21 2 2 3" xfId="28163" xr:uid="{00000000-0005-0000-0000-000053010000}"/>
    <cellStyle name="20% - Accent1 21 2 3" xfId="20370" xr:uid="{00000000-0005-0000-0000-000054010000}"/>
    <cellStyle name="20% - Accent1 21 2 3 2" xfId="36469" xr:uid="{00000000-0005-0000-0000-000055010000}"/>
    <cellStyle name="20% - Accent1 21 2 4" xfId="31564" xr:uid="{00000000-0005-0000-0000-000056010000}"/>
    <cellStyle name="20% - Accent1 21 3" xfId="6970" xr:uid="{00000000-0005-0000-0000-000057010000}"/>
    <cellStyle name="20% - Accent1 21 3 2" xfId="20614" xr:uid="{00000000-0005-0000-0000-000058010000}"/>
    <cellStyle name="20% - Accent1 21 3 2 2" xfId="36713" xr:uid="{00000000-0005-0000-0000-000059010000}"/>
    <cellStyle name="20% - Accent1 21 3 3" xfId="30828" xr:uid="{00000000-0005-0000-0000-00005A010000}"/>
    <cellStyle name="20% - Accent1 21 4" xfId="23691" xr:uid="{00000000-0005-0000-0000-00005B010000}"/>
    <cellStyle name="20% - Accent1 21 4 2" xfId="39747" xr:uid="{00000000-0005-0000-0000-00005C010000}"/>
    <cellStyle name="20% - Accent1 21 5" xfId="34216" xr:uid="{00000000-0005-0000-0000-00005D010000}"/>
    <cellStyle name="20% - Accent1 22" xfId="4509" xr:uid="{00000000-0005-0000-0000-00005E010000}"/>
    <cellStyle name="20% - Accent1 22 2" xfId="6301" xr:uid="{00000000-0005-0000-0000-00005F010000}"/>
    <cellStyle name="20% - Accent1 22 2 2" xfId="9711" xr:uid="{00000000-0005-0000-0000-000060010000}"/>
    <cellStyle name="20% - Accent1 22 2 2 2" xfId="23548" xr:uid="{00000000-0005-0000-0000-000061010000}"/>
    <cellStyle name="20% - Accent1 22 2 2 2 2" xfId="39604" xr:uid="{00000000-0005-0000-0000-000062010000}"/>
    <cellStyle name="20% - Accent1 22 2 2 3" xfId="28088" xr:uid="{00000000-0005-0000-0000-000063010000}"/>
    <cellStyle name="20% - Accent1 22 2 3" xfId="23013" xr:uid="{00000000-0005-0000-0000-000064010000}"/>
    <cellStyle name="20% - Accent1 22 2 3 2" xfId="39082" xr:uid="{00000000-0005-0000-0000-000065010000}"/>
    <cellStyle name="20% - Accent1 22 2 4" xfId="31489" xr:uid="{00000000-0005-0000-0000-000066010000}"/>
    <cellStyle name="20% - Accent1 22 3" xfId="8007" xr:uid="{00000000-0005-0000-0000-000067010000}"/>
    <cellStyle name="20% - Accent1 22 3 2" xfId="20970" xr:uid="{00000000-0005-0000-0000-000068010000}"/>
    <cellStyle name="20% - Accent1 22 3 2 2" xfId="37066" xr:uid="{00000000-0005-0000-0000-000069010000}"/>
    <cellStyle name="20% - Accent1 22 3 3" xfId="29791" xr:uid="{00000000-0005-0000-0000-00006A010000}"/>
    <cellStyle name="20% - Accent1 22 4" xfId="12299" xr:uid="{00000000-0005-0000-0000-00006B010000}"/>
    <cellStyle name="20% - Accent1 22 4 2" xfId="35175" xr:uid="{00000000-0005-0000-0000-00006C010000}"/>
    <cellStyle name="20% - Accent1 22 5" xfId="33182" xr:uid="{00000000-0005-0000-0000-00006D010000}"/>
    <cellStyle name="20% - Accent1 23" xfId="7678" xr:uid="{00000000-0005-0000-0000-00006E010000}"/>
    <cellStyle name="20% - Accent1 23 2" xfId="22566" xr:uid="{00000000-0005-0000-0000-00006F010000}"/>
    <cellStyle name="20% - Accent1 23 2 2" xfId="38635" xr:uid="{00000000-0005-0000-0000-000070010000}"/>
    <cellStyle name="20% - Accent1 23 3" xfId="30120" xr:uid="{00000000-0005-0000-0000-000071010000}"/>
    <cellStyle name="20% - Accent1 24" xfId="15113" xr:uid="{00000000-0005-0000-0000-000072010000}"/>
    <cellStyle name="20% - Accent1 24 2" xfId="35308" xr:uid="{00000000-0005-0000-0000-000073010000}"/>
    <cellStyle name="20% - Accent1 25" xfId="24937" xr:uid="{00000000-0005-0000-0000-000074010000}"/>
    <cellStyle name="20% - Accent1 26" xfId="33507" xr:uid="{00000000-0005-0000-0000-000075010000}"/>
    <cellStyle name="20% - Accent1 27" xfId="47028" xr:uid="{00000000-0005-0000-0000-000076010000}"/>
    <cellStyle name="20% - Accent1 3" xfId="171" xr:uid="{00000000-0005-0000-0000-000077010000}"/>
    <cellStyle name="20% - Accent1 4" xfId="172" xr:uid="{00000000-0005-0000-0000-000078010000}"/>
    <cellStyle name="20% - Accent1 5" xfId="173" xr:uid="{00000000-0005-0000-0000-000079010000}"/>
    <cellStyle name="20% - Accent1 6" xfId="174" xr:uid="{00000000-0005-0000-0000-00007A010000}"/>
    <cellStyle name="20% - Accent1 7" xfId="175" xr:uid="{00000000-0005-0000-0000-00007B010000}"/>
    <cellStyle name="20% - Accent1 8" xfId="176" xr:uid="{00000000-0005-0000-0000-00007C010000}"/>
    <cellStyle name="20% - Accent1 9" xfId="177" xr:uid="{00000000-0005-0000-0000-00007D010000}"/>
    <cellStyle name="20% - Accent2" xfId="4088" xr:uid="{00000000-0005-0000-0000-00007E010000}"/>
    <cellStyle name="20% - Accent2 10" xfId="179" xr:uid="{00000000-0005-0000-0000-00007F010000}"/>
    <cellStyle name="20% - Accent2 11" xfId="180" xr:uid="{00000000-0005-0000-0000-000080010000}"/>
    <cellStyle name="20% - Accent2 12" xfId="181" xr:uid="{00000000-0005-0000-0000-000081010000}"/>
    <cellStyle name="20% - Accent2 13" xfId="182" xr:uid="{00000000-0005-0000-0000-000082010000}"/>
    <cellStyle name="20% - Accent2 14" xfId="183" xr:uid="{00000000-0005-0000-0000-000083010000}"/>
    <cellStyle name="20% - Accent2 15" xfId="184" xr:uid="{00000000-0005-0000-0000-000084010000}"/>
    <cellStyle name="20% - Accent2 16" xfId="185" xr:uid="{00000000-0005-0000-0000-000085010000}"/>
    <cellStyle name="20% - Accent2 17" xfId="186" xr:uid="{00000000-0005-0000-0000-000086010000}"/>
    <cellStyle name="20% - Accent2 18" xfId="187" xr:uid="{00000000-0005-0000-0000-000087010000}"/>
    <cellStyle name="20% - Accent2 19" xfId="188" xr:uid="{00000000-0005-0000-0000-000088010000}"/>
    <cellStyle name="20% - Accent2 2" xfId="189" xr:uid="{00000000-0005-0000-0000-000089010000}"/>
    <cellStyle name="20% - Accent2 20" xfId="1001" xr:uid="{00000000-0005-0000-0000-00008A010000}"/>
    <cellStyle name="20% - Accent2 20 2" xfId="5367" xr:uid="{00000000-0005-0000-0000-00008B010000}"/>
    <cellStyle name="20% - Accent2 20 2 2" xfId="8782" xr:uid="{00000000-0005-0000-0000-00008C010000}"/>
    <cellStyle name="20% - Accent2 20 2 2 2" xfId="23410" xr:uid="{00000000-0005-0000-0000-00008D010000}"/>
    <cellStyle name="20% - Accent2 20 2 2 2 2" xfId="39466" xr:uid="{00000000-0005-0000-0000-00008E010000}"/>
    <cellStyle name="20% - Accent2 20 2 2 3" xfId="29016" xr:uid="{00000000-0005-0000-0000-00008F010000}"/>
    <cellStyle name="20% - Accent2 20 2 3" xfId="12053" xr:uid="{00000000-0005-0000-0000-000090010000}"/>
    <cellStyle name="20% - Accent2 20 2 3 2" xfId="35047" xr:uid="{00000000-0005-0000-0000-000091010000}"/>
    <cellStyle name="20% - Accent2 20 2 4" xfId="32407" xr:uid="{00000000-0005-0000-0000-000092010000}"/>
    <cellStyle name="20% - Accent2 20 3" xfId="6961" xr:uid="{00000000-0005-0000-0000-000093010000}"/>
    <cellStyle name="20% - Accent2 20 3 2" xfId="20611" xr:uid="{00000000-0005-0000-0000-000094010000}"/>
    <cellStyle name="20% - Accent2 20 3 2 2" xfId="36710" xr:uid="{00000000-0005-0000-0000-000095010000}"/>
    <cellStyle name="20% - Accent2 20 3 3" xfId="30837" xr:uid="{00000000-0005-0000-0000-000096010000}"/>
    <cellStyle name="20% - Accent2 20 4" xfId="19910" xr:uid="{00000000-0005-0000-0000-000097010000}"/>
    <cellStyle name="20% - Accent2 20 4 2" xfId="36015" xr:uid="{00000000-0005-0000-0000-000098010000}"/>
    <cellStyle name="20% - Accent2 20 5" xfId="34225" xr:uid="{00000000-0005-0000-0000-000099010000}"/>
    <cellStyle name="20% - Accent2 21" xfId="1032" xr:uid="{00000000-0005-0000-0000-00009A010000}"/>
    <cellStyle name="20% - Accent2 21 2" xfId="6220" xr:uid="{00000000-0005-0000-0000-00009B010000}"/>
    <cellStyle name="20% - Accent2 21 2 2" xfId="9634" xr:uid="{00000000-0005-0000-0000-00009C010000}"/>
    <cellStyle name="20% - Accent2 21 2 2 2" xfId="23536" xr:uid="{00000000-0005-0000-0000-00009D010000}"/>
    <cellStyle name="20% - Accent2 21 2 2 2 2" xfId="39592" xr:uid="{00000000-0005-0000-0000-00009E010000}"/>
    <cellStyle name="20% - Accent2 21 2 2 3" xfId="28165" xr:uid="{00000000-0005-0000-0000-00009F010000}"/>
    <cellStyle name="20% - Accent2 21 2 3" xfId="22998" xr:uid="{00000000-0005-0000-0000-0000A0010000}"/>
    <cellStyle name="20% - Accent2 21 2 3 2" xfId="39067" xr:uid="{00000000-0005-0000-0000-0000A1010000}"/>
    <cellStyle name="20% - Accent2 21 2 4" xfId="31566" xr:uid="{00000000-0005-0000-0000-0000A2010000}"/>
    <cellStyle name="20% - Accent2 21 3" xfId="6965" xr:uid="{00000000-0005-0000-0000-0000A3010000}"/>
    <cellStyle name="20% - Accent2 21 3 2" xfId="20612" xr:uid="{00000000-0005-0000-0000-0000A4010000}"/>
    <cellStyle name="20% - Accent2 21 3 2 2" xfId="36711" xr:uid="{00000000-0005-0000-0000-0000A5010000}"/>
    <cellStyle name="20% - Accent2 21 3 3" xfId="30833" xr:uid="{00000000-0005-0000-0000-0000A6010000}"/>
    <cellStyle name="20% - Accent2 21 4" xfId="11380" xr:uid="{00000000-0005-0000-0000-0000A7010000}"/>
    <cellStyle name="20% - Accent2 21 4 2" xfId="34798" xr:uid="{00000000-0005-0000-0000-0000A8010000}"/>
    <cellStyle name="20% - Accent2 21 5" xfId="34221" xr:uid="{00000000-0005-0000-0000-0000A9010000}"/>
    <cellStyle name="20% - Accent2 22" xfId="4512" xr:uid="{00000000-0005-0000-0000-0000AA010000}"/>
    <cellStyle name="20% - Accent2 22 2" xfId="6304" xr:uid="{00000000-0005-0000-0000-0000AB010000}"/>
    <cellStyle name="20% - Accent2 22 2 2" xfId="9714" xr:uid="{00000000-0005-0000-0000-0000AC010000}"/>
    <cellStyle name="20% - Accent2 22 2 2 2" xfId="24554" xr:uid="{00000000-0005-0000-0000-0000AD010000}"/>
    <cellStyle name="20% - Accent2 22 2 2 2 2" xfId="40598" xr:uid="{00000000-0005-0000-0000-0000AE010000}"/>
    <cellStyle name="20% - Accent2 22 2 2 3" xfId="28085" xr:uid="{00000000-0005-0000-0000-0000AF010000}"/>
    <cellStyle name="20% - Accent2 22 2 3" xfId="22336" xr:uid="{00000000-0005-0000-0000-0000B0010000}"/>
    <cellStyle name="20% - Accent2 22 2 3 2" xfId="38408" xr:uid="{00000000-0005-0000-0000-0000B1010000}"/>
    <cellStyle name="20% - Accent2 22 2 4" xfId="31486" xr:uid="{00000000-0005-0000-0000-0000B2010000}"/>
    <cellStyle name="20% - Accent2 22 3" xfId="8010" xr:uid="{00000000-0005-0000-0000-0000B3010000}"/>
    <cellStyle name="20% - Accent2 22 3 2" xfId="23300" xr:uid="{00000000-0005-0000-0000-0000B4010000}"/>
    <cellStyle name="20% - Accent2 22 3 2 2" xfId="39367" xr:uid="{00000000-0005-0000-0000-0000B5010000}"/>
    <cellStyle name="20% - Accent2 22 3 3" xfId="29788" xr:uid="{00000000-0005-0000-0000-0000B6010000}"/>
    <cellStyle name="20% - Accent2 22 4" xfId="23658" xr:uid="{00000000-0005-0000-0000-0000B7010000}"/>
    <cellStyle name="20% - Accent2 22 4 2" xfId="39714" xr:uid="{00000000-0005-0000-0000-0000B8010000}"/>
    <cellStyle name="20% - Accent2 22 5" xfId="33179" xr:uid="{00000000-0005-0000-0000-0000B9010000}"/>
    <cellStyle name="20% - Accent2 23" xfId="7680" xr:uid="{00000000-0005-0000-0000-0000BA010000}"/>
    <cellStyle name="20% - Accent2 23 2" xfId="20862" xr:uid="{00000000-0005-0000-0000-0000BB010000}"/>
    <cellStyle name="20% - Accent2 23 2 2" xfId="36961" xr:uid="{00000000-0005-0000-0000-0000BC010000}"/>
    <cellStyle name="20% - Accent2 23 3" xfId="30119" xr:uid="{00000000-0005-0000-0000-0000BD010000}"/>
    <cellStyle name="20% - Accent2 24" xfId="15115" xr:uid="{00000000-0005-0000-0000-0000BE010000}"/>
    <cellStyle name="20% - Accent2 24 2" xfId="35310" xr:uid="{00000000-0005-0000-0000-0000BF010000}"/>
    <cellStyle name="20% - Accent2 25" xfId="24939" xr:uid="{00000000-0005-0000-0000-0000C0010000}"/>
    <cellStyle name="20% - Accent2 26" xfId="33505" xr:uid="{00000000-0005-0000-0000-0000C1010000}"/>
    <cellStyle name="20% - Accent2 27" xfId="47030" xr:uid="{00000000-0005-0000-0000-0000C2010000}"/>
    <cellStyle name="20% - Accent2 3" xfId="190" xr:uid="{00000000-0005-0000-0000-0000C3010000}"/>
    <cellStyle name="20% - Accent2 4" xfId="191" xr:uid="{00000000-0005-0000-0000-0000C4010000}"/>
    <cellStyle name="20% - Accent2 5" xfId="192" xr:uid="{00000000-0005-0000-0000-0000C5010000}"/>
    <cellStyle name="20% - Accent2 6" xfId="193" xr:uid="{00000000-0005-0000-0000-0000C6010000}"/>
    <cellStyle name="20% - Accent2 7" xfId="194" xr:uid="{00000000-0005-0000-0000-0000C7010000}"/>
    <cellStyle name="20% - Accent2 8" xfId="195" xr:uid="{00000000-0005-0000-0000-0000C8010000}"/>
    <cellStyle name="20% - Accent2 9" xfId="196" xr:uid="{00000000-0005-0000-0000-0000C9010000}"/>
    <cellStyle name="20% - Accent3" xfId="4092" xr:uid="{00000000-0005-0000-0000-0000CA010000}"/>
    <cellStyle name="20% - Accent3 10" xfId="198" xr:uid="{00000000-0005-0000-0000-0000CB010000}"/>
    <cellStyle name="20% - Accent3 11" xfId="199" xr:uid="{00000000-0005-0000-0000-0000CC010000}"/>
    <cellStyle name="20% - Accent3 12" xfId="200" xr:uid="{00000000-0005-0000-0000-0000CD010000}"/>
    <cellStyle name="20% - Accent3 13" xfId="201" xr:uid="{00000000-0005-0000-0000-0000CE010000}"/>
    <cellStyle name="20% - Accent3 14" xfId="202" xr:uid="{00000000-0005-0000-0000-0000CF010000}"/>
    <cellStyle name="20% - Accent3 15" xfId="203" xr:uid="{00000000-0005-0000-0000-0000D0010000}"/>
    <cellStyle name="20% - Accent3 16" xfId="204" xr:uid="{00000000-0005-0000-0000-0000D1010000}"/>
    <cellStyle name="20% - Accent3 17" xfId="205" xr:uid="{00000000-0005-0000-0000-0000D2010000}"/>
    <cellStyle name="20% - Accent3 18" xfId="206" xr:uid="{00000000-0005-0000-0000-0000D3010000}"/>
    <cellStyle name="20% - Accent3 19" xfId="207" xr:uid="{00000000-0005-0000-0000-0000D4010000}"/>
    <cellStyle name="20% - Accent3 2" xfId="208" xr:uid="{00000000-0005-0000-0000-0000D5010000}"/>
    <cellStyle name="20% - Accent3 20" xfId="617" xr:uid="{00000000-0005-0000-0000-0000D6010000}"/>
    <cellStyle name="20% - Accent3 20 2" xfId="5365" xr:uid="{00000000-0005-0000-0000-0000D7010000}"/>
    <cellStyle name="20% - Accent3 20 2 2" xfId="8780" xr:uid="{00000000-0005-0000-0000-0000D8010000}"/>
    <cellStyle name="20% - Accent3 20 2 2 2" xfId="24413" xr:uid="{00000000-0005-0000-0000-0000D9010000}"/>
    <cellStyle name="20% - Accent3 20 2 2 2 2" xfId="40457" xr:uid="{00000000-0005-0000-0000-0000DA010000}"/>
    <cellStyle name="20% - Accent3 20 2 2 3" xfId="29018" xr:uid="{00000000-0005-0000-0000-0000DB010000}"/>
    <cellStyle name="20% - Accent3 20 2 3" xfId="10724" xr:uid="{00000000-0005-0000-0000-0000DC010000}"/>
    <cellStyle name="20% - Accent3 20 2 3 2" xfId="34572" xr:uid="{00000000-0005-0000-0000-0000DD010000}"/>
    <cellStyle name="20% - Accent3 20 2 4" xfId="32409" xr:uid="{00000000-0005-0000-0000-0000DE010000}"/>
    <cellStyle name="20% - Accent3 20 3" xfId="6927" xr:uid="{00000000-0005-0000-0000-0000DF010000}"/>
    <cellStyle name="20% - Accent3 20 3 2" xfId="24117" xr:uid="{00000000-0005-0000-0000-0000E0010000}"/>
    <cellStyle name="20% - Accent3 20 3 2 2" xfId="40170" xr:uid="{00000000-0005-0000-0000-0000E1010000}"/>
    <cellStyle name="20% - Accent3 20 3 3" xfId="30871" xr:uid="{00000000-0005-0000-0000-0000E2010000}"/>
    <cellStyle name="20% - Accent3 20 4" xfId="15112" xr:uid="{00000000-0005-0000-0000-0000E3010000}"/>
    <cellStyle name="20% - Accent3 20 4 2" xfId="35307" xr:uid="{00000000-0005-0000-0000-0000E4010000}"/>
    <cellStyle name="20% - Accent3 20 5" xfId="34259" xr:uid="{00000000-0005-0000-0000-0000E5010000}"/>
    <cellStyle name="20% - Accent3 21" xfId="897" xr:uid="{00000000-0005-0000-0000-0000E6010000}"/>
    <cellStyle name="20% - Accent3 21 2" xfId="6217" xr:uid="{00000000-0005-0000-0000-0000E7010000}"/>
    <cellStyle name="20% - Accent3 21 2 2" xfId="9631" xr:uid="{00000000-0005-0000-0000-0000E8010000}"/>
    <cellStyle name="20% - Accent3 21 2 2 2" xfId="19414" xr:uid="{00000000-0005-0000-0000-0000E9010000}"/>
    <cellStyle name="20% - Accent3 21 2 2 2 2" xfId="35528" xr:uid="{00000000-0005-0000-0000-0000EA010000}"/>
    <cellStyle name="20% - Accent3 21 2 2 3" xfId="28168" xr:uid="{00000000-0005-0000-0000-0000EB010000}"/>
    <cellStyle name="20% - Accent3 21 2 3" xfId="20368" xr:uid="{00000000-0005-0000-0000-0000EC010000}"/>
    <cellStyle name="20% - Accent3 21 2 3 2" xfId="36467" xr:uid="{00000000-0005-0000-0000-0000ED010000}"/>
    <cellStyle name="20% - Accent3 21 2 4" xfId="31569" xr:uid="{00000000-0005-0000-0000-0000EE010000}"/>
    <cellStyle name="20% - Accent3 21 3" xfId="6949" xr:uid="{00000000-0005-0000-0000-0000EF010000}"/>
    <cellStyle name="20% - Accent3 21 3 2" xfId="20607" xr:uid="{00000000-0005-0000-0000-0000F0010000}"/>
    <cellStyle name="20% - Accent3 21 3 2 2" xfId="36706" xr:uid="{00000000-0005-0000-0000-0000F1010000}"/>
    <cellStyle name="20% - Accent3 21 3 3" xfId="30849" xr:uid="{00000000-0005-0000-0000-0000F2010000}"/>
    <cellStyle name="20% - Accent3 21 4" xfId="11430" xr:uid="{00000000-0005-0000-0000-0000F3010000}"/>
    <cellStyle name="20% - Accent3 21 4 2" xfId="34799" xr:uid="{00000000-0005-0000-0000-0000F4010000}"/>
    <cellStyle name="20% - Accent3 21 5" xfId="34237" xr:uid="{00000000-0005-0000-0000-0000F5010000}"/>
    <cellStyle name="20% - Accent3 22" xfId="4514" xr:uid="{00000000-0005-0000-0000-0000F6010000}"/>
    <cellStyle name="20% - Accent3 22 2" xfId="6306" xr:uid="{00000000-0005-0000-0000-0000F7010000}"/>
    <cellStyle name="20% - Accent3 22 2 2" xfId="9716" xr:uid="{00000000-0005-0000-0000-0000F8010000}"/>
    <cellStyle name="20% - Accent3 22 2 2 2" xfId="23733" xr:uid="{00000000-0005-0000-0000-0000F9010000}"/>
    <cellStyle name="20% - Accent3 22 2 2 2 2" xfId="39789" xr:uid="{00000000-0005-0000-0000-0000FA010000}"/>
    <cellStyle name="20% - Accent3 22 2 2 3" xfId="28083" xr:uid="{00000000-0005-0000-0000-0000FB010000}"/>
    <cellStyle name="20% - Accent3 22 2 3" xfId="10674" xr:uid="{00000000-0005-0000-0000-0000FC010000}"/>
    <cellStyle name="20% - Accent3 22 2 3 2" xfId="34522" xr:uid="{00000000-0005-0000-0000-0000FD010000}"/>
    <cellStyle name="20% - Accent3 22 2 4" xfId="31484" xr:uid="{00000000-0005-0000-0000-0000FE010000}"/>
    <cellStyle name="20% - Accent3 22 3" xfId="8012" xr:uid="{00000000-0005-0000-0000-0000FF010000}"/>
    <cellStyle name="20% - Accent3 22 3 2" xfId="24303" xr:uid="{00000000-0005-0000-0000-000000020000}"/>
    <cellStyle name="20% - Accent3 22 3 2 2" xfId="40355" xr:uid="{00000000-0005-0000-0000-000001020000}"/>
    <cellStyle name="20% - Accent3 22 3 3" xfId="29786" xr:uid="{00000000-0005-0000-0000-000002020000}"/>
    <cellStyle name="20% - Accent3 22 4" xfId="19664" xr:uid="{00000000-0005-0000-0000-000003020000}"/>
    <cellStyle name="20% - Accent3 22 4 2" xfId="35778" xr:uid="{00000000-0005-0000-0000-000004020000}"/>
    <cellStyle name="20% - Accent3 22 5" xfId="33177" xr:uid="{00000000-0005-0000-0000-000005020000}"/>
    <cellStyle name="20% - Accent3 23" xfId="7682" xr:uid="{00000000-0005-0000-0000-000006020000}"/>
    <cellStyle name="20% - Accent3 23 2" xfId="24250" xr:uid="{00000000-0005-0000-0000-000007020000}"/>
    <cellStyle name="20% - Accent3 23 2 2" xfId="40303" xr:uid="{00000000-0005-0000-0000-000008020000}"/>
    <cellStyle name="20% - Accent3 23 3" xfId="30117" xr:uid="{00000000-0005-0000-0000-000009020000}"/>
    <cellStyle name="20% - Accent3 24" xfId="15117" xr:uid="{00000000-0005-0000-0000-00000A020000}"/>
    <cellStyle name="20% - Accent3 24 2" xfId="35312" xr:uid="{00000000-0005-0000-0000-00000B020000}"/>
    <cellStyle name="20% - Accent3 25" xfId="24941" xr:uid="{00000000-0005-0000-0000-00000C020000}"/>
    <cellStyle name="20% - Accent3 26" xfId="33503" xr:uid="{00000000-0005-0000-0000-00000D020000}"/>
    <cellStyle name="20% - Accent3 27" xfId="47032" xr:uid="{00000000-0005-0000-0000-00000E020000}"/>
    <cellStyle name="20% - Accent3 3" xfId="209" xr:uid="{00000000-0005-0000-0000-00000F020000}"/>
    <cellStyle name="20% - Accent3 4" xfId="210" xr:uid="{00000000-0005-0000-0000-000010020000}"/>
    <cellStyle name="20% - Accent3 5" xfId="211" xr:uid="{00000000-0005-0000-0000-000011020000}"/>
    <cellStyle name="20% - Accent3 6" xfId="212" xr:uid="{00000000-0005-0000-0000-000012020000}"/>
    <cellStyle name="20% - Accent3 7" xfId="213" xr:uid="{00000000-0005-0000-0000-000013020000}"/>
    <cellStyle name="20% - Accent3 8" xfId="214" xr:uid="{00000000-0005-0000-0000-000014020000}"/>
    <cellStyle name="20% - Accent3 9" xfId="215" xr:uid="{00000000-0005-0000-0000-000015020000}"/>
    <cellStyle name="20% - Accent4" xfId="4096" xr:uid="{00000000-0005-0000-0000-000016020000}"/>
    <cellStyle name="20% - Accent4 10" xfId="217" xr:uid="{00000000-0005-0000-0000-000017020000}"/>
    <cellStyle name="20% - Accent4 11" xfId="218" xr:uid="{00000000-0005-0000-0000-000018020000}"/>
    <cellStyle name="20% - Accent4 12" xfId="219" xr:uid="{00000000-0005-0000-0000-000019020000}"/>
    <cellStyle name="20% - Accent4 13" xfId="220" xr:uid="{00000000-0005-0000-0000-00001A020000}"/>
    <cellStyle name="20% - Accent4 14" xfId="221" xr:uid="{00000000-0005-0000-0000-00001B020000}"/>
    <cellStyle name="20% - Accent4 15" xfId="222" xr:uid="{00000000-0005-0000-0000-00001C020000}"/>
    <cellStyle name="20% - Accent4 16" xfId="223" xr:uid="{00000000-0005-0000-0000-00001D020000}"/>
    <cellStyle name="20% - Accent4 17" xfId="224" xr:uid="{00000000-0005-0000-0000-00001E020000}"/>
    <cellStyle name="20% - Accent4 18" xfId="225" xr:uid="{00000000-0005-0000-0000-00001F020000}"/>
    <cellStyle name="20% - Accent4 19" xfId="226" xr:uid="{00000000-0005-0000-0000-000020020000}"/>
    <cellStyle name="20% - Accent4 2" xfId="227" xr:uid="{00000000-0005-0000-0000-000021020000}"/>
    <cellStyle name="20% - Accent4 20" xfId="235" xr:uid="{00000000-0005-0000-0000-000022020000}"/>
    <cellStyle name="20% - Accent4 20 2" xfId="5363" xr:uid="{00000000-0005-0000-0000-000023020000}"/>
    <cellStyle name="20% - Accent4 20 2 2" xfId="8778" xr:uid="{00000000-0005-0000-0000-000024020000}"/>
    <cellStyle name="20% - Accent4 20 2 2 2" xfId="11772" xr:uid="{00000000-0005-0000-0000-000025020000}"/>
    <cellStyle name="20% - Accent4 20 2 2 2 2" xfId="34861" xr:uid="{00000000-0005-0000-0000-000026020000}"/>
    <cellStyle name="20% - Accent4 20 2 2 3" xfId="29020" xr:uid="{00000000-0005-0000-0000-000027020000}"/>
    <cellStyle name="20% - Accent4 20 2 3" xfId="20083" xr:uid="{00000000-0005-0000-0000-000028020000}"/>
    <cellStyle name="20% - Accent4 20 2 3 2" xfId="36187" xr:uid="{00000000-0005-0000-0000-000029020000}"/>
    <cellStyle name="20% - Accent4 20 2 4" xfId="32411" xr:uid="{00000000-0005-0000-0000-00002A020000}"/>
    <cellStyle name="20% - Accent4 20 3" xfId="6895" xr:uid="{00000000-0005-0000-0000-00002B020000}"/>
    <cellStyle name="20% - Accent4 20 3 2" xfId="20595" xr:uid="{00000000-0005-0000-0000-00002C020000}"/>
    <cellStyle name="20% - Accent4 20 3 2 2" xfId="36694" xr:uid="{00000000-0005-0000-0000-00002D020000}"/>
    <cellStyle name="20% - Accent4 20 3 3" xfId="30903" xr:uid="{00000000-0005-0000-0000-00002E020000}"/>
    <cellStyle name="20% - Accent4 20 4" xfId="19898" xr:uid="{00000000-0005-0000-0000-00002F020000}"/>
    <cellStyle name="20% - Accent4 20 4 2" xfId="36011" xr:uid="{00000000-0005-0000-0000-000030020000}"/>
    <cellStyle name="20% - Accent4 20 5" xfId="34291" xr:uid="{00000000-0005-0000-0000-000031020000}"/>
    <cellStyle name="20% - Accent4 21" xfId="693" xr:uid="{00000000-0005-0000-0000-000032020000}"/>
    <cellStyle name="20% - Accent4 21 2" xfId="6213" xr:uid="{00000000-0005-0000-0000-000033020000}"/>
    <cellStyle name="20% - Accent4 21 2 2" xfId="9627" xr:uid="{00000000-0005-0000-0000-000034020000}"/>
    <cellStyle name="20% - Accent4 21 2 2 2" xfId="19535" xr:uid="{00000000-0005-0000-0000-000035020000}"/>
    <cellStyle name="20% - Accent4 21 2 2 2 2" xfId="35649" xr:uid="{00000000-0005-0000-0000-000036020000}"/>
    <cellStyle name="20% - Accent4 21 2 2 3" xfId="28172" xr:uid="{00000000-0005-0000-0000-000037020000}"/>
    <cellStyle name="20% - Accent4 21 2 3" xfId="22116" xr:uid="{00000000-0005-0000-0000-000038020000}"/>
    <cellStyle name="20% - Accent4 21 2 3 2" xfId="38190" xr:uid="{00000000-0005-0000-0000-000039020000}"/>
    <cellStyle name="20% - Accent4 21 2 4" xfId="31573" xr:uid="{00000000-0005-0000-0000-00003A020000}"/>
    <cellStyle name="20% - Accent4 21 3" xfId="6929" xr:uid="{00000000-0005-0000-0000-00003B020000}"/>
    <cellStyle name="20% - Accent4 21 3 2" xfId="10333" xr:uid="{00000000-0005-0000-0000-00003C020000}"/>
    <cellStyle name="20% - Accent4 21 3 2 2" xfId="34301" xr:uid="{00000000-0005-0000-0000-00003D020000}"/>
    <cellStyle name="20% - Accent4 21 3 3" xfId="30869" xr:uid="{00000000-0005-0000-0000-00003E020000}"/>
    <cellStyle name="20% - Accent4 21 4" xfId="19619" xr:uid="{00000000-0005-0000-0000-00003F020000}"/>
    <cellStyle name="20% - Accent4 21 4 2" xfId="35733" xr:uid="{00000000-0005-0000-0000-000040020000}"/>
    <cellStyle name="20% - Accent4 21 5" xfId="34257" xr:uid="{00000000-0005-0000-0000-000041020000}"/>
    <cellStyle name="20% - Accent4 22" xfId="4516" xr:uid="{00000000-0005-0000-0000-000042020000}"/>
    <cellStyle name="20% - Accent4 22 2" xfId="6308" xr:uid="{00000000-0005-0000-0000-000043020000}"/>
    <cellStyle name="20% - Accent4 22 2 2" xfId="9718" xr:uid="{00000000-0005-0000-0000-000044020000}"/>
    <cellStyle name="20% - Accent4 22 2 2 2" xfId="21975" xr:uid="{00000000-0005-0000-0000-000045020000}"/>
    <cellStyle name="20% - Accent4 22 2 2 2 2" xfId="38050" xr:uid="{00000000-0005-0000-0000-000046020000}"/>
    <cellStyle name="20% - Accent4 22 2 2 3" xfId="28081" xr:uid="{00000000-0005-0000-0000-000047020000}"/>
    <cellStyle name="20% - Accent4 22 2 3" xfId="11975" xr:uid="{00000000-0005-0000-0000-000048020000}"/>
    <cellStyle name="20% - Accent4 22 2 3 2" xfId="34997" xr:uid="{00000000-0005-0000-0000-000049020000}"/>
    <cellStyle name="20% - Accent4 22 2 4" xfId="31482" xr:uid="{00000000-0005-0000-0000-00004A020000}"/>
    <cellStyle name="20% - Accent4 22 3" xfId="8014" xr:uid="{00000000-0005-0000-0000-00004B020000}"/>
    <cellStyle name="20% - Accent4 22 3 2" xfId="23301" xr:uid="{00000000-0005-0000-0000-00004C020000}"/>
    <cellStyle name="20% - Accent4 22 3 2 2" xfId="39368" xr:uid="{00000000-0005-0000-0000-00004D020000}"/>
    <cellStyle name="20% - Accent4 22 3 3" xfId="29784" xr:uid="{00000000-0005-0000-0000-00004E020000}"/>
    <cellStyle name="20% - Accent4 22 4" xfId="10959" xr:uid="{00000000-0005-0000-0000-00004F020000}"/>
    <cellStyle name="20% - Accent4 22 4 2" xfId="34701" xr:uid="{00000000-0005-0000-0000-000050020000}"/>
    <cellStyle name="20% - Accent4 22 5" xfId="33175" xr:uid="{00000000-0005-0000-0000-000051020000}"/>
    <cellStyle name="20% - Accent4 23" xfId="7684" xr:uid="{00000000-0005-0000-0000-000052020000}"/>
    <cellStyle name="20% - Accent4 23 2" xfId="23248" xr:uid="{00000000-0005-0000-0000-000053020000}"/>
    <cellStyle name="20% - Accent4 23 2 2" xfId="39316" xr:uid="{00000000-0005-0000-0000-000054020000}"/>
    <cellStyle name="20% - Accent4 23 3" xfId="30115" xr:uid="{00000000-0005-0000-0000-000055020000}"/>
    <cellStyle name="20% - Accent4 24" xfId="15119" xr:uid="{00000000-0005-0000-0000-000056020000}"/>
    <cellStyle name="20% - Accent4 24 2" xfId="35314" xr:uid="{00000000-0005-0000-0000-000057020000}"/>
    <cellStyle name="20% - Accent4 25" xfId="24943" xr:uid="{00000000-0005-0000-0000-000058020000}"/>
    <cellStyle name="20% - Accent4 26" xfId="33501" xr:uid="{00000000-0005-0000-0000-000059020000}"/>
    <cellStyle name="20% - Accent4 27" xfId="47034" xr:uid="{00000000-0005-0000-0000-00005A020000}"/>
    <cellStyle name="20% - Accent4 3" xfId="228" xr:uid="{00000000-0005-0000-0000-00005B020000}"/>
    <cellStyle name="20% - Accent4 4" xfId="229" xr:uid="{00000000-0005-0000-0000-00005C020000}"/>
    <cellStyle name="20% - Accent4 5" xfId="230" xr:uid="{00000000-0005-0000-0000-00005D020000}"/>
    <cellStyle name="20% - Accent4 6" xfId="231" xr:uid="{00000000-0005-0000-0000-00005E020000}"/>
    <cellStyle name="20% - Accent4 7" xfId="232" xr:uid="{00000000-0005-0000-0000-00005F020000}"/>
    <cellStyle name="20% - Accent4 8" xfId="233" xr:uid="{00000000-0005-0000-0000-000060020000}"/>
    <cellStyle name="20% - Accent4 9" xfId="234" xr:uid="{00000000-0005-0000-0000-000061020000}"/>
    <cellStyle name="20% - Accent5" xfId="4100" xr:uid="{00000000-0005-0000-0000-000062020000}"/>
    <cellStyle name="20% - Accent5 10" xfId="236" xr:uid="{00000000-0005-0000-0000-000063020000}"/>
    <cellStyle name="20% - Accent5 11" xfId="237" xr:uid="{00000000-0005-0000-0000-000064020000}"/>
    <cellStyle name="20% - Accent5 12" xfId="238" xr:uid="{00000000-0005-0000-0000-000065020000}"/>
    <cellStyle name="20% - Accent5 13" xfId="239" xr:uid="{00000000-0005-0000-0000-000066020000}"/>
    <cellStyle name="20% - Accent5 14" xfId="240" xr:uid="{00000000-0005-0000-0000-000067020000}"/>
    <cellStyle name="20% - Accent5 15" xfId="241" xr:uid="{00000000-0005-0000-0000-000068020000}"/>
    <cellStyle name="20% - Accent5 16" xfId="242" xr:uid="{00000000-0005-0000-0000-000069020000}"/>
    <cellStyle name="20% - Accent5 17" xfId="243" xr:uid="{00000000-0005-0000-0000-00006A020000}"/>
    <cellStyle name="20% - Accent5 18" xfId="244" xr:uid="{00000000-0005-0000-0000-00006B020000}"/>
    <cellStyle name="20% - Accent5 19" xfId="245" xr:uid="{00000000-0005-0000-0000-00006C020000}"/>
    <cellStyle name="20% - Accent5 2" xfId="246" xr:uid="{00000000-0005-0000-0000-00006D020000}"/>
    <cellStyle name="20% - Accent5 20" xfId="159" xr:uid="{00000000-0005-0000-0000-00006E020000}"/>
    <cellStyle name="20% - Accent5 20 2" xfId="5361" xr:uid="{00000000-0005-0000-0000-00006F020000}"/>
    <cellStyle name="20% - Accent5 20 2 2" xfId="8776" xr:uid="{00000000-0005-0000-0000-000070020000}"/>
    <cellStyle name="20% - Accent5 20 2 2 2" xfId="10490" xr:uid="{00000000-0005-0000-0000-000071020000}"/>
    <cellStyle name="20% - Accent5 20 2 2 2 2" xfId="34390" xr:uid="{00000000-0005-0000-0000-000072020000}"/>
    <cellStyle name="20% - Accent5 20 2 2 3" xfId="29022" xr:uid="{00000000-0005-0000-0000-000073020000}"/>
    <cellStyle name="20% - Accent5 20 2 3" xfId="19808" xr:uid="{00000000-0005-0000-0000-000074020000}"/>
    <cellStyle name="20% - Accent5 20 2 3 2" xfId="35921" xr:uid="{00000000-0005-0000-0000-000075020000}"/>
    <cellStyle name="20% - Accent5 20 2 4" xfId="32413" xr:uid="{00000000-0005-0000-0000-000076020000}"/>
    <cellStyle name="20% - Accent5 20 3" xfId="6893" xr:uid="{00000000-0005-0000-0000-000077020000}"/>
    <cellStyle name="20% - Accent5 20 3 2" xfId="22398" xr:uid="{00000000-0005-0000-0000-000078020000}"/>
    <cellStyle name="20% - Accent5 20 3 2 2" xfId="38470" xr:uid="{00000000-0005-0000-0000-000079020000}"/>
    <cellStyle name="20% - Accent5 20 3 3" xfId="30905" xr:uid="{00000000-0005-0000-0000-00007A020000}"/>
    <cellStyle name="20% - Accent5 20 4" xfId="24662" xr:uid="{00000000-0005-0000-0000-00007B020000}"/>
    <cellStyle name="20% - Accent5 20 4 2" xfId="40705" xr:uid="{00000000-0005-0000-0000-00007C020000}"/>
    <cellStyle name="20% - Accent5 20 5" xfId="34293" xr:uid="{00000000-0005-0000-0000-00007D020000}"/>
    <cellStyle name="20% - Accent5 21" xfId="376" xr:uid="{00000000-0005-0000-0000-00007E020000}"/>
    <cellStyle name="20% - Accent5 21 2" xfId="6210" xr:uid="{00000000-0005-0000-0000-00007F020000}"/>
    <cellStyle name="20% - Accent5 21 2 2" xfId="9624" xr:uid="{00000000-0005-0000-0000-000080020000}"/>
    <cellStyle name="20% - Accent5 21 2 2 2" xfId="21440" xr:uid="{00000000-0005-0000-0000-000081020000}"/>
    <cellStyle name="20% - Accent5 21 2 2 2 2" xfId="37520" xr:uid="{00000000-0005-0000-0000-000082020000}"/>
    <cellStyle name="20% - Accent5 21 2 2 3" xfId="28175" xr:uid="{00000000-0005-0000-0000-000083020000}"/>
    <cellStyle name="20% - Accent5 21 2 3" xfId="22996" xr:uid="{00000000-0005-0000-0000-000084020000}"/>
    <cellStyle name="20% - Accent5 21 2 3 2" xfId="39065" xr:uid="{00000000-0005-0000-0000-000085020000}"/>
    <cellStyle name="20% - Accent5 21 2 4" xfId="31576" xr:uid="{00000000-0005-0000-0000-000086020000}"/>
    <cellStyle name="20% - Accent5 21 3" xfId="6907" xr:uid="{00000000-0005-0000-0000-000087020000}"/>
    <cellStyle name="20% - Accent5 21 3 2" xfId="23114" xr:uid="{00000000-0005-0000-0000-000088020000}"/>
    <cellStyle name="20% - Accent5 21 3 2 2" xfId="39183" xr:uid="{00000000-0005-0000-0000-000089020000}"/>
    <cellStyle name="20% - Accent5 21 3 3" xfId="30891" xr:uid="{00000000-0005-0000-0000-00008A020000}"/>
    <cellStyle name="20% - Accent5 21 4" xfId="19899" xr:uid="{00000000-0005-0000-0000-00008B020000}"/>
    <cellStyle name="20% - Accent5 21 4 2" xfId="36012" xr:uid="{00000000-0005-0000-0000-00008C020000}"/>
    <cellStyle name="20% - Accent5 21 5" xfId="34279" xr:uid="{00000000-0005-0000-0000-00008D020000}"/>
    <cellStyle name="20% - Accent5 22" xfId="4518" xr:uid="{00000000-0005-0000-0000-00008E020000}"/>
    <cellStyle name="20% - Accent5 22 2" xfId="6310" xr:uid="{00000000-0005-0000-0000-00008F020000}"/>
    <cellStyle name="20% - Accent5 22 2 2" xfId="9720" xr:uid="{00000000-0005-0000-0000-000090020000}"/>
    <cellStyle name="20% - Accent5 22 2 2 2" xfId="19418" xr:uid="{00000000-0005-0000-0000-000091020000}"/>
    <cellStyle name="20% - Accent5 22 2 2 2 2" xfId="35532" xr:uid="{00000000-0005-0000-0000-000092020000}"/>
    <cellStyle name="20% - Accent5 22 2 2 3" xfId="28079" xr:uid="{00000000-0005-0000-0000-000093020000}"/>
    <cellStyle name="20% - Accent5 22 2 3" xfId="10673" xr:uid="{00000000-0005-0000-0000-000094020000}"/>
    <cellStyle name="20% - Accent5 22 2 3 2" xfId="34521" xr:uid="{00000000-0005-0000-0000-000095020000}"/>
    <cellStyle name="20% - Accent5 22 2 4" xfId="31480" xr:uid="{00000000-0005-0000-0000-000096020000}"/>
    <cellStyle name="20% - Accent5 22 3" xfId="8016" xr:uid="{00000000-0005-0000-0000-000097020000}"/>
    <cellStyle name="20% - Accent5 22 3 2" xfId="20973" xr:uid="{00000000-0005-0000-0000-000098020000}"/>
    <cellStyle name="20% - Accent5 22 3 2 2" xfId="37069" xr:uid="{00000000-0005-0000-0000-000099020000}"/>
    <cellStyle name="20% - Accent5 22 3 3" xfId="29782" xr:uid="{00000000-0005-0000-0000-00009A020000}"/>
    <cellStyle name="20% - Accent5 22 4" xfId="12312" xr:uid="{00000000-0005-0000-0000-00009B020000}"/>
    <cellStyle name="20% - Accent5 22 4 2" xfId="35186" xr:uid="{00000000-0005-0000-0000-00009C020000}"/>
    <cellStyle name="20% - Accent5 22 5" xfId="33173" xr:uid="{00000000-0005-0000-0000-00009D020000}"/>
    <cellStyle name="20% - Accent5 23" xfId="7686" xr:uid="{00000000-0005-0000-0000-00009E020000}"/>
    <cellStyle name="20% - Accent5 23 2" xfId="20865" xr:uid="{00000000-0005-0000-0000-00009F020000}"/>
    <cellStyle name="20% - Accent5 23 2 2" xfId="36964" xr:uid="{00000000-0005-0000-0000-0000A0020000}"/>
    <cellStyle name="20% - Accent5 23 3" xfId="30113" xr:uid="{00000000-0005-0000-0000-0000A1020000}"/>
    <cellStyle name="20% - Accent5 24" xfId="15121" xr:uid="{00000000-0005-0000-0000-0000A2020000}"/>
    <cellStyle name="20% - Accent5 24 2" xfId="35316" xr:uid="{00000000-0005-0000-0000-0000A3020000}"/>
    <cellStyle name="20% - Accent5 25" xfId="24945" xr:uid="{00000000-0005-0000-0000-0000A4020000}"/>
    <cellStyle name="20% - Accent5 26" xfId="33499" xr:uid="{00000000-0005-0000-0000-0000A5020000}"/>
    <cellStyle name="20% - Accent5 27" xfId="47036" xr:uid="{00000000-0005-0000-0000-0000A6020000}"/>
    <cellStyle name="20% - Accent5 3" xfId="247" xr:uid="{00000000-0005-0000-0000-0000A7020000}"/>
    <cellStyle name="20% - Accent5 4" xfId="248" xr:uid="{00000000-0005-0000-0000-0000A8020000}"/>
    <cellStyle name="20% - Accent5 5" xfId="249" xr:uid="{00000000-0005-0000-0000-0000A9020000}"/>
    <cellStyle name="20% - Accent5 6" xfId="250" xr:uid="{00000000-0005-0000-0000-0000AA020000}"/>
    <cellStyle name="20% - Accent5 7" xfId="251" xr:uid="{00000000-0005-0000-0000-0000AB020000}"/>
    <cellStyle name="20% - Accent5 8" xfId="252" xr:uid="{00000000-0005-0000-0000-0000AC020000}"/>
    <cellStyle name="20% - Accent5 9" xfId="253" xr:uid="{00000000-0005-0000-0000-0000AD020000}"/>
    <cellStyle name="20% - Accent6" xfId="4104" xr:uid="{00000000-0005-0000-0000-0000AE020000}"/>
    <cellStyle name="20% - Accent6 10" xfId="255" xr:uid="{00000000-0005-0000-0000-0000AF020000}"/>
    <cellStyle name="20% - Accent6 11" xfId="256" xr:uid="{00000000-0005-0000-0000-0000B0020000}"/>
    <cellStyle name="20% - Accent6 12" xfId="257" xr:uid="{00000000-0005-0000-0000-0000B1020000}"/>
    <cellStyle name="20% - Accent6 13" xfId="258" xr:uid="{00000000-0005-0000-0000-0000B2020000}"/>
    <cellStyle name="20% - Accent6 14" xfId="259" xr:uid="{00000000-0005-0000-0000-0000B3020000}"/>
    <cellStyle name="20% - Accent6 15" xfId="260" xr:uid="{00000000-0005-0000-0000-0000B4020000}"/>
    <cellStyle name="20% - Accent6 16" xfId="261" xr:uid="{00000000-0005-0000-0000-0000B5020000}"/>
    <cellStyle name="20% - Accent6 17" xfId="262" xr:uid="{00000000-0005-0000-0000-0000B6020000}"/>
    <cellStyle name="20% - Accent6 18" xfId="263" xr:uid="{00000000-0005-0000-0000-0000B7020000}"/>
    <cellStyle name="20% - Accent6 19" xfId="264" xr:uid="{00000000-0005-0000-0000-0000B8020000}"/>
    <cellStyle name="20% - Accent6 2" xfId="265" xr:uid="{00000000-0005-0000-0000-0000B9020000}"/>
    <cellStyle name="20% - Accent6 20" xfId="3647" xr:uid="{00000000-0005-0000-0000-0000BA020000}"/>
    <cellStyle name="20% - Accent6 20 2" xfId="5567" xr:uid="{00000000-0005-0000-0000-0000BB020000}"/>
    <cellStyle name="20% - Accent6 20 2 2" xfId="8982" xr:uid="{00000000-0005-0000-0000-0000BC020000}"/>
    <cellStyle name="20% - Accent6 20 2 2 2" xfId="11733" xr:uid="{00000000-0005-0000-0000-0000BD020000}"/>
    <cellStyle name="20% - Accent6 20 2 2 2 2" xfId="34847" xr:uid="{00000000-0005-0000-0000-0000BE020000}"/>
    <cellStyle name="20% - Accent6 20 2 2 3" xfId="28816" xr:uid="{00000000-0005-0000-0000-0000BF020000}"/>
    <cellStyle name="20% - Accent6 20 2 3" xfId="23878" xr:uid="{00000000-0005-0000-0000-0000C0020000}"/>
    <cellStyle name="20% - Accent6 20 2 3 2" xfId="39934" xr:uid="{00000000-0005-0000-0000-0000C1020000}"/>
    <cellStyle name="20% - Accent6 20 2 4" xfId="32207" xr:uid="{00000000-0005-0000-0000-0000C2020000}"/>
    <cellStyle name="20% - Accent6 20 3" xfId="7285" xr:uid="{00000000-0005-0000-0000-0000C3020000}"/>
    <cellStyle name="20% - Accent6 20 3 2" xfId="23177" xr:uid="{00000000-0005-0000-0000-0000C4020000}"/>
    <cellStyle name="20% - Accent6 20 3 2 2" xfId="39246" xr:uid="{00000000-0005-0000-0000-0000C5020000}"/>
    <cellStyle name="20% - Accent6 20 3 3" xfId="30513" xr:uid="{00000000-0005-0000-0000-0000C6020000}"/>
    <cellStyle name="20% - Accent6 20 4" xfId="23753" xr:uid="{00000000-0005-0000-0000-0000C7020000}"/>
    <cellStyle name="20% - Accent6 20 4 2" xfId="39809" xr:uid="{00000000-0005-0000-0000-0000C8020000}"/>
    <cellStyle name="20% - Accent6 20 5" xfId="33900" xr:uid="{00000000-0005-0000-0000-0000C9020000}"/>
    <cellStyle name="20% - Accent6 21" xfId="4467" xr:uid="{00000000-0005-0000-0000-0000CA020000}"/>
    <cellStyle name="20% - Accent6 21 2" xfId="6264" xr:uid="{00000000-0005-0000-0000-0000CB020000}"/>
    <cellStyle name="20% - Accent6 21 2 2" xfId="9674" xr:uid="{00000000-0005-0000-0000-0000CC020000}"/>
    <cellStyle name="20% - Accent6 21 2 2 2" xfId="24546" xr:uid="{00000000-0005-0000-0000-0000CD020000}"/>
    <cellStyle name="20% - Accent6 21 2 2 2 2" xfId="40590" xr:uid="{00000000-0005-0000-0000-0000CE020000}"/>
    <cellStyle name="20% - Accent6 21 2 2 3" xfId="28125" xr:uid="{00000000-0005-0000-0000-0000CF020000}"/>
    <cellStyle name="20% - Accent6 21 2 3" xfId="23006" xr:uid="{00000000-0005-0000-0000-0000D0020000}"/>
    <cellStyle name="20% - Accent6 21 2 3 2" xfId="39075" xr:uid="{00000000-0005-0000-0000-0000D1020000}"/>
    <cellStyle name="20% - Accent6 21 2 4" xfId="31526" xr:uid="{00000000-0005-0000-0000-0000D2020000}"/>
    <cellStyle name="20% - Accent6 21 3" xfId="7970" xr:uid="{00000000-0005-0000-0000-0000D3020000}"/>
    <cellStyle name="20% - Accent6 21 3 2" xfId="23297" xr:uid="{00000000-0005-0000-0000-0000D4020000}"/>
    <cellStyle name="20% - Accent6 21 3 2 2" xfId="39364" xr:uid="{00000000-0005-0000-0000-0000D5020000}"/>
    <cellStyle name="20% - Accent6 21 3 3" xfId="29829" xr:uid="{00000000-0005-0000-0000-0000D6020000}"/>
    <cellStyle name="20% - Accent6 21 4" xfId="10971" xr:uid="{00000000-0005-0000-0000-0000D7020000}"/>
    <cellStyle name="20% - Accent6 21 4 2" xfId="34708" xr:uid="{00000000-0005-0000-0000-0000D8020000}"/>
    <cellStyle name="20% - Accent6 21 5" xfId="33219" xr:uid="{00000000-0005-0000-0000-0000D9020000}"/>
    <cellStyle name="20% - Accent6 22" xfId="4520" xr:uid="{00000000-0005-0000-0000-0000DA020000}"/>
    <cellStyle name="20% - Accent6 22 2" xfId="6312" xr:uid="{00000000-0005-0000-0000-0000DB020000}"/>
    <cellStyle name="20% - Accent6 22 2 2" xfId="9722" xr:uid="{00000000-0005-0000-0000-0000DC020000}"/>
    <cellStyle name="20% - Accent6 22 2 2 2" xfId="23549" xr:uid="{00000000-0005-0000-0000-0000DD020000}"/>
    <cellStyle name="20% - Accent6 22 2 2 2 2" xfId="39605" xr:uid="{00000000-0005-0000-0000-0000DE020000}"/>
    <cellStyle name="20% - Accent6 22 2 2 3" xfId="28077" xr:uid="{00000000-0005-0000-0000-0000DF020000}"/>
    <cellStyle name="20% - Accent6 22 2 3" xfId="11974" xr:uid="{00000000-0005-0000-0000-0000E0020000}"/>
    <cellStyle name="20% - Accent6 22 2 3 2" xfId="34996" xr:uid="{00000000-0005-0000-0000-0000E1020000}"/>
    <cellStyle name="20% - Accent6 22 2 4" xfId="31478" xr:uid="{00000000-0005-0000-0000-0000E2020000}"/>
    <cellStyle name="20% - Accent6 22 3" xfId="8018" xr:uid="{00000000-0005-0000-0000-0000E3020000}"/>
    <cellStyle name="20% - Accent6 22 3 2" xfId="21760" xr:uid="{00000000-0005-0000-0000-0000E4020000}"/>
    <cellStyle name="20% - Accent6 22 3 2 2" xfId="37837" xr:uid="{00000000-0005-0000-0000-0000E5020000}"/>
    <cellStyle name="20% - Accent6 22 3 3" xfId="29780" xr:uid="{00000000-0005-0000-0000-0000E6020000}"/>
    <cellStyle name="20% - Accent6 22 4" xfId="22821" xr:uid="{00000000-0005-0000-0000-0000E7020000}"/>
    <cellStyle name="20% - Accent6 22 4 2" xfId="38890" xr:uid="{00000000-0005-0000-0000-0000E8020000}"/>
    <cellStyle name="20% - Accent6 22 5" xfId="33171" xr:uid="{00000000-0005-0000-0000-0000E9020000}"/>
    <cellStyle name="20% - Accent6 23" xfId="7688" xr:uid="{00000000-0005-0000-0000-0000EA020000}"/>
    <cellStyle name="20% - Accent6 23 2" xfId="24251" xr:uid="{00000000-0005-0000-0000-0000EB020000}"/>
    <cellStyle name="20% - Accent6 23 2 2" xfId="40304" xr:uid="{00000000-0005-0000-0000-0000EC020000}"/>
    <cellStyle name="20% - Accent6 23 3" xfId="30111" xr:uid="{00000000-0005-0000-0000-0000ED020000}"/>
    <cellStyle name="20% - Accent6 24" xfId="15123" xr:uid="{00000000-0005-0000-0000-0000EE020000}"/>
    <cellStyle name="20% - Accent6 24 2" xfId="35318" xr:uid="{00000000-0005-0000-0000-0000EF020000}"/>
    <cellStyle name="20% - Accent6 25" xfId="24947" xr:uid="{00000000-0005-0000-0000-0000F0020000}"/>
    <cellStyle name="20% - Accent6 26" xfId="33497" xr:uid="{00000000-0005-0000-0000-0000F1020000}"/>
    <cellStyle name="20% - Accent6 27" xfId="47038" xr:uid="{00000000-0005-0000-0000-0000F2020000}"/>
    <cellStyle name="20% - Accent6 3" xfId="266" xr:uid="{00000000-0005-0000-0000-0000F3020000}"/>
    <cellStyle name="20% - Accent6 4" xfId="267" xr:uid="{00000000-0005-0000-0000-0000F4020000}"/>
    <cellStyle name="20% - Accent6 5" xfId="268" xr:uid="{00000000-0005-0000-0000-0000F5020000}"/>
    <cellStyle name="20% - Accent6 6" xfId="269" xr:uid="{00000000-0005-0000-0000-0000F6020000}"/>
    <cellStyle name="20% - Accent6 7" xfId="270" xr:uid="{00000000-0005-0000-0000-0000F7020000}"/>
    <cellStyle name="20% - Accent6 8" xfId="271" xr:uid="{00000000-0005-0000-0000-0000F8020000}"/>
    <cellStyle name="20% - Accent6 9" xfId="272" xr:uid="{00000000-0005-0000-0000-0000F9020000}"/>
    <cellStyle name="20% - uthevingsfarge 1" xfId="4564" xr:uid="{00000000-0005-0000-0000-0000FA020000}"/>
    <cellStyle name="20% - uthevingsfarge 1 10" xfId="273" xr:uid="{00000000-0005-0000-0000-0000FB020000}"/>
    <cellStyle name="20% - uthevingsfarge 1 10 2" xfId="274" xr:uid="{00000000-0005-0000-0000-0000FC020000}"/>
    <cellStyle name="20% - uthevingsfarge 1 11" xfId="275" xr:uid="{00000000-0005-0000-0000-0000FD020000}"/>
    <cellStyle name="20% - uthevingsfarge 1 11 2" xfId="276" xr:uid="{00000000-0005-0000-0000-0000FE020000}"/>
    <cellStyle name="20% - uthevingsfarge 1 12" xfId="277" xr:uid="{00000000-0005-0000-0000-0000FF020000}"/>
    <cellStyle name="20% - uthevingsfarge 1 12 2" xfId="278" xr:uid="{00000000-0005-0000-0000-000000030000}"/>
    <cellStyle name="20% - uthevingsfarge 1 13" xfId="279" xr:uid="{00000000-0005-0000-0000-000001030000}"/>
    <cellStyle name="20% - uthevingsfarge 1 13 2" xfId="280" xr:uid="{00000000-0005-0000-0000-000002030000}"/>
    <cellStyle name="20% - uthevingsfarge 1 14" xfId="281" xr:uid="{00000000-0005-0000-0000-000003030000}"/>
    <cellStyle name="20% - uthevingsfarge 1 14 2" xfId="282" xr:uid="{00000000-0005-0000-0000-000004030000}"/>
    <cellStyle name="20% - uthevingsfarge 1 15" xfId="283" xr:uid="{00000000-0005-0000-0000-000005030000}"/>
    <cellStyle name="20% - uthevingsfarge 1 15 2" xfId="284" xr:uid="{00000000-0005-0000-0000-000006030000}"/>
    <cellStyle name="20% - uthevingsfarge 1 16" xfId="285" xr:uid="{00000000-0005-0000-0000-000007030000}"/>
    <cellStyle name="20% - uthevingsfarge 1 16 2" xfId="286" xr:uid="{00000000-0005-0000-0000-000008030000}"/>
    <cellStyle name="20% - uthevingsfarge 1 17" xfId="287" xr:uid="{00000000-0005-0000-0000-000009030000}"/>
    <cellStyle name="20% - uthevingsfarge 1 17 2" xfId="288" xr:uid="{00000000-0005-0000-0000-00000A030000}"/>
    <cellStyle name="20% - uthevingsfarge 1 18" xfId="289" xr:uid="{00000000-0005-0000-0000-00000B030000}"/>
    <cellStyle name="20% - uthevingsfarge 1 18 2" xfId="290" xr:uid="{00000000-0005-0000-0000-00000C030000}"/>
    <cellStyle name="20% - uthevingsfarge 1 19" xfId="291" xr:uid="{00000000-0005-0000-0000-00000D030000}"/>
    <cellStyle name="20% - uthevingsfarge 1 19 2" xfId="292" xr:uid="{00000000-0005-0000-0000-00000E030000}"/>
    <cellStyle name="20% - uthevingsfarge 1 2" xfId="293" xr:uid="{00000000-0005-0000-0000-00000F030000}"/>
    <cellStyle name="20% - uthevingsfarge 1 2 2" xfId="294" xr:uid="{00000000-0005-0000-0000-000010030000}"/>
    <cellStyle name="20% - uthevingsfarge 1 2 3" xfId="295" xr:uid="{00000000-0005-0000-0000-000011030000}"/>
    <cellStyle name="20% - uthevingsfarge 1 2 4" xfId="296" xr:uid="{00000000-0005-0000-0000-000012030000}"/>
    <cellStyle name="20% - uthevingsfarge 1 2 5" xfId="10730" xr:uid="{00000000-0005-0000-0000-000013030000}"/>
    <cellStyle name="20% - uthevingsfarge 1 2 6" xfId="10731" xr:uid="{00000000-0005-0000-0000-000014030000}"/>
    <cellStyle name="20% - uthevingsfarge 1 2 7" xfId="10732" xr:uid="{00000000-0005-0000-0000-000015030000}"/>
    <cellStyle name="20% - uthevingsfarge 1 2 8" xfId="10733" xr:uid="{00000000-0005-0000-0000-000016030000}"/>
    <cellStyle name="20% - uthevingsfarge 1 2 9" xfId="10734" xr:uid="{00000000-0005-0000-0000-000017030000}"/>
    <cellStyle name="20% - uthevingsfarge 1 20" xfId="297" xr:uid="{00000000-0005-0000-0000-000018030000}"/>
    <cellStyle name="20% - uthevingsfarge 1 20 2" xfId="298" xr:uid="{00000000-0005-0000-0000-000019030000}"/>
    <cellStyle name="20% - uthevingsfarge 1 21" xfId="299" xr:uid="{00000000-0005-0000-0000-00001A030000}"/>
    <cellStyle name="20% - uthevingsfarge 1 22" xfId="300" xr:uid="{00000000-0005-0000-0000-00001B030000}"/>
    <cellStyle name="20% - uthevingsfarge 1 23" xfId="301" xr:uid="{00000000-0005-0000-0000-00001C030000}"/>
    <cellStyle name="20% - uthevingsfarge 1 24" xfId="302" xr:uid="{00000000-0005-0000-0000-00001D030000}"/>
    <cellStyle name="20% - uthevingsfarge 1 25" xfId="303" xr:uid="{00000000-0005-0000-0000-00001E030000}"/>
    <cellStyle name="20% - uthevingsfarge 1 26" xfId="304" xr:uid="{00000000-0005-0000-0000-00001F030000}"/>
    <cellStyle name="20% - uthevingsfarge 1 26 10" xfId="6896" xr:uid="{00000000-0005-0000-0000-000020030000}"/>
    <cellStyle name="20% - uthevingsfarge 1 26 10 2" xfId="24113" xr:uid="{00000000-0005-0000-0000-000021030000}"/>
    <cellStyle name="20% - uthevingsfarge 1 26 10 2 2" xfId="40166" xr:uid="{00000000-0005-0000-0000-000022030000}"/>
    <cellStyle name="20% - uthevingsfarge 1 26 10 3" xfId="30902" xr:uid="{00000000-0005-0000-0000-000023030000}"/>
    <cellStyle name="20% - uthevingsfarge 1 26 11" xfId="10742" xr:uid="{00000000-0005-0000-0000-000024030000}"/>
    <cellStyle name="20% - uthevingsfarge 1 26 12" xfId="34290" xr:uid="{00000000-0005-0000-0000-000025030000}"/>
    <cellStyle name="20% - uthevingsfarge 1 26 2" xfId="305" xr:uid="{00000000-0005-0000-0000-000026030000}"/>
    <cellStyle name="20% - uthevingsfarge 1 26 3" xfId="3309" xr:uid="{00000000-0005-0000-0000-000027030000}"/>
    <cellStyle name="20% - uthevingsfarge 1 26 3 10" xfId="34182" xr:uid="{00000000-0005-0000-0000-000028030000}"/>
    <cellStyle name="20% - uthevingsfarge 1 26 3 2" xfId="3541" xr:uid="{00000000-0005-0000-0000-000029030000}"/>
    <cellStyle name="20% - uthevingsfarge 1 26 3 2 10" xfId="47140" xr:uid="{00000000-0005-0000-0000-00002A030000}"/>
    <cellStyle name="20% - uthevingsfarge 1 26 3 2 2" xfId="3971" xr:uid="{00000000-0005-0000-0000-00002B030000}"/>
    <cellStyle name="20% - uthevingsfarge 1 26 3 2 2 2" xfId="5859" xr:uid="{00000000-0005-0000-0000-00002C030000}"/>
    <cellStyle name="20% - uthevingsfarge 1 26 3 2 2 2 2" xfId="9274" xr:uid="{00000000-0005-0000-0000-00002D030000}"/>
    <cellStyle name="20% - uthevingsfarge 1 26 3 2 2 2 2 2" xfId="11705" xr:uid="{00000000-0005-0000-0000-00002E030000}"/>
    <cellStyle name="20% - uthevingsfarge 1 26 3 2 2 2 2 2 2" xfId="34840" xr:uid="{00000000-0005-0000-0000-00002F030000}"/>
    <cellStyle name="20% - uthevingsfarge 1 26 3 2 2 2 2 3" xfId="28524" xr:uid="{00000000-0005-0000-0000-000030030000}"/>
    <cellStyle name="20% - uthevingsfarge 1 26 3 2 2 2 3" xfId="20230" xr:uid="{00000000-0005-0000-0000-000031030000}"/>
    <cellStyle name="20% - uthevingsfarge 1 26 3 2 2 2 3 2" xfId="36329" xr:uid="{00000000-0005-0000-0000-000032030000}"/>
    <cellStyle name="20% - uthevingsfarge 1 26 3 2 2 2 4" xfId="31915" xr:uid="{00000000-0005-0000-0000-000033030000}"/>
    <cellStyle name="20% - uthevingsfarge 1 26 3 2 2 3" xfId="7577" xr:uid="{00000000-0005-0000-0000-000034030000}"/>
    <cellStyle name="20% - uthevingsfarge 1 26 3 2 2 3 2" xfId="20823" xr:uid="{00000000-0005-0000-0000-000035030000}"/>
    <cellStyle name="20% - uthevingsfarge 1 26 3 2 2 3 2 2" xfId="36922" xr:uid="{00000000-0005-0000-0000-000036030000}"/>
    <cellStyle name="20% - uthevingsfarge 1 26 3 2 2 3 3" xfId="30221" xr:uid="{00000000-0005-0000-0000-000037030000}"/>
    <cellStyle name="20% - uthevingsfarge 1 26 3 2 2 4" xfId="17943" xr:uid="{00000000-0005-0000-0000-000038030000}"/>
    <cellStyle name="20% - uthevingsfarge 1 26 3 2 2 5" xfId="11043" xr:uid="{00000000-0005-0000-0000-000039030000}"/>
    <cellStyle name="20% - uthevingsfarge 1 26 3 2 2 5 2" xfId="34751" xr:uid="{00000000-0005-0000-0000-00003A030000}"/>
    <cellStyle name="20% - uthevingsfarge 1 26 3 2 2 6" xfId="33608" xr:uid="{00000000-0005-0000-0000-00003B030000}"/>
    <cellStyle name="20% - uthevingsfarge 1 26 3 2 3" xfId="4911" xr:uid="{00000000-0005-0000-0000-00003C030000}"/>
    <cellStyle name="20% - uthevingsfarge 1 26 3 2 3 10" xfId="47330" xr:uid="{00000000-0005-0000-0000-00003D030000}"/>
    <cellStyle name="20% - uthevingsfarge 1 26 3 2 3 2" xfId="6630" xr:uid="{00000000-0005-0000-0000-00003E030000}"/>
    <cellStyle name="20% - uthevingsfarge 1 26 3 2 3 2 2" xfId="10036" xr:uid="{00000000-0005-0000-0000-00003F030000}"/>
    <cellStyle name="20% - uthevingsfarge 1 26 3 2 3 2 2 2" xfId="21812" xr:uid="{00000000-0005-0000-0000-000040030000}"/>
    <cellStyle name="20% - uthevingsfarge 1 26 3 2 3 2 2 2 2" xfId="37888" xr:uid="{00000000-0005-0000-0000-000041030000}"/>
    <cellStyle name="20% - uthevingsfarge 1 26 3 2 3 2 2 3" xfId="27763" xr:uid="{00000000-0005-0000-0000-000042030000}"/>
    <cellStyle name="20% - uthevingsfarge 1 26 3 2 3 2 3" xfId="24078" xr:uid="{00000000-0005-0000-0000-000043030000}"/>
    <cellStyle name="20% - uthevingsfarge 1 26 3 2 3 2 3 2" xfId="40131" xr:uid="{00000000-0005-0000-0000-000044030000}"/>
    <cellStyle name="20% - uthevingsfarge 1 26 3 2 3 2 4" xfId="31164" xr:uid="{00000000-0005-0000-0000-000045030000}"/>
    <cellStyle name="20% - uthevingsfarge 1 26 3 2 3 2 5" xfId="43024" xr:uid="{00000000-0005-0000-0000-000046030000}"/>
    <cellStyle name="20% - uthevingsfarge 1 26 3 2 3 2 6" xfId="43321" xr:uid="{00000000-0005-0000-0000-000047030000}"/>
    <cellStyle name="20% - uthevingsfarge 1 26 3 2 3 2 7" xfId="46169" xr:uid="{00000000-0005-0000-0000-000048030000}"/>
    <cellStyle name="20% - uthevingsfarge 1 26 3 2 3 2 8" xfId="46941" xr:uid="{00000000-0005-0000-0000-000049030000}"/>
    <cellStyle name="20% - uthevingsfarge 1 26 3 2 3 2 9" xfId="47526" xr:uid="{00000000-0005-0000-0000-00004A030000}"/>
    <cellStyle name="20% - uthevingsfarge 1 26 3 2 3 3" xfId="8333" xr:uid="{00000000-0005-0000-0000-00004B030000}"/>
    <cellStyle name="20% - uthevingsfarge 1 26 3 2 3 3 2" xfId="19484" xr:uid="{00000000-0005-0000-0000-00004C030000}"/>
    <cellStyle name="20% - uthevingsfarge 1 26 3 2 3 3 2 2" xfId="35598" xr:uid="{00000000-0005-0000-0000-00004D030000}"/>
    <cellStyle name="20% - uthevingsfarge 1 26 3 2 3 3 3" xfId="29465" xr:uid="{00000000-0005-0000-0000-00004E030000}"/>
    <cellStyle name="20% - uthevingsfarge 1 26 3 2 3 3 4" xfId="43868" xr:uid="{00000000-0005-0000-0000-00004F030000}"/>
    <cellStyle name="20% - uthevingsfarge 1 26 3 2 3 4" xfId="16469" xr:uid="{00000000-0005-0000-0000-000050030000}"/>
    <cellStyle name="20% - uthevingsfarge 1 26 3 2 3 4 2" xfId="35416" xr:uid="{00000000-0005-0000-0000-000051030000}"/>
    <cellStyle name="20% - uthevingsfarge 1 26 3 2 3 5" xfId="25078" xr:uid="{00000000-0005-0000-0000-000052030000}"/>
    <cellStyle name="20% - uthevingsfarge 1 26 3 2 3 6" xfId="25234" xr:uid="{00000000-0005-0000-0000-000053030000}"/>
    <cellStyle name="20% - uthevingsfarge 1 26 3 2 3 7" xfId="32856" xr:uid="{00000000-0005-0000-0000-000054030000}"/>
    <cellStyle name="20% - uthevingsfarge 1 26 3 2 3 8" xfId="43782" xr:uid="{00000000-0005-0000-0000-000055030000}"/>
    <cellStyle name="20% - uthevingsfarge 1 26 3 2 3 9" xfId="46707" xr:uid="{00000000-0005-0000-0000-000056030000}"/>
    <cellStyle name="20% - uthevingsfarge 1 26 3 2 4" xfId="5465" xr:uid="{00000000-0005-0000-0000-000057030000}"/>
    <cellStyle name="20% - uthevingsfarge 1 26 3 2 4 2" xfId="8880" xr:uid="{00000000-0005-0000-0000-000058030000}"/>
    <cellStyle name="20% - uthevingsfarge 1 26 3 2 4 2 2" xfId="22593" xr:uid="{00000000-0005-0000-0000-000059030000}"/>
    <cellStyle name="20% - uthevingsfarge 1 26 3 2 4 2 2 2" xfId="38662" xr:uid="{00000000-0005-0000-0000-00005A030000}"/>
    <cellStyle name="20% - uthevingsfarge 1 26 3 2 4 2 3" xfId="28918" xr:uid="{00000000-0005-0000-0000-00005B030000}"/>
    <cellStyle name="20% - uthevingsfarge 1 26 3 2 4 3" xfId="10699" xr:uid="{00000000-0005-0000-0000-00005C030000}"/>
    <cellStyle name="20% - uthevingsfarge 1 26 3 2 4 3 2" xfId="34547" xr:uid="{00000000-0005-0000-0000-00005D030000}"/>
    <cellStyle name="20% - uthevingsfarge 1 26 3 2 4 4" xfId="32309" xr:uid="{00000000-0005-0000-0000-00005E030000}"/>
    <cellStyle name="20% - uthevingsfarge 1 26 3 2 5" xfId="7183" xr:uid="{00000000-0005-0000-0000-00005F030000}"/>
    <cellStyle name="20% - uthevingsfarge 1 26 3 2 5 2" xfId="20690" xr:uid="{00000000-0005-0000-0000-000060030000}"/>
    <cellStyle name="20% - uthevingsfarge 1 26 3 2 5 2 2" xfId="36789" xr:uid="{00000000-0005-0000-0000-000061030000}"/>
    <cellStyle name="20% - uthevingsfarge 1 26 3 2 5 3" xfId="30615" xr:uid="{00000000-0005-0000-0000-000062030000}"/>
    <cellStyle name="20% - uthevingsfarge 1 26 3 2 6" xfId="10745" xr:uid="{00000000-0005-0000-0000-000063030000}"/>
    <cellStyle name="20% - uthevingsfarge 1 26 3 2 7" xfId="34002" xr:uid="{00000000-0005-0000-0000-000064030000}"/>
    <cellStyle name="20% - uthevingsfarge 1 26 3 2 8" xfId="43573" xr:uid="{00000000-0005-0000-0000-000065030000}"/>
    <cellStyle name="20% - uthevingsfarge 1 26 3 2 9" xfId="46479" xr:uid="{00000000-0005-0000-0000-000066030000}"/>
    <cellStyle name="20% - uthevingsfarge 1 26 3 2_Avviksanalyse løpende RNB15 (1)" xfId="16559" xr:uid="{00000000-0005-0000-0000-000067030000}"/>
    <cellStyle name="20% - uthevingsfarge 1 26 3 3" xfId="3791" xr:uid="{00000000-0005-0000-0000-000068030000}"/>
    <cellStyle name="20% - uthevingsfarge 1 26 3 3 2" xfId="5679" xr:uid="{00000000-0005-0000-0000-000069030000}"/>
    <cellStyle name="20% - uthevingsfarge 1 26 3 3 2 2" xfId="9094" xr:uid="{00000000-0005-0000-0000-00006A030000}"/>
    <cellStyle name="20% - uthevingsfarge 1 26 3 3 2 2 2" xfId="23452" xr:uid="{00000000-0005-0000-0000-00006B030000}"/>
    <cellStyle name="20% - uthevingsfarge 1 26 3 3 2 2 2 2" xfId="39508" xr:uid="{00000000-0005-0000-0000-00006C030000}"/>
    <cellStyle name="20% - uthevingsfarge 1 26 3 3 2 2 3" xfId="28704" xr:uid="{00000000-0005-0000-0000-00006D030000}"/>
    <cellStyle name="20% - uthevingsfarge 1 26 3 3 2 3" xfId="22265" xr:uid="{00000000-0005-0000-0000-00006E030000}"/>
    <cellStyle name="20% - uthevingsfarge 1 26 3 3 2 3 2" xfId="38339" xr:uid="{00000000-0005-0000-0000-00006F030000}"/>
    <cellStyle name="20% - uthevingsfarge 1 26 3 3 2 4" xfId="32095" xr:uid="{00000000-0005-0000-0000-000070030000}"/>
    <cellStyle name="20% - uthevingsfarge 1 26 3 3 3" xfId="7397" xr:uid="{00000000-0005-0000-0000-000071030000}"/>
    <cellStyle name="20% - uthevingsfarge 1 26 3 3 3 2" xfId="23199" xr:uid="{00000000-0005-0000-0000-000072030000}"/>
    <cellStyle name="20% - uthevingsfarge 1 26 3 3 3 2 2" xfId="39268" xr:uid="{00000000-0005-0000-0000-000073030000}"/>
    <cellStyle name="20% - uthevingsfarge 1 26 3 3 3 3" xfId="30401" xr:uid="{00000000-0005-0000-0000-000074030000}"/>
    <cellStyle name="20% - uthevingsfarge 1 26 3 3 4" xfId="11069" xr:uid="{00000000-0005-0000-0000-000075030000}"/>
    <cellStyle name="20% - uthevingsfarge 1 26 3 3 4 2" xfId="34774" xr:uid="{00000000-0005-0000-0000-000076030000}"/>
    <cellStyle name="20% - uthevingsfarge 1 26 3 3 5" xfId="33788" xr:uid="{00000000-0005-0000-0000-000077030000}"/>
    <cellStyle name="20% - uthevingsfarge 1 26 3 4" xfId="4276" xr:uid="{00000000-0005-0000-0000-000078030000}"/>
    <cellStyle name="20% - uthevingsfarge 1 26 3 4 2" xfId="6105" xr:uid="{00000000-0005-0000-0000-000079030000}"/>
    <cellStyle name="20% - uthevingsfarge 1 26 3 4 2 2" xfId="9519" xr:uid="{00000000-0005-0000-0000-00007A030000}"/>
    <cellStyle name="20% - uthevingsfarge 1 26 3 4 2 2 2" xfId="11664" xr:uid="{00000000-0005-0000-0000-00007B030000}"/>
    <cellStyle name="20% - uthevingsfarge 1 26 3 4 2 2 2 2" xfId="34829" xr:uid="{00000000-0005-0000-0000-00007C030000}"/>
    <cellStyle name="20% - uthevingsfarge 1 26 3 4 2 2 3" xfId="28279" xr:uid="{00000000-0005-0000-0000-00007D030000}"/>
    <cellStyle name="20% - uthevingsfarge 1 26 3 4 2 3" xfId="20325" xr:uid="{00000000-0005-0000-0000-00007E030000}"/>
    <cellStyle name="20% - uthevingsfarge 1 26 3 4 2 3 2" xfId="36424" xr:uid="{00000000-0005-0000-0000-00007F030000}"/>
    <cellStyle name="20% - uthevingsfarge 1 26 3 4 2 4" xfId="31674" xr:uid="{00000000-0005-0000-0000-000080030000}"/>
    <cellStyle name="20% - uthevingsfarge 1 26 3 4 3" xfId="7838" xr:uid="{00000000-0005-0000-0000-000081030000}"/>
    <cellStyle name="20% - uthevingsfarge 1 26 3 4 3 2" xfId="24280" xr:uid="{00000000-0005-0000-0000-000082030000}"/>
    <cellStyle name="20% - uthevingsfarge 1 26 3 4 3 2 2" xfId="40333" xr:uid="{00000000-0005-0000-0000-000083030000}"/>
    <cellStyle name="20% - uthevingsfarge 1 26 3 4 3 3" xfId="29961" xr:uid="{00000000-0005-0000-0000-000084030000}"/>
    <cellStyle name="20% - uthevingsfarge 1 26 3 4 4" xfId="22811" xr:uid="{00000000-0005-0000-0000-000085030000}"/>
    <cellStyle name="20% - uthevingsfarge 1 26 3 4 4 2" xfId="38880" xr:uid="{00000000-0005-0000-0000-000086030000}"/>
    <cellStyle name="20% - uthevingsfarge 1 26 3 4 5" xfId="33349" xr:uid="{00000000-0005-0000-0000-000087030000}"/>
    <cellStyle name="20% - uthevingsfarge 1 26 3 5" xfId="4731" xr:uid="{00000000-0005-0000-0000-000088030000}"/>
    <cellStyle name="20% - uthevingsfarge 1 26 3 5 2" xfId="6451" xr:uid="{00000000-0005-0000-0000-000089030000}"/>
    <cellStyle name="20% - uthevingsfarge 1 26 3 5 2 2" xfId="9857" xr:uid="{00000000-0005-0000-0000-00008A030000}"/>
    <cellStyle name="20% - uthevingsfarge 1 26 3 5 2 2 2" xfId="21990" xr:uid="{00000000-0005-0000-0000-00008B030000}"/>
    <cellStyle name="20% - uthevingsfarge 1 26 3 5 2 2 2 2" xfId="38065" xr:uid="{00000000-0005-0000-0000-00008C030000}"/>
    <cellStyle name="20% - uthevingsfarge 1 26 3 5 2 2 3" xfId="27942" xr:uid="{00000000-0005-0000-0000-00008D030000}"/>
    <cellStyle name="20% - uthevingsfarge 1 26 3 5 2 3" xfId="20456" xr:uid="{00000000-0005-0000-0000-00008E030000}"/>
    <cellStyle name="20% - uthevingsfarge 1 26 3 5 2 3 2" xfId="36555" xr:uid="{00000000-0005-0000-0000-00008F030000}"/>
    <cellStyle name="20% - uthevingsfarge 1 26 3 5 2 4" xfId="31343" xr:uid="{00000000-0005-0000-0000-000090030000}"/>
    <cellStyle name="20% - uthevingsfarge 1 26 3 5 3" xfId="8153" xr:uid="{00000000-0005-0000-0000-000091030000}"/>
    <cellStyle name="20% - uthevingsfarge 1 26 3 5 3 2" xfId="22500" xr:uid="{00000000-0005-0000-0000-000092030000}"/>
    <cellStyle name="20% - uthevingsfarge 1 26 3 5 3 2 2" xfId="38572" xr:uid="{00000000-0005-0000-0000-000093030000}"/>
    <cellStyle name="20% - uthevingsfarge 1 26 3 5 3 3" xfId="29645" xr:uid="{00000000-0005-0000-0000-000094030000}"/>
    <cellStyle name="20% - uthevingsfarge 1 26 3 5 4" xfId="20038" xr:uid="{00000000-0005-0000-0000-000095030000}"/>
    <cellStyle name="20% - uthevingsfarge 1 26 3 5 4 2" xfId="36142" xr:uid="{00000000-0005-0000-0000-000096030000}"/>
    <cellStyle name="20% - uthevingsfarge 1 26 3 5 5" xfId="33036" xr:uid="{00000000-0005-0000-0000-000097030000}"/>
    <cellStyle name="20% - uthevingsfarge 1 26 3 6" xfId="5091" xr:uid="{00000000-0005-0000-0000-000098030000}"/>
    <cellStyle name="20% - uthevingsfarge 1 26 3 6 2" xfId="6810" xr:uid="{00000000-0005-0000-0000-000099030000}"/>
    <cellStyle name="20% - uthevingsfarge 1 26 3 6 2 2" xfId="10216" xr:uid="{00000000-0005-0000-0000-00009A030000}"/>
    <cellStyle name="20% - uthevingsfarge 1 26 3 6 2 2 2" xfId="23639" xr:uid="{00000000-0005-0000-0000-00009B030000}"/>
    <cellStyle name="20% - uthevingsfarge 1 26 3 6 2 2 2 2" xfId="39695" xr:uid="{00000000-0005-0000-0000-00009C030000}"/>
    <cellStyle name="20% - uthevingsfarge 1 26 3 6 2 2 3" xfId="27583" xr:uid="{00000000-0005-0000-0000-00009D030000}"/>
    <cellStyle name="20% - uthevingsfarge 1 26 3 6 2 3" xfId="23100" xr:uid="{00000000-0005-0000-0000-00009E030000}"/>
    <cellStyle name="20% - uthevingsfarge 1 26 3 6 2 3 2" xfId="39169" xr:uid="{00000000-0005-0000-0000-00009F030000}"/>
    <cellStyle name="20% - uthevingsfarge 1 26 3 6 2 4" xfId="30984" xr:uid="{00000000-0005-0000-0000-0000A0030000}"/>
    <cellStyle name="20% - uthevingsfarge 1 26 3 6 3" xfId="8513" xr:uid="{00000000-0005-0000-0000-0000A1030000}"/>
    <cellStyle name="20% - uthevingsfarge 1 26 3 6 3 2" xfId="23372" xr:uid="{00000000-0005-0000-0000-0000A2030000}"/>
    <cellStyle name="20% - uthevingsfarge 1 26 3 6 3 2 2" xfId="39429" xr:uid="{00000000-0005-0000-0000-0000A3030000}"/>
    <cellStyle name="20% - uthevingsfarge 1 26 3 6 3 3" xfId="29285" xr:uid="{00000000-0005-0000-0000-0000A4030000}"/>
    <cellStyle name="20% - uthevingsfarge 1 26 3 6 4" xfId="19747" xr:uid="{00000000-0005-0000-0000-0000A5030000}"/>
    <cellStyle name="20% - uthevingsfarge 1 26 3 6 4 2" xfId="35861" xr:uid="{00000000-0005-0000-0000-0000A6030000}"/>
    <cellStyle name="20% - uthevingsfarge 1 26 3 6 5" xfId="32676" xr:uid="{00000000-0005-0000-0000-0000A7030000}"/>
    <cellStyle name="20% - uthevingsfarge 1 26 3 7" xfId="5270" xr:uid="{00000000-0005-0000-0000-0000A8030000}"/>
    <cellStyle name="20% - uthevingsfarge 1 26 3 7 2" xfId="8685" xr:uid="{00000000-0005-0000-0000-0000A9030000}"/>
    <cellStyle name="20% - uthevingsfarge 1 26 3 7 2 2" xfId="11800" xr:uid="{00000000-0005-0000-0000-0000AA030000}"/>
    <cellStyle name="20% - uthevingsfarge 1 26 3 7 2 2 2" xfId="34870" xr:uid="{00000000-0005-0000-0000-0000AB030000}"/>
    <cellStyle name="20% - uthevingsfarge 1 26 3 7 2 3" xfId="29113" xr:uid="{00000000-0005-0000-0000-0000AC030000}"/>
    <cellStyle name="20% - uthevingsfarge 1 26 3 7 3" xfId="20074" xr:uid="{00000000-0005-0000-0000-0000AD030000}"/>
    <cellStyle name="20% - uthevingsfarge 1 26 3 7 3 2" xfId="36178" xr:uid="{00000000-0005-0000-0000-0000AE030000}"/>
    <cellStyle name="20% - uthevingsfarge 1 26 3 7 4" xfId="32504" xr:uid="{00000000-0005-0000-0000-0000AF030000}"/>
    <cellStyle name="20% - uthevingsfarge 1 26 3 8" xfId="7003" xr:uid="{00000000-0005-0000-0000-0000B0030000}"/>
    <cellStyle name="20% - uthevingsfarge 1 26 3 8 2" xfId="24130" xr:uid="{00000000-0005-0000-0000-0000B1030000}"/>
    <cellStyle name="20% - uthevingsfarge 1 26 3 8 2 2" xfId="40183" xr:uid="{00000000-0005-0000-0000-0000B2030000}"/>
    <cellStyle name="20% - uthevingsfarge 1 26 3 8 3" xfId="30795" xr:uid="{00000000-0005-0000-0000-0000B3030000}"/>
    <cellStyle name="20% - uthevingsfarge 1 26 3 9" xfId="10744" xr:uid="{00000000-0005-0000-0000-0000B4030000}"/>
    <cellStyle name="20% - uthevingsfarge 1 26 4" xfId="3456" xr:uid="{00000000-0005-0000-0000-0000B5030000}"/>
    <cellStyle name="20% - uthevingsfarge 1 26 4 10" xfId="47072" xr:uid="{00000000-0005-0000-0000-0000B6030000}"/>
    <cellStyle name="20% - uthevingsfarge 1 26 4 2" xfId="3892" xr:uid="{00000000-0005-0000-0000-0000B7030000}"/>
    <cellStyle name="20% - uthevingsfarge 1 26 4 2 2" xfId="5780" xr:uid="{00000000-0005-0000-0000-0000B8030000}"/>
    <cellStyle name="20% - uthevingsfarge 1 26 4 2 2 2" xfId="9195" xr:uid="{00000000-0005-0000-0000-0000B9030000}"/>
    <cellStyle name="20% - uthevingsfarge 1 26 4 2 2 2 2" xfId="24476" xr:uid="{00000000-0005-0000-0000-0000BA030000}"/>
    <cellStyle name="20% - uthevingsfarge 1 26 4 2 2 2 2 2" xfId="40520" xr:uid="{00000000-0005-0000-0000-0000BB030000}"/>
    <cellStyle name="20% - uthevingsfarge 1 26 4 2 2 2 3" xfId="28603" xr:uid="{00000000-0005-0000-0000-0000BC030000}"/>
    <cellStyle name="20% - uthevingsfarge 1 26 4 2 2 3" xfId="22913" xr:uid="{00000000-0005-0000-0000-0000BD030000}"/>
    <cellStyle name="20% - uthevingsfarge 1 26 4 2 2 3 2" xfId="38982" xr:uid="{00000000-0005-0000-0000-0000BE030000}"/>
    <cellStyle name="20% - uthevingsfarge 1 26 4 2 2 4" xfId="31994" xr:uid="{00000000-0005-0000-0000-0000BF030000}"/>
    <cellStyle name="20% - uthevingsfarge 1 26 4 2 3" xfId="7498" xr:uid="{00000000-0005-0000-0000-0000C0030000}"/>
    <cellStyle name="20% - uthevingsfarge 1 26 4 2 3 2" xfId="20806" xr:uid="{00000000-0005-0000-0000-0000C1030000}"/>
    <cellStyle name="20% - uthevingsfarge 1 26 4 2 3 2 2" xfId="36905" xr:uid="{00000000-0005-0000-0000-0000C2030000}"/>
    <cellStyle name="20% - uthevingsfarge 1 26 4 2 3 3" xfId="30300" xr:uid="{00000000-0005-0000-0000-0000C3030000}"/>
    <cellStyle name="20% - uthevingsfarge 1 26 4 2 4" xfId="17944" xr:uid="{00000000-0005-0000-0000-0000C4030000}"/>
    <cellStyle name="20% - uthevingsfarge 1 26 4 2 5" xfId="19943" xr:uid="{00000000-0005-0000-0000-0000C5030000}"/>
    <cellStyle name="20% - uthevingsfarge 1 26 4 2 5 2" xfId="36047" xr:uid="{00000000-0005-0000-0000-0000C6030000}"/>
    <cellStyle name="20% - uthevingsfarge 1 26 4 2 6" xfId="33687" xr:uid="{00000000-0005-0000-0000-0000C7030000}"/>
    <cellStyle name="20% - uthevingsfarge 1 26 4 3" xfId="4832" xr:uid="{00000000-0005-0000-0000-0000C8030000}"/>
    <cellStyle name="20% - uthevingsfarge 1 26 4 3 10" xfId="47262" xr:uid="{00000000-0005-0000-0000-0000C9030000}"/>
    <cellStyle name="20% - uthevingsfarge 1 26 4 3 2" xfId="6551" xr:uid="{00000000-0005-0000-0000-0000CA030000}"/>
    <cellStyle name="20% - uthevingsfarge 1 26 4 3 2 2" xfId="9957" xr:uid="{00000000-0005-0000-0000-0000CB030000}"/>
    <cellStyle name="20% - uthevingsfarge 1 26 4 3 2 2 2" xfId="22628" xr:uid="{00000000-0005-0000-0000-0000CC030000}"/>
    <cellStyle name="20% - uthevingsfarge 1 26 4 3 2 2 2 2" xfId="38697" xr:uid="{00000000-0005-0000-0000-0000CD030000}"/>
    <cellStyle name="20% - uthevingsfarge 1 26 4 3 2 2 3" xfId="27842" xr:uid="{00000000-0005-0000-0000-0000CE030000}"/>
    <cellStyle name="20% - uthevingsfarge 1 26 4 3 2 3" xfId="23060" xr:uid="{00000000-0005-0000-0000-0000CF030000}"/>
    <cellStyle name="20% - uthevingsfarge 1 26 4 3 2 3 2" xfId="39129" xr:uid="{00000000-0005-0000-0000-0000D0030000}"/>
    <cellStyle name="20% - uthevingsfarge 1 26 4 3 2 4" xfId="31243" xr:uid="{00000000-0005-0000-0000-0000D1030000}"/>
    <cellStyle name="20% - uthevingsfarge 1 26 4 3 2 5" xfId="42817" xr:uid="{00000000-0005-0000-0000-0000D2030000}"/>
    <cellStyle name="20% - uthevingsfarge 1 26 4 3 2 6" xfId="43255" xr:uid="{00000000-0005-0000-0000-0000D3030000}"/>
    <cellStyle name="20% - uthevingsfarge 1 26 4 3 2 7" xfId="46103" xr:uid="{00000000-0005-0000-0000-0000D4030000}"/>
    <cellStyle name="20% - uthevingsfarge 1 26 4 3 2 8" xfId="46872" xr:uid="{00000000-0005-0000-0000-0000D5030000}"/>
    <cellStyle name="20% - uthevingsfarge 1 26 4 3 2 9" xfId="47458" xr:uid="{00000000-0005-0000-0000-0000D6030000}"/>
    <cellStyle name="20% - uthevingsfarge 1 26 4 3 3" xfId="8254" xr:uid="{00000000-0005-0000-0000-0000D7030000}"/>
    <cellStyle name="20% - uthevingsfarge 1 26 4 3 3 2" xfId="22484" xr:uid="{00000000-0005-0000-0000-0000D8030000}"/>
    <cellStyle name="20% - uthevingsfarge 1 26 4 3 3 2 2" xfId="38556" xr:uid="{00000000-0005-0000-0000-0000D9030000}"/>
    <cellStyle name="20% - uthevingsfarge 1 26 4 3 3 3" xfId="29543" xr:uid="{00000000-0005-0000-0000-0000DA030000}"/>
    <cellStyle name="20% - uthevingsfarge 1 26 4 3 3 4" xfId="43869" xr:uid="{00000000-0005-0000-0000-0000DB030000}"/>
    <cellStyle name="20% - uthevingsfarge 1 26 4 3 4" xfId="16262" xr:uid="{00000000-0005-0000-0000-0000DC030000}"/>
    <cellStyle name="20% - uthevingsfarge 1 26 4 3 4 2" xfId="35350" xr:uid="{00000000-0005-0000-0000-0000DD030000}"/>
    <cellStyle name="20% - uthevingsfarge 1 26 4 3 5" xfId="25009" xr:uid="{00000000-0005-0000-0000-0000DE030000}"/>
    <cellStyle name="20% - uthevingsfarge 1 26 4 3 6" xfId="25235" xr:uid="{00000000-0005-0000-0000-0000DF030000}"/>
    <cellStyle name="20% - uthevingsfarge 1 26 4 3 7" xfId="32935" xr:uid="{00000000-0005-0000-0000-0000E0030000}"/>
    <cellStyle name="20% - uthevingsfarge 1 26 4 3 8" xfId="43715" xr:uid="{00000000-0005-0000-0000-0000E1030000}"/>
    <cellStyle name="20% - uthevingsfarge 1 26 4 3 9" xfId="46641" xr:uid="{00000000-0005-0000-0000-0000E2030000}"/>
    <cellStyle name="20% - uthevingsfarge 1 26 4 4" xfId="5396" xr:uid="{00000000-0005-0000-0000-0000E3030000}"/>
    <cellStyle name="20% - uthevingsfarge 1 26 4 4 2" xfId="8811" xr:uid="{00000000-0005-0000-0000-0000E4030000}"/>
    <cellStyle name="20% - uthevingsfarge 1 26 4 4 2 2" xfId="21191" xr:uid="{00000000-0005-0000-0000-0000E5030000}"/>
    <cellStyle name="20% - uthevingsfarge 1 26 4 4 2 2 2" xfId="37271" xr:uid="{00000000-0005-0000-0000-0000E6030000}"/>
    <cellStyle name="20% - uthevingsfarge 1 26 4 4 2 3" xfId="28987" xr:uid="{00000000-0005-0000-0000-0000E7030000}"/>
    <cellStyle name="20% - uthevingsfarge 1 26 4 4 3" xfId="12037" xr:uid="{00000000-0005-0000-0000-0000E8030000}"/>
    <cellStyle name="20% - uthevingsfarge 1 26 4 4 3 2" xfId="35039" xr:uid="{00000000-0005-0000-0000-0000E9030000}"/>
    <cellStyle name="20% - uthevingsfarge 1 26 4 4 4" xfId="32378" xr:uid="{00000000-0005-0000-0000-0000EA030000}"/>
    <cellStyle name="20% - uthevingsfarge 1 26 4 5" xfId="7104" xr:uid="{00000000-0005-0000-0000-0000EB030000}"/>
    <cellStyle name="20% - uthevingsfarge 1 26 4 5 2" xfId="22420" xr:uid="{00000000-0005-0000-0000-0000EC030000}"/>
    <cellStyle name="20% - uthevingsfarge 1 26 4 5 2 2" xfId="38492" xr:uid="{00000000-0005-0000-0000-0000ED030000}"/>
    <cellStyle name="20% - uthevingsfarge 1 26 4 5 3" xfId="30694" xr:uid="{00000000-0005-0000-0000-0000EE030000}"/>
    <cellStyle name="20% - uthevingsfarge 1 26 4 6" xfId="10746" xr:uid="{00000000-0005-0000-0000-0000EF030000}"/>
    <cellStyle name="20% - uthevingsfarge 1 26 4 7" xfId="34081" xr:uid="{00000000-0005-0000-0000-0000F0030000}"/>
    <cellStyle name="20% - uthevingsfarge 1 26 4 8" xfId="43507" xr:uid="{00000000-0005-0000-0000-0000F1030000}"/>
    <cellStyle name="20% - uthevingsfarge 1 26 4 9" xfId="46411" xr:uid="{00000000-0005-0000-0000-0000F2030000}"/>
    <cellStyle name="20% - uthevingsfarge 1 26 4_Avviksanalyse løpende RNB15 (1)" xfId="16560" xr:uid="{00000000-0005-0000-0000-0000F3030000}"/>
    <cellStyle name="20% - uthevingsfarge 1 26 5" xfId="3713" xr:uid="{00000000-0005-0000-0000-0000F4030000}"/>
    <cellStyle name="20% - uthevingsfarge 1 26 5 2" xfId="5601" xr:uid="{00000000-0005-0000-0000-0000F5030000}"/>
    <cellStyle name="20% - uthevingsfarge 1 26 5 2 2" xfId="9016" xr:uid="{00000000-0005-0000-0000-0000F6030000}"/>
    <cellStyle name="20% - uthevingsfarge 1 26 5 2 2 2" xfId="21252" xr:uid="{00000000-0005-0000-0000-0000F7030000}"/>
    <cellStyle name="20% - uthevingsfarge 1 26 5 2 2 2 2" xfId="37332" xr:uid="{00000000-0005-0000-0000-0000F8030000}"/>
    <cellStyle name="20% - uthevingsfarge 1 26 5 2 2 3" xfId="28782" xr:uid="{00000000-0005-0000-0000-0000F9030000}"/>
    <cellStyle name="20% - uthevingsfarge 1 26 5 2 3" xfId="20136" xr:uid="{00000000-0005-0000-0000-0000FA030000}"/>
    <cellStyle name="20% - uthevingsfarge 1 26 5 2 3 2" xfId="36239" xr:uid="{00000000-0005-0000-0000-0000FB030000}"/>
    <cellStyle name="20% - uthevingsfarge 1 26 5 2 4" xfId="32173" xr:uid="{00000000-0005-0000-0000-0000FC030000}"/>
    <cellStyle name="20% - uthevingsfarge 1 26 5 3" xfId="7319" xr:uid="{00000000-0005-0000-0000-0000FD030000}"/>
    <cellStyle name="20% - uthevingsfarge 1 26 5 3 2" xfId="20739" xr:uid="{00000000-0005-0000-0000-0000FE030000}"/>
    <cellStyle name="20% - uthevingsfarge 1 26 5 3 2 2" xfId="36838" xr:uid="{00000000-0005-0000-0000-0000FF030000}"/>
    <cellStyle name="20% - uthevingsfarge 1 26 5 3 3" xfId="30479" xr:uid="{00000000-0005-0000-0000-000000040000}"/>
    <cellStyle name="20% - uthevingsfarge 1 26 5 4" xfId="22539" xr:uid="{00000000-0005-0000-0000-000001040000}"/>
    <cellStyle name="20% - uthevingsfarge 1 26 5 4 2" xfId="38608" xr:uid="{00000000-0005-0000-0000-000002040000}"/>
    <cellStyle name="20% - uthevingsfarge 1 26 5 5" xfId="33866" xr:uid="{00000000-0005-0000-0000-000003040000}"/>
    <cellStyle name="20% - uthevingsfarge 1 26 6" xfId="4198" xr:uid="{00000000-0005-0000-0000-000004040000}"/>
    <cellStyle name="20% - uthevingsfarge 1 26 6 2" xfId="6035" xr:uid="{00000000-0005-0000-0000-000005040000}"/>
    <cellStyle name="20% - uthevingsfarge 1 26 6 2 2" xfId="9450" xr:uid="{00000000-0005-0000-0000-000006040000}"/>
    <cellStyle name="20% - uthevingsfarge 1 26 6 2 2 2" xfId="22537" xr:uid="{00000000-0005-0000-0000-000007040000}"/>
    <cellStyle name="20% - uthevingsfarge 1 26 6 2 2 2 2" xfId="38607" xr:uid="{00000000-0005-0000-0000-000008040000}"/>
    <cellStyle name="20% - uthevingsfarge 1 26 6 2 2 3" xfId="28348" xr:uid="{00000000-0005-0000-0000-000009040000}"/>
    <cellStyle name="20% - uthevingsfarge 1 26 6 2 3" xfId="20295" xr:uid="{00000000-0005-0000-0000-00000A040000}"/>
    <cellStyle name="20% - uthevingsfarge 1 26 6 2 3 2" xfId="36394" xr:uid="{00000000-0005-0000-0000-00000B040000}"/>
    <cellStyle name="20% - uthevingsfarge 1 26 6 2 4" xfId="31743" xr:uid="{00000000-0005-0000-0000-00000C040000}"/>
    <cellStyle name="20% - uthevingsfarge 1 26 6 3" xfId="7768" xr:uid="{00000000-0005-0000-0000-00000D040000}"/>
    <cellStyle name="20% - uthevingsfarge 1 26 6 3 2" xfId="21703" xr:uid="{00000000-0005-0000-0000-00000E040000}"/>
    <cellStyle name="20% - uthevingsfarge 1 26 6 3 2 2" xfId="37781" xr:uid="{00000000-0005-0000-0000-00000F040000}"/>
    <cellStyle name="20% - uthevingsfarge 1 26 6 3 3" xfId="30031" xr:uid="{00000000-0005-0000-0000-000010040000}"/>
    <cellStyle name="20% - uthevingsfarge 1 26 6 4" xfId="12409" xr:uid="{00000000-0005-0000-0000-000011040000}"/>
    <cellStyle name="20% - uthevingsfarge 1 26 6 4 2" xfId="35223" xr:uid="{00000000-0005-0000-0000-000012040000}"/>
    <cellStyle name="20% - uthevingsfarge 1 26 6 5" xfId="33419" xr:uid="{00000000-0005-0000-0000-000013040000}"/>
    <cellStyle name="20% - uthevingsfarge 1 26 7" xfId="4648" xr:uid="{00000000-0005-0000-0000-000014040000}"/>
    <cellStyle name="20% - uthevingsfarge 1 26 7 2" xfId="6368" xr:uid="{00000000-0005-0000-0000-000015040000}"/>
    <cellStyle name="20% - uthevingsfarge 1 26 7 2 2" xfId="9778" xr:uid="{00000000-0005-0000-0000-000016040000}"/>
    <cellStyle name="20% - uthevingsfarge 1 26 7 2 2 2" xfId="21480" xr:uid="{00000000-0005-0000-0000-000017040000}"/>
    <cellStyle name="20% - uthevingsfarge 1 26 7 2 2 2 2" xfId="37560" xr:uid="{00000000-0005-0000-0000-000018040000}"/>
    <cellStyle name="20% - uthevingsfarge 1 26 7 2 2 3" xfId="28021" xr:uid="{00000000-0005-0000-0000-000019040000}"/>
    <cellStyle name="20% - uthevingsfarge 1 26 7 2 3" xfId="20425" xr:uid="{00000000-0005-0000-0000-00001A040000}"/>
    <cellStyle name="20% - uthevingsfarge 1 26 7 2 3 2" xfId="36524" xr:uid="{00000000-0005-0000-0000-00001B040000}"/>
    <cellStyle name="20% - uthevingsfarge 1 26 7 2 4" xfId="31422" xr:uid="{00000000-0005-0000-0000-00001C040000}"/>
    <cellStyle name="20% - uthevingsfarge 1 26 7 3" xfId="8074" xr:uid="{00000000-0005-0000-0000-00001D040000}"/>
    <cellStyle name="20% - uthevingsfarge 1 26 7 3 2" xfId="10608" xr:uid="{00000000-0005-0000-0000-00001E040000}"/>
    <cellStyle name="20% - uthevingsfarge 1 26 7 3 2 2" xfId="34456" xr:uid="{00000000-0005-0000-0000-00001F040000}"/>
    <cellStyle name="20% - uthevingsfarge 1 26 7 3 3" xfId="29724" xr:uid="{00000000-0005-0000-0000-000020040000}"/>
    <cellStyle name="20% - uthevingsfarge 1 26 7 4" xfId="22825" xr:uid="{00000000-0005-0000-0000-000021040000}"/>
    <cellStyle name="20% - uthevingsfarge 1 26 7 4 2" xfId="38894" xr:uid="{00000000-0005-0000-0000-000022040000}"/>
    <cellStyle name="20% - uthevingsfarge 1 26 7 5" xfId="33115" xr:uid="{00000000-0005-0000-0000-000023040000}"/>
    <cellStyle name="20% - uthevingsfarge 1 26 8" xfId="5012" xr:uid="{00000000-0005-0000-0000-000024040000}"/>
    <cellStyle name="20% - uthevingsfarge 1 26 8 2" xfId="6731" xr:uid="{00000000-0005-0000-0000-000025040000}"/>
    <cellStyle name="20% - uthevingsfarge 1 26 8 2 2" xfId="10137" xr:uid="{00000000-0005-0000-0000-000026040000}"/>
    <cellStyle name="20% - uthevingsfarge 1 26 8 2 2 2" xfId="23626" xr:uid="{00000000-0005-0000-0000-000027040000}"/>
    <cellStyle name="20% - uthevingsfarge 1 26 8 2 2 2 2" xfId="39682" xr:uid="{00000000-0005-0000-0000-000028040000}"/>
    <cellStyle name="20% - uthevingsfarge 1 26 8 2 2 3" xfId="27662" xr:uid="{00000000-0005-0000-0000-000029040000}"/>
    <cellStyle name="20% - uthevingsfarge 1 26 8 2 3" xfId="23088" xr:uid="{00000000-0005-0000-0000-00002A040000}"/>
    <cellStyle name="20% - uthevingsfarge 1 26 8 2 3 2" xfId="39157" xr:uid="{00000000-0005-0000-0000-00002B040000}"/>
    <cellStyle name="20% - uthevingsfarge 1 26 8 2 4" xfId="31063" xr:uid="{00000000-0005-0000-0000-00002C040000}"/>
    <cellStyle name="20% - uthevingsfarge 1 26 8 3" xfId="8434" xr:uid="{00000000-0005-0000-0000-00002D040000}"/>
    <cellStyle name="20% - uthevingsfarge 1 26 8 3 2" xfId="21091" xr:uid="{00000000-0005-0000-0000-00002E040000}"/>
    <cellStyle name="20% - uthevingsfarge 1 26 8 3 2 2" xfId="37176" xr:uid="{00000000-0005-0000-0000-00002F040000}"/>
    <cellStyle name="20% - uthevingsfarge 1 26 8 3 3" xfId="29364" xr:uid="{00000000-0005-0000-0000-000030040000}"/>
    <cellStyle name="20% - uthevingsfarge 1 26 8 4" xfId="23841" xr:uid="{00000000-0005-0000-0000-000031040000}"/>
    <cellStyle name="20% - uthevingsfarge 1 26 8 4 2" xfId="39897" xr:uid="{00000000-0005-0000-0000-000032040000}"/>
    <cellStyle name="20% - uthevingsfarge 1 26 8 5" xfId="32755" xr:uid="{00000000-0005-0000-0000-000033040000}"/>
    <cellStyle name="20% - uthevingsfarge 1 26 9" xfId="5188" xr:uid="{00000000-0005-0000-0000-000034040000}"/>
    <cellStyle name="20% - uthevingsfarge 1 26 9 2" xfId="8607" xr:uid="{00000000-0005-0000-0000-000035040000}"/>
    <cellStyle name="20% - uthevingsfarge 1 26 9 2 2" xfId="10301" xr:uid="{00000000-0005-0000-0000-000036040000}"/>
    <cellStyle name="20% - uthevingsfarge 1 26 9 2 2 2" xfId="27500" xr:uid="{00000000-0005-0000-0000-000037040000}"/>
    <cellStyle name="20% - uthevingsfarge 1 26 9 2 3" xfId="29191" xr:uid="{00000000-0005-0000-0000-000038040000}"/>
    <cellStyle name="20% - uthevingsfarge 1 26 9 3" xfId="19771" xr:uid="{00000000-0005-0000-0000-000039040000}"/>
    <cellStyle name="20% - uthevingsfarge 1 26 9 3 2" xfId="35885" xr:uid="{00000000-0005-0000-0000-00003A040000}"/>
    <cellStyle name="20% - uthevingsfarge 1 26 9 4" xfId="32582" xr:uid="{00000000-0005-0000-0000-00003B040000}"/>
    <cellStyle name="20% - uthevingsfarge 1 27" xfId="306" xr:uid="{00000000-0005-0000-0000-00003C040000}"/>
    <cellStyle name="20% - uthevingsfarge 1 27 10" xfId="10747" xr:uid="{00000000-0005-0000-0000-00003D040000}"/>
    <cellStyle name="20% - uthevingsfarge 1 27 11" xfId="34289" xr:uid="{00000000-0005-0000-0000-00003E040000}"/>
    <cellStyle name="20% - uthevingsfarge 1 27 2" xfId="3310" xr:uid="{00000000-0005-0000-0000-00003F040000}"/>
    <cellStyle name="20% - uthevingsfarge 1 27 2 10" xfId="34181" xr:uid="{00000000-0005-0000-0000-000040040000}"/>
    <cellStyle name="20% - uthevingsfarge 1 27 2 2" xfId="3542" xr:uid="{00000000-0005-0000-0000-000041040000}"/>
    <cellStyle name="20% - uthevingsfarge 1 27 2 2 10" xfId="47141" xr:uid="{00000000-0005-0000-0000-000042040000}"/>
    <cellStyle name="20% - uthevingsfarge 1 27 2 2 2" xfId="3972" xr:uid="{00000000-0005-0000-0000-000043040000}"/>
    <cellStyle name="20% - uthevingsfarge 1 27 2 2 2 2" xfId="5860" xr:uid="{00000000-0005-0000-0000-000044040000}"/>
    <cellStyle name="20% - uthevingsfarge 1 27 2 2 2 2 2" xfId="9275" xr:uid="{00000000-0005-0000-0000-000045040000}"/>
    <cellStyle name="20% - uthevingsfarge 1 27 2 2 2 2 2 2" xfId="23484" xr:uid="{00000000-0005-0000-0000-000046040000}"/>
    <cellStyle name="20% - uthevingsfarge 1 27 2 2 2 2 2 2 2" xfId="39540" xr:uid="{00000000-0005-0000-0000-000047040000}"/>
    <cellStyle name="20% - uthevingsfarge 1 27 2 2 2 2 2 3" xfId="28523" xr:uid="{00000000-0005-0000-0000-000048040000}"/>
    <cellStyle name="20% - uthevingsfarge 1 27 2 2 2 2 3" xfId="10678" xr:uid="{00000000-0005-0000-0000-000049040000}"/>
    <cellStyle name="20% - uthevingsfarge 1 27 2 2 2 2 3 2" xfId="34526" xr:uid="{00000000-0005-0000-0000-00004A040000}"/>
    <cellStyle name="20% - uthevingsfarge 1 27 2 2 2 2 4" xfId="31914" xr:uid="{00000000-0005-0000-0000-00004B040000}"/>
    <cellStyle name="20% - uthevingsfarge 1 27 2 2 2 3" xfId="7578" xr:uid="{00000000-0005-0000-0000-00004C040000}"/>
    <cellStyle name="20% - uthevingsfarge 1 27 2 2 2 3 2" xfId="24229" xr:uid="{00000000-0005-0000-0000-00004D040000}"/>
    <cellStyle name="20% - uthevingsfarge 1 27 2 2 2 3 2 2" xfId="40282" xr:uid="{00000000-0005-0000-0000-00004E040000}"/>
    <cellStyle name="20% - uthevingsfarge 1 27 2 2 2 3 3" xfId="30220" xr:uid="{00000000-0005-0000-0000-00004F040000}"/>
    <cellStyle name="20% - uthevingsfarge 1 27 2 2 2 4" xfId="17945" xr:uid="{00000000-0005-0000-0000-000050040000}"/>
    <cellStyle name="20% - uthevingsfarge 1 27 2 2 2 5" xfId="19565" xr:uid="{00000000-0005-0000-0000-000051040000}"/>
    <cellStyle name="20% - uthevingsfarge 1 27 2 2 2 5 2" xfId="35679" xr:uid="{00000000-0005-0000-0000-000052040000}"/>
    <cellStyle name="20% - uthevingsfarge 1 27 2 2 2 6" xfId="33607" xr:uid="{00000000-0005-0000-0000-000053040000}"/>
    <cellStyle name="20% - uthevingsfarge 1 27 2 2 3" xfId="4912" xr:uid="{00000000-0005-0000-0000-000054040000}"/>
    <cellStyle name="20% - uthevingsfarge 1 27 2 2 3 10" xfId="47331" xr:uid="{00000000-0005-0000-0000-000055040000}"/>
    <cellStyle name="20% - uthevingsfarge 1 27 2 2 3 2" xfId="6631" xr:uid="{00000000-0005-0000-0000-000056040000}"/>
    <cellStyle name="20% - uthevingsfarge 1 27 2 2 3 2 2" xfId="10037" xr:uid="{00000000-0005-0000-0000-000057040000}"/>
    <cellStyle name="20% - uthevingsfarge 1 27 2 2 3 2 2 2" xfId="23606" xr:uid="{00000000-0005-0000-0000-000058040000}"/>
    <cellStyle name="20% - uthevingsfarge 1 27 2 2 3 2 2 2 2" xfId="39662" xr:uid="{00000000-0005-0000-0000-000059040000}"/>
    <cellStyle name="20% - uthevingsfarge 1 27 2 2 3 2 2 3" xfId="27762" xr:uid="{00000000-0005-0000-0000-00005A040000}"/>
    <cellStyle name="20% - uthevingsfarge 1 27 2 2 3 2 3" xfId="22374" xr:uid="{00000000-0005-0000-0000-00005B040000}"/>
    <cellStyle name="20% - uthevingsfarge 1 27 2 2 3 2 3 2" xfId="38446" xr:uid="{00000000-0005-0000-0000-00005C040000}"/>
    <cellStyle name="20% - uthevingsfarge 1 27 2 2 3 2 4" xfId="31163" xr:uid="{00000000-0005-0000-0000-00005D040000}"/>
    <cellStyle name="20% - uthevingsfarge 1 27 2 2 3 2 5" xfId="43025" xr:uid="{00000000-0005-0000-0000-00005E040000}"/>
    <cellStyle name="20% - uthevingsfarge 1 27 2 2 3 2 6" xfId="43322" xr:uid="{00000000-0005-0000-0000-00005F040000}"/>
    <cellStyle name="20% - uthevingsfarge 1 27 2 2 3 2 7" xfId="46170" xr:uid="{00000000-0005-0000-0000-000060040000}"/>
    <cellStyle name="20% - uthevingsfarge 1 27 2 2 3 2 8" xfId="46942" xr:uid="{00000000-0005-0000-0000-000061040000}"/>
    <cellStyle name="20% - uthevingsfarge 1 27 2 2 3 2 9" xfId="47527" xr:uid="{00000000-0005-0000-0000-000062040000}"/>
    <cellStyle name="20% - uthevingsfarge 1 27 2 2 3 3" xfId="8334" xr:uid="{00000000-0005-0000-0000-000063040000}"/>
    <cellStyle name="20% - uthevingsfarge 1 27 2 2 3 3 2" xfId="11869" xr:uid="{00000000-0005-0000-0000-000064040000}"/>
    <cellStyle name="20% - uthevingsfarge 1 27 2 2 3 3 2 2" xfId="34906" xr:uid="{00000000-0005-0000-0000-000065040000}"/>
    <cellStyle name="20% - uthevingsfarge 1 27 2 2 3 3 3" xfId="29464" xr:uid="{00000000-0005-0000-0000-000066040000}"/>
    <cellStyle name="20% - uthevingsfarge 1 27 2 2 3 3 4" xfId="43870" xr:uid="{00000000-0005-0000-0000-000067040000}"/>
    <cellStyle name="20% - uthevingsfarge 1 27 2 2 3 4" xfId="16470" xr:uid="{00000000-0005-0000-0000-000068040000}"/>
    <cellStyle name="20% - uthevingsfarge 1 27 2 2 3 4 2" xfId="35417" xr:uid="{00000000-0005-0000-0000-000069040000}"/>
    <cellStyle name="20% - uthevingsfarge 1 27 2 2 3 5" xfId="25079" xr:uid="{00000000-0005-0000-0000-00006A040000}"/>
    <cellStyle name="20% - uthevingsfarge 1 27 2 2 3 6" xfId="25236" xr:uid="{00000000-0005-0000-0000-00006B040000}"/>
    <cellStyle name="20% - uthevingsfarge 1 27 2 2 3 7" xfId="32855" xr:uid="{00000000-0005-0000-0000-00006C040000}"/>
    <cellStyle name="20% - uthevingsfarge 1 27 2 2 3 8" xfId="43783" xr:uid="{00000000-0005-0000-0000-00006D040000}"/>
    <cellStyle name="20% - uthevingsfarge 1 27 2 2 3 9" xfId="46708" xr:uid="{00000000-0005-0000-0000-00006E040000}"/>
    <cellStyle name="20% - uthevingsfarge 1 27 2 2 4" xfId="5466" xr:uid="{00000000-0005-0000-0000-00006F040000}"/>
    <cellStyle name="20% - uthevingsfarge 1 27 2 2 4 2" xfId="8881" xr:uid="{00000000-0005-0000-0000-000070040000}"/>
    <cellStyle name="20% - uthevingsfarge 1 27 2 2 4 2 2" xfId="23423" xr:uid="{00000000-0005-0000-0000-000071040000}"/>
    <cellStyle name="20% - uthevingsfarge 1 27 2 2 4 2 2 2" xfId="39479" xr:uid="{00000000-0005-0000-0000-000072040000}"/>
    <cellStyle name="20% - uthevingsfarge 1 27 2 2 4 2 3" xfId="28917" xr:uid="{00000000-0005-0000-0000-000073040000}"/>
    <cellStyle name="20% - uthevingsfarge 1 27 2 2 4 3" xfId="19835" xr:uid="{00000000-0005-0000-0000-000074040000}"/>
    <cellStyle name="20% - uthevingsfarge 1 27 2 2 4 3 2" xfId="35948" xr:uid="{00000000-0005-0000-0000-000075040000}"/>
    <cellStyle name="20% - uthevingsfarge 1 27 2 2 4 4" xfId="32308" xr:uid="{00000000-0005-0000-0000-000076040000}"/>
    <cellStyle name="20% - uthevingsfarge 1 27 2 2 5" xfId="7184" xr:uid="{00000000-0005-0000-0000-000077040000}"/>
    <cellStyle name="20% - uthevingsfarge 1 27 2 2 5 2" xfId="10639" xr:uid="{00000000-0005-0000-0000-000078040000}"/>
    <cellStyle name="20% - uthevingsfarge 1 27 2 2 5 2 2" xfId="34487" xr:uid="{00000000-0005-0000-0000-000079040000}"/>
    <cellStyle name="20% - uthevingsfarge 1 27 2 2 5 3" xfId="30614" xr:uid="{00000000-0005-0000-0000-00007A040000}"/>
    <cellStyle name="20% - uthevingsfarge 1 27 2 2 6" xfId="10749" xr:uid="{00000000-0005-0000-0000-00007B040000}"/>
    <cellStyle name="20% - uthevingsfarge 1 27 2 2 7" xfId="34001" xr:uid="{00000000-0005-0000-0000-00007C040000}"/>
    <cellStyle name="20% - uthevingsfarge 1 27 2 2 8" xfId="43574" xr:uid="{00000000-0005-0000-0000-00007D040000}"/>
    <cellStyle name="20% - uthevingsfarge 1 27 2 2 9" xfId="46480" xr:uid="{00000000-0005-0000-0000-00007E040000}"/>
    <cellStyle name="20% - uthevingsfarge 1 27 2 2_Avviksanalyse løpende RNB15 (1)" xfId="16561" xr:uid="{00000000-0005-0000-0000-00007F040000}"/>
    <cellStyle name="20% - uthevingsfarge 1 27 2 3" xfId="3792" xr:uid="{00000000-0005-0000-0000-000080040000}"/>
    <cellStyle name="20% - uthevingsfarge 1 27 2 3 2" xfId="5680" xr:uid="{00000000-0005-0000-0000-000081040000}"/>
    <cellStyle name="20% - uthevingsfarge 1 27 2 3 2 2" xfId="9095" xr:uid="{00000000-0005-0000-0000-000082040000}"/>
    <cellStyle name="20% - uthevingsfarge 1 27 2 3 2 2 2" xfId="21271" xr:uid="{00000000-0005-0000-0000-000083040000}"/>
    <cellStyle name="20% - uthevingsfarge 1 27 2 3 2 2 2 2" xfId="37351" xr:uid="{00000000-0005-0000-0000-000084040000}"/>
    <cellStyle name="20% - uthevingsfarge 1 27 2 3 2 2 3" xfId="28703" xr:uid="{00000000-0005-0000-0000-000085040000}"/>
    <cellStyle name="20% - uthevingsfarge 1 27 2 3 2 3" xfId="22896" xr:uid="{00000000-0005-0000-0000-000086040000}"/>
    <cellStyle name="20% - uthevingsfarge 1 27 2 3 2 3 2" xfId="38965" xr:uid="{00000000-0005-0000-0000-000087040000}"/>
    <cellStyle name="20% - uthevingsfarge 1 27 2 3 2 4" xfId="32094" xr:uid="{00000000-0005-0000-0000-000088040000}"/>
    <cellStyle name="20% - uthevingsfarge 1 27 2 3 3" xfId="7398" xr:uid="{00000000-0005-0000-0000-000089040000}"/>
    <cellStyle name="20% - uthevingsfarge 1 27 2 3 3 2" xfId="20770" xr:uid="{00000000-0005-0000-0000-00008A040000}"/>
    <cellStyle name="20% - uthevingsfarge 1 27 2 3 3 2 2" xfId="36869" xr:uid="{00000000-0005-0000-0000-00008B040000}"/>
    <cellStyle name="20% - uthevingsfarge 1 27 2 3 3 3" xfId="30400" xr:uid="{00000000-0005-0000-0000-00008C040000}"/>
    <cellStyle name="20% - uthevingsfarge 1 27 2 3 4" xfId="19543" xr:uid="{00000000-0005-0000-0000-00008D040000}"/>
    <cellStyle name="20% - uthevingsfarge 1 27 2 3 4 2" xfId="35657" xr:uid="{00000000-0005-0000-0000-00008E040000}"/>
    <cellStyle name="20% - uthevingsfarge 1 27 2 3 5" xfId="33787" xr:uid="{00000000-0005-0000-0000-00008F040000}"/>
    <cellStyle name="20% - uthevingsfarge 1 27 2 4" xfId="4277" xr:uid="{00000000-0005-0000-0000-000090040000}"/>
    <cellStyle name="20% - uthevingsfarge 1 27 2 4 2" xfId="6106" xr:uid="{00000000-0005-0000-0000-000091040000}"/>
    <cellStyle name="20% - uthevingsfarge 1 27 2 4 2 2" xfId="9520" xr:uid="{00000000-0005-0000-0000-000092040000}"/>
    <cellStyle name="20% - uthevingsfarge 1 27 2 4 2 2 2" xfId="24526" xr:uid="{00000000-0005-0000-0000-000093040000}"/>
    <cellStyle name="20% - uthevingsfarge 1 27 2 4 2 2 2 2" xfId="40570" xr:uid="{00000000-0005-0000-0000-000094040000}"/>
    <cellStyle name="20% - uthevingsfarge 1 27 2 4 2 2 3" xfId="28278" xr:uid="{00000000-0005-0000-0000-000095040000}"/>
    <cellStyle name="20% - uthevingsfarge 1 27 2 4 2 3" xfId="20326" xr:uid="{00000000-0005-0000-0000-000096040000}"/>
    <cellStyle name="20% - uthevingsfarge 1 27 2 4 2 3 2" xfId="36425" xr:uid="{00000000-0005-0000-0000-000097040000}"/>
    <cellStyle name="20% - uthevingsfarge 1 27 2 4 2 4" xfId="31673" xr:uid="{00000000-0005-0000-0000-000098040000}"/>
    <cellStyle name="20% - uthevingsfarge 1 27 2 4 3" xfId="7839" xr:uid="{00000000-0005-0000-0000-000099040000}"/>
    <cellStyle name="20% - uthevingsfarge 1 27 2 4 3 2" xfId="22489" xr:uid="{00000000-0005-0000-0000-00009A040000}"/>
    <cellStyle name="20% - uthevingsfarge 1 27 2 4 3 2 2" xfId="38561" xr:uid="{00000000-0005-0000-0000-00009B040000}"/>
    <cellStyle name="20% - uthevingsfarge 1 27 2 4 3 3" xfId="29960" xr:uid="{00000000-0005-0000-0000-00009C040000}"/>
    <cellStyle name="20% - uthevingsfarge 1 27 2 4 4" xfId="19996" xr:uid="{00000000-0005-0000-0000-00009D040000}"/>
    <cellStyle name="20% - uthevingsfarge 1 27 2 4 4 2" xfId="36100" xr:uid="{00000000-0005-0000-0000-00009E040000}"/>
    <cellStyle name="20% - uthevingsfarge 1 27 2 4 5" xfId="33348" xr:uid="{00000000-0005-0000-0000-00009F040000}"/>
    <cellStyle name="20% - uthevingsfarge 1 27 2 5" xfId="4732" xr:uid="{00000000-0005-0000-0000-0000A0040000}"/>
    <cellStyle name="20% - uthevingsfarge 1 27 2 5 2" xfId="6452" xr:uid="{00000000-0005-0000-0000-0000A1040000}"/>
    <cellStyle name="20% - uthevingsfarge 1 27 2 5 2 2" xfId="9858" xr:uid="{00000000-0005-0000-0000-0000A2040000}"/>
    <cellStyle name="20% - uthevingsfarge 1 27 2 5 2 2 2" xfId="23571" xr:uid="{00000000-0005-0000-0000-0000A3040000}"/>
    <cellStyle name="20% - uthevingsfarge 1 27 2 5 2 2 2 2" xfId="39627" xr:uid="{00000000-0005-0000-0000-0000A4040000}"/>
    <cellStyle name="20% - uthevingsfarge 1 27 2 5 2 2 3" xfId="27941" xr:uid="{00000000-0005-0000-0000-0000A5040000}"/>
    <cellStyle name="20% - uthevingsfarge 1 27 2 5 2 3" xfId="20457" xr:uid="{00000000-0005-0000-0000-0000A6040000}"/>
    <cellStyle name="20% - uthevingsfarge 1 27 2 5 2 3 2" xfId="36556" xr:uid="{00000000-0005-0000-0000-0000A7040000}"/>
    <cellStyle name="20% - uthevingsfarge 1 27 2 5 2 4" xfId="31342" xr:uid="{00000000-0005-0000-0000-0000A8040000}"/>
    <cellStyle name="20% - uthevingsfarge 1 27 2 5 3" xfId="8154" xr:uid="{00000000-0005-0000-0000-0000A9040000}"/>
    <cellStyle name="20% - uthevingsfarge 1 27 2 5 3 2" xfId="23321" xr:uid="{00000000-0005-0000-0000-0000AA040000}"/>
    <cellStyle name="20% - uthevingsfarge 1 27 2 5 3 2 2" xfId="39386" xr:uid="{00000000-0005-0000-0000-0000AB040000}"/>
    <cellStyle name="20% - uthevingsfarge 1 27 2 5 3 3" xfId="29644" xr:uid="{00000000-0005-0000-0000-0000AC040000}"/>
    <cellStyle name="20% - uthevingsfarge 1 27 2 5 4" xfId="10904" xr:uid="{00000000-0005-0000-0000-0000AD040000}"/>
    <cellStyle name="20% - uthevingsfarge 1 27 2 5 4 2" xfId="34675" xr:uid="{00000000-0005-0000-0000-0000AE040000}"/>
    <cellStyle name="20% - uthevingsfarge 1 27 2 5 5" xfId="33035" xr:uid="{00000000-0005-0000-0000-0000AF040000}"/>
    <cellStyle name="20% - uthevingsfarge 1 27 2 6" xfId="5092" xr:uid="{00000000-0005-0000-0000-0000B0040000}"/>
    <cellStyle name="20% - uthevingsfarge 1 27 2 6 2" xfId="6811" xr:uid="{00000000-0005-0000-0000-0000B1040000}"/>
    <cellStyle name="20% - uthevingsfarge 1 27 2 6 2 2" xfId="10217" xr:uid="{00000000-0005-0000-0000-0000B2040000}"/>
    <cellStyle name="20% - uthevingsfarge 1 27 2 6 2 2 2" xfId="21649" xr:uid="{00000000-0005-0000-0000-0000B3040000}"/>
    <cellStyle name="20% - uthevingsfarge 1 27 2 6 2 2 2 2" xfId="37729" xr:uid="{00000000-0005-0000-0000-0000B4040000}"/>
    <cellStyle name="20% - uthevingsfarge 1 27 2 6 2 2 3" xfId="27582" xr:uid="{00000000-0005-0000-0000-0000B5040000}"/>
    <cellStyle name="20% - uthevingsfarge 1 27 2 6 2 3" xfId="20573" xr:uid="{00000000-0005-0000-0000-0000B6040000}"/>
    <cellStyle name="20% - uthevingsfarge 1 27 2 6 2 3 2" xfId="36672" xr:uid="{00000000-0005-0000-0000-0000B7040000}"/>
    <cellStyle name="20% - uthevingsfarge 1 27 2 6 2 4" xfId="30983" xr:uid="{00000000-0005-0000-0000-0000B8040000}"/>
    <cellStyle name="20% - uthevingsfarge 1 27 2 6 3" xfId="8514" xr:uid="{00000000-0005-0000-0000-0000B9040000}"/>
    <cellStyle name="20% - uthevingsfarge 1 27 2 6 3 2" xfId="10529" xr:uid="{00000000-0005-0000-0000-0000BA040000}"/>
    <cellStyle name="20% - uthevingsfarge 1 27 2 6 3 2 2" xfId="34409" xr:uid="{00000000-0005-0000-0000-0000BB040000}"/>
    <cellStyle name="20% - uthevingsfarge 1 27 2 6 3 3" xfId="29284" xr:uid="{00000000-0005-0000-0000-0000BC040000}"/>
    <cellStyle name="20% - uthevingsfarge 1 27 2 6 4" xfId="12177" xr:uid="{00000000-0005-0000-0000-0000BD040000}"/>
    <cellStyle name="20% - uthevingsfarge 1 27 2 6 4 2" xfId="35110" xr:uid="{00000000-0005-0000-0000-0000BE040000}"/>
    <cellStyle name="20% - uthevingsfarge 1 27 2 6 5" xfId="32675" xr:uid="{00000000-0005-0000-0000-0000BF040000}"/>
    <cellStyle name="20% - uthevingsfarge 1 27 2 7" xfId="5271" xr:uid="{00000000-0005-0000-0000-0000C0040000}"/>
    <cellStyle name="20% - uthevingsfarge 1 27 2 7 2" xfId="8686" xr:uid="{00000000-0005-0000-0000-0000C1040000}"/>
    <cellStyle name="20% - uthevingsfarge 1 27 2 7 2 2" xfId="21161" xr:uid="{00000000-0005-0000-0000-0000C2040000}"/>
    <cellStyle name="20% - uthevingsfarge 1 27 2 7 2 2 2" xfId="37241" xr:uid="{00000000-0005-0000-0000-0000C3040000}"/>
    <cellStyle name="20% - uthevingsfarge 1 27 2 7 2 3" xfId="29112" xr:uid="{00000000-0005-0000-0000-0000C4040000}"/>
    <cellStyle name="20% - uthevingsfarge 1 27 2 7 3" xfId="10770" xr:uid="{00000000-0005-0000-0000-0000C5040000}"/>
    <cellStyle name="20% - uthevingsfarge 1 27 2 7 3 2" xfId="34593" xr:uid="{00000000-0005-0000-0000-0000C6040000}"/>
    <cellStyle name="20% - uthevingsfarge 1 27 2 7 4" xfId="32503" xr:uid="{00000000-0005-0000-0000-0000C7040000}"/>
    <cellStyle name="20% - uthevingsfarge 1 27 2 8" xfId="7004" xr:uid="{00000000-0005-0000-0000-0000C8040000}"/>
    <cellStyle name="20% - uthevingsfarge 1 27 2 8 2" xfId="22405" xr:uid="{00000000-0005-0000-0000-0000C9040000}"/>
    <cellStyle name="20% - uthevingsfarge 1 27 2 8 2 2" xfId="38477" xr:uid="{00000000-0005-0000-0000-0000CA040000}"/>
    <cellStyle name="20% - uthevingsfarge 1 27 2 8 3" xfId="30794" xr:uid="{00000000-0005-0000-0000-0000CB040000}"/>
    <cellStyle name="20% - uthevingsfarge 1 27 2 9" xfId="10748" xr:uid="{00000000-0005-0000-0000-0000CC040000}"/>
    <cellStyle name="20% - uthevingsfarge 1 27 3" xfId="3457" xr:uid="{00000000-0005-0000-0000-0000CD040000}"/>
    <cellStyle name="20% - uthevingsfarge 1 27 3 10" xfId="47073" xr:uid="{00000000-0005-0000-0000-0000CE040000}"/>
    <cellStyle name="20% - uthevingsfarge 1 27 3 2" xfId="3893" xr:uid="{00000000-0005-0000-0000-0000CF040000}"/>
    <cellStyle name="20% - uthevingsfarge 1 27 3 2 2" xfId="5781" xr:uid="{00000000-0005-0000-0000-0000D0040000}"/>
    <cellStyle name="20% - uthevingsfarge 1 27 3 2 2 2" xfId="9196" xr:uid="{00000000-0005-0000-0000-0000D1040000}"/>
    <cellStyle name="20% - uthevingsfarge 1 27 3 2 2 2 2" xfId="21927" xr:uid="{00000000-0005-0000-0000-0000D2040000}"/>
    <cellStyle name="20% - uthevingsfarge 1 27 3 2 2 2 2 2" xfId="38002" xr:uid="{00000000-0005-0000-0000-0000D3040000}"/>
    <cellStyle name="20% - uthevingsfarge 1 27 3 2 2 2 3" xfId="28602" xr:uid="{00000000-0005-0000-0000-0000D4040000}"/>
    <cellStyle name="20% - uthevingsfarge 1 27 3 2 2 3" xfId="20200" xr:uid="{00000000-0005-0000-0000-0000D5040000}"/>
    <cellStyle name="20% - uthevingsfarge 1 27 3 2 2 3 2" xfId="36299" xr:uid="{00000000-0005-0000-0000-0000D6040000}"/>
    <cellStyle name="20% - uthevingsfarge 1 27 3 2 2 4" xfId="31993" xr:uid="{00000000-0005-0000-0000-0000D7040000}"/>
    <cellStyle name="20% - uthevingsfarge 1 27 3 2 3" xfId="7499" xr:uid="{00000000-0005-0000-0000-0000D8040000}"/>
    <cellStyle name="20% - uthevingsfarge 1 27 3 2 3 2" xfId="24220" xr:uid="{00000000-0005-0000-0000-0000D9040000}"/>
    <cellStyle name="20% - uthevingsfarge 1 27 3 2 3 2 2" xfId="40273" xr:uid="{00000000-0005-0000-0000-0000DA040000}"/>
    <cellStyle name="20% - uthevingsfarge 1 27 3 2 3 3" xfId="30299" xr:uid="{00000000-0005-0000-0000-0000DB040000}"/>
    <cellStyle name="20% - uthevingsfarge 1 27 3 2 4" xfId="17946" xr:uid="{00000000-0005-0000-0000-0000DC040000}"/>
    <cellStyle name="20% - uthevingsfarge 1 27 3 2 5" xfId="11058" xr:uid="{00000000-0005-0000-0000-0000DD040000}"/>
    <cellStyle name="20% - uthevingsfarge 1 27 3 2 5 2" xfId="34766" xr:uid="{00000000-0005-0000-0000-0000DE040000}"/>
    <cellStyle name="20% - uthevingsfarge 1 27 3 2 6" xfId="33686" xr:uid="{00000000-0005-0000-0000-0000DF040000}"/>
    <cellStyle name="20% - uthevingsfarge 1 27 3 3" xfId="4833" xr:uid="{00000000-0005-0000-0000-0000E0040000}"/>
    <cellStyle name="20% - uthevingsfarge 1 27 3 3 10" xfId="47263" xr:uid="{00000000-0005-0000-0000-0000E1040000}"/>
    <cellStyle name="20% - uthevingsfarge 1 27 3 3 2" xfId="6552" xr:uid="{00000000-0005-0000-0000-0000E2040000}"/>
    <cellStyle name="20% - uthevingsfarge 1 27 3 3 2 2" xfId="9958" xr:uid="{00000000-0005-0000-0000-0000E3040000}"/>
    <cellStyle name="20% - uthevingsfarge 1 27 3 3 2 2 2" xfId="23590" xr:uid="{00000000-0005-0000-0000-0000E4040000}"/>
    <cellStyle name="20% - uthevingsfarge 1 27 3 3 2 2 2 2" xfId="39646" xr:uid="{00000000-0005-0000-0000-0000E5040000}"/>
    <cellStyle name="20% - uthevingsfarge 1 27 3 3 2 2 3" xfId="27841" xr:uid="{00000000-0005-0000-0000-0000E6040000}"/>
    <cellStyle name="20% - uthevingsfarge 1 27 3 3 2 3" xfId="20494" xr:uid="{00000000-0005-0000-0000-0000E7040000}"/>
    <cellStyle name="20% - uthevingsfarge 1 27 3 3 2 3 2" xfId="36593" xr:uid="{00000000-0005-0000-0000-0000E8040000}"/>
    <cellStyle name="20% - uthevingsfarge 1 27 3 3 2 4" xfId="31242" xr:uid="{00000000-0005-0000-0000-0000E9040000}"/>
    <cellStyle name="20% - uthevingsfarge 1 27 3 3 2 5" xfId="42818" xr:uid="{00000000-0005-0000-0000-0000EA040000}"/>
    <cellStyle name="20% - uthevingsfarge 1 27 3 3 2 6" xfId="43256" xr:uid="{00000000-0005-0000-0000-0000EB040000}"/>
    <cellStyle name="20% - uthevingsfarge 1 27 3 3 2 7" xfId="46104" xr:uid="{00000000-0005-0000-0000-0000EC040000}"/>
    <cellStyle name="20% - uthevingsfarge 1 27 3 3 2 8" xfId="46873" xr:uid="{00000000-0005-0000-0000-0000ED040000}"/>
    <cellStyle name="20% - uthevingsfarge 1 27 3 3 2 9" xfId="47459" xr:uid="{00000000-0005-0000-0000-0000EE040000}"/>
    <cellStyle name="20% - uthevingsfarge 1 27 3 3 3" xfId="8255" xr:uid="{00000000-0005-0000-0000-0000EF040000}"/>
    <cellStyle name="20% - uthevingsfarge 1 27 3 3 3 2" xfId="23337" xr:uid="{00000000-0005-0000-0000-0000F0040000}"/>
    <cellStyle name="20% - uthevingsfarge 1 27 3 3 3 2 2" xfId="39399" xr:uid="{00000000-0005-0000-0000-0000F1040000}"/>
    <cellStyle name="20% - uthevingsfarge 1 27 3 3 3 3" xfId="29542" xr:uid="{00000000-0005-0000-0000-0000F2040000}"/>
    <cellStyle name="20% - uthevingsfarge 1 27 3 3 3 4" xfId="43871" xr:uid="{00000000-0005-0000-0000-0000F3040000}"/>
    <cellStyle name="20% - uthevingsfarge 1 27 3 3 4" xfId="16263" xr:uid="{00000000-0005-0000-0000-0000F4040000}"/>
    <cellStyle name="20% - uthevingsfarge 1 27 3 3 4 2" xfId="35351" xr:uid="{00000000-0005-0000-0000-0000F5040000}"/>
    <cellStyle name="20% - uthevingsfarge 1 27 3 3 5" xfId="25010" xr:uid="{00000000-0005-0000-0000-0000F6040000}"/>
    <cellStyle name="20% - uthevingsfarge 1 27 3 3 6" xfId="25237" xr:uid="{00000000-0005-0000-0000-0000F7040000}"/>
    <cellStyle name="20% - uthevingsfarge 1 27 3 3 7" xfId="32934" xr:uid="{00000000-0005-0000-0000-0000F8040000}"/>
    <cellStyle name="20% - uthevingsfarge 1 27 3 3 8" xfId="43716" xr:uid="{00000000-0005-0000-0000-0000F9040000}"/>
    <cellStyle name="20% - uthevingsfarge 1 27 3 3 9" xfId="46642" xr:uid="{00000000-0005-0000-0000-0000FA040000}"/>
    <cellStyle name="20% - uthevingsfarge 1 27 3 4" xfId="5397" xr:uid="{00000000-0005-0000-0000-0000FB040000}"/>
    <cellStyle name="20% - uthevingsfarge 1 27 3 4 2" xfId="8812" xr:uid="{00000000-0005-0000-0000-0000FC040000}"/>
    <cellStyle name="20% - uthevingsfarge 1 27 3 4 2 2" xfId="21192" xr:uid="{00000000-0005-0000-0000-0000FD040000}"/>
    <cellStyle name="20% - uthevingsfarge 1 27 3 4 2 2 2" xfId="37272" xr:uid="{00000000-0005-0000-0000-0000FE040000}"/>
    <cellStyle name="20% - uthevingsfarge 1 27 3 4 2 3" xfId="28986" xr:uid="{00000000-0005-0000-0000-0000FF040000}"/>
    <cellStyle name="20% - uthevingsfarge 1 27 3 4 3" xfId="20087" xr:uid="{00000000-0005-0000-0000-000000050000}"/>
    <cellStyle name="20% - uthevingsfarge 1 27 3 4 3 2" xfId="36191" xr:uid="{00000000-0005-0000-0000-000001050000}"/>
    <cellStyle name="20% - uthevingsfarge 1 27 3 4 4" xfId="32377" xr:uid="{00000000-0005-0000-0000-000002050000}"/>
    <cellStyle name="20% - uthevingsfarge 1 27 3 5" xfId="7105" xr:uid="{00000000-0005-0000-0000-000003050000}"/>
    <cellStyle name="20% - uthevingsfarge 1 27 3 5 2" xfId="23149" xr:uid="{00000000-0005-0000-0000-000004050000}"/>
    <cellStyle name="20% - uthevingsfarge 1 27 3 5 2 2" xfId="39218" xr:uid="{00000000-0005-0000-0000-000005050000}"/>
    <cellStyle name="20% - uthevingsfarge 1 27 3 5 3" xfId="30693" xr:uid="{00000000-0005-0000-0000-000006050000}"/>
    <cellStyle name="20% - uthevingsfarge 1 27 3 6" xfId="10750" xr:uid="{00000000-0005-0000-0000-000007050000}"/>
    <cellStyle name="20% - uthevingsfarge 1 27 3 7" xfId="34080" xr:uid="{00000000-0005-0000-0000-000008050000}"/>
    <cellStyle name="20% - uthevingsfarge 1 27 3 8" xfId="43508" xr:uid="{00000000-0005-0000-0000-000009050000}"/>
    <cellStyle name="20% - uthevingsfarge 1 27 3 9" xfId="46412" xr:uid="{00000000-0005-0000-0000-00000A050000}"/>
    <cellStyle name="20% - uthevingsfarge 1 27 3_Avviksanalyse løpende RNB15 (1)" xfId="16562" xr:uid="{00000000-0005-0000-0000-00000B050000}"/>
    <cellStyle name="20% - uthevingsfarge 1 27 4" xfId="3714" xr:uid="{00000000-0005-0000-0000-00000C050000}"/>
    <cellStyle name="20% - uthevingsfarge 1 27 4 2" xfId="5602" xr:uid="{00000000-0005-0000-0000-00000D050000}"/>
    <cellStyle name="20% - uthevingsfarge 1 27 4 2 2" xfId="9017" xr:uid="{00000000-0005-0000-0000-00000E050000}"/>
    <cellStyle name="20% - uthevingsfarge 1 27 4 2 2 2" xfId="24447" xr:uid="{00000000-0005-0000-0000-00000F050000}"/>
    <cellStyle name="20% - uthevingsfarge 1 27 4 2 2 2 2" xfId="40491" xr:uid="{00000000-0005-0000-0000-000010050000}"/>
    <cellStyle name="20% - uthevingsfarge 1 27 4 2 2 3" xfId="28781" xr:uid="{00000000-0005-0000-0000-000011050000}"/>
    <cellStyle name="20% - uthevingsfarge 1 27 4 2 3" xfId="23885" xr:uid="{00000000-0005-0000-0000-000012050000}"/>
    <cellStyle name="20% - uthevingsfarge 1 27 4 2 3 2" xfId="39941" xr:uid="{00000000-0005-0000-0000-000013050000}"/>
    <cellStyle name="20% - uthevingsfarge 1 27 4 2 4" xfId="32172" xr:uid="{00000000-0005-0000-0000-000014050000}"/>
    <cellStyle name="20% - uthevingsfarge 1 27 4 3" xfId="7320" xr:uid="{00000000-0005-0000-0000-000015050000}"/>
    <cellStyle name="20% - uthevingsfarge 1 27 4 3 2" xfId="24185" xr:uid="{00000000-0005-0000-0000-000016050000}"/>
    <cellStyle name="20% - uthevingsfarge 1 27 4 3 2 2" xfId="40238" xr:uid="{00000000-0005-0000-0000-000017050000}"/>
    <cellStyle name="20% - uthevingsfarge 1 27 4 3 3" xfId="30478" xr:uid="{00000000-0005-0000-0000-000018050000}"/>
    <cellStyle name="20% - uthevingsfarge 1 27 4 4" xfId="22562" xr:uid="{00000000-0005-0000-0000-000019050000}"/>
    <cellStyle name="20% - uthevingsfarge 1 27 4 4 2" xfId="38631" xr:uid="{00000000-0005-0000-0000-00001A050000}"/>
    <cellStyle name="20% - uthevingsfarge 1 27 4 5" xfId="33865" xr:uid="{00000000-0005-0000-0000-00001B050000}"/>
    <cellStyle name="20% - uthevingsfarge 1 27 5" xfId="4199" xr:uid="{00000000-0005-0000-0000-00001C050000}"/>
    <cellStyle name="20% - uthevingsfarge 1 27 5 2" xfId="6036" xr:uid="{00000000-0005-0000-0000-00001D050000}"/>
    <cellStyle name="20% - uthevingsfarge 1 27 5 2 2" xfId="9451" xr:uid="{00000000-0005-0000-0000-00001E050000}"/>
    <cellStyle name="20% - uthevingsfarge 1 27 5 2 2 2" xfId="23510" xr:uid="{00000000-0005-0000-0000-00001F050000}"/>
    <cellStyle name="20% - uthevingsfarge 1 27 5 2 2 2 2" xfId="39566" xr:uid="{00000000-0005-0000-0000-000020050000}"/>
    <cellStyle name="20% - uthevingsfarge 1 27 5 2 2 3" xfId="28347" xr:uid="{00000000-0005-0000-0000-000021050000}"/>
    <cellStyle name="20% - uthevingsfarge 1 27 5 2 3" xfId="20296" xr:uid="{00000000-0005-0000-0000-000022050000}"/>
    <cellStyle name="20% - uthevingsfarge 1 27 5 2 3 2" xfId="36395" xr:uid="{00000000-0005-0000-0000-000023050000}"/>
    <cellStyle name="20% - uthevingsfarge 1 27 5 2 4" xfId="31742" xr:uid="{00000000-0005-0000-0000-000024050000}"/>
    <cellStyle name="20% - uthevingsfarge 1 27 5 3" xfId="7769" xr:uid="{00000000-0005-0000-0000-000025050000}"/>
    <cellStyle name="20% - uthevingsfarge 1 27 5 3 2" xfId="20896" xr:uid="{00000000-0005-0000-0000-000026050000}"/>
    <cellStyle name="20% - uthevingsfarge 1 27 5 3 2 2" xfId="36995" xr:uid="{00000000-0005-0000-0000-000027050000}"/>
    <cellStyle name="20% - uthevingsfarge 1 27 5 3 3" xfId="30030" xr:uid="{00000000-0005-0000-0000-000028050000}"/>
    <cellStyle name="20% - uthevingsfarge 1 27 5 4" xfId="19982" xr:uid="{00000000-0005-0000-0000-000029050000}"/>
    <cellStyle name="20% - uthevingsfarge 1 27 5 4 2" xfId="36086" xr:uid="{00000000-0005-0000-0000-00002A050000}"/>
    <cellStyle name="20% - uthevingsfarge 1 27 5 5" xfId="33418" xr:uid="{00000000-0005-0000-0000-00002B050000}"/>
    <cellStyle name="20% - uthevingsfarge 1 27 6" xfId="4649" xr:uid="{00000000-0005-0000-0000-00002C050000}"/>
    <cellStyle name="20% - uthevingsfarge 1 27 6 2" xfId="6369" xr:uid="{00000000-0005-0000-0000-00002D050000}"/>
    <cellStyle name="20% - uthevingsfarge 1 27 6 2 2" xfId="9779" xr:uid="{00000000-0005-0000-0000-00002E050000}"/>
    <cellStyle name="20% - uthevingsfarge 1 27 6 2 2 2" xfId="24561" xr:uid="{00000000-0005-0000-0000-00002F050000}"/>
    <cellStyle name="20% - uthevingsfarge 1 27 6 2 2 2 2" xfId="40605" xr:uid="{00000000-0005-0000-0000-000030050000}"/>
    <cellStyle name="20% - uthevingsfarge 1 27 6 2 2 3" xfId="28020" xr:uid="{00000000-0005-0000-0000-000031050000}"/>
    <cellStyle name="20% - uthevingsfarge 1 27 6 2 3" xfId="24028" xr:uid="{00000000-0005-0000-0000-000032050000}"/>
    <cellStyle name="20% - uthevingsfarge 1 27 6 2 3 2" xfId="40081" xr:uid="{00000000-0005-0000-0000-000033050000}"/>
    <cellStyle name="20% - uthevingsfarge 1 27 6 2 4" xfId="31421" xr:uid="{00000000-0005-0000-0000-000034050000}"/>
    <cellStyle name="20% - uthevingsfarge 1 27 6 3" xfId="8075" xr:uid="{00000000-0005-0000-0000-000035050000}"/>
    <cellStyle name="20% - uthevingsfarge 1 27 6 3 2" xfId="19462" xr:uid="{00000000-0005-0000-0000-000036050000}"/>
    <cellStyle name="20% - uthevingsfarge 1 27 6 3 2 2" xfId="35576" xr:uid="{00000000-0005-0000-0000-000037050000}"/>
    <cellStyle name="20% - uthevingsfarge 1 27 6 3 3" xfId="29723" xr:uid="{00000000-0005-0000-0000-000038050000}"/>
    <cellStyle name="20% - uthevingsfarge 1 27 6 4" xfId="20029" xr:uid="{00000000-0005-0000-0000-000039050000}"/>
    <cellStyle name="20% - uthevingsfarge 1 27 6 4 2" xfId="36133" xr:uid="{00000000-0005-0000-0000-00003A050000}"/>
    <cellStyle name="20% - uthevingsfarge 1 27 6 5" xfId="33114" xr:uid="{00000000-0005-0000-0000-00003B050000}"/>
    <cellStyle name="20% - uthevingsfarge 1 27 7" xfId="5013" xr:uid="{00000000-0005-0000-0000-00003C050000}"/>
    <cellStyle name="20% - uthevingsfarge 1 27 7 2" xfId="6732" xr:uid="{00000000-0005-0000-0000-00003D050000}"/>
    <cellStyle name="20% - uthevingsfarge 1 27 7 2 2" xfId="10138" xr:uid="{00000000-0005-0000-0000-00003E050000}"/>
    <cellStyle name="20% - uthevingsfarge 1 27 7 2 2 2" xfId="21621" xr:uid="{00000000-0005-0000-0000-00003F050000}"/>
    <cellStyle name="20% - uthevingsfarge 1 27 7 2 2 2 2" xfId="37701" xr:uid="{00000000-0005-0000-0000-000040050000}"/>
    <cellStyle name="20% - uthevingsfarge 1 27 7 2 2 3" xfId="27661" xr:uid="{00000000-0005-0000-0000-000041050000}"/>
    <cellStyle name="20% - uthevingsfarge 1 27 7 2 3" xfId="20550" xr:uid="{00000000-0005-0000-0000-000042050000}"/>
    <cellStyle name="20% - uthevingsfarge 1 27 7 2 3 2" xfId="36649" xr:uid="{00000000-0005-0000-0000-000043050000}"/>
    <cellStyle name="20% - uthevingsfarge 1 27 7 2 4" xfId="31062" xr:uid="{00000000-0005-0000-0000-000044050000}"/>
    <cellStyle name="20% - uthevingsfarge 1 27 7 3" xfId="8435" xr:uid="{00000000-0005-0000-0000-000045050000}"/>
    <cellStyle name="20% - uthevingsfarge 1 27 7 3 2" xfId="24364" xr:uid="{00000000-0005-0000-0000-000046050000}"/>
    <cellStyle name="20% - uthevingsfarge 1 27 7 3 2 2" xfId="40410" xr:uid="{00000000-0005-0000-0000-000047050000}"/>
    <cellStyle name="20% - uthevingsfarge 1 27 7 3 3" xfId="29363" xr:uid="{00000000-0005-0000-0000-000048050000}"/>
    <cellStyle name="20% - uthevingsfarge 1 27 7 4" xfId="22063" xr:uid="{00000000-0005-0000-0000-000049050000}"/>
    <cellStyle name="20% - uthevingsfarge 1 27 7 4 2" xfId="38137" xr:uid="{00000000-0005-0000-0000-00004A050000}"/>
    <cellStyle name="20% - uthevingsfarge 1 27 7 5" xfId="32754" xr:uid="{00000000-0005-0000-0000-00004B050000}"/>
    <cellStyle name="20% - uthevingsfarge 1 27 8" xfId="5189" xr:uid="{00000000-0005-0000-0000-00004C050000}"/>
    <cellStyle name="20% - uthevingsfarge 1 27 8 2" xfId="8608" xr:uid="{00000000-0005-0000-0000-00004D050000}"/>
    <cellStyle name="20% - uthevingsfarge 1 27 8 2 2" xfId="11817" xr:uid="{00000000-0005-0000-0000-00004E050000}"/>
    <cellStyle name="20% - uthevingsfarge 1 27 8 2 2 2" xfId="34879" xr:uid="{00000000-0005-0000-0000-00004F050000}"/>
    <cellStyle name="20% - uthevingsfarge 1 27 8 2 3" xfId="29190" xr:uid="{00000000-0005-0000-0000-000050050000}"/>
    <cellStyle name="20% - uthevingsfarge 1 27 8 3" xfId="12133" xr:uid="{00000000-0005-0000-0000-000051050000}"/>
    <cellStyle name="20% - uthevingsfarge 1 27 8 3 2" xfId="35087" xr:uid="{00000000-0005-0000-0000-000052050000}"/>
    <cellStyle name="20% - uthevingsfarge 1 27 8 4" xfId="32581" xr:uid="{00000000-0005-0000-0000-000053050000}"/>
    <cellStyle name="20% - uthevingsfarge 1 27 9" xfId="6897" xr:uid="{00000000-0005-0000-0000-000054050000}"/>
    <cellStyle name="20% - uthevingsfarge 1 27 9 2" xfId="22397" xr:uid="{00000000-0005-0000-0000-000055050000}"/>
    <cellStyle name="20% - uthevingsfarge 1 27 9 2 2" xfId="38469" xr:uid="{00000000-0005-0000-0000-000056050000}"/>
    <cellStyle name="20% - uthevingsfarge 1 27 9 3" xfId="30901" xr:uid="{00000000-0005-0000-0000-000057050000}"/>
    <cellStyle name="20% - uthevingsfarge 1 28" xfId="307" xr:uid="{00000000-0005-0000-0000-000058050000}"/>
    <cellStyle name="20% - uthevingsfarge 1 28 10" xfId="6898" xr:uid="{00000000-0005-0000-0000-000059050000}"/>
    <cellStyle name="20% - uthevingsfarge 1 28 10 2" xfId="23112" xr:uid="{00000000-0005-0000-0000-00005A050000}"/>
    <cellStyle name="20% - uthevingsfarge 1 28 10 2 2" xfId="39181" xr:uid="{00000000-0005-0000-0000-00005B050000}"/>
    <cellStyle name="20% - uthevingsfarge 1 28 10 3" xfId="30900" xr:uid="{00000000-0005-0000-0000-00005C050000}"/>
    <cellStyle name="20% - uthevingsfarge 1 28 11" xfId="10751" xr:uid="{00000000-0005-0000-0000-00005D050000}"/>
    <cellStyle name="20% - uthevingsfarge 1 28 12" xfId="34288" xr:uid="{00000000-0005-0000-0000-00005E050000}"/>
    <cellStyle name="20% - uthevingsfarge 1 28 2" xfId="3311" xr:uid="{00000000-0005-0000-0000-00005F050000}"/>
    <cellStyle name="20% - uthevingsfarge 1 28 2 10" xfId="34180" xr:uid="{00000000-0005-0000-0000-000060050000}"/>
    <cellStyle name="20% - uthevingsfarge 1 28 2 2" xfId="3543" xr:uid="{00000000-0005-0000-0000-000061050000}"/>
    <cellStyle name="20% - uthevingsfarge 1 28 2 2 10" xfId="47142" xr:uid="{00000000-0005-0000-0000-000062050000}"/>
    <cellStyle name="20% - uthevingsfarge 1 28 2 2 2" xfId="3973" xr:uid="{00000000-0005-0000-0000-000063050000}"/>
    <cellStyle name="20% - uthevingsfarge 1 28 2 2 2 2" xfId="5861" xr:uid="{00000000-0005-0000-0000-000064050000}"/>
    <cellStyle name="20% - uthevingsfarge 1 28 2 2 2 2 2" xfId="9276" xr:uid="{00000000-0005-0000-0000-000065050000}"/>
    <cellStyle name="20% - uthevingsfarge 1 28 2 2 2 2 2 2" xfId="24653" xr:uid="{00000000-0005-0000-0000-000066050000}"/>
    <cellStyle name="20% - uthevingsfarge 1 28 2 2 2 2 2 2 2" xfId="40697" xr:uid="{00000000-0005-0000-0000-000067050000}"/>
    <cellStyle name="20% - uthevingsfarge 1 28 2 2 2 2 2 3" xfId="28522" xr:uid="{00000000-0005-0000-0000-000068050000}"/>
    <cellStyle name="20% - uthevingsfarge 1 28 2 2 2 2 3" xfId="10365" xr:uid="{00000000-0005-0000-0000-000069050000}"/>
    <cellStyle name="20% - uthevingsfarge 1 28 2 2 2 2 3 2" xfId="34329" xr:uid="{00000000-0005-0000-0000-00006A050000}"/>
    <cellStyle name="20% - uthevingsfarge 1 28 2 2 2 2 4" xfId="31913" xr:uid="{00000000-0005-0000-0000-00006B050000}"/>
    <cellStyle name="20% - uthevingsfarge 1 28 2 2 2 3" xfId="7579" xr:uid="{00000000-0005-0000-0000-00006C050000}"/>
    <cellStyle name="20% - uthevingsfarge 1 28 2 2 2 3 2" xfId="22208" xr:uid="{00000000-0005-0000-0000-00006D050000}"/>
    <cellStyle name="20% - uthevingsfarge 1 28 2 2 2 3 2 2" xfId="38282" xr:uid="{00000000-0005-0000-0000-00006E050000}"/>
    <cellStyle name="20% - uthevingsfarge 1 28 2 2 2 3 3" xfId="30219" xr:uid="{00000000-0005-0000-0000-00006F050000}"/>
    <cellStyle name="20% - uthevingsfarge 1 28 2 2 2 4" xfId="17947" xr:uid="{00000000-0005-0000-0000-000070050000}"/>
    <cellStyle name="20% - uthevingsfarge 1 28 2 2 2 5" xfId="12462" xr:uid="{00000000-0005-0000-0000-000071050000}"/>
    <cellStyle name="20% - uthevingsfarge 1 28 2 2 2 5 2" xfId="35244" xr:uid="{00000000-0005-0000-0000-000072050000}"/>
    <cellStyle name="20% - uthevingsfarge 1 28 2 2 2 6" xfId="33606" xr:uid="{00000000-0005-0000-0000-000073050000}"/>
    <cellStyle name="20% - uthevingsfarge 1 28 2 2 3" xfId="4913" xr:uid="{00000000-0005-0000-0000-000074050000}"/>
    <cellStyle name="20% - uthevingsfarge 1 28 2 2 3 10" xfId="47332" xr:uid="{00000000-0005-0000-0000-000075050000}"/>
    <cellStyle name="20% - uthevingsfarge 1 28 2 2 3 2" xfId="6632" xr:uid="{00000000-0005-0000-0000-000076050000}"/>
    <cellStyle name="20% - uthevingsfarge 1 28 2 2 3 2 2" xfId="10038" xr:uid="{00000000-0005-0000-0000-000077050000}"/>
    <cellStyle name="20% - uthevingsfarge 1 28 2 2 3 2 2 2" xfId="21581" xr:uid="{00000000-0005-0000-0000-000078050000}"/>
    <cellStyle name="20% - uthevingsfarge 1 28 2 2 3 2 2 2 2" xfId="37661" xr:uid="{00000000-0005-0000-0000-000079050000}"/>
    <cellStyle name="20% - uthevingsfarge 1 28 2 2 3 2 2 3" xfId="27761" xr:uid="{00000000-0005-0000-0000-00007A050000}"/>
    <cellStyle name="20% - uthevingsfarge 1 28 2 2 3 2 3" xfId="23076" xr:uid="{00000000-0005-0000-0000-00007B050000}"/>
    <cellStyle name="20% - uthevingsfarge 1 28 2 2 3 2 3 2" xfId="39145" xr:uid="{00000000-0005-0000-0000-00007C050000}"/>
    <cellStyle name="20% - uthevingsfarge 1 28 2 2 3 2 4" xfId="31162" xr:uid="{00000000-0005-0000-0000-00007D050000}"/>
    <cellStyle name="20% - uthevingsfarge 1 28 2 2 3 2 5" xfId="43026" xr:uid="{00000000-0005-0000-0000-00007E050000}"/>
    <cellStyle name="20% - uthevingsfarge 1 28 2 2 3 2 6" xfId="43323" xr:uid="{00000000-0005-0000-0000-00007F050000}"/>
    <cellStyle name="20% - uthevingsfarge 1 28 2 2 3 2 7" xfId="46171" xr:uid="{00000000-0005-0000-0000-000080050000}"/>
    <cellStyle name="20% - uthevingsfarge 1 28 2 2 3 2 8" xfId="46943" xr:uid="{00000000-0005-0000-0000-000081050000}"/>
    <cellStyle name="20% - uthevingsfarge 1 28 2 2 3 2 9" xfId="47528" xr:uid="{00000000-0005-0000-0000-000082050000}"/>
    <cellStyle name="20% - uthevingsfarge 1 28 2 2 3 3" xfId="8335" xr:uid="{00000000-0005-0000-0000-000083050000}"/>
    <cellStyle name="20% - uthevingsfarge 1 28 2 2 3 3 2" xfId="21773" xr:uid="{00000000-0005-0000-0000-000084050000}"/>
    <cellStyle name="20% - uthevingsfarge 1 28 2 2 3 3 2 2" xfId="37850" xr:uid="{00000000-0005-0000-0000-000085050000}"/>
    <cellStyle name="20% - uthevingsfarge 1 28 2 2 3 3 3" xfId="29463" xr:uid="{00000000-0005-0000-0000-000086050000}"/>
    <cellStyle name="20% - uthevingsfarge 1 28 2 2 3 3 4" xfId="43872" xr:uid="{00000000-0005-0000-0000-000087050000}"/>
    <cellStyle name="20% - uthevingsfarge 1 28 2 2 3 4" xfId="16471" xr:uid="{00000000-0005-0000-0000-000088050000}"/>
    <cellStyle name="20% - uthevingsfarge 1 28 2 2 3 4 2" xfId="35418" xr:uid="{00000000-0005-0000-0000-000089050000}"/>
    <cellStyle name="20% - uthevingsfarge 1 28 2 2 3 5" xfId="25080" xr:uid="{00000000-0005-0000-0000-00008A050000}"/>
    <cellStyle name="20% - uthevingsfarge 1 28 2 2 3 6" xfId="25238" xr:uid="{00000000-0005-0000-0000-00008B050000}"/>
    <cellStyle name="20% - uthevingsfarge 1 28 2 2 3 7" xfId="32854" xr:uid="{00000000-0005-0000-0000-00008C050000}"/>
    <cellStyle name="20% - uthevingsfarge 1 28 2 2 3 8" xfId="43784" xr:uid="{00000000-0005-0000-0000-00008D050000}"/>
    <cellStyle name="20% - uthevingsfarge 1 28 2 2 3 9" xfId="46709" xr:uid="{00000000-0005-0000-0000-00008E050000}"/>
    <cellStyle name="20% - uthevingsfarge 1 28 2 2 4" xfId="5467" xr:uid="{00000000-0005-0000-0000-00008F050000}"/>
    <cellStyle name="20% - uthevingsfarge 1 28 2 2 4 2" xfId="8882" xr:uid="{00000000-0005-0000-0000-000090050000}"/>
    <cellStyle name="20% - uthevingsfarge 1 28 2 2 4 2 2" xfId="21213" xr:uid="{00000000-0005-0000-0000-000091050000}"/>
    <cellStyle name="20% - uthevingsfarge 1 28 2 2 4 2 2 2" xfId="37293" xr:uid="{00000000-0005-0000-0000-000092050000}"/>
    <cellStyle name="20% - uthevingsfarge 1 28 2 2 4 2 3" xfId="28916" xr:uid="{00000000-0005-0000-0000-000093050000}"/>
    <cellStyle name="20% - uthevingsfarge 1 28 2 2 4 3" xfId="12002" xr:uid="{00000000-0005-0000-0000-000094050000}"/>
    <cellStyle name="20% - uthevingsfarge 1 28 2 2 4 3 2" xfId="35023" xr:uid="{00000000-0005-0000-0000-000095050000}"/>
    <cellStyle name="20% - uthevingsfarge 1 28 2 2 4 4" xfId="32307" xr:uid="{00000000-0005-0000-0000-000096050000}"/>
    <cellStyle name="20% - uthevingsfarge 1 28 2 2 5" xfId="7185" xr:uid="{00000000-0005-0000-0000-000097050000}"/>
    <cellStyle name="20% - uthevingsfarge 1 28 2 2 5 2" xfId="19440" xr:uid="{00000000-0005-0000-0000-000098050000}"/>
    <cellStyle name="20% - uthevingsfarge 1 28 2 2 5 2 2" xfId="35554" xr:uid="{00000000-0005-0000-0000-000099050000}"/>
    <cellStyle name="20% - uthevingsfarge 1 28 2 2 5 3" xfId="30613" xr:uid="{00000000-0005-0000-0000-00009A050000}"/>
    <cellStyle name="20% - uthevingsfarge 1 28 2 2 6" xfId="10753" xr:uid="{00000000-0005-0000-0000-00009B050000}"/>
    <cellStyle name="20% - uthevingsfarge 1 28 2 2 7" xfId="34000" xr:uid="{00000000-0005-0000-0000-00009C050000}"/>
    <cellStyle name="20% - uthevingsfarge 1 28 2 2 8" xfId="43575" xr:uid="{00000000-0005-0000-0000-00009D050000}"/>
    <cellStyle name="20% - uthevingsfarge 1 28 2 2 9" xfId="46481" xr:uid="{00000000-0005-0000-0000-00009E050000}"/>
    <cellStyle name="20% - uthevingsfarge 1 28 2 2_Avviksanalyse løpende RNB15 (1)" xfId="16563" xr:uid="{00000000-0005-0000-0000-00009F050000}"/>
    <cellStyle name="20% - uthevingsfarge 1 28 2 3" xfId="3793" xr:uid="{00000000-0005-0000-0000-0000A0050000}"/>
    <cellStyle name="20% - uthevingsfarge 1 28 2 3 2" xfId="5681" xr:uid="{00000000-0005-0000-0000-0000A1050000}"/>
    <cellStyle name="20% - uthevingsfarge 1 28 2 3 2 2" xfId="9096" xr:uid="{00000000-0005-0000-0000-0000A2050000}"/>
    <cellStyle name="20% - uthevingsfarge 1 28 2 3 2 2 2" xfId="21272" xr:uid="{00000000-0005-0000-0000-0000A3050000}"/>
    <cellStyle name="20% - uthevingsfarge 1 28 2 3 2 2 2 2" xfId="37352" xr:uid="{00000000-0005-0000-0000-0000A4050000}"/>
    <cellStyle name="20% - uthevingsfarge 1 28 2 3 2 2 3" xfId="28702" xr:uid="{00000000-0005-0000-0000-0000A5050000}"/>
    <cellStyle name="20% - uthevingsfarge 1 28 2 3 2 3" xfId="20167" xr:uid="{00000000-0005-0000-0000-0000A6050000}"/>
    <cellStyle name="20% - uthevingsfarge 1 28 2 3 2 3 2" xfId="36268" xr:uid="{00000000-0005-0000-0000-0000A7050000}"/>
    <cellStyle name="20% - uthevingsfarge 1 28 2 3 2 4" xfId="32093" xr:uid="{00000000-0005-0000-0000-0000A8050000}"/>
    <cellStyle name="20% - uthevingsfarge 1 28 2 3 3" xfId="7399" xr:uid="{00000000-0005-0000-0000-0000A9050000}"/>
    <cellStyle name="20% - uthevingsfarge 1 28 2 3 3 2" xfId="24201" xr:uid="{00000000-0005-0000-0000-0000AA050000}"/>
    <cellStyle name="20% - uthevingsfarge 1 28 2 3 3 2 2" xfId="40254" xr:uid="{00000000-0005-0000-0000-0000AB050000}"/>
    <cellStyle name="20% - uthevingsfarge 1 28 2 3 3 3" xfId="30399" xr:uid="{00000000-0005-0000-0000-0000AC050000}"/>
    <cellStyle name="20% - uthevingsfarge 1 28 2 3 4" xfId="22682" xr:uid="{00000000-0005-0000-0000-0000AD050000}"/>
    <cellStyle name="20% - uthevingsfarge 1 28 2 3 4 2" xfId="38751" xr:uid="{00000000-0005-0000-0000-0000AE050000}"/>
    <cellStyle name="20% - uthevingsfarge 1 28 2 3 5" xfId="33786" xr:uid="{00000000-0005-0000-0000-0000AF050000}"/>
    <cellStyle name="20% - uthevingsfarge 1 28 2 4" xfId="4278" xr:uid="{00000000-0005-0000-0000-0000B0050000}"/>
    <cellStyle name="20% - uthevingsfarge 1 28 2 4 2" xfId="6107" xr:uid="{00000000-0005-0000-0000-0000B1050000}"/>
    <cellStyle name="20% - uthevingsfarge 1 28 2 4 2 2" xfId="9521" xr:uid="{00000000-0005-0000-0000-0000B2050000}"/>
    <cellStyle name="20% - uthevingsfarge 1 28 2 4 2 2 2" xfId="21957" xr:uid="{00000000-0005-0000-0000-0000B3050000}"/>
    <cellStyle name="20% - uthevingsfarge 1 28 2 4 2 2 2 2" xfId="38032" xr:uid="{00000000-0005-0000-0000-0000B4050000}"/>
    <cellStyle name="20% - uthevingsfarge 1 28 2 4 2 2 3" xfId="28277" xr:uid="{00000000-0005-0000-0000-0000B5050000}"/>
    <cellStyle name="20% - uthevingsfarge 1 28 2 4 2 3" xfId="23979" xr:uid="{00000000-0005-0000-0000-0000B6050000}"/>
    <cellStyle name="20% - uthevingsfarge 1 28 2 4 2 3 2" xfId="40033" xr:uid="{00000000-0005-0000-0000-0000B7050000}"/>
    <cellStyle name="20% - uthevingsfarge 1 28 2 4 2 4" xfId="31672" xr:uid="{00000000-0005-0000-0000-0000B8050000}"/>
    <cellStyle name="20% - uthevingsfarge 1 28 2 4 3" xfId="7840" xr:uid="{00000000-0005-0000-0000-0000B9050000}"/>
    <cellStyle name="20% - uthevingsfarge 1 28 2 4 3 2" xfId="23278" xr:uid="{00000000-0005-0000-0000-0000BA050000}"/>
    <cellStyle name="20% - uthevingsfarge 1 28 2 4 3 2 2" xfId="39346" xr:uid="{00000000-0005-0000-0000-0000BB050000}"/>
    <cellStyle name="20% - uthevingsfarge 1 28 2 4 3 3" xfId="29959" xr:uid="{00000000-0005-0000-0000-0000BC050000}"/>
    <cellStyle name="20% - uthevingsfarge 1 28 2 4 4" xfId="23703" xr:uid="{00000000-0005-0000-0000-0000BD050000}"/>
    <cellStyle name="20% - uthevingsfarge 1 28 2 4 4 2" xfId="39759" xr:uid="{00000000-0005-0000-0000-0000BE050000}"/>
    <cellStyle name="20% - uthevingsfarge 1 28 2 4 5" xfId="33347" xr:uid="{00000000-0005-0000-0000-0000BF050000}"/>
    <cellStyle name="20% - uthevingsfarge 1 28 2 5" xfId="4733" xr:uid="{00000000-0005-0000-0000-0000C0050000}"/>
    <cellStyle name="20% - uthevingsfarge 1 28 2 5 2" xfId="6453" xr:uid="{00000000-0005-0000-0000-0000C1050000}"/>
    <cellStyle name="20% - uthevingsfarge 1 28 2 5 2 2" xfId="9859" xr:uid="{00000000-0005-0000-0000-0000C2050000}"/>
    <cellStyle name="20% - uthevingsfarge 1 28 2 5 2 2 2" xfId="21511" xr:uid="{00000000-0005-0000-0000-0000C3050000}"/>
    <cellStyle name="20% - uthevingsfarge 1 28 2 5 2 2 2 2" xfId="37591" xr:uid="{00000000-0005-0000-0000-0000C4050000}"/>
    <cellStyle name="20% - uthevingsfarge 1 28 2 5 2 2 3" xfId="27940" xr:uid="{00000000-0005-0000-0000-0000C5050000}"/>
    <cellStyle name="20% - uthevingsfarge 1 28 2 5 2 3" xfId="24044" xr:uid="{00000000-0005-0000-0000-0000C6050000}"/>
    <cellStyle name="20% - uthevingsfarge 1 28 2 5 2 3 2" xfId="40097" xr:uid="{00000000-0005-0000-0000-0000C7050000}"/>
    <cellStyle name="20% - uthevingsfarge 1 28 2 5 2 4" xfId="31341" xr:uid="{00000000-0005-0000-0000-0000C8050000}"/>
    <cellStyle name="20% - uthevingsfarge 1 28 2 5 3" xfId="8155" xr:uid="{00000000-0005-0000-0000-0000C9050000}"/>
    <cellStyle name="20% - uthevingsfarge 1 28 2 5 3 2" xfId="21015" xr:uid="{00000000-0005-0000-0000-0000CA050000}"/>
    <cellStyle name="20% - uthevingsfarge 1 28 2 5 3 2 2" xfId="37109" xr:uid="{00000000-0005-0000-0000-0000CB050000}"/>
    <cellStyle name="20% - uthevingsfarge 1 28 2 5 3 3" xfId="29643" xr:uid="{00000000-0005-0000-0000-0000CC050000}"/>
    <cellStyle name="20% - uthevingsfarge 1 28 2 5 4" xfId="19695" xr:uid="{00000000-0005-0000-0000-0000CD050000}"/>
    <cellStyle name="20% - uthevingsfarge 1 28 2 5 4 2" xfId="35809" xr:uid="{00000000-0005-0000-0000-0000CE050000}"/>
    <cellStyle name="20% - uthevingsfarge 1 28 2 5 5" xfId="33034" xr:uid="{00000000-0005-0000-0000-0000CF050000}"/>
    <cellStyle name="20% - uthevingsfarge 1 28 2 6" xfId="5093" xr:uid="{00000000-0005-0000-0000-0000D0050000}"/>
    <cellStyle name="20% - uthevingsfarge 1 28 2 6 2" xfId="6812" xr:uid="{00000000-0005-0000-0000-0000D1050000}"/>
    <cellStyle name="20% - uthevingsfarge 1 28 2 6 2 2" xfId="10218" xr:uid="{00000000-0005-0000-0000-0000D2050000}"/>
    <cellStyle name="20% - uthevingsfarge 1 28 2 6 2 2 2" xfId="21650" xr:uid="{00000000-0005-0000-0000-0000D3050000}"/>
    <cellStyle name="20% - uthevingsfarge 1 28 2 6 2 2 2 2" xfId="37730" xr:uid="{00000000-0005-0000-0000-0000D4050000}"/>
    <cellStyle name="20% - uthevingsfarge 1 28 2 6 2 2 3" xfId="27581" xr:uid="{00000000-0005-0000-0000-0000D5050000}"/>
    <cellStyle name="20% - uthevingsfarge 1 28 2 6 2 3" xfId="24103" xr:uid="{00000000-0005-0000-0000-0000D6050000}"/>
    <cellStyle name="20% - uthevingsfarge 1 28 2 6 2 3 2" xfId="40156" xr:uid="{00000000-0005-0000-0000-0000D7050000}"/>
    <cellStyle name="20% - uthevingsfarge 1 28 2 6 2 4" xfId="30982" xr:uid="{00000000-0005-0000-0000-0000D8050000}"/>
    <cellStyle name="20% - uthevingsfarge 1 28 2 6 3" xfId="8515" xr:uid="{00000000-0005-0000-0000-0000D9050000}"/>
    <cellStyle name="20% - uthevingsfarge 1 28 2 6 3 2" xfId="19503" xr:uid="{00000000-0005-0000-0000-0000DA050000}"/>
    <cellStyle name="20% - uthevingsfarge 1 28 2 6 3 2 2" xfId="35617" xr:uid="{00000000-0005-0000-0000-0000DB050000}"/>
    <cellStyle name="20% - uthevingsfarge 1 28 2 6 3 3" xfId="29283" xr:uid="{00000000-0005-0000-0000-0000DC050000}"/>
    <cellStyle name="20% - uthevingsfarge 1 28 2 6 4" xfId="10842" xr:uid="{00000000-0005-0000-0000-0000DD050000}"/>
    <cellStyle name="20% - uthevingsfarge 1 28 2 6 4 2" xfId="34640" xr:uid="{00000000-0005-0000-0000-0000DE050000}"/>
    <cellStyle name="20% - uthevingsfarge 1 28 2 6 5" xfId="32674" xr:uid="{00000000-0005-0000-0000-0000DF050000}"/>
    <cellStyle name="20% - uthevingsfarge 1 28 2 7" xfId="5272" xr:uid="{00000000-0005-0000-0000-0000E0050000}"/>
    <cellStyle name="20% - uthevingsfarge 1 28 2 7 2" xfId="8687" xr:uid="{00000000-0005-0000-0000-0000E1050000}"/>
    <cellStyle name="20% - uthevingsfarge 1 28 2 7 2 2" xfId="23717" xr:uid="{00000000-0005-0000-0000-0000E2050000}"/>
    <cellStyle name="20% - uthevingsfarge 1 28 2 7 2 2 2" xfId="39773" xr:uid="{00000000-0005-0000-0000-0000E3050000}"/>
    <cellStyle name="20% - uthevingsfarge 1 28 2 7 2 3" xfId="29111" xr:uid="{00000000-0005-0000-0000-0000E4050000}"/>
    <cellStyle name="20% - uthevingsfarge 1 28 2 7 3" xfId="19792" xr:uid="{00000000-0005-0000-0000-0000E5050000}"/>
    <cellStyle name="20% - uthevingsfarge 1 28 2 7 3 2" xfId="35906" xr:uid="{00000000-0005-0000-0000-0000E6050000}"/>
    <cellStyle name="20% - uthevingsfarge 1 28 2 7 4" xfId="32502" xr:uid="{00000000-0005-0000-0000-0000E7050000}"/>
    <cellStyle name="20% - uthevingsfarge 1 28 2 8" xfId="7005" xr:uid="{00000000-0005-0000-0000-0000E8050000}"/>
    <cellStyle name="20% - uthevingsfarge 1 28 2 8 2" xfId="23129" xr:uid="{00000000-0005-0000-0000-0000E9050000}"/>
    <cellStyle name="20% - uthevingsfarge 1 28 2 8 2 2" xfId="39198" xr:uid="{00000000-0005-0000-0000-0000EA050000}"/>
    <cellStyle name="20% - uthevingsfarge 1 28 2 8 3" xfId="30793" xr:uid="{00000000-0005-0000-0000-0000EB050000}"/>
    <cellStyle name="20% - uthevingsfarge 1 28 2 9" xfId="10752" xr:uid="{00000000-0005-0000-0000-0000EC050000}"/>
    <cellStyle name="20% - uthevingsfarge 1 28 3" xfId="3458" xr:uid="{00000000-0005-0000-0000-0000ED050000}"/>
    <cellStyle name="20% - uthevingsfarge 1 28 3 10" xfId="46413" xr:uid="{00000000-0005-0000-0000-0000EE050000}"/>
    <cellStyle name="20% - uthevingsfarge 1 28 3 11" xfId="47074" xr:uid="{00000000-0005-0000-0000-0000EF050000}"/>
    <cellStyle name="20% - uthevingsfarge 1 28 3 2" xfId="3894" xr:uid="{00000000-0005-0000-0000-0000F0050000}"/>
    <cellStyle name="20% - uthevingsfarge 1 28 3 2 2" xfId="5782" xr:uid="{00000000-0005-0000-0000-0000F1050000}"/>
    <cellStyle name="20% - uthevingsfarge 1 28 3 2 2 2" xfId="9197" xr:uid="{00000000-0005-0000-0000-0000F2050000}"/>
    <cellStyle name="20% - uthevingsfarge 1 28 3 2 2 2 2" xfId="23472" xr:uid="{00000000-0005-0000-0000-0000F3050000}"/>
    <cellStyle name="20% - uthevingsfarge 1 28 3 2 2 2 2 2" xfId="39528" xr:uid="{00000000-0005-0000-0000-0000F4050000}"/>
    <cellStyle name="20% - uthevingsfarge 1 28 3 2 2 2 3" xfId="28601" xr:uid="{00000000-0005-0000-0000-0000F5050000}"/>
    <cellStyle name="20% - uthevingsfarge 1 28 3 2 2 3" xfId="23917" xr:uid="{00000000-0005-0000-0000-0000F6050000}"/>
    <cellStyle name="20% - uthevingsfarge 1 28 3 2 2 3 2" xfId="39971" xr:uid="{00000000-0005-0000-0000-0000F7050000}"/>
    <cellStyle name="20% - uthevingsfarge 1 28 3 2 2 4" xfId="31992" xr:uid="{00000000-0005-0000-0000-0000F8050000}"/>
    <cellStyle name="20% - uthevingsfarge 1 28 3 2 3" xfId="7500" xr:uid="{00000000-0005-0000-0000-0000F9050000}"/>
    <cellStyle name="20% - uthevingsfarge 1 28 3 2 3 2" xfId="22461" xr:uid="{00000000-0005-0000-0000-0000FA050000}"/>
    <cellStyle name="20% - uthevingsfarge 1 28 3 2 3 2 2" xfId="38533" xr:uid="{00000000-0005-0000-0000-0000FB050000}"/>
    <cellStyle name="20% - uthevingsfarge 1 28 3 2 3 3" xfId="30298" xr:uid="{00000000-0005-0000-0000-0000FC050000}"/>
    <cellStyle name="20% - uthevingsfarge 1 28 3 2 4" xfId="17948" xr:uid="{00000000-0005-0000-0000-0000FD050000}"/>
    <cellStyle name="20% - uthevingsfarge 1 28 3 2 5" xfId="22669" xr:uid="{00000000-0005-0000-0000-0000FE050000}"/>
    <cellStyle name="20% - uthevingsfarge 1 28 3 2 5 2" xfId="38738" xr:uid="{00000000-0005-0000-0000-0000FF050000}"/>
    <cellStyle name="20% - uthevingsfarge 1 28 3 2 6" xfId="33685" xr:uid="{00000000-0005-0000-0000-000000060000}"/>
    <cellStyle name="20% - uthevingsfarge 1 28 3 3" xfId="4401" xr:uid="{00000000-0005-0000-0000-000001060000}"/>
    <cellStyle name="20% - uthevingsfarge 1 28 3 3 10" xfId="47264" xr:uid="{00000000-0005-0000-0000-000002060000}"/>
    <cellStyle name="20% - uthevingsfarge 1 28 3 3 2" xfId="6198" xr:uid="{00000000-0005-0000-0000-000003060000}"/>
    <cellStyle name="20% - uthevingsfarge 1 28 3 3 2 2" xfId="9612" xr:uid="{00000000-0005-0000-0000-000004060000}"/>
    <cellStyle name="20% - uthevingsfarge 1 28 3 3 2 2 2" xfId="23535" xr:uid="{00000000-0005-0000-0000-000005060000}"/>
    <cellStyle name="20% - uthevingsfarge 1 28 3 3 2 2 2 2" xfId="39591" xr:uid="{00000000-0005-0000-0000-000006060000}"/>
    <cellStyle name="20% - uthevingsfarge 1 28 3 3 2 2 3" xfId="28186" xr:uid="{00000000-0005-0000-0000-000007060000}"/>
    <cellStyle name="20% - uthevingsfarge 1 28 3 3 2 3" xfId="23997" xr:uid="{00000000-0005-0000-0000-000008060000}"/>
    <cellStyle name="20% - uthevingsfarge 1 28 3 3 2 3 2" xfId="40050" xr:uid="{00000000-0005-0000-0000-000009060000}"/>
    <cellStyle name="20% - uthevingsfarge 1 28 3 3 2 4" xfId="31587" xr:uid="{00000000-0005-0000-0000-00000A060000}"/>
    <cellStyle name="20% - uthevingsfarge 1 28 3 3 2 5" xfId="42819" xr:uid="{00000000-0005-0000-0000-00000B060000}"/>
    <cellStyle name="20% - uthevingsfarge 1 28 3 3 2 6" xfId="43257" xr:uid="{00000000-0005-0000-0000-00000C060000}"/>
    <cellStyle name="20% - uthevingsfarge 1 28 3 3 2 7" xfId="46105" xr:uid="{00000000-0005-0000-0000-00000D060000}"/>
    <cellStyle name="20% - uthevingsfarge 1 28 3 3 2 8" xfId="46874" xr:uid="{00000000-0005-0000-0000-00000E060000}"/>
    <cellStyle name="20% - uthevingsfarge 1 28 3 3 2 9" xfId="47460" xr:uid="{00000000-0005-0000-0000-00000F060000}"/>
    <cellStyle name="20% - uthevingsfarge 1 28 3 3 3" xfId="7932" xr:uid="{00000000-0005-0000-0000-000010060000}"/>
    <cellStyle name="20% - uthevingsfarge 1 28 3 3 3 2" xfId="23290" xr:uid="{00000000-0005-0000-0000-000011060000}"/>
    <cellStyle name="20% - uthevingsfarge 1 28 3 3 3 2 2" xfId="39357" xr:uid="{00000000-0005-0000-0000-000012060000}"/>
    <cellStyle name="20% - uthevingsfarge 1 28 3 3 3 3" xfId="29867" xr:uid="{00000000-0005-0000-0000-000013060000}"/>
    <cellStyle name="20% - uthevingsfarge 1 28 3 3 3 4" xfId="43873" xr:uid="{00000000-0005-0000-0000-000014060000}"/>
    <cellStyle name="20% - uthevingsfarge 1 28 3 3 4" xfId="16264" xr:uid="{00000000-0005-0000-0000-000015060000}"/>
    <cellStyle name="20% - uthevingsfarge 1 28 3 3 4 2" xfId="35352" xr:uid="{00000000-0005-0000-0000-000016060000}"/>
    <cellStyle name="20% - uthevingsfarge 1 28 3 3 5" xfId="25011" xr:uid="{00000000-0005-0000-0000-000017060000}"/>
    <cellStyle name="20% - uthevingsfarge 1 28 3 3 6" xfId="25239" xr:uid="{00000000-0005-0000-0000-000018060000}"/>
    <cellStyle name="20% - uthevingsfarge 1 28 3 3 7" xfId="33256" xr:uid="{00000000-0005-0000-0000-000019060000}"/>
    <cellStyle name="20% - uthevingsfarge 1 28 3 3 8" xfId="43717" xr:uid="{00000000-0005-0000-0000-00001A060000}"/>
    <cellStyle name="20% - uthevingsfarge 1 28 3 3 9" xfId="46643" xr:uid="{00000000-0005-0000-0000-00001B060000}"/>
    <cellStyle name="20% - uthevingsfarge 1 28 3 4" xfId="4834" xr:uid="{00000000-0005-0000-0000-00001C060000}"/>
    <cellStyle name="20% - uthevingsfarge 1 28 3 4 2" xfId="6553" xr:uid="{00000000-0005-0000-0000-00001D060000}"/>
    <cellStyle name="20% - uthevingsfarge 1 28 3 4 2 2" xfId="9959" xr:uid="{00000000-0005-0000-0000-00001E060000}"/>
    <cellStyle name="20% - uthevingsfarge 1 28 3 4 2 2 2" xfId="21550" xr:uid="{00000000-0005-0000-0000-00001F060000}"/>
    <cellStyle name="20% - uthevingsfarge 1 28 3 4 2 2 2 2" xfId="37630" xr:uid="{00000000-0005-0000-0000-000020060000}"/>
    <cellStyle name="20% - uthevingsfarge 1 28 3 4 2 2 3" xfId="27840" xr:uid="{00000000-0005-0000-0000-000021060000}"/>
    <cellStyle name="20% - uthevingsfarge 1 28 3 4 2 3" xfId="24063" xr:uid="{00000000-0005-0000-0000-000022060000}"/>
    <cellStyle name="20% - uthevingsfarge 1 28 3 4 2 3 2" xfId="40116" xr:uid="{00000000-0005-0000-0000-000023060000}"/>
    <cellStyle name="20% - uthevingsfarge 1 28 3 4 2 4" xfId="31241" xr:uid="{00000000-0005-0000-0000-000024060000}"/>
    <cellStyle name="20% - uthevingsfarge 1 28 3 4 3" xfId="8256" xr:uid="{00000000-0005-0000-0000-000025060000}"/>
    <cellStyle name="20% - uthevingsfarge 1 28 3 4 3 2" xfId="21045" xr:uid="{00000000-0005-0000-0000-000026060000}"/>
    <cellStyle name="20% - uthevingsfarge 1 28 3 4 3 2 2" xfId="37136" xr:uid="{00000000-0005-0000-0000-000027060000}"/>
    <cellStyle name="20% - uthevingsfarge 1 28 3 4 3 3" xfId="29541" xr:uid="{00000000-0005-0000-0000-000028060000}"/>
    <cellStyle name="20% - uthevingsfarge 1 28 3 4 4" xfId="10893" xr:uid="{00000000-0005-0000-0000-000029060000}"/>
    <cellStyle name="20% - uthevingsfarge 1 28 3 4 4 2" xfId="34666" xr:uid="{00000000-0005-0000-0000-00002A060000}"/>
    <cellStyle name="20% - uthevingsfarge 1 28 3 4 5" xfId="32933" xr:uid="{00000000-0005-0000-0000-00002B060000}"/>
    <cellStyle name="20% - uthevingsfarge 1 28 3 5" xfId="5230" xr:uid="{00000000-0005-0000-0000-00002C060000}"/>
    <cellStyle name="20% - uthevingsfarge 1 28 3 5 2" xfId="8645" xr:uid="{00000000-0005-0000-0000-00002D060000}"/>
    <cellStyle name="20% - uthevingsfarge 1 28 3 5 2 2" xfId="21885" xr:uid="{00000000-0005-0000-0000-00002E060000}"/>
    <cellStyle name="20% - uthevingsfarge 1 28 3 5 2 2 2" xfId="37960" xr:uid="{00000000-0005-0000-0000-00002F060000}"/>
    <cellStyle name="20% - uthevingsfarge 1 28 3 5 2 3" xfId="29153" xr:uid="{00000000-0005-0000-0000-000030060000}"/>
    <cellStyle name="20% - uthevingsfarge 1 28 3 5 3" xfId="19779" xr:uid="{00000000-0005-0000-0000-000031060000}"/>
    <cellStyle name="20% - uthevingsfarge 1 28 3 5 3 2" xfId="35893" xr:uid="{00000000-0005-0000-0000-000032060000}"/>
    <cellStyle name="20% - uthevingsfarge 1 28 3 5 4" xfId="32544" xr:uid="{00000000-0005-0000-0000-000033060000}"/>
    <cellStyle name="20% - uthevingsfarge 1 28 3 6" xfId="7106" xr:uid="{00000000-0005-0000-0000-000034060000}"/>
    <cellStyle name="20% - uthevingsfarge 1 28 3 6 2" xfId="20669" xr:uid="{00000000-0005-0000-0000-000035060000}"/>
    <cellStyle name="20% - uthevingsfarge 1 28 3 6 2 2" xfId="36768" xr:uid="{00000000-0005-0000-0000-000036060000}"/>
    <cellStyle name="20% - uthevingsfarge 1 28 3 6 3" xfId="30692" xr:uid="{00000000-0005-0000-0000-000037060000}"/>
    <cellStyle name="20% - uthevingsfarge 1 28 3 7" xfId="10754" xr:uid="{00000000-0005-0000-0000-000038060000}"/>
    <cellStyle name="20% - uthevingsfarge 1 28 3 8" xfId="34079" xr:uid="{00000000-0005-0000-0000-000039060000}"/>
    <cellStyle name="20% - uthevingsfarge 1 28 3 9" xfId="43509" xr:uid="{00000000-0005-0000-0000-00003A060000}"/>
    <cellStyle name="20% - uthevingsfarge 1 28 3_Avviksanalyse løpende RNB15 (1)" xfId="16564" xr:uid="{00000000-0005-0000-0000-00003B060000}"/>
    <cellStyle name="20% - uthevingsfarge 1 28 4" xfId="3715" xr:uid="{00000000-0005-0000-0000-00003C060000}"/>
    <cellStyle name="20% - uthevingsfarge 1 28 4 2" xfId="5603" xr:uid="{00000000-0005-0000-0000-00003D060000}"/>
    <cellStyle name="20% - uthevingsfarge 1 28 4 2 2" xfId="9018" xr:uid="{00000000-0005-0000-0000-00003E060000}"/>
    <cellStyle name="20% - uthevingsfarge 1 28 4 2 2 2" xfId="21909" xr:uid="{00000000-0005-0000-0000-00003F060000}"/>
    <cellStyle name="20% - uthevingsfarge 1 28 4 2 2 2 2" xfId="37984" xr:uid="{00000000-0005-0000-0000-000040060000}"/>
    <cellStyle name="20% - uthevingsfarge 1 28 4 2 2 3" xfId="28780" xr:uid="{00000000-0005-0000-0000-000041060000}"/>
    <cellStyle name="20% - uthevingsfarge 1 28 4 2 3" xfId="22259" xr:uid="{00000000-0005-0000-0000-000042060000}"/>
    <cellStyle name="20% - uthevingsfarge 1 28 4 2 3 2" xfId="38333" xr:uid="{00000000-0005-0000-0000-000043060000}"/>
    <cellStyle name="20% - uthevingsfarge 1 28 4 2 4" xfId="32171" xr:uid="{00000000-0005-0000-0000-000044060000}"/>
    <cellStyle name="20% - uthevingsfarge 1 28 4 3" xfId="7321" xr:uid="{00000000-0005-0000-0000-000045060000}"/>
    <cellStyle name="20% - uthevingsfarge 1 28 4 3 2" xfId="22438" xr:uid="{00000000-0005-0000-0000-000046060000}"/>
    <cellStyle name="20% - uthevingsfarge 1 28 4 3 2 2" xfId="38510" xr:uid="{00000000-0005-0000-0000-000047060000}"/>
    <cellStyle name="20% - uthevingsfarge 1 28 4 3 3" xfId="30477" xr:uid="{00000000-0005-0000-0000-000048060000}"/>
    <cellStyle name="20% - uthevingsfarge 1 28 4 4" xfId="22679" xr:uid="{00000000-0005-0000-0000-000049060000}"/>
    <cellStyle name="20% - uthevingsfarge 1 28 4 4 2" xfId="38748" xr:uid="{00000000-0005-0000-0000-00004A060000}"/>
    <cellStyle name="20% - uthevingsfarge 1 28 4 5" xfId="33864" xr:uid="{00000000-0005-0000-0000-00004B060000}"/>
    <cellStyle name="20% - uthevingsfarge 1 28 5" xfId="4230" xr:uid="{00000000-0005-0000-0000-00004C060000}"/>
    <cellStyle name="20% - uthevingsfarge 1 28 5 2" xfId="6062" xr:uid="{00000000-0005-0000-0000-00004D060000}"/>
    <cellStyle name="20% - uthevingsfarge 1 28 5 2 2" xfId="9477" xr:uid="{00000000-0005-0000-0000-00004E060000}"/>
    <cellStyle name="20% - uthevingsfarge 1 28 5 2 2 2" xfId="23514" xr:uid="{00000000-0005-0000-0000-00004F060000}"/>
    <cellStyle name="20% - uthevingsfarge 1 28 5 2 2 2 2" xfId="39570" xr:uid="{00000000-0005-0000-0000-000050060000}"/>
    <cellStyle name="20% - uthevingsfarge 1 28 5 2 2 3" xfId="28321" xr:uid="{00000000-0005-0000-0000-000051060000}"/>
    <cellStyle name="20% - uthevingsfarge 1 28 5 2 3" xfId="20307" xr:uid="{00000000-0005-0000-0000-000052060000}"/>
    <cellStyle name="20% - uthevingsfarge 1 28 5 2 3 2" xfId="36406" xr:uid="{00000000-0005-0000-0000-000053060000}"/>
    <cellStyle name="20% - uthevingsfarge 1 28 5 2 4" xfId="31716" xr:uid="{00000000-0005-0000-0000-000054060000}"/>
    <cellStyle name="20% - uthevingsfarge 1 28 5 3" xfId="7796" xr:uid="{00000000-0005-0000-0000-000055060000}"/>
    <cellStyle name="20% - uthevingsfarge 1 28 5 3 2" xfId="23270" xr:uid="{00000000-0005-0000-0000-000056060000}"/>
    <cellStyle name="20% - uthevingsfarge 1 28 5 3 2 2" xfId="39338" xr:uid="{00000000-0005-0000-0000-000057060000}"/>
    <cellStyle name="20% - uthevingsfarge 1 28 5 3 3" xfId="30003" xr:uid="{00000000-0005-0000-0000-000058060000}"/>
    <cellStyle name="20% - uthevingsfarge 1 28 5 4" xfId="19614" xr:uid="{00000000-0005-0000-0000-000059060000}"/>
    <cellStyle name="20% - uthevingsfarge 1 28 5 4 2" xfId="35728" xr:uid="{00000000-0005-0000-0000-00005A060000}"/>
    <cellStyle name="20% - uthevingsfarge 1 28 5 5" xfId="33391" xr:uid="{00000000-0005-0000-0000-00005B060000}"/>
    <cellStyle name="20% - uthevingsfarge 1 28 6" xfId="4379" xr:uid="{00000000-0005-0000-0000-00005C060000}"/>
    <cellStyle name="20% - uthevingsfarge 1 28 6 2" xfId="6188" xr:uid="{00000000-0005-0000-0000-00005D060000}"/>
    <cellStyle name="20% - uthevingsfarge 1 28 6 2 2" xfId="9602" xr:uid="{00000000-0005-0000-0000-00005E060000}"/>
    <cellStyle name="20% - uthevingsfarge 1 28 6 2 2 2" xfId="21433" xr:uid="{00000000-0005-0000-0000-00005F060000}"/>
    <cellStyle name="20% - uthevingsfarge 1 28 6 2 2 2 2" xfId="37513" xr:uid="{00000000-0005-0000-0000-000060060000}"/>
    <cellStyle name="20% - uthevingsfarge 1 28 6 2 2 3" xfId="28196" xr:uid="{00000000-0005-0000-0000-000061060000}"/>
    <cellStyle name="20% - uthevingsfarge 1 28 6 2 3" xfId="23995" xr:uid="{00000000-0005-0000-0000-000062060000}"/>
    <cellStyle name="20% - uthevingsfarge 1 28 6 2 3 2" xfId="40048" xr:uid="{00000000-0005-0000-0000-000063060000}"/>
    <cellStyle name="20% - uthevingsfarge 1 28 6 2 4" xfId="31595" xr:uid="{00000000-0005-0000-0000-000064060000}"/>
    <cellStyle name="20% - uthevingsfarge 1 28 6 3" xfId="7922" xr:uid="{00000000-0005-0000-0000-000065060000}"/>
    <cellStyle name="20% - uthevingsfarge 1 28 6 3 2" xfId="20945" xr:uid="{00000000-0005-0000-0000-000066060000}"/>
    <cellStyle name="20% - uthevingsfarge 1 28 6 3 2 2" xfId="37041" xr:uid="{00000000-0005-0000-0000-000067060000}"/>
    <cellStyle name="20% - uthevingsfarge 1 28 6 3 3" xfId="29877" xr:uid="{00000000-0005-0000-0000-000068060000}"/>
    <cellStyle name="20% - uthevingsfarge 1 28 6 4" xfId="10980" xr:uid="{00000000-0005-0000-0000-000069060000}"/>
    <cellStyle name="20% - uthevingsfarge 1 28 6 4 2" xfId="34714" xr:uid="{00000000-0005-0000-0000-00006A060000}"/>
    <cellStyle name="20% - uthevingsfarge 1 28 6 5" xfId="33265" xr:uid="{00000000-0005-0000-0000-00006B060000}"/>
    <cellStyle name="20% - uthevingsfarge 1 28 7" xfId="4650" xr:uid="{00000000-0005-0000-0000-00006C060000}"/>
    <cellStyle name="20% - uthevingsfarge 1 28 7 2" xfId="6370" xr:uid="{00000000-0005-0000-0000-00006D060000}"/>
    <cellStyle name="20% - uthevingsfarge 1 28 7 2 2" xfId="9780" xr:uid="{00000000-0005-0000-0000-00006E060000}"/>
    <cellStyle name="20% - uthevingsfarge 1 28 7 2 2 2" xfId="21804" xr:uid="{00000000-0005-0000-0000-00006F060000}"/>
    <cellStyle name="20% - uthevingsfarge 1 28 7 2 2 2 2" xfId="37880" xr:uid="{00000000-0005-0000-0000-000070060000}"/>
    <cellStyle name="20% - uthevingsfarge 1 28 7 2 2 3" xfId="28019" xr:uid="{00000000-0005-0000-0000-000071060000}"/>
    <cellStyle name="20% - uthevingsfarge 1 28 7 2 3" xfId="22347" xr:uid="{00000000-0005-0000-0000-000072060000}"/>
    <cellStyle name="20% - uthevingsfarge 1 28 7 2 3 2" xfId="38419" xr:uid="{00000000-0005-0000-0000-000073060000}"/>
    <cellStyle name="20% - uthevingsfarge 1 28 7 2 4" xfId="31420" xr:uid="{00000000-0005-0000-0000-000074060000}"/>
    <cellStyle name="20% - uthevingsfarge 1 28 7 3" xfId="8076" xr:uid="{00000000-0005-0000-0000-000075060000}"/>
    <cellStyle name="20% - uthevingsfarge 1 28 7 3 2" xfId="11897" xr:uid="{00000000-0005-0000-0000-000076060000}"/>
    <cellStyle name="20% - uthevingsfarge 1 28 7 3 2 2" xfId="34933" xr:uid="{00000000-0005-0000-0000-000077060000}"/>
    <cellStyle name="20% - uthevingsfarge 1 28 7 3 3" xfId="29722" xr:uid="{00000000-0005-0000-0000-000078060000}"/>
    <cellStyle name="20% - uthevingsfarge 1 28 7 4" xfId="10942" xr:uid="{00000000-0005-0000-0000-000079060000}"/>
    <cellStyle name="20% - uthevingsfarge 1 28 7 4 2" xfId="34684" xr:uid="{00000000-0005-0000-0000-00007A060000}"/>
    <cellStyle name="20% - uthevingsfarge 1 28 7 5" xfId="33113" xr:uid="{00000000-0005-0000-0000-00007B060000}"/>
    <cellStyle name="20% - uthevingsfarge 1 28 8" xfId="5014" xr:uid="{00000000-0005-0000-0000-00007C060000}"/>
    <cellStyle name="20% - uthevingsfarge 1 28 8 2" xfId="6733" xr:uid="{00000000-0005-0000-0000-00007D060000}"/>
    <cellStyle name="20% - uthevingsfarge 1 28 8 2 2" xfId="10139" xr:uid="{00000000-0005-0000-0000-00007E060000}"/>
    <cellStyle name="20% - uthevingsfarge 1 28 8 2 2 2" xfId="21622" xr:uid="{00000000-0005-0000-0000-00007F060000}"/>
    <cellStyle name="20% - uthevingsfarge 1 28 8 2 2 2 2" xfId="37702" xr:uid="{00000000-0005-0000-0000-000080060000}"/>
    <cellStyle name="20% - uthevingsfarge 1 28 8 2 2 3" xfId="27660" xr:uid="{00000000-0005-0000-0000-000081060000}"/>
    <cellStyle name="20% - uthevingsfarge 1 28 8 2 3" xfId="10657" xr:uid="{00000000-0005-0000-0000-000082060000}"/>
    <cellStyle name="20% - uthevingsfarge 1 28 8 2 3 2" xfId="34505" xr:uid="{00000000-0005-0000-0000-000083060000}"/>
    <cellStyle name="20% - uthevingsfarge 1 28 8 2 4" xfId="31061" xr:uid="{00000000-0005-0000-0000-000084060000}"/>
    <cellStyle name="20% - uthevingsfarge 1 28 8 3" xfId="8436" xr:uid="{00000000-0005-0000-0000-000085060000}"/>
    <cellStyle name="20% - uthevingsfarge 1 28 8 3 2" xfId="21870" xr:uid="{00000000-0005-0000-0000-000086060000}"/>
    <cellStyle name="20% - uthevingsfarge 1 28 8 3 2 2" xfId="37946" xr:uid="{00000000-0005-0000-0000-000087060000}"/>
    <cellStyle name="20% - uthevingsfarge 1 28 8 3 3" xfId="29362" xr:uid="{00000000-0005-0000-0000-000088060000}"/>
    <cellStyle name="20% - uthevingsfarge 1 28 8 4" xfId="10859" xr:uid="{00000000-0005-0000-0000-000089060000}"/>
    <cellStyle name="20% - uthevingsfarge 1 28 8 4 2" xfId="34657" xr:uid="{00000000-0005-0000-0000-00008A060000}"/>
    <cellStyle name="20% - uthevingsfarge 1 28 8 5" xfId="32753" xr:uid="{00000000-0005-0000-0000-00008B060000}"/>
    <cellStyle name="20% - uthevingsfarge 1 28 9" xfId="5220" xr:uid="{00000000-0005-0000-0000-00008C060000}"/>
    <cellStyle name="20% - uthevingsfarge 1 28 9 2" xfId="8635" xr:uid="{00000000-0005-0000-0000-00008D060000}"/>
    <cellStyle name="20% - uthevingsfarge 1 28 9 2 2" xfId="24391" xr:uid="{00000000-0005-0000-0000-00008E060000}"/>
    <cellStyle name="20% - uthevingsfarge 1 28 9 2 2 2" xfId="40435" xr:uid="{00000000-0005-0000-0000-00008F060000}"/>
    <cellStyle name="20% - uthevingsfarge 1 28 9 2 3" xfId="29163" xr:uid="{00000000-0005-0000-0000-000090060000}"/>
    <cellStyle name="20% - uthevingsfarge 1 28 9 3" xfId="12112" xr:uid="{00000000-0005-0000-0000-000091060000}"/>
    <cellStyle name="20% - uthevingsfarge 1 28 9 3 2" xfId="35077" xr:uid="{00000000-0005-0000-0000-000092060000}"/>
    <cellStyle name="20% - uthevingsfarge 1 28 9 4" xfId="32554" xr:uid="{00000000-0005-0000-0000-000093060000}"/>
    <cellStyle name="20% - uthevingsfarge 1 29" xfId="308" xr:uid="{00000000-0005-0000-0000-000094060000}"/>
    <cellStyle name="20% - uthevingsfarge 1 29 10" xfId="10755" xr:uid="{00000000-0005-0000-0000-000095060000}"/>
    <cellStyle name="20% - uthevingsfarge 1 29 11" xfId="34287" xr:uid="{00000000-0005-0000-0000-000096060000}"/>
    <cellStyle name="20% - uthevingsfarge 1 29 2" xfId="3312" xr:uid="{00000000-0005-0000-0000-000097060000}"/>
    <cellStyle name="20% - uthevingsfarge 1 29 2 10" xfId="34179" xr:uid="{00000000-0005-0000-0000-000098060000}"/>
    <cellStyle name="20% - uthevingsfarge 1 29 2 2" xfId="3544" xr:uid="{00000000-0005-0000-0000-000099060000}"/>
    <cellStyle name="20% - uthevingsfarge 1 29 2 2 10" xfId="47143" xr:uid="{00000000-0005-0000-0000-00009A060000}"/>
    <cellStyle name="20% - uthevingsfarge 1 29 2 2 2" xfId="3974" xr:uid="{00000000-0005-0000-0000-00009B060000}"/>
    <cellStyle name="20% - uthevingsfarge 1 29 2 2 2 2" xfId="5862" xr:uid="{00000000-0005-0000-0000-00009C060000}"/>
    <cellStyle name="20% - uthevingsfarge 1 29 2 2 2 2 2" xfId="9277" xr:uid="{00000000-0005-0000-0000-00009D060000}"/>
    <cellStyle name="20% - uthevingsfarge 1 29 2 2 2 2 2 2" xfId="19399" xr:uid="{00000000-0005-0000-0000-00009E060000}"/>
    <cellStyle name="20% - uthevingsfarge 1 29 2 2 2 2 2 2 2" xfId="35513" xr:uid="{00000000-0005-0000-0000-00009F060000}"/>
    <cellStyle name="20% - uthevingsfarge 1 29 2 2 2 2 2 3" xfId="28521" xr:uid="{00000000-0005-0000-0000-0000A0060000}"/>
    <cellStyle name="20% - uthevingsfarge 1 29 2 2 2 2 3" xfId="11979" xr:uid="{00000000-0005-0000-0000-0000A1060000}"/>
    <cellStyle name="20% - uthevingsfarge 1 29 2 2 2 2 3 2" xfId="35001" xr:uid="{00000000-0005-0000-0000-0000A2060000}"/>
    <cellStyle name="20% - uthevingsfarge 1 29 2 2 2 2 4" xfId="31912" xr:uid="{00000000-0005-0000-0000-0000A3060000}"/>
    <cellStyle name="20% - uthevingsfarge 1 29 2 2 2 3" xfId="7580" xr:uid="{00000000-0005-0000-0000-0000A4060000}"/>
    <cellStyle name="20% - uthevingsfarge 1 29 2 2 2 3 2" xfId="23227" xr:uid="{00000000-0005-0000-0000-0000A5060000}"/>
    <cellStyle name="20% - uthevingsfarge 1 29 2 2 2 3 2 2" xfId="39296" xr:uid="{00000000-0005-0000-0000-0000A6060000}"/>
    <cellStyle name="20% - uthevingsfarge 1 29 2 2 2 3 3" xfId="30218" xr:uid="{00000000-0005-0000-0000-0000A7060000}"/>
    <cellStyle name="20% - uthevingsfarge 1 29 2 2 2 4" xfId="17949" xr:uid="{00000000-0005-0000-0000-0000A8060000}"/>
    <cellStyle name="20% - uthevingsfarge 1 29 2 2 2 5" xfId="19955" xr:uid="{00000000-0005-0000-0000-0000A9060000}"/>
    <cellStyle name="20% - uthevingsfarge 1 29 2 2 2 5 2" xfId="36059" xr:uid="{00000000-0005-0000-0000-0000AA060000}"/>
    <cellStyle name="20% - uthevingsfarge 1 29 2 2 2 6" xfId="33605" xr:uid="{00000000-0005-0000-0000-0000AB060000}"/>
    <cellStyle name="20% - uthevingsfarge 1 29 2 2 3" xfId="4914" xr:uid="{00000000-0005-0000-0000-0000AC060000}"/>
    <cellStyle name="20% - uthevingsfarge 1 29 2 2 3 10" xfId="47333" xr:uid="{00000000-0005-0000-0000-0000AD060000}"/>
    <cellStyle name="20% - uthevingsfarge 1 29 2 2 3 2" xfId="6633" xr:uid="{00000000-0005-0000-0000-0000AE060000}"/>
    <cellStyle name="20% - uthevingsfarge 1 29 2 2 3 2 2" xfId="10039" xr:uid="{00000000-0005-0000-0000-0000AF060000}"/>
    <cellStyle name="20% - uthevingsfarge 1 29 2 2 3 2 2 2" xfId="21582" xr:uid="{00000000-0005-0000-0000-0000B0060000}"/>
    <cellStyle name="20% - uthevingsfarge 1 29 2 2 3 2 2 2 2" xfId="37662" xr:uid="{00000000-0005-0000-0000-0000B1060000}"/>
    <cellStyle name="20% - uthevingsfarge 1 29 2 2 3 2 2 3" xfId="27760" xr:uid="{00000000-0005-0000-0000-0000B2060000}"/>
    <cellStyle name="20% - uthevingsfarge 1 29 2 2 3 2 3" xfId="20527" xr:uid="{00000000-0005-0000-0000-0000B3060000}"/>
    <cellStyle name="20% - uthevingsfarge 1 29 2 2 3 2 3 2" xfId="36626" xr:uid="{00000000-0005-0000-0000-0000B4060000}"/>
    <cellStyle name="20% - uthevingsfarge 1 29 2 2 3 2 4" xfId="31161" xr:uid="{00000000-0005-0000-0000-0000B5060000}"/>
    <cellStyle name="20% - uthevingsfarge 1 29 2 2 3 2 5" xfId="43027" xr:uid="{00000000-0005-0000-0000-0000B6060000}"/>
    <cellStyle name="20% - uthevingsfarge 1 29 2 2 3 2 6" xfId="43324" xr:uid="{00000000-0005-0000-0000-0000B7060000}"/>
    <cellStyle name="20% - uthevingsfarge 1 29 2 2 3 2 7" xfId="46172" xr:uid="{00000000-0005-0000-0000-0000B8060000}"/>
    <cellStyle name="20% - uthevingsfarge 1 29 2 2 3 2 8" xfId="46944" xr:uid="{00000000-0005-0000-0000-0000B9060000}"/>
    <cellStyle name="20% - uthevingsfarge 1 29 2 2 3 2 9" xfId="47529" xr:uid="{00000000-0005-0000-0000-0000BA060000}"/>
    <cellStyle name="20% - uthevingsfarge 1 29 2 2 3 3" xfId="8336" xr:uid="{00000000-0005-0000-0000-0000BB060000}"/>
    <cellStyle name="20% - uthevingsfarge 1 29 2 2 3 3 2" xfId="23347" xr:uid="{00000000-0005-0000-0000-0000BC060000}"/>
    <cellStyle name="20% - uthevingsfarge 1 29 2 2 3 3 2 2" xfId="39408" xr:uid="{00000000-0005-0000-0000-0000BD060000}"/>
    <cellStyle name="20% - uthevingsfarge 1 29 2 2 3 3 3" xfId="29462" xr:uid="{00000000-0005-0000-0000-0000BE060000}"/>
    <cellStyle name="20% - uthevingsfarge 1 29 2 2 3 3 4" xfId="43874" xr:uid="{00000000-0005-0000-0000-0000BF060000}"/>
    <cellStyle name="20% - uthevingsfarge 1 29 2 2 3 4" xfId="16472" xr:uid="{00000000-0005-0000-0000-0000C0060000}"/>
    <cellStyle name="20% - uthevingsfarge 1 29 2 2 3 4 2" xfId="35419" xr:uid="{00000000-0005-0000-0000-0000C1060000}"/>
    <cellStyle name="20% - uthevingsfarge 1 29 2 2 3 5" xfId="25081" xr:uid="{00000000-0005-0000-0000-0000C2060000}"/>
    <cellStyle name="20% - uthevingsfarge 1 29 2 2 3 6" xfId="25240" xr:uid="{00000000-0005-0000-0000-0000C3060000}"/>
    <cellStyle name="20% - uthevingsfarge 1 29 2 2 3 7" xfId="32853" xr:uid="{00000000-0005-0000-0000-0000C4060000}"/>
    <cellStyle name="20% - uthevingsfarge 1 29 2 2 3 8" xfId="43785" xr:uid="{00000000-0005-0000-0000-0000C5060000}"/>
    <cellStyle name="20% - uthevingsfarge 1 29 2 2 3 9" xfId="46710" xr:uid="{00000000-0005-0000-0000-0000C6060000}"/>
    <cellStyle name="20% - uthevingsfarge 1 29 2 2 4" xfId="5468" xr:uid="{00000000-0005-0000-0000-0000C7060000}"/>
    <cellStyle name="20% - uthevingsfarge 1 29 2 2 4 2" xfId="8883" xr:uid="{00000000-0005-0000-0000-0000C8060000}"/>
    <cellStyle name="20% - uthevingsfarge 1 29 2 2 4 2 2" xfId="24428" xr:uid="{00000000-0005-0000-0000-0000C9060000}"/>
    <cellStyle name="20% - uthevingsfarge 1 29 2 2 4 2 2 2" xfId="40472" xr:uid="{00000000-0005-0000-0000-0000CA060000}"/>
    <cellStyle name="20% - uthevingsfarge 1 29 2 2 4 2 3" xfId="28915" xr:uid="{00000000-0005-0000-0000-0000CB060000}"/>
    <cellStyle name="20% - uthevingsfarge 1 29 2 2 4 3" xfId="23863" xr:uid="{00000000-0005-0000-0000-0000CC060000}"/>
    <cellStyle name="20% - uthevingsfarge 1 29 2 2 4 3 2" xfId="39919" xr:uid="{00000000-0005-0000-0000-0000CD060000}"/>
    <cellStyle name="20% - uthevingsfarge 1 29 2 2 4 4" xfId="32306" xr:uid="{00000000-0005-0000-0000-0000CE060000}"/>
    <cellStyle name="20% - uthevingsfarge 1 29 2 2 5" xfId="7186" xr:uid="{00000000-0005-0000-0000-0000CF060000}"/>
    <cellStyle name="20% - uthevingsfarge 1 29 2 2 5 2" xfId="11942" xr:uid="{00000000-0005-0000-0000-0000D0060000}"/>
    <cellStyle name="20% - uthevingsfarge 1 29 2 2 5 2 2" xfId="34964" xr:uid="{00000000-0005-0000-0000-0000D1060000}"/>
    <cellStyle name="20% - uthevingsfarge 1 29 2 2 5 3" xfId="30612" xr:uid="{00000000-0005-0000-0000-0000D2060000}"/>
    <cellStyle name="20% - uthevingsfarge 1 29 2 2 6" xfId="10757" xr:uid="{00000000-0005-0000-0000-0000D3060000}"/>
    <cellStyle name="20% - uthevingsfarge 1 29 2 2 7" xfId="33999" xr:uid="{00000000-0005-0000-0000-0000D4060000}"/>
    <cellStyle name="20% - uthevingsfarge 1 29 2 2 8" xfId="43576" xr:uid="{00000000-0005-0000-0000-0000D5060000}"/>
    <cellStyle name="20% - uthevingsfarge 1 29 2 2 9" xfId="46482" xr:uid="{00000000-0005-0000-0000-0000D6060000}"/>
    <cellStyle name="20% - uthevingsfarge 1 29 2 2_Avviksanalyse løpende RNB15 (1)" xfId="16565" xr:uid="{00000000-0005-0000-0000-0000D7060000}"/>
    <cellStyle name="20% - uthevingsfarge 1 29 2 3" xfId="3794" xr:uid="{00000000-0005-0000-0000-0000D8060000}"/>
    <cellStyle name="20% - uthevingsfarge 1 29 2 3 2" xfId="5682" xr:uid="{00000000-0005-0000-0000-0000D9060000}"/>
    <cellStyle name="20% - uthevingsfarge 1 29 2 3 2 2" xfId="9097" xr:uid="{00000000-0005-0000-0000-0000DA060000}"/>
    <cellStyle name="20% - uthevingsfarge 1 29 2 3 2 2 2" xfId="24457" xr:uid="{00000000-0005-0000-0000-0000DB060000}"/>
    <cellStyle name="20% - uthevingsfarge 1 29 2 3 2 2 2 2" xfId="40501" xr:uid="{00000000-0005-0000-0000-0000DC060000}"/>
    <cellStyle name="20% - uthevingsfarge 1 29 2 3 2 2 3" xfId="28701" xr:uid="{00000000-0005-0000-0000-0000DD060000}"/>
    <cellStyle name="20% - uthevingsfarge 1 29 2 3 2 3" xfId="23900" xr:uid="{00000000-0005-0000-0000-0000DE060000}"/>
    <cellStyle name="20% - uthevingsfarge 1 29 2 3 2 3 2" xfId="39956" xr:uid="{00000000-0005-0000-0000-0000DF060000}"/>
    <cellStyle name="20% - uthevingsfarge 1 29 2 3 2 4" xfId="32092" xr:uid="{00000000-0005-0000-0000-0000E0060000}"/>
    <cellStyle name="20% - uthevingsfarge 1 29 2 3 3" xfId="7400" xr:uid="{00000000-0005-0000-0000-0000E1060000}"/>
    <cellStyle name="20% - uthevingsfarge 1 29 2 3 3 2" xfId="22447" xr:uid="{00000000-0005-0000-0000-0000E2060000}"/>
    <cellStyle name="20% - uthevingsfarge 1 29 2 3 3 2 2" xfId="38519" xr:uid="{00000000-0005-0000-0000-0000E3060000}"/>
    <cellStyle name="20% - uthevingsfarge 1 29 2 3 3 3" xfId="30398" xr:uid="{00000000-0005-0000-0000-0000E4060000}"/>
    <cellStyle name="20% - uthevingsfarge 1 29 2 3 4" xfId="21720" xr:uid="{00000000-0005-0000-0000-0000E5060000}"/>
    <cellStyle name="20% - uthevingsfarge 1 29 2 3 4 2" xfId="37798" xr:uid="{00000000-0005-0000-0000-0000E6060000}"/>
    <cellStyle name="20% - uthevingsfarge 1 29 2 3 5" xfId="33785" xr:uid="{00000000-0005-0000-0000-0000E7060000}"/>
    <cellStyle name="20% - uthevingsfarge 1 29 2 4" xfId="4279" xr:uid="{00000000-0005-0000-0000-0000E8060000}"/>
    <cellStyle name="20% - uthevingsfarge 1 29 2 4 2" xfId="6108" xr:uid="{00000000-0005-0000-0000-0000E9060000}"/>
    <cellStyle name="20% - uthevingsfarge 1 29 2 4 2 2" xfId="9522" xr:uid="{00000000-0005-0000-0000-0000EA060000}"/>
    <cellStyle name="20% - uthevingsfarge 1 29 2 4 2 2 2" xfId="23522" xr:uid="{00000000-0005-0000-0000-0000EB060000}"/>
    <cellStyle name="20% - uthevingsfarge 1 29 2 4 2 2 2 2" xfId="39578" xr:uid="{00000000-0005-0000-0000-0000EC060000}"/>
    <cellStyle name="20% - uthevingsfarge 1 29 2 4 2 2 3" xfId="28276" xr:uid="{00000000-0005-0000-0000-0000ED060000}"/>
    <cellStyle name="20% - uthevingsfarge 1 29 2 4 2 3" xfId="22314" xr:uid="{00000000-0005-0000-0000-0000EE060000}"/>
    <cellStyle name="20% - uthevingsfarge 1 29 2 4 2 3 2" xfId="38386" xr:uid="{00000000-0005-0000-0000-0000EF060000}"/>
    <cellStyle name="20% - uthevingsfarge 1 29 2 4 2 4" xfId="31671" xr:uid="{00000000-0005-0000-0000-0000F0060000}"/>
    <cellStyle name="20% - uthevingsfarge 1 29 2 4 3" xfId="7841" xr:uid="{00000000-0005-0000-0000-0000F1060000}"/>
    <cellStyle name="20% - uthevingsfarge 1 29 2 4 3 2" xfId="21683" xr:uid="{00000000-0005-0000-0000-0000F2060000}"/>
    <cellStyle name="20% - uthevingsfarge 1 29 2 4 3 2 2" xfId="37763" xr:uid="{00000000-0005-0000-0000-0000F3060000}"/>
    <cellStyle name="20% - uthevingsfarge 1 29 2 4 3 3" xfId="29958" xr:uid="{00000000-0005-0000-0000-0000F4060000}"/>
    <cellStyle name="20% - uthevingsfarge 1 29 2 4 4" xfId="19623" xr:uid="{00000000-0005-0000-0000-0000F5060000}"/>
    <cellStyle name="20% - uthevingsfarge 1 29 2 4 4 2" xfId="35737" xr:uid="{00000000-0005-0000-0000-0000F6060000}"/>
    <cellStyle name="20% - uthevingsfarge 1 29 2 4 5" xfId="33346" xr:uid="{00000000-0005-0000-0000-0000F7060000}"/>
    <cellStyle name="20% - uthevingsfarge 1 29 2 5" xfId="4734" xr:uid="{00000000-0005-0000-0000-0000F8060000}"/>
    <cellStyle name="20% - uthevingsfarge 1 29 2 5 2" xfId="6454" xr:uid="{00000000-0005-0000-0000-0000F9060000}"/>
    <cellStyle name="20% - uthevingsfarge 1 29 2 5 2 2" xfId="9860" xr:uid="{00000000-0005-0000-0000-0000FA060000}"/>
    <cellStyle name="20% - uthevingsfarge 1 29 2 5 2 2 2" xfId="19872" xr:uid="{00000000-0005-0000-0000-0000FB060000}"/>
    <cellStyle name="20% - uthevingsfarge 1 29 2 5 2 2 2 2" xfId="35985" xr:uid="{00000000-0005-0000-0000-0000FC060000}"/>
    <cellStyle name="20% - uthevingsfarge 1 29 2 5 2 2 3" xfId="27939" xr:uid="{00000000-0005-0000-0000-0000FD060000}"/>
    <cellStyle name="20% - uthevingsfarge 1 29 2 5 2 3" xfId="22358" xr:uid="{00000000-0005-0000-0000-0000FE060000}"/>
    <cellStyle name="20% - uthevingsfarge 1 29 2 5 2 3 2" xfId="38430" xr:uid="{00000000-0005-0000-0000-0000FF060000}"/>
    <cellStyle name="20% - uthevingsfarge 1 29 2 5 2 4" xfId="31340" xr:uid="{00000000-0005-0000-0000-000000070000}"/>
    <cellStyle name="20% - uthevingsfarge 1 29 2 5 3" xfId="8156" xr:uid="{00000000-0005-0000-0000-000001070000}"/>
    <cellStyle name="20% - uthevingsfarge 1 29 2 5 3 2" xfId="24324" xr:uid="{00000000-0005-0000-0000-000002070000}"/>
    <cellStyle name="20% - uthevingsfarge 1 29 2 5 3 2 2" xfId="40374" xr:uid="{00000000-0005-0000-0000-000003070000}"/>
    <cellStyle name="20% - uthevingsfarge 1 29 2 5 3 3" xfId="29642" xr:uid="{00000000-0005-0000-0000-000004070000}"/>
    <cellStyle name="20% - uthevingsfarge 1 29 2 5 4" xfId="12275" xr:uid="{00000000-0005-0000-0000-000005070000}"/>
    <cellStyle name="20% - uthevingsfarge 1 29 2 5 4 2" xfId="35151" xr:uid="{00000000-0005-0000-0000-000006070000}"/>
    <cellStyle name="20% - uthevingsfarge 1 29 2 5 5" xfId="33033" xr:uid="{00000000-0005-0000-0000-000007070000}"/>
    <cellStyle name="20% - uthevingsfarge 1 29 2 6" xfId="5094" xr:uid="{00000000-0005-0000-0000-000008070000}"/>
    <cellStyle name="20% - uthevingsfarge 1 29 2 6 2" xfId="6813" xr:uid="{00000000-0005-0000-0000-000009070000}"/>
    <cellStyle name="20% - uthevingsfarge 1 29 2 6 2 2" xfId="10219" xr:uid="{00000000-0005-0000-0000-00000A070000}"/>
    <cellStyle name="20% - uthevingsfarge 1 29 2 6 2 2 2" xfId="24649" xr:uid="{00000000-0005-0000-0000-00000B070000}"/>
    <cellStyle name="20% - uthevingsfarge 1 29 2 6 2 2 2 2" xfId="40693" xr:uid="{00000000-0005-0000-0000-00000C070000}"/>
    <cellStyle name="20% - uthevingsfarge 1 29 2 6 2 2 3" xfId="27580" xr:uid="{00000000-0005-0000-0000-00000D070000}"/>
    <cellStyle name="20% - uthevingsfarge 1 29 2 6 2 3" xfId="23678" xr:uid="{00000000-0005-0000-0000-00000E070000}"/>
    <cellStyle name="20% - uthevingsfarge 1 29 2 6 2 3 2" xfId="39734" xr:uid="{00000000-0005-0000-0000-00000F070000}"/>
    <cellStyle name="20% - uthevingsfarge 1 29 2 6 2 4" xfId="30981" xr:uid="{00000000-0005-0000-0000-000010070000}"/>
    <cellStyle name="20% - uthevingsfarge 1 29 2 6 3" xfId="8516" xr:uid="{00000000-0005-0000-0000-000011070000}"/>
    <cellStyle name="20% - uthevingsfarge 1 29 2 6 3 2" xfId="11840" xr:uid="{00000000-0005-0000-0000-000012070000}"/>
    <cellStyle name="20% - uthevingsfarge 1 29 2 6 3 2 2" xfId="34890" xr:uid="{00000000-0005-0000-0000-000013070000}"/>
    <cellStyle name="20% - uthevingsfarge 1 29 2 6 3 3" xfId="29282" xr:uid="{00000000-0005-0000-0000-000014070000}"/>
    <cellStyle name="20% - uthevingsfarge 1 29 2 6 4" xfId="19746" xr:uid="{00000000-0005-0000-0000-000015070000}"/>
    <cellStyle name="20% - uthevingsfarge 1 29 2 6 4 2" xfId="35860" xr:uid="{00000000-0005-0000-0000-000016070000}"/>
    <cellStyle name="20% - uthevingsfarge 1 29 2 6 5" xfId="32673" xr:uid="{00000000-0005-0000-0000-000017070000}"/>
    <cellStyle name="20% - uthevingsfarge 1 29 2 7" xfId="5273" xr:uid="{00000000-0005-0000-0000-000018070000}"/>
    <cellStyle name="20% - uthevingsfarge 1 29 2 7 2" xfId="8688" xr:uid="{00000000-0005-0000-0000-000019070000}"/>
    <cellStyle name="20% - uthevingsfarge 1 29 2 7 2 2" xfId="22663" xr:uid="{00000000-0005-0000-0000-00001A070000}"/>
    <cellStyle name="20% - uthevingsfarge 1 29 2 7 2 2 2" xfId="38732" xr:uid="{00000000-0005-0000-0000-00001B070000}"/>
    <cellStyle name="20% - uthevingsfarge 1 29 2 7 2 3" xfId="29110" xr:uid="{00000000-0005-0000-0000-00001C070000}"/>
    <cellStyle name="20% - uthevingsfarge 1 29 2 7 3" xfId="12094" xr:uid="{00000000-0005-0000-0000-00001D070000}"/>
    <cellStyle name="20% - uthevingsfarge 1 29 2 7 3 2" xfId="35067" xr:uid="{00000000-0005-0000-0000-00001E070000}"/>
    <cellStyle name="20% - uthevingsfarge 1 29 2 7 4" xfId="32501" xr:uid="{00000000-0005-0000-0000-00001F070000}"/>
    <cellStyle name="20% - uthevingsfarge 1 29 2 8" xfId="7006" xr:uid="{00000000-0005-0000-0000-000020070000}"/>
    <cellStyle name="20% - uthevingsfarge 1 29 2 8 2" xfId="20629" xr:uid="{00000000-0005-0000-0000-000021070000}"/>
    <cellStyle name="20% - uthevingsfarge 1 29 2 8 2 2" xfId="36728" xr:uid="{00000000-0005-0000-0000-000022070000}"/>
    <cellStyle name="20% - uthevingsfarge 1 29 2 8 3" xfId="30792" xr:uid="{00000000-0005-0000-0000-000023070000}"/>
    <cellStyle name="20% - uthevingsfarge 1 29 2 9" xfId="10756" xr:uid="{00000000-0005-0000-0000-000024070000}"/>
    <cellStyle name="20% - uthevingsfarge 1 29 3" xfId="3459" xr:uid="{00000000-0005-0000-0000-000025070000}"/>
    <cellStyle name="20% - uthevingsfarge 1 29 3 10" xfId="47075" xr:uid="{00000000-0005-0000-0000-000026070000}"/>
    <cellStyle name="20% - uthevingsfarge 1 29 3 2" xfId="3895" xr:uid="{00000000-0005-0000-0000-000027070000}"/>
    <cellStyle name="20% - uthevingsfarge 1 29 3 2 2" xfId="5783" xr:uid="{00000000-0005-0000-0000-000028070000}"/>
    <cellStyle name="20% - uthevingsfarge 1 29 3 2 2 2" xfId="9198" xr:uid="{00000000-0005-0000-0000-000029070000}"/>
    <cellStyle name="20% - uthevingsfarge 1 29 3 2 2 2 2" xfId="21311" xr:uid="{00000000-0005-0000-0000-00002A070000}"/>
    <cellStyle name="20% - uthevingsfarge 1 29 3 2 2 2 2 2" xfId="37391" xr:uid="{00000000-0005-0000-0000-00002B070000}"/>
    <cellStyle name="20% - uthevingsfarge 1 29 3 2 2 2 3" xfId="28600" xr:uid="{00000000-0005-0000-0000-00002C070000}"/>
    <cellStyle name="20% - uthevingsfarge 1 29 3 2 2 3" xfId="22087" xr:uid="{00000000-0005-0000-0000-00002D070000}"/>
    <cellStyle name="20% - uthevingsfarge 1 29 3 2 2 3 2" xfId="38161" xr:uid="{00000000-0005-0000-0000-00002E070000}"/>
    <cellStyle name="20% - uthevingsfarge 1 29 3 2 2 4" xfId="31991" xr:uid="{00000000-0005-0000-0000-00002F070000}"/>
    <cellStyle name="20% - uthevingsfarge 1 29 3 2 3" xfId="7501" xr:uid="{00000000-0005-0000-0000-000030070000}"/>
    <cellStyle name="20% - uthevingsfarge 1 29 3 2 3 2" xfId="23219" xr:uid="{00000000-0005-0000-0000-000031070000}"/>
    <cellStyle name="20% - uthevingsfarge 1 29 3 2 3 2 2" xfId="39288" xr:uid="{00000000-0005-0000-0000-000032070000}"/>
    <cellStyle name="20% - uthevingsfarge 1 29 3 2 3 3" xfId="30297" xr:uid="{00000000-0005-0000-0000-000033070000}"/>
    <cellStyle name="20% - uthevingsfarge 1 29 3 2 4" xfId="17950" xr:uid="{00000000-0005-0000-0000-000034070000}"/>
    <cellStyle name="20% - uthevingsfarge 1 29 3 2 5" xfId="12500" xr:uid="{00000000-0005-0000-0000-000035070000}"/>
    <cellStyle name="20% - uthevingsfarge 1 29 3 2 5 2" xfId="35260" xr:uid="{00000000-0005-0000-0000-000036070000}"/>
    <cellStyle name="20% - uthevingsfarge 1 29 3 2 6" xfId="33684" xr:uid="{00000000-0005-0000-0000-000037070000}"/>
    <cellStyle name="20% - uthevingsfarge 1 29 3 3" xfId="4835" xr:uid="{00000000-0005-0000-0000-000038070000}"/>
    <cellStyle name="20% - uthevingsfarge 1 29 3 3 10" xfId="47265" xr:uid="{00000000-0005-0000-0000-000039070000}"/>
    <cellStyle name="20% - uthevingsfarge 1 29 3 3 2" xfId="6554" xr:uid="{00000000-0005-0000-0000-00003A070000}"/>
    <cellStyle name="20% - uthevingsfarge 1 29 3 3 2 2" xfId="9960" xr:uid="{00000000-0005-0000-0000-00003B070000}"/>
    <cellStyle name="20% - uthevingsfarge 1 29 3 3 2 2 2" xfId="24596" xr:uid="{00000000-0005-0000-0000-00003C070000}"/>
    <cellStyle name="20% - uthevingsfarge 1 29 3 3 2 2 2 2" xfId="40640" xr:uid="{00000000-0005-0000-0000-00003D070000}"/>
    <cellStyle name="20% - uthevingsfarge 1 29 3 3 2 2 3" xfId="27839" xr:uid="{00000000-0005-0000-0000-00003E070000}"/>
    <cellStyle name="20% - uthevingsfarge 1 29 3 3 2 3" xfId="22137" xr:uid="{00000000-0005-0000-0000-00003F070000}"/>
    <cellStyle name="20% - uthevingsfarge 1 29 3 3 2 3 2" xfId="38211" xr:uid="{00000000-0005-0000-0000-000040070000}"/>
    <cellStyle name="20% - uthevingsfarge 1 29 3 3 2 4" xfId="31240" xr:uid="{00000000-0005-0000-0000-000041070000}"/>
    <cellStyle name="20% - uthevingsfarge 1 29 3 3 2 5" xfId="42820" xr:uid="{00000000-0005-0000-0000-000042070000}"/>
    <cellStyle name="20% - uthevingsfarge 1 29 3 3 2 6" xfId="43258" xr:uid="{00000000-0005-0000-0000-000043070000}"/>
    <cellStyle name="20% - uthevingsfarge 1 29 3 3 2 7" xfId="46106" xr:uid="{00000000-0005-0000-0000-000044070000}"/>
    <cellStyle name="20% - uthevingsfarge 1 29 3 3 2 8" xfId="46875" xr:uid="{00000000-0005-0000-0000-000045070000}"/>
    <cellStyle name="20% - uthevingsfarge 1 29 3 3 2 9" xfId="47461" xr:uid="{00000000-0005-0000-0000-000046070000}"/>
    <cellStyle name="20% - uthevingsfarge 1 29 3 3 3" xfId="8257" xr:uid="{00000000-0005-0000-0000-000047070000}"/>
    <cellStyle name="20% - uthevingsfarge 1 29 3 3 3 2" xfId="24340" xr:uid="{00000000-0005-0000-0000-000048070000}"/>
    <cellStyle name="20% - uthevingsfarge 1 29 3 3 3 2 2" xfId="40390" xr:uid="{00000000-0005-0000-0000-000049070000}"/>
    <cellStyle name="20% - uthevingsfarge 1 29 3 3 3 3" xfId="29540" xr:uid="{00000000-0005-0000-0000-00004A070000}"/>
    <cellStyle name="20% - uthevingsfarge 1 29 3 3 3 4" xfId="43875" xr:uid="{00000000-0005-0000-0000-00004B070000}"/>
    <cellStyle name="20% - uthevingsfarge 1 29 3 3 4" xfId="16265" xr:uid="{00000000-0005-0000-0000-00004C070000}"/>
    <cellStyle name="20% - uthevingsfarge 1 29 3 3 4 2" xfId="35353" xr:uid="{00000000-0005-0000-0000-00004D070000}"/>
    <cellStyle name="20% - uthevingsfarge 1 29 3 3 5" xfId="25012" xr:uid="{00000000-0005-0000-0000-00004E070000}"/>
    <cellStyle name="20% - uthevingsfarge 1 29 3 3 6" xfId="25241" xr:uid="{00000000-0005-0000-0000-00004F070000}"/>
    <cellStyle name="20% - uthevingsfarge 1 29 3 3 7" xfId="32932" xr:uid="{00000000-0005-0000-0000-000050070000}"/>
    <cellStyle name="20% - uthevingsfarge 1 29 3 3 8" xfId="43718" xr:uid="{00000000-0005-0000-0000-000051070000}"/>
    <cellStyle name="20% - uthevingsfarge 1 29 3 3 9" xfId="46644" xr:uid="{00000000-0005-0000-0000-000052070000}"/>
    <cellStyle name="20% - uthevingsfarge 1 29 3 4" xfId="5398" xr:uid="{00000000-0005-0000-0000-000053070000}"/>
    <cellStyle name="20% - uthevingsfarge 1 29 3 4 2" xfId="8813" xr:uid="{00000000-0005-0000-0000-000054070000}"/>
    <cellStyle name="20% - uthevingsfarge 1 29 3 4 2 2" xfId="21193" xr:uid="{00000000-0005-0000-0000-000055070000}"/>
    <cellStyle name="20% - uthevingsfarge 1 29 3 4 2 2 2" xfId="37273" xr:uid="{00000000-0005-0000-0000-000056070000}"/>
    <cellStyle name="20% - uthevingsfarge 1 29 3 4 2 3" xfId="28985" xr:uid="{00000000-0005-0000-0000-000057070000}"/>
    <cellStyle name="20% - uthevingsfarge 1 29 3 4 3" xfId="10715" xr:uid="{00000000-0005-0000-0000-000058070000}"/>
    <cellStyle name="20% - uthevingsfarge 1 29 3 4 3 2" xfId="34563" xr:uid="{00000000-0005-0000-0000-000059070000}"/>
    <cellStyle name="20% - uthevingsfarge 1 29 3 4 4" xfId="32376" xr:uid="{00000000-0005-0000-0000-00005A070000}"/>
    <cellStyle name="20% - uthevingsfarge 1 29 3 5" xfId="7107" xr:uid="{00000000-0005-0000-0000-00005B070000}"/>
    <cellStyle name="20% - uthevingsfarge 1 29 3 5 2" xfId="24151" xr:uid="{00000000-0005-0000-0000-00005C070000}"/>
    <cellStyle name="20% - uthevingsfarge 1 29 3 5 2 2" xfId="40204" xr:uid="{00000000-0005-0000-0000-00005D070000}"/>
    <cellStyle name="20% - uthevingsfarge 1 29 3 5 3" xfId="30691" xr:uid="{00000000-0005-0000-0000-00005E070000}"/>
    <cellStyle name="20% - uthevingsfarge 1 29 3 6" xfId="10758" xr:uid="{00000000-0005-0000-0000-00005F070000}"/>
    <cellStyle name="20% - uthevingsfarge 1 29 3 7" xfId="34078" xr:uid="{00000000-0005-0000-0000-000060070000}"/>
    <cellStyle name="20% - uthevingsfarge 1 29 3 8" xfId="43510" xr:uid="{00000000-0005-0000-0000-000061070000}"/>
    <cellStyle name="20% - uthevingsfarge 1 29 3 9" xfId="46414" xr:uid="{00000000-0005-0000-0000-000062070000}"/>
    <cellStyle name="20% - uthevingsfarge 1 29 3_Avviksanalyse løpende RNB15 (1)" xfId="16566" xr:uid="{00000000-0005-0000-0000-000063070000}"/>
    <cellStyle name="20% - uthevingsfarge 1 29 4" xfId="3716" xr:uid="{00000000-0005-0000-0000-000064070000}"/>
    <cellStyle name="20% - uthevingsfarge 1 29 4 2" xfId="5604" xr:uid="{00000000-0005-0000-0000-000065070000}"/>
    <cellStyle name="20% - uthevingsfarge 1 29 4 2 2" xfId="9019" xr:uid="{00000000-0005-0000-0000-000066070000}"/>
    <cellStyle name="20% - uthevingsfarge 1 29 4 2 2 2" xfId="23443" xr:uid="{00000000-0005-0000-0000-000067070000}"/>
    <cellStyle name="20% - uthevingsfarge 1 29 4 2 2 2 2" xfId="39499" xr:uid="{00000000-0005-0000-0000-000068070000}"/>
    <cellStyle name="20% - uthevingsfarge 1 29 4 2 2 3" xfId="28779" xr:uid="{00000000-0005-0000-0000-000069070000}"/>
    <cellStyle name="20% - uthevingsfarge 1 29 4 2 3" xfId="22882" xr:uid="{00000000-0005-0000-0000-00006A070000}"/>
    <cellStyle name="20% - uthevingsfarge 1 29 4 2 3 2" xfId="38951" xr:uid="{00000000-0005-0000-0000-00006B070000}"/>
    <cellStyle name="20% - uthevingsfarge 1 29 4 2 4" xfId="32170" xr:uid="{00000000-0005-0000-0000-00006C070000}"/>
    <cellStyle name="20% - uthevingsfarge 1 29 4 3" xfId="7322" xr:uid="{00000000-0005-0000-0000-00006D070000}"/>
    <cellStyle name="20% - uthevingsfarge 1 29 4 3 2" xfId="23184" xr:uid="{00000000-0005-0000-0000-00006E070000}"/>
    <cellStyle name="20% - uthevingsfarge 1 29 4 3 2 2" xfId="39253" xr:uid="{00000000-0005-0000-0000-00006F070000}"/>
    <cellStyle name="20% - uthevingsfarge 1 29 4 3 3" xfId="30476" xr:uid="{00000000-0005-0000-0000-000070070000}"/>
    <cellStyle name="20% - uthevingsfarge 1 29 4 4" xfId="22773" xr:uid="{00000000-0005-0000-0000-000071070000}"/>
    <cellStyle name="20% - uthevingsfarge 1 29 4 4 2" xfId="38842" xr:uid="{00000000-0005-0000-0000-000072070000}"/>
    <cellStyle name="20% - uthevingsfarge 1 29 4 5" xfId="33863" xr:uid="{00000000-0005-0000-0000-000073070000}"/>
    <cellStyle name="20% - uthevingsfarge 1 29 5" xfId="4231" xr:uid="{00000000-0005-0000-0000-000074070000}"/>
    <cellStyle name="20% - uthevingsfarge 1 29 5 2" xfId="6063" xr:uid="{00000000-0005-0000-0000-000075070000}"/>
    <cellStyle name="20% - uthevingsfarge 1 29 5 2 2" xfId="9478" xr:uid="{00000000-0005-0000-0000-000076070000}"/>
    <cellStyle name="20% - uthevingsfarge 1 29 5 2 2 2" xfId="21396" xr:uid="{00000000-0005-0000-0000-000077070000}"/>
    <cellStyle name="20% - uthevingsfarge 1 29 5 2 2 2 2" xfId="37476" xr:uid="{00000000-0005-0000-0000-000078070000}"/>
    <cellStyle name="20% - uthevingsfarge 1 29 5 2 2 3" xfId="28320" xr:uid="{00000000-0005-0000-0000-000079070000}"/>
    <cellStyle name="20% - uthevingsfarge 1 29 5 2 3" xfId="23971" xr:uid="{00000000-0005-0000-0000-00007A070000}"/>
    <cellStyle name="20% - uthevingsfarge 1 29 5 2 3 2" xfId="40025" xr:uid="{00000000-0005-0000-0000-00007B070000}"/>
    <cellStyle name="20% - uthevingsfarge 1 29 5 2 4" xfId="31715" xr:uid="{00000000-0005-0000-0000-00007C070000}"/>
    <cellStyle name="20% - uthevingsfarge 1 29 5 3" xfId="7797" xr:uid="{00000000-0005-0000-0000-00007D070000}"/>
    <cellStyle name="20% - uthevingsfarge 1 29 5 3 2" xfId="20906" xr:uid="{00000000-0005-0000-0000-00007E070000}"/>
    <cellStyle name="20% - uthevingsfarge 1 29 5 3 2 2" xfId="37005" xr:uid="{00000000-0005-0000-0000-00007F070000}"/>
    <cellStyle name="20% - uthevingsfarge 1 29 5 3 3" xfId="30002" xr:uid="{00000000-0005-0000-0000-000080070000}"/>
    <cellStyle name="20% - uthevingsfarge 1 29 5 4" xfId="23656" xr:uid="{00000000-0005-0000-0000-000081070000}"/>
    <cellStyle name="20% - uthevingsfarge 1 29 5 4 2" xfId="39712" xr:uid="{00000000-0005-0000-0000-000082070000}"/>
    <cellStyle name="20% - uthevingsfarge 1 29 5 5" xfId="33390" xr:uid="{00000000-0005-0000-0000-000083070000}"/>
    <cellStyle name="20% - uthevingsfarge 1 29 6" xfId="4651" xr:uid="{00000000-0005-0000-0000-000084070000}"/>
    <cellStyle name="20% - uthevingsfarge 1 29 6 2" xfId="6371" xr:uid="{00000000-0005-0000-0000-000085070000}"/>
    <cellStyle name="20% - uthevingsfarge 1 29 6 2 2" xfId="9781" xr:uid="{00000000-0005-0000-0000-000086070000}"/>
    <cellStyle name="20% - uthevingsfarge 1 29 6 2 2 2" xfId="23556" xr:uid="{00000000-0005-0000-0000-000087070000}"/>
    <cellStyle name="20% - uthevingsfarge 1 29 6 2 2 2 2" xfId="39612" xr:uid="{00000000-0005-0000-0000-000088070000}"/>
    <cellStyle name="20% - uthevingsfarge 1 29 6 2 2 3" xfId="28018" xr:uid="{00000000-0005-0000-0000-000089070000}"/>
    <cellStyle name="20% - uthevingsfarge 1 29 6 2 3" xfId="23026" xr:uid="{00000000-0005-0000-0000-00008A070000}"/>
    <cellStyle name="20% - uthevingsfarge 1 29 6 2 3 2" xfId="39095" xr:uid="{00000000-0005-0000-0000-00008B070000}"/>
    <cellStyle name="20% - uthevingsfarge 1 29 6 2 4" xfId="31419" xr:uid="{00000000-0005-0000-0000-00008C070000}"/>
    <cellStyle name="20% - uthevingsfarge 1 29 6 3" xfId="8077" xr:uid="{00000000-0005-0000-0000-00008D070000}"/>
    <cellStyle name="20% - uthevingsfarge 1 29 6 3 2" xfId="20993" xr:uid="{00000000-0005-0000-0000-00008E070000}"/>
    <cellStyle name="20% - uthevingsfarge 1 29 6 3 2 2" xfId="37089" xr:uid="{00000000-0005-0000-0000-00008F070000}"/>
    <cellStyle name="20% - uthevingsfarge 1 29 6 3 3" xfId="29721" xr:uid="{00000000-0005-0000-0000-000090070000}"/>
    <cellStyle name="20% - uthevingsfarge 1 29 6 4" xfId="19675" xr:uid="{00000000-0005-0000-0000-000091070000}"/>
    <cellStyle name="20% - uthevingsfarge 1 29 6 4 2" xfId="35789" xr:uid="{00000000-0005-0000-0000-000092070000}"/>
    <cellStyle name="20% - uthevingsfarge 1 29 6 5" xfId="33112" xr:uid="{00000000-0005-0000-0000-000093070000}"/>
    <cellStyle name="20% - uthevingsfarge 1 29 7" xfId="5015" xr:uid="{00000000-0005-0000-0000-000094070000}"/>
    <cellStyle name="20% - uthevingsfarge 1 29 7 2" xfId="6734" xr:uid="{00000000-0005-0000-0000-000095070000}"/>
    <cellStyle name="20% - uthevingsfarge 1 29 7 2 2" xfId="10140" xr:uid="{00000000-0005-0000-0000-000096070000}"/>
    <cellStyle name="20% - uthevingsfarge 1 29 7 2 2 2" xfId="24632" xr:uid="{00000000-0005-0000-0000-000097070000}"/>
    <cellStyle name="20% - uthevingsfarge 1 29 7 2 2 2 2" xfId="40676" xr:uid="{00000000-0005-0000-0000-000098070000}"/>
    <cellStyle name="20% - uthevingsfarge 1 29 7 2 2 3" xfId="27659" xr:uid="{00000000-0005-0000-0000-000099070000}"/>
    <cellStyle name="20% - uthevingsfarge 1 29 7 2 3" xfId="19652" xr:uid="{00000000-0005-0000-0000-00009A070000}"/>
    <cellStyle name="20% - uthevingsfarge 1 29 7 2 3 2" xfId="35766" xr:uid="{00000000-0005-0000-0000-00009B070000}"/>
    <cellStyle name="20% - uthevingsfarge 1 29 7 2 4" xfId="31060" xr:uid="{00000000-0005-0000-0000-00009C070000}"/>
    <cellStyle name="20% - uthevingsfarge 1 29 7 3" xfId="8437" xr:uid="{00000000-0005-0000-0000-00009D070000}"/>
    <cellStyle name="20% - uthevingsfarge 1 29 7 3 2" xfId="23361" xr:uid="{00000000-0005-0000-0000-00009E070000}"/>
    <cellStyle name="20% - uthevingsfarge 1 29 7 3 2 2" xfId="39420" xr:uid="{00000000-0005-0000-0000-00009F070000}"/>
    <cellStyle name="20% - uthevingsfarge 1 29 7 3 3" xfId="29361" xr:uid="{00000000-0005-0000-0000-0000A0070000}"/>
    <cellStyle name="20% - uthevingsfarge 1 29 7 4" xfId="19729" xr:uid="{00000000-0005-0000-0000-0000A1070000}"/>
    <cellStyle name="20% - uthevingsfarge 1 29 7 4 2" xfId="35843" xr:uid="{00000000-0005-0000-0000-0000A2070000}"/>
    <cellStyle name="20% - uthevingsfarge 1 29 7 5" xfId="32752" xr:uid="{00000000-0005-0000-0000-0000A3070000}"/>
    <cellStyle name="20% - uthevingsfarge 1 29 8" xfId="5231" xr:uid="{00000000-0005-0000-0000-0000A4070000}"/>
    <cellStyle name="20% - uthevingsfarge 1 29 8 2" xfId="8646" xr:uid="{00000000-0005-0000-0000-0000A5070000}"/>
    <cellStyle name="20% - uthevingsfarge 1 29 8 2 2" xfId="23390" xr:uid="{00000000-0005-0000-0000-0000A6070000}"/>
    <cellStyle name="20% - uthevingsfarge 1 29 8 2 2 2" xfId="39446" xr:uid="{00000000-0005-0000-0000-0000A7070000}"/>
    <cellStyle name="20% - uthevingsfarge 1 29 8 2 3" xfId="29152" xr:uid="{00000000-0005-0000-0000-0000A8070000}"/>
    <cellStyle name="20% - uthevingsfarge 1 29 8 3" xfId="12115" xr:uid="{00000000-0005-0000-0000-0000A9070000}"/>
    <cellStyle name="20% - uthevingsfarge 1 29 8 3 2" xfId="35079" xr:uid="{00000000-0005-0000-0000-0000AA070000}"/>
    <cellStyle name="20% - uthevingsfarge 1 29 8 4" xfId="32543" xr:uid="{00000000-0005-0000-0000-0000AB070000}"/>
    <cellStyle name="20% - uthevingsfarge 1 29 9" xfId="6899" xr:uid="{00000000-0005-0000-0000-0000AC070000}"/>
    <cellStyle name="20% - uthevingsfarge 1 29 9 2" xfId="20596" xr:uid="{00000000-0005-0000-0000-0000AD070000}"/>
    <cellStyle name="20% - uthevingsfarge 1 29 9 2 2" xfId="36695" xr:uid="{00000000-0005-0000-0000-0000AE070000}"/>
    <cellStyle name="20% - uthevingsfarge 1 29 9 3" xfId="30899" xr:uid="{00000000-0005-0000-0000-0000AF070000}"/>
    <cellStyle name="20% - uthevingsfarge 1 3" xfId="309" xr:uid="{00000000-0005-0000-0000-0000B0070000}"/>
    <cellStyle name="20% - uthevingsfarge 1 3 2" xfId="310" xr:uid="{00000000-0005-0000-0000-0000B1070000}"/>
    <cellStyle name="20% - uthevingsfarge 1 30" xfId="311" xr:uid="{00000000-0005-0000-0000-0000B2070000}"/>
    <cellStyle name="20% - uthevingsfarge 1 30 10" xfId="10761" xr:uid="{00000000-0005-0000-0000-0000B3070000}"/>
    <cellStyle name="20% - uthevingsfarge 1 30 11" xfId="34286" xr:uid="{00000000-0005-0000-0000-0000B4070000}"/>
    <cellStyle name="20% - uthevingsfarge 1 30 2" xfId="3313" xr:uid="{00000000-0005-0000-0000-0000B5070000}"/>
    <cellStyle name="20% - uthevingsfarge 1 30 2 10" xfId="34178" xr:uid="{00000000-0005-0000-0000-0000B6070000}"/>
    <cellStyle name="20% - uthevingsfarge 1 30 2 2" xfId="3545" xr:uid="{00000000-0005-0000-0000-0000B7070000}"/>
    <cellStyle name="20% - uthevingsfarge 1 30 2 2 10" xfId="47144" xr:uid="{00000000-0005-0000-0000-0000B8070000}"/>
    <cellStyle name="20% - uthevingsfarge 1 30 2 2 2" xfId="3975" xr:uid="{00000000-0005-0000-0000-0000B9070000}"/>
    <cellStyle name="20% - uthevingsfarge 1 30 2 2 2 2" xfId="5863" xr:uid="{00000000-0005-0000-0000-0000BA070000}"/>
    <cellStyle name="20% - uthevingsfarge 1 30 2 2 2 2 2" xfId="9278" xr:uid="{00000000-0005-0000-0000-0000BB070000}"/>
    <cellStyle name="20% - uthevingsfarge 1 30 2 2 2 2 2 2" xfId="11692" xr:uid="{00000000-0005-0000-0000-0000BC070000}"/>
    <cellStyle name="20% - uthevingsfarge 1 30 2 2 2 2 2 2 2" xfId="34839" xr:uid="{00000000-0005-0000-0000-0000BD070000}"/>
    <cellStyle name="20% - uthevingsfarge 1 30 2 2 2 2 2 3" xfId="28520" xr:uid="{00000000-0005-0000-0000-0000BE070000}"/>
    <cellStyle name="20% - uthevingsfarge 1 30 2 2 2 2 3" xfId="23932" xr:uid="{00000000-0005-0000-0000-0000BF070000}"/>
    <cellStyle name="20% - uthevingsfarge 1 30 2 2 2 2 3 2" xfId="39986" xr:uid="{00000000-0005-0000-0000-0000C0070000}"/>
    <cellStyle name="20% - uthevingsfarge 1 30 2 2 2 2 4" xfId="31911" xr:uid="{00000000-0005-0000-0000-0000C1070000}"/>
    <cellStyle name="20% - uthevingsfarge 1 30 2 2 2 3" xfId="7581" xr:uid="{00000000-0005-0000-0000-0000C2070000}"/>
    <cellStyle name="20% - uthevingsfarge 1 30 2 2 2 3 2" xfId="20824" xr:uid="{00000000-0005-0000-0000-0000C3070000}"/>
    <cellStyle name="20% - uthevingsfarge 1 30 2 2 2 3 2 2" xfId="36923" xr:uid="{00000000-0005-0000-0000-0000C4070000}"/>
    <cellStyle name="20% - uthevingsfarge 1 30 2 2 2 3 3" xfId="30217" xr:uid="{00000000-0005-0000-0000-0000C5070000}"/>
    <cellStyle name="20% - uthevingsfarge 1 30 2 2 2 4" xfId="17951" xr:uid="{00000000-0005-0000-0000-0000C6070000}"/>
    <cellStyle name="20% - uthevingsfarge 1 30 2 2 2 5" xfId="23791" xr:uid="{00000000-0005-0000-0000-0000C7070000}"/>
    <cellStyle name="20% - uthevingsfarge 1 30 2 2 2 5 2" xfId="39847" xr:uid="{00000000-0005-0000-0000-0000C8070000}"/>
    <cellStyle name="20% - uthevingsfarge 1 30 2 2 2 6" xfId="33604" xr:uid="{00000000-0005-0000-0000-0000C9070000}"/>
    <cellStyle name="20% - uthevingsfarge 1 30 2 2 3" xfId="4915" xr:uid="{00000000-0005-0000-0000-0000CA070000}"/>
    <cellStyle name="20% - uthevingsfarge 1 30 2 2 3 10" xfId="47334" xr:uid="{00000000-0005-0000-0000-0000CB070000}"/>
    <cellStyle name="20% - uthevingsfarge 1 30 2 2 3 2" xfId="6634" xr:uid="{00000000-0005-0000-0000-0000CC070000}"/>
    <cellStyle name="20% - uthevingsfarge 1 30 2 2 3 2 2" xfId="10040" xr:uid="{00000000-0005-0000-0000-0000CD070000}"/>
    <cellStyle name="20% - uthevingsfarge 1 30 2 2 3 2 2 2" xfId="24612" xr:uid="{00000000-0005-0000-0000-0000CE070000}"/>
    <cellStyle name="20% - uthevingsfarge 1 30 2 2 3 2 2 2 2" xfId="40656" xr:uid="{00000000-0005-0000-0000-0000CF070000}"/>
    <cellStyle name="20% - uthevingsfarge 1 30 2 2 3 2 2 3" xfId="27759" xr:uid="{00000000-0005-0000-0000-0000D0070000}"/>
    <cellStyle name="20% - uthevingsfarge 1 30 2 2 3 2 3" xfId="24079" xr:uid="{00000000-0005-0000-0000-0000D1070000}"/>
    <cellStyle name="20% - uthevingsfarge 1 30 2 2 3 2 3 2" xfId="40132" xr:uid="{00000000-0005-0000-0000-0000D2070000}"/>
    <cellStyle name="20% - uthevingsfarge 1 30 2 2 3 2 4" xfId="31160" xr:uid="{00000000-0005-0000-0000-0000D3070000}"/>
    <cellStyle name="20% - uthevingsfarge 1 30 2 2 3 2 5" xfId="43028" xr:uid="{00000000-0005-0000-0000-0000D4070000}"/>
    <cellStyle name="20% - uthevingsfarge 1 30 2 2 3 2 6" xfId="43325" xr:uid="{00000000-0005-0000-0000-0000D5070000}"/>
    <cellStyle name="20% - uthevingsfarge 1 30 2 2 3 2 7" xfId="46173" xr:uid="{00000000-0005-0000-0000-0000D6070000}"/>
    <cellStyle name="20% - uthevingsfarge 1 30 2 2 3 2 8" xfId="46945" xr:uid="{00000000-0005-0000-0000-0000D7070000}"/>
    <cellStyle name="20% - uthevingsfarge 1 30 2 2 3 2 9" xfId="47530" xr:uid="{00000000-0005-0000-0000-0000D8070000}"/>
    <cellStyle name="20% - uthevingsfarge 1 30 2 2 3 3" xfId="8337" xr:uid="{00000000-0005-0000-0000-0000D9070000}"/>
    <cellStyle name="20% - uthevingsfarge 1 30 2 2 3 3 2" xfId="10571" xr:uid="{00000000-0005-0000-0000-0000DA070000}"/>
    <cellStyle name="20% - uthevingsfarge 1 30 2 2 3 3 2 2" xfId="34430" xr:uid="{00000000-0005-0000-0000-0000DB070000}"/>
    <cellStyle name="20% - uthevingsfarge 1 30 2 2 3 3 3" xfId="29461" xr:uid="{00000000-0005-0000-0000-0000DC070000}"/>
    <cellStyle name="20% - uthevingsfarge 1 30 2 2 3 3 4" xfId="43877" xr:uid="{00000000-0005-0000-0000-0000DD070000}"/>
    <cellStyle name="20% - uthevingsfarge 1 30 2 2 3 4" xfId="16473" xr:uid="{00000000-0005-0000-0000-0000DE070000}"/>
    <cellStyle name="20% - uthevingsfarge 1 30 2 2 3 4 2" xfId="35420" xr:uid="{00000000-0005-0000-0000-0000DF070000}"/>
    <cellStyle name="20% - uthevingsfarge 1 30 2 2 3 5" xfId="25082" xr:uid="{00000000-0005-0000-0000-0000E0070000}"/>
    <cellStyle name="20% - uthevingsfarge 1 30 2 2 3 6" xfId="25242" xr:uid="{00000000-0005-0000-0000-0000E1070000}"/>
    <cellStyle name="20% - uthevingsfarge 1 30 2 2 3 7" xfId="32852" xr:uid="{00000000-0005-0000-0000-0000E2070000}"/>
    <cellStyle name="20% - uthevingsfarge 1 30 2 2 3 8" xfId="43786" xr:uid="{00000000-0005-0000-0000-0000E3070000}"/>
    <cellStyle name="20% - uthevingsfarge 1 30 2 2 3 9" xfId="46711" xr:uid="{00000000-0005-0000-0000-0000E4070000}"/>
    <cellStyle name="20% - uthevingsfarge 1 30 2 2 4" xfId="5469" xr:uid="{00000000-0005-0000-0000-0000E5070000}"/>
    <cellStyle name="20% - uthevingsfarge 1 30 2 2 4 2" xfId="8884" xr:uid="{00000000-0005-0000-0000-0000E6070000}"/>
    <cellStyle name="20% - uthevingsfarge 1 30 2 2 4 2 2" xfId="22514" xr:uid="{00000000-0005-0000-0000-0000E7070000}"/>
    <cellStyle name="20% - uthevingsfarge 1 30 2 2 4 2 2 2" xfId="38584" xr:uid="{00000000-0005-0000-0000-0000E8070000}"/>
    <cellStyle name="20% - uthevingsfarge 1 30 2 2 4 2 3" xfId="28914" xr:uid="{00000000-0005-0000-0000-0000E9070000}"/>
    <cellStyle name="20% - uthevingsfarge 1 30 2 2 4 3" xfId="22243" xr:uid="{00000000-0005-0000-0000-0000EA070000}"/>
    <cellStyle name="20% - uthevingsfarge 1 30 2 2 4 3 2" xfId="38317" xr:uid="{00000000-0005-0000-0000-0000EB070000}"/>
    <cellStyle name="20% - uthevingsfarge 1 30 2 2 4 4" xfId="32305" xr:uid="{00000000-0005-0000-0000-0000EC070000}"/>
    <cellStyle name="20% - uthevingsfarge 1 30 2 2 5" xfId="7187" xr:uid="{00000000-0005-0000-0000-0000ED070000}"/>
    <cellStyle name="20% - uthevingsfarge 1 30 2 2 5 2" xfId="24162" xr:uid="{00000000-0005-0000-0000-0000EE070000}"/>
    <cellStyle name="20% - uthevingsfarge 1 30 2 2 5 2 2" xfId="40215" xr:uid="{00000000-0005-0000-0000-0000EF070000}"/>
    <cellStyle name="20% - uthevingsfarge 1 30 2 2 5 3" xfId="30611" xr:uid="{00000000-0005-0000-0000-0000F0070000}"/>
    <cellStyle name="20% - uthevingsfarge 1 30 2 2 6" xfId="10763" xr:uid="{00000000-0005-0000-0000-0000F1070000}"/>
    <cellStyle name="20% - uthevingsfarge 1 30 2 2 7" xfId="33998" xr:uid="{00000000-0005-0000-0000-0000F2070000}"/>
    <cellStyle name="20% - uthevingsfarge 1 30 2 2 8" xfId="43577" xr:uid="{00000000-0005-0000-0000-0000F3070000}"/>
    <cellStyle name="20% - uthevingsfarge 1 30 2 2 9" xfId="46483" xr:uid="{00000000-0005-0000-0000-0000F4070000}"/>
    <cellStyle name="20% - uthevingsfarge 1 30 2 2_Avviksanalyse løpende RNB15 (1)" xfId="16567" xr:uid="{00000000-0005-0000-0000-0000F5070000}"/>
    <cellStyle name="20% - uthevingsfarge 1 30 2 3" xfId="3795" xr:uid="{00000000-0005-0000-0000-0000F6070000}"/>
    <cellStyle name="20% - uthevingsfarge 1 30 2 3 2" xfId="5683" xr:uid="{00000000-0005-0000-0000-0000F7070000}"/>
    <cellStyle name="20% - uthevingsfarge 1 30 2 3 2 2" xfId="9098" xr:uid="{00000000-0005-0000-0000-0000F8070000}"/>
    <cellStyle name="20% - uthevingsfarge 1 30 2 3 2 2 2" xfId="21914" xr:uid="{00000000-0005-0000-0000-0000F9070000}"/>
    <cellStyle name="20% - uthevingsfarge 1 30 2 3 2 2 2 2" xfId="37989" xr:uid="{00000000-0005-0000-0000-0000FA070000}"/>
    <cellStyle name="20% - uthevingsfarge 1 30 2 3 2 2 3" xfId="28700" xr:uid="{00000000-0005-0000-0000-0000FB070000}"/>
    <cellStyle name="20% - uthevingsfarge 1 30 2 3 2 3" xfId="22083" xr:uid="{00000000-0005-0000-0000-0000FC070000}"/>
    <cellStyle name="20% - uthevingsfarge 1 30 2 3 2 3 2" xfId="38157" xr:uid="{00000000-0005-0000-0000-0000FD070000}"/>
    <cellStyle name="20% - uthevingsfarge 1 30 2 3 2 4" xfId="32091" xr:uid="{00000000-0005-0000-0000-0000FE070000}"/>
    <cellStyle name="20% - uthevingsfarge 1 30 2 3 3" xfId="7401" xr:uid="{00000000-0005-0000-0000-0000FF070000}"/>
    <cellStyle name="20% - uthevingsfarge 1 30 2 3 3 2" xfId="23200" xr:uid="{00000000-0005-0000-0000-000000080000}"/>
    <cellStyle name="20% - uthevingsfarge 1 30 2 3 3 2 2" xfId="39269" xr:uid="{00000000-0005-0000-0000-000001080000}"/>
    <cellStyle name="20% - uthevingsfarge 1 30 2 3 3 3" xfId="30397" xr:uid="{00000000-0005-0000-0000-000002080000}"/>
    <cellStyle name="20% - uthevingsfarge 1 30 2 3 4" xfId="22779" xr:uid="{00000000-0005-0000-0000-000003080000}"/>
    <cellStyle name="20% - uthevingsfarge 1 30 2 3 4 2" xfId="38848" xr:uid="{00000000-0005-0000-0000-000004080000}"/>
    <cellStyle name="20% - uthevingsfarge 1 30 2 3 5" xfId="33784" xr:uid="{00000000-0005-0000-0000-000005080000}"/>
    <cellStyle name="20% - uthevingsfarge 1 30 2 4" xfId="4280" xr:uid="{00000000-0005-0000-0000-000006080000}"/>
    <cellStyle name="20% - uthevingsfarge 1 30 2 4 2" xfId="6109" xr:uid="{00000000-0005-0000-0000-000007080000}"/>
    <cellStyle name="20% - uthevingsfarge 1 30 2 4 2 2" xfId="9523" xr:uid="{00000000-0005-0000-0000-000008080000}"/>
    <cellStyle name="20% - uthevingsfarge 1 30 2 4 2 2 2" xfId="21411" xr:uid="{00000000-0005-0000-0000-000009080000}"/>
    <cellStyle name="20% - uthevingsfarge 1 30 2 4 2 2 2 2" xfId="37491" xr:uid="{00000000-0005-0000-0000-00000A080000}"/>
    <cellStyle name="20% - uthevingsfarge 1 30 2 4 2 2 3" xfId="28275" xr:uid="{00000000-0005-0000-0000-00000B080000}"/>
    <cellStyle name="20% - uthevingsfarge 1 30 2 4 2 3" xfId="22976" xr:uid="{00000000-0005-0000-0000-00000C080000}"/>
    <cellStyle name="20% - uthevingsfarge 1 30 2 4 2 3 2" xfId="39045" xr:uid="{00000000-0005-0000-0000-00000D080000}"/>
    <cellStyle name="20% - uthevingsfarge 1 30 2 4 2 4" xfId="31670" xr:uid="{00000000-0005-0000-0000-00000E080000}"/>
    <cellStyle name="20% - uthevingsfarge 1 30 2 4 3" xfId="7842" xr:uid="{00000000-0005-0000-0000-00000F080000}"/>
    <cellStyle name="20% - uthevingsfarge 1 30 2 4 3 2" xfId="21729" xr:uid="{00000000-0005-0000-0000-000010080000}"/>
    <cellStyle name="20% - uthevingsfarge 1 30 2 4 3 2 2" xfId="37807" xr:uid="{00000000-0005-0000-0000-000011080000}"/>
    <cellStyle name="20% - uthevingsfarge 1 30 2 4 3 3" xfId="29957" xr:uid="{00000000-0005-0000-0000-000012080000}"/>
    <cellStyle name="20% - uthevingsfarge 1 30 2 4 4" xfId="22642" xr:uid="{00000000-0005-0000-0000-000013080000}"/>
    <cellStyle name="20% - uthevingsfarge 1 30 2 4 4 2" xfId="38711" xr:uid="{00000000-0005-0000-0000-000014080000}"/>
    <cellStyle name="20% - uthevingsfarge 1 30 2 4 5" xfId="33345" xr:uid="{00000000-0005-0000-0000-000015080000}"/>
    <cellStyle name="20% - uthevingsfarge 1 30 2 5" xfId="4735" xr:uid="{00000000-0005-0000-0000-000016080000}"/>
    <cellStyle name="20% - uthevingsfarge 1 30 2 5 2" xfId="6455" xr:uid="{00000000-0005-0000-0000-000017080000}"/>
    <cellStyle name="20% - uthevingsfarge 1 30 2 5 2 2" xfId="9861" xr:uid="{00000000-0005-0000-0000-000018080000}"/>
    <cellStyle name="20% - uthevingsfarge 1 30 2 5 2 2 2" xfId="21512" xr:uid="{00000000-0005-0000-0000-000019080000}"/>
    <cellStyle name="20% - uthevingsfarge 1 30 2 5 2 2 2 2" xfId="37592" xr:uid="{00000000-0005-0000-0000-00001A080000}"/>
    <cellStyle name="20% - uthevingsfarge 1 30 2 5 2 2 3" xfId="27938" xr:uid="{00000000-0005-0000-0000-00001B080000}"/>
    <cellStyle name="20% - uthevingsfarge 1 30 2 5 2 3" xfId="23042" xr:uid="{00000000-0005-0000-0000-00001C080000}"/>
    <cellStyle name="20% - uthevingsfarge 1 30 2 5 2 3 2" xfId="39111" xr:uid="{00000000-0005-0000-0000-00001D080000}"/>
    <cellStyle name="20% - uthevingsfarge 1 30 2 5 2 4" xfId="31339" xr:uid="{00000000-0005-0000-0000-00001E080000}"/>
    <cellStyle name="20% - uthevingsfarge 1 30 2 5 3" xfId="8157" xr:uid="{00000000-0005-0000-0000-00001F080000}"/>
    <cellStyle name="20% - uthevingsfarge 1 30 2 5 3 2" xfId="21765" xr:uid="{00000000-0005-0000-0000-000020080000}"/>
    <cellStyle name="20% - uthevingsfarge 1 30 2 5 3 2 2" xfId="37842" xr:uid="{00000000-0005-0000-0000-000021080000}"/>
    <cellStyle name="20% - uthevingsfarge 1 30 2 5 3 3" xfId="29641" xr:uid="{00000000-0005-0000-0000-000022080000}"/>
    <cellStyle name="20% - uthevingsfarge 1 30 2 5 4" xfId="10905" xr:uid="{00000000-0005-0000-0000-000023080000}"/>
    <cellStyle name="20% - uthevingsfarge 1 30 2 5 4 2" xfId="34676" xr:uid="{00000000-0005-0000-0000-000024080000}"/>
    <cellStyle name="20% - uthevingsfarge 1 30 2 5 5" xfId="33032" xr:uid="{00000000-0005-0000-0000-000025080000}"/>
    <cellStyle name="20% - uthevingsfarge 1 30 2 6" xfId="5095" xr:uid="{00000000-0005-0000-0000-000026080000}"/>
    <cellStyle name="20% - uthevingsfarge 1 30 2 6 2" xfId="6814" xr:uid="{00000000-0005-0000-0000-000027080000}"/>
    <cellStyle name="20% - uthevingsfarge 1 30 2 6 2 2" xfId="10220" xr:uid="{00000000-0005-0000-0000-000028080000}"/>
    <cellStyle name="20% - uthevingsfarge 1 30 2 6 2 2 2" xfId="21697" xr:uid="{00000000-0005-0000-0000-000029080000}"/>
    <cellStyle name="20% - uthevingsfarge 1 30 2 6 2 2 2 2" xfId="37776" xr:uid="{00000000-0005-0000-0000-00002A080000}"/>
    <cellStyle name="20% - uthevingsfarge 1 30 2 6 2 2 3" xfId="27579" xr:uid="{00000000-0005-0000-0000-00002B080000}"/>
    <cellStyle name="20% - uthevingsfarge 1 30 2 6 2 3" xfId="11809" xr:uid="{00000000-0005-0000-0000-00002C080000}"/>
    <cellStyle name="20% - uthevingsfarge 1 30 2 6 2 3 2" xfId="34875" xr:uid="{00000000-0005-0000-0000-00002D080000}"/>
    <cellStyle name="20% - uthevingsfarge 1 30 2 6 2 4" xfId="30980" xr:uid="{00000000-0005-0000-0000-00002E080000}"/>
    <cellStyle name="20% - uthevingsfarge 1 30 2 6 3" xfId="8517" xr:uid="{00000000-0005-0000-0000-00002F080000}"/>
    <cellStyle name="20% - uthevingsfarge 1 30 2 6 3 2" xfId="21116" xr:uid="{00000000-0005-0000-0000-000030080000}"/>
    <cellStyle name="20% - uthevingsfarge 1 30 2 6 3 2 2" xfId="37197" xr:uid="{00000000-0005-0000-0000-000031080000}"/>
    <cellStyle name="20% - uthevingsfarge 1 30 2 6 3 3" xfId="29281" xr:uid="{00000000-0005-0000-0000-000032080000}"/>
    <cellStyle name="20% - uthevingsfarge 1 30 2 6 4" xfId="12178" xr:uid="{00000000-0005-0000-0000-000033080000}"/>
    <cellStyle name="20% - uthevingsfarge 1 30 2 6 4 2" xfId="35111" xr:uid="{00000000-0005-0000-0000-000034080000}"/>
    <cellStyle name="20% - uthevingsfarge 1 30 2 6 5" xfId="32672" xr:uid="{00000000-0005-0000-0000-000035080000}"/>
    <cellStyle name="20% - uthevingsfarge 1 30 2 7" xfId="5274" xr:uid="{00000000-0005-0000-0000-000036080000}"/>
    <cellStyle name="20% - uthevingsfarge 1 30 2 7 2" xfId="8689" xr:uid="{00000000-0005-0000-0000-000037080000}"/>
    <cellStyle name="20% - uthevingsfarge 1 30 2 7 2 2" xfId="11797" xr:uid="{00000000-0005-0000-0000-000038080000}"/>
    <cellStyle name="20% - uthevingsfarge 1 30 2 7 2 2 2" xfId="34869" xr:uid="{00000000-0005-0000-0000-000039080000}"/>
    <cellStyle name="20% - uthevingsfarge 1 30 2 7 2 3" xfId="29109" xr:uid="{00000000-0005-0000-0000-00003A080000}"/>
    <cellStyle name="20% - uthevingsfarge 1 30 2 7 3" xfId="10771" xr:uid="{00000000-0005-0000-0000-00003B080000}"/>
    <cellStyle name="20% - uthevingsfarge 1 30 2 7 3 2" xfId="34594" xr:uid="{00000000-0005-0000-0000-00003C080000}"/>
    <cellStyle name="20% - uthevingsfarge 1 30 2 7 4" xfId="32500" xr:uid="{00000000-0005-0000-0000-00003D080000}"/>
    <cellStyle name="20% - uthevingsfarge 1 30 2 8" xfId="7007" xr:uid="{00000000-0005-0000-0000-00003E080000}"/>
    <cellStyle name="20% - uthevingsfarge 1 30 2 8 2" xfId="24131" xr:uid="{00000000-0005-0000-0000-00003F080000}"/>
    <cellStyle name="20% - uthevingsfarge 1 30 2 8 2 2" xfId="40184" xr:uid="{00000000-0005-0000-0000-000040080000}"/>
    <cellStyle name="20% - uthevingsfarge 1 30 2 8 3" xfId="30791" xr:uid="{00000000-0005-0000-0000-000041080000}"/>
    <cellStyle name="20% - uthevingsfarge 1 30 2 9" xfId="10762" xr:uid="{00000000-0005-0000-0000-000042080000}"/>
    <cellStyle name="20% - uthevingsfarge 1 30 3" xfId="3460" xr:uid="{00000000-0005-0000-0000-000043080000}"/>
    <cellStyle name="20% - uthevingsfarge 1 30 3 10" xfId="47076" xr:uid="{00000000-0005-0000-0000-000044080000}"/>
    <cellStyle name="20% - uthevingsfarge 1 30 3 2" xfId="3896" xr:uid="{00000000-0005-0000-0000-000045080000}"/>
    <cellStyle name="20% - uthevingsfarge 1 30 3 2 2" xfId="5784" xr:uid="{00000000-0005-0000-0000-000046080000}"/>
    <cellStyle name="20% - uthevingsfarge 1 30 3 2 2 2" xfId="9199" xr:uid="{00000000-0005-0000-0000-000047080000}"/>
    <cellStyle name="20% - uthevingsfarge 1 30 3 2 2 2 2" xfId="19875" xr:uid="{00000000-0005-0000-0000-000048080000}"/>
    <cellStyle name="20% - uthevingsfarge 1 30 3 2 2 2 2 2" xfId="35988" xr:uid="{00000000-0005-0000-0000-000049080000}"/>
    <cellStyle name="20% - uthevingsfarge 1 30 3 2 2 2 3" xfId="28599" xr:uid="{00000000-0005-0000-0000-00004A080000}"/>
    <cellStyle name="20% - uthevingsfarge 1 30 3 2 2 3" xfId="22914" xr:uid="{00000000-0005-0000-0000-00004B080000}"/>
    <cellStyle name="20% - uthevingsfarge 1 30 3 2 2 3 2" xfId="38983" xr:uid="{00000000-0005-0000-0000-00004C080000}"/>
    <cellStyle name="20% - uthevingsfarge 1 30 3 2 2 4" xfId="31990" xr:uid="{00000000-0005-0000-0000-00004D080000}"/>
    <cellStyle name="20% - uthevingsfarge 1 30 3 2 3" xfId="7502" xr:uid="{00000000-0005-0000-0000-00004E080000}"/>
    <cellStyle name="20% - uthevingsfarge 1 30 3 2 3 2" xfId="20807" xr:uid="{00000000-0005-0000-0000-00004F080000}"/>
    <cellStyle name="20% - uthevingsfarge 1 30 3 2 3 2 2" xfId="36906" xr:uid="{00000000-0005-0000-0000-000050080000}"/>
    <cellStyle name="20% - uthevingsfarge 1 30 3 2 3 3" xfId="30296" xr:uid="{00000000-0005-0000-0000-000051080000}"/>
    <cellStyle name="20% - uthevingsfarge 1 30 3 2 4" xfId="17952" xr:uid="{00000000-0005-0000-0000-000052080000}"/>
    <cellStyle name="20% - uthevingsfarge 1 30 3 2 5" xfId="19944" xr:uid="{00000000-0005-0000-0000-000053080000}"/>
    <cellStyle name="20% - uthevingsfarge 1 30 3 2 5 2" xfId="36048" xr:uid="{00000000-0005-0000-0000-000054080000}"/>
    <cellStyle name="20% - uthevingsfarge 1 30 3 2 6" xfId="33683" xr:uid="{00000000-0005-0000-0000-000055080000}"/>
    <cellStyle name="20% - uthevingsfarge 1 30 3 3" xfId="4836" xr:uid="{00000000-0005-0000-0000-000056080000}"/>
    <cellStyle name="20% - uthevingsfarge 1 30 3 3 10" xfId="47266" xr:uid="{00000000-0005-0000-0000-000057080000}"/>
    <cellStyle name="20% - uthevingsfarge 1 30 3 3 2" xfId="6555" xr:uid="{00000000-0005-0000-0000-000058080000}"/>
    <cellStyle name="20% - uthevingsfarge 1 30 3 3 2 2" xfId="9961" xr:uid="{00000000-0005-0000-0000-000059080000}"/>
    <cellStyle name="20% - uthevingsfarge 1 30 3 3 2 2 2" xfId="22003" xr:uid="{00000000-0005-0000-0000-00005A080000}"/>
    <cellStyle name="20% - uthevingsfarge 1 30 3 3 2 2 2 2" xfId="38078" xr:uid="{00000000-0005-0000-0000-00005B080000}"/>
    <cellStyle name="20% - uthevingsfarge 1 30 3 3 2 2 3" xfId="27838" xr:uid="{00000000-0005-0000-0000-00005C080000}"/>
    <cellStyle name="20% - uthevingsfarge 1 30 3 3 2 3" xfId="23061" xr:uid="{00000000-0005-0000-0000-00005D080000}"/>
    <cellStyle name="20% - uthevingsfarge 1 30 3 3 2 3 2" xfId="39130" xr:uid="{00000000-0005-0000-0000-00005E080000}"/>
    <cellStyle name="20% - uthevingsfarge 1 30 3 3 2 4" xfId="31239" xr:uid="{00000000-0005-0000-0000-00005F080000}"/>
    <cellStyle name="20% - uthevingsfarge 1 30 3 3 2 5" xfId="42821" xr:uid="{00000000-0005-0000-0000-000060080000}"/>
    <cellStyle name="20% - uthevingsfarge 1 30 3 3 2 6" xfId="43259" xr:uid="{00000000-0005-0000-0000-000061080000}"/>
    <cellStyle name="20% - uthevingsfarge 1 30 3 3 2 7" xfId="46107" xr:uid="{00000000-0005-0000-0000-000062080000}"/>
    <cellStyle name="20% - uthevingsfarge 1 30 3 3 2 8" xfId="46876" xr:uid="{00000000-0005-0000-0000-000063080000}"/>
    <cellStyle name="20% - uthevingsfarge 1 30 3 3 2 9" xfId="47462" xr:uid="{00000000-0005-0000-0000-000064080000}"/>
    <cellStyle name="20% - uthevingsfarge 1 30 3 3 3" xfId="8258" xr:uid="{00000000-0005-0000-0000-000065080000}"/>
    <cellStyle name="20% - uthevingsfarge 1 30 3 3 3 2" xfId="21685" xr:uid="{00000000-0005-0000-0000-000066080000}"/>
    <cellStyle name="20% - uthevingsfarge 1 30 3 3 3 2 2" xfId="37765" xr:uid="{00000000-0005-0000-0000-000067080000}"/>
    <cellStyle name="20% - uthevingsfarge 1 30 3 3 3 3" xfId="29539" xr:uid="{00000000-0005-0000-0000-000068080000}"/>
    <cellStyle name="20% - uthevingsfarge 1 30 3 3 3 4" xfId="43878" xr:uid="{00000000-0005-0000-0000-000069080000}"/>
    <cellStyle name="20% - uthevingsfarge 1 30 3 3 4" xfId="16266" xr:uid="{00000000-0005-0000-0000-00006A080000}"/>
    <cellStyle name="20% - uthevingsfarge 1 30 3 3 4 2" xfId="35354" xr:uid="{00000000-0005-0000-0000-00006B080000}"/>
    <cellStyle name="20% - uthevingsfarge 1 30 3 3 5" xfId="25013" xr:uid="{00000000-0005-0000-0000-00006C080000}"/>
    <cellStyle name="20% - uthevingsfarge 1 30 3 3 6" xfId="25243" xr:uid="{00000000-0005-0000-0000-00006D080000}"/>
    <cellStyle name="20% - uthevingsfarge 1 30 3 3 7" xfId="32931" xr:uid="{00000000-0005-0000-0000-00006E080000}"/>
    <cellStyle name="20% - uthevingsfarge 1 30 3 3 8" xfId="43719" xr:uid="{00000000-0005-0000-0000-00006F080000}"/>
    <cellStyle name="20% - uthevingsfarge 1 30 3 3 9" xfId="46645" xr:uid="{00000000-0005-0000-0000-000070080000}"/>
    <cellStyle name="20% - uthevingsfarge 1 30 3 4" xfId="5399" xr:uid="{00000000-0005-0000-0000-000071080000}"/>
    <cellStyle name="20% - uthevingsfarge 1 30 3 4 2" xfId="8814" xr:uid="{00000000-0005-0000-0000-000072080000}"/>
    <cellStyle name="20% - uthevingsfarge 1 30 3 4 2 2" xfId="10482" xr:uid="{00000000-0005-0000-0000-000073080000}"/>
    <cellStyle name="20% - uthevingsfarge 1 30 3 4 2 2 2" xfId="34386" xr:uid="{00000000-0005-0000-0000-000074080000}"/>
    <cellStyle name="20% - uthevingsfarge 1 30 3 4 2 3" xfId="28984" xr:uid="{00000000-0005-0000-0000-000075080000}"/>
    <cellStyle name="20% - uthevingsfarge 1 30 3 4 3" xfId="19819" xr:uid="{00000000-0005-0000-0000-000076080000}"/>
    <cellStyle name="20% - uthevingsfarge 1 30 3 4 3 2" xfId="35932" xr:uid="{00000000-0005-0000-0000-000077080000}"/>
    <cellStyle name="20% - uthevingsfarge 1 30 3 4 4" xfId="32375" xr:uid="{00000000-0005-0000-0000-000078080000}"/>
    <cellStyle name="20% - uthevingsfarge 1 30 3 5" xfId="7108" xr:uid="{00000000-0005-0000-0000-000079080000}"/>
    <cellStyle name="20% - uthevingsfarge 1 30 3 5 2" xfId="22419" xr:uid="{00000000-0005-0000-0000-00007A080000}"/>
    <cellStyle name="20% - uthevingsfarge 1 30 3 5 2 2" xfId="38491" xr:uid="{00000000-0005-0000-0000-00007B080000}"/>
    <cellStyle name="20% - uthevingsfarge 1 30 3 5 3" xfId="30690" xr:uid="{00000000-0005-0000-0000-00007C080000}"/>
    <cellStyle name="20% - uthevingsfarge 1 30 3 6" xfId="10764" xr:uid="{00000000-0005-0000-0000-00007D080000}"/>
    <cellStyle name="20% - uthevingsfarge 1 30 3 7" xfId="34077" xr:uid="{00000000-0005-0000-0000-00007E080000}"/>
    <cellStyle name="20% - uthevingsfarge 1 30 3 8" xfId="43511" xr:uid="{00000000-0005-0000-0000-00007F080000}"/>
    <cellStyle name="20% - uthevingsfarge 1 30 3 9" xfId="46415" xr:uid="{00000000-0005-0000-0000-000080080000}"/>
    <cellStyle name="20% - uthevingsfarge 1 30 3_Avviksanalyse løpende RNB15 (1)" xfId="16568" xr:uid="{00000000-0005-0000-0000-000081080000}"/>
    <cellStyle name="20% - uthevingsfarge 1 30 4" xfId="3717" xr:uid="{00000000-0005-0000-0000-000082080000}"/>
    <cellStyle name="20% - uthevingsfarge 1 30 4 2" xfId="5605" xr:uid="{00000000-0005-0000-0000-000083080000}"/>
    <cellStyle name="20% - uthevingsfarge 1 30 4 2 2" xfId="9020" xr:uid="{00000000-0005-0000-0000-000084080000}"/>
    <cellStyle name="20% - uthevingsfarge 1 30 4 2 2 2" xfId="21253" xr:uid="{00000000-0005-0000-0000-000085080000}"/>
    <cellStyle name="20% - uthevingsfarge 1 30 4 2 2 2 2" xfId="37333" xr:uid="{00000000-0005-0000-0000-000086080000}"/>
    <cellStyle name="20% - uthevingsfarge 1 30 4 2 2 3" xfId="28778" xr:uid="{00000000-0005-0000-0000-000087080000}"/>
    <cellStyle name="20% - uthevingsfarge 1 30 4 2 3" xfId="20137" xr:uid="{00000000-0005-0000-0000-000088080000}"/>
    <cellStyle name="20% - uthevingsfarge 1 30 4 2 3 2" xfId="36240" xr:uid="{00000000-0005-0000-0000-000089080000}"/>
    <cellStyle name="20% - uthevingsfarge 1 30 4 2 4" xfId="32169" xr:uid="{00000000-0005-0000-0000-00008A080000}"/>
    <cellStyle name="20% - uthevingsfarge 1 30 4 3" xfId="7323" xr:uid="{00000000-0005-0000-0000-00008B080000}"/>
    <cellStyle name="20% - uthevingsfarge 1 30 4 3 2" xfId="20740" xr:uid="{00000000-0005-0000-0000-00008C080000}"/>
    <cellStyle name="20% - uthevingsfarge 1 30 4 3 2 2" xfId="36839" xr:uid="{00000000-0005-0000-0000-00008D080000}"/>
    <cellStyle name="20% - uthevingsfarge 1 30 4 3 3" xfId="30475" xr:uid="{00000000-0005-0000-0000-00008E080000}"/>
    <cellStyle name="20% - uthevingsfarge 1 30 4 4" xfId="22716" xr:uid="{00000000-0005-0000-0000-00008F080000}"/>
    <cellStyle name="20% - uthevingsfarge 1 30 4 4 2" xfId="38785" xr:uid="{00000000-0005-0000-0000-000090080000}"/>
    <cellStyle name="20% - uthevingsfarge 1 30 4 5" xfId="33862" xr:uid="{00000000-0005-0000-0000-000091080000}"/>
    <cellStyle name="20% - uthevingsfarge 1 30 5" xfId="4232" xr:uid="{00000000-0005-0000-0000-000092080000}"/>
    <cellStyle name="20% - uthevingsfarge 1 30 5 2" xfId="6064" xr:uid="{00000000-0005-0000-0000-000093080000}"/>
    <cellStyle name="20% - uthevingsfarge 1 30 5 2 2" xfId="9479" xr:uid="{00000000-0005-0000-0000-000094080000}"/>
    <cellStyle name="20% - uthevingsfarge 1 30 5 2 2 2" xfId="24519" xr:uid="{00000000-0005-0000-0000-000095080000}"/>
    <cellStyle name="20% - uthevingsfarge 1 30 5 2 2 2 2" xfId="40563" xr:uid="{00000000-0005-0000-0000-000096080000}"/>
    <cellStyle name="20% - uthevingsfarge 1 30 5 2 2 3" xfId="28319" xr:uid="{00000000-0005-0000-0000-000097080000}"/>
    <cellStyle name="20% - uthevingsfarge 1 30 5 2 3" xfId="22041" xr:uid="{00000000-0005-0000-0000-000098080000}"/>
    <cellStyle name="20% - uthevingsfarge 1 30 5 2 3 2" xfId="38116" xr:uid="{00000000-0005-0000-0000-000099080000}"/>
    <cellStyle name="20% - uthevingsfarge 1 30 5 2 4" xfId="31714" xr:uid="{00000000-0005-0000-0000-00009A080000}"/>
    <cellStyle name="20% - uthevingsfarge 1 30 5 3" xfId="7798" xr:uid="{00000000-0005-0000-0000-00009B080000}"/>
    <cellStyle name="20% - uthevingsfarge 1 30 5 3 2" xfId="20907" xr:uid="{00000000-0005-0000-0000-00009C080000}"/>
    <cellStyle name="20% - uthevingsfarge 1 30 5 3 2 2" xfId="37006" xr:uid="{00000000-0005-0000-0000-00009D080000}"/>
    <cellStyle name="20% - uthevingsfarge 1 30 5 3 3" xfId="30001" xr:uid="{00000000-0005-0000-0000-00009E080000}"/>
    <cellStyle name="20% - uthevingsfarge 1 30 5 4" xfId="19988" xr:uid="{00000000-0005-0000-0000-00009F080000}"/>
    <cellStyle name="20% - uthevingsfarge 1 30 5 4 2" xfId="36092" xr:uid="{00000000-0005-0000-0000-0000A0080000}"/>
    <cellStyle name="20% - uthevingsfarge 1 30 5 5" xfId="33389" xr:uid="{00000000-0005-0000-0000-0000A1080000}"/>
    <cellStyle name="20% - uthevingsfarge 1 30 6" xfId="4652" xr:uid="{00000000-0005-0000-0000-0000A2080000}"/>
    <cellStyle name="20% - uthevingsfarge 1 30 6 2" xfId="6372" xr:uid="{00000000-0005-0000-0000-0000A3080000}"/>
    <cellStyle name="20% - uthevingsfarge 1 30 6 2 2" xfId="9782" xr:uid="{00000000-0005-0000-0000-0000A4080000}"/>
    <cellStyle name="20% - uthevingsfarge 1 30 6 2 2 2" xfId="21481" xr:uid="{00000000-0005-0000-0000-0000A5080000}"/>
    <cellStyle name="20% - uthevingsfarge 1 30 6 2 2 2 2" xfId="37561" xr:uid="{00000000-0005-0000-0000-0000A6080000}"/>
    <cellStyle name="20% - uthevingsfarge 1 30 6 2 2 3" xfId="28017" xr:uid="{00000000-0005-0000-0000-0000A7080000}"/>
    <cellStyle name="20% - uthevingsfarge 1 30 6 2 3" xfId="20426" xr:uid="{00000000-0005-0000-0000-0000A8080000}"/>
    <cellStyle name="20% - uthevingsfarge 1 30 6 2 3 2" xfId="36525" xr:uid="{00000000-0005-0000-0000-0000A9080000}"/>
    <cellStyle name="20% - uthevingsfarge 1 30 6 2 4" xfId="31418" xr:uid="{00000000-0005-0000-0000-0000AA080000}"/>
    <cellStyle name="20% - uthevingsfarge 1 30 6 3" xfId="8078" xr:uid="{00000000-0005-0000-0000-0000AB080000}"/>
    <cellStyle name="20% - uthevingsfarge 1 30 6 3 2" xfId="20994" xr:uid="{00000000-0005-0000-0000-0000AC080000}"/>
    <cellStyle name="20% - uthevingsfarge 1 30 6 3 2 2" xfId="37090" xr:uid="{00000000-0005-0000-0000-0000AD080000}"/>
    <cellStyle name="20% - uthevingsfarge 1 30 6 3 3" xfId="29720" xr:uid="{00000000-0005-0000-0000-0000AE080000}"/>
    <cellStyle name="20% - uthevingsfarge 1 30 6 4" xfId="12295" xr:uid="{00000000-0005-0000-0000-0000AF080000}"/>
    <cellStyle name="20% - uthevingsfarge 1 30 6 4 2" xfId="35171" xr:uid="{00000000-0005-0000-0000-0000B0080000}"/>
    <cellStyle name="20% - uthevingsfarge 1 30 6 5" xfId="33111" xr:uid="{00000000-0005-0000-0000-0000B1080000}"/>
    <cellStyle name="20% - uthevingsfarge 1 30 7" xfId="5016" xr:uid="{00000000-0005-0000-0000-0000B2080000}"/>
    <cellStyle name="20% - uthevingsfarge 1 30 7 2" xfId="6735" xr:uid="{00000000-0005-0000-0000-0000B3080000}"/>
    <cellStyle name="20% - uthevingsfarge 1 30 7 2 2" xfId="10141" xr:uid="{00000000-0005-0000-0000-0000B4080000}"/>
    <cellStyle name="20% - uthevingsfarge 1 30 7 2 2 2" xfId="22030" xr:uid="{00000000-0005-0000-0000-0000B5080000}"/>
    <cellStyle name="20% - uthevingsfarge 1 30 7 2 2 2 2" xfId="38105" xr:uid="{00000000-0005-0000-0000-0000B6080000}"/>
    <cellStyle name="20% - uthevingsfarge 1 30 7 2 2 3" xfId="27658" xr:uid="{00000000-0005-0000-0000-0000B7080000}"/>
    <cellStyle name="20% - uthevingsfarge 1 30 7 2 3" xfId="11956" xr:uid="{00000000-0005-0000-0000-0000B8080000}"/>
    <cellStyle name="20% - uthevingsfarge 1 30 7 2 3 2" xfId="34978" xr:uid="{00000000-0005-0000-0000-0000B9080000}"/>
    <cellStyle name="20% - uthevingsfarge 1 30 7 2 4" xfId="31059" xr:uid="{00000000-0005-0000-0000-0000BA080000}"/>
    <cellStyle name="20% - uthevingsfarge 1 30 7 3" xfId="8438" xr:uid="{00000000-0005-0000-0000-0000BB080000}"/>
    <cellStyle name="20% - uthevingsfarge 1 30 7 3 2" xfId="21092" xr:uid="{00000000-0005-0000-0000-0000BC080000}"/>
    <cellStyle name="20% - uthevingsfarge 1 30 7 3 2 2" xfId="37177" xr:uid="{00000000-0005-0000-0000-0000BD080000}"/>
    <cellStyle name="20% - uthevingsfarge 1 30 7 3 3" xfId="29360" xr:uid="{00000000-0005-0000-0000-0000BE080000}"/>
    <cellStyle name="20% - uthevingsfarge 1 30 7 4" xfId="12212" xr:uid="{00000000-0005-0000-0000-0000BF080000}"/>
    <cellStyle name="20% - uthevingsfarge 1 30 7 4 2" xfId="35127" xr:uid="{00000000-0005-0000-0000-0000C0080000}"/>
    <cellStyle name="20% - uthevingsfarge 1 30 7 5" xfId="32751" xr:uid="{00000000-0005-0000-0000-0000C1080000}"/>
    <cellStyle name="20% - uthevingsfarge 1 30 8" xfId="5232" xr:uid="{00000000-0005-0000-0000-0000C2080000}"/>
    <cellStyle name="20% - uthevingsfarge 1 30 8 2" xfId="8647" xr:uid="{00000000-0005-0000-0000-0000C3080000}"/>
    <cellStyle name="20% - uthevingsfarge 1 30 8 2 2" xfId="21149" xr:uid="{00000000-0005-0000-0000-0000C4080000}"/>
    <cellStyle name="20% - uthevingsfarge 1 30 8 2 2 2" xfId="37229" xr:uid="{00000000-0005-0000-0000-0000C5080000}"/>
    <cellStyle name="20% - uthevingsfarge 1 30 8 2 3" xfId="29151" xr:uid="{00000000-0005-0000-0000-0000C6080000}"/>
    <cellStyle name="20% - uthevingsfarge 1 30 8 3" xfId="10784" xr:uid="{00000000-0005-0000-0000-0000C7080000}"/>
    <cellStyle name="20% - uthevingsfarge 1 30 8 3 2" xfId="34607" xr:uid="{00000000-0005-0000-0000-0000C8080000}"/>
    <cellStyle name="20% - uthevingsfarge 1 30 8 4" xfId="32542" xr:uid="{00000000-0005-0000-0000-0000C9080000}"/>
    <cellStyle name="20% - uthevingsfarge 1 30 9" xfId="6900" xr:uid="{00000000-0005-0000-0000-0000CA080000}"/>
    <cellStyle name="20% - uthevingsfarge 1 30 9 2" xfId="24114" xr:uid="{00000000-0005-0000-0000-0000CB080000}"/>
    <cellStyle name="20% - uthevingsfarge 1 30 9 2 2" xfId="40167" xr:uid="{00000000-0005-0000-0000-0000CC080000}"/>
    <cellStyle name="20% - uthevingsfarge 1 30 9 3" xfId="30898" xr:uid="{00000000-0005-0000-0000-0000CD080000}"/>
    <cellStyle name="20% - uthevingsfarge 1 31" xfId="3434" xr:uid="{00000000-0005-0000-0000-0000CE080000}"/>
    <cellStyle name="20% - uthevingsfarge 1 31 2" xfId="3632" xr:uid="{00000000-0005-0000-0000-0000CF080000}"/>
    <cellStyle name="20% - uthevingsfarge 1 31 2 2" xfId="4060" xr:uid="{00000000-0005-0000-0000-0000D0080000}"/>
    <cellStyle name="20% - uthevingsfarge 1 31 2 2 2" xfId="5948" xr:uid="{00000000-0005-0000-0000-0000D1080000}"/>
    <cellStyle name="20% - uthevingsfarge 1 31 2 2 2 2" xfId="9363" xr:uid="{00000000-0005-0000-0000-0000D2080000}"/>
    <cellStyle name="20% - uthevingsfarge 1 31 2 2 2 2 2" xfId="21362" xr:uid="{00000000-0005-0000-0000-0000D3080000}"/>
    <cellStyle name="20% - uthevingsfarge 1 31 2 2 2 2 2 2" xfId="37442" xr:uid="{00000000-0005-0000-0000-0000D4080000}"/>
    <cellStyle name="20% - uthevingsfarge 1 31 2 2 2 2 3" xfId="28435" xr:uid="{00000000-0005-0000-0000-0000D5080000}"/>
    <cellStyle name="20% - uthevingsfarge 1 31 2 2 2 3" xfId="20262" xr:uid="{00000000-0005-0000-0000-0000D6080000}"/>
    <cellStyle name="20% - uthevingsfarge 1 31 2 2 2 3 2" xfId="36361" xr:uid="{00000000-0005-0000-0000-0000D7080000}"/>
    <cellStyle name="20% - uthevingsfarge 1 31 2 2 2 4" xfId="31830" xr:uid="{00000000-0005-0000-0000-0000D8080000}"/>
    <cellStyle name="20% - uthevingsfarge 1 31 2 2 3" xfId="7666" xr:uid="{00000000-0005-0000-0000-0000D9080000}"/>
    <cellStyle name="20% - uthevingsfarge 1 31 2 2 3 2" xfId="20857" xr:uid="{00000000-0005-0000-0000-0000DA080000}"/>
    <cellStyle name="20% - uthevingsfarge 1 31 2 2 3 2 2" xfId="36956" xr:uid="{00000000-0005-0000-0000-0000DB080000}"/>
    <cellStyle name="20% - uthevingsfarge 1 31 2 2 3 3" xfId="30132" xr:uid="{00000000-0005-0000-0000-0000DC080000}"/>
    <cellStyle name="20% - uthevingsfarge 1 31 2 2 4" xfId="23651" xr:uid="{00000000-0005-0000-0000-0000DD080000}"/>
    <cellStyle name="20% - uthevingsfarge 1 31 2 2 4 2" xfId="39707" xr:uid="{00000000-0005-0000-0000-0000DE080000}"/>
    <cellStyle name="20% - uthevingsfarge 1 31 2 2 5" xfId="33519" xr:uid="{00000000-0005-0000-0000-0000DF080000}"/>
    <cellStyle name="20% - uthevingsfarge 1 31 2 3" xfId="5000" xr:uid="{00000000-0005-0000-0000-0000E0080000}"/>
    <cellStyle name="20% - uthevingsfarge 1 31 2 3 2" xfId="6719" xr:uid="{00000000-0005-0000-0000-0000E1080000}"/>
    <cellStyle name="20% - uthevingsfarge 1 31 2 3 2 2" xfId="10125" xr:uid="{00000000-0005-0000-0000-0000E2080000}"/>
    <cellStyle name="20% - uthevingsfarge 1 31 2 3 2 2 2" xfId="24629" xr:uid="{00000000-0005-0000-0000-0000E3080000}"/>
    <cellStyle name="20% - uthevingsfarge 1 31 2 3 2 2 2 2" xfId="40673" xr:uid="{00000000-0005-0000-0000-0000E4080000}"/>
    <cellStyle name="20% - uthevingsfarge 1 31 2 3 2 2 3" xfId="27674" xr:uid="{00000000-0005-0000-0000-0000E5080000}"/>
    <cellStyle name="20% - uthevingsfarge 1 31 2 3 2 3" xfId="11959" xr:uid="{00000000-0005-0000-0000-0000E6080000}"/>
    <cellStyle name="20% - uthevingsfarge 1 31 2 3 2 3 2" xfId="34981" xr:uid="{00000000-0005-0000-0000-0000E7080000}"/>
    <cellStyle name="20% - uthevingsfarge 1 31 2 3 2 4" xfId="31075" xr:uid="{00000000-0005-0000-0000-0000E8080000}"/>
    <cellStyle name="20% - uthevingsfarge 1 31 2 3 3" xfId="8422" xr:uid="{00000000-0005-0000-0000-0000E9080000}"/>
    <cellStyle name="20% - uthevingsfarge 1 31 2 3 3 2" xfId="24657" xr:uid="{00000000-0005-0000-0000-0000EA080000}"/>
    <cellStyle name="20% - uthevingsfarge 1 31 2 3 3 2 2" xfId="40700" xr:uid="{00000000-0005-0000-0000-0000EB080000}"/>
    <cellStyle name="20% - uthevingsfarge 1 31 2 3 3 3" xfId="29376" xr:uid="{00000000-0005-0000-0000-0000EC080000}"/>
    <cellStyle name="20% - uthevingsfarge 1 31 2 3 4" xfId="10861" xr:uid="{00000000-0005-0000-0000-0000ED080000}"/>
    <cellStyle name="20% - uthevingsfarge 1 31 2 3 4 2" xfId="34659" xr:uid="{00000000-0005-0000-0000-0000EE080000}"/>
    <cellStyle name="20% - uthevingsfarge 1 31 2 3 5" xfId="32767" xr:uid="{00000000-0005-0000-0000-0000EF080000}"/>
    <cellStyle name="20% - uthevingsfarge 1 31 2 4" xfId="5554" xr:uid="{00000000-0005-0000-0000-0000F0080000}"/>
    <cellStyle name="20% - uthevingsfarge 1 31 2 4 2" xfId="8969" xr:uid="{00000000-0005-0000-0000-0000F1080000}"/>
    <cellStyle name="20% - uthevingsfarge 1 31 2 4 2 2" xfId="21235" xr:uid="{00000000-0005-0000-0000-0000F2080000}"/>
    <cellStyle name="20% - uthevingsfarge 1 31 2 4 2 2 2" xfId="37315" xr:uid="{00000000-0005-0000-0000-0000F3080000}"/>
    <cellStyle name="20% - uthevingsfarge 1 31 2 4 2 3" xfId="28829" xr:uid="{00000000-0005-0000-0000-0000F4080000}"/>
    <cellStyle name="20% - uthevingsfarge 1 31 2 4 3" xfId="22254" xr:uid="{00000000-0005-0000-0000-0000F5080000}"/>
    <cellStyle name="20% - uthevingsfarge 1 31 2 4 3 2" xfId="38328" xr:uid="{00000000-0005-0000-0000-0000F6080000}"/>
    <cellStyle name="20% - uthevingsfarge 1 31 2 4 4" xfId="32220" xr:uid="{00000000-0005-0000-0000-0000F7080000}"/>
    <cellStyle name="20% - uthevingsfarge 1 31 2 5" xfId="7272" xr:uid="{00000000-0005-0000-0000-0000F8080000}"/>
    <cellStyle name="20% - uthevingsfarge 1 31 2 5 2" xfId="20719" xr:uid="{00000000-0005-0000-0000-0000F9080000}"/>
    <cellStyle name="20% - uthevingsfarge 1 31 2 5 2 2" xfId="36818" xr:uid="{00000000-0005-0000-0000-0000FA080000}"/>
    <cellStyle name="20% - uthevingsfarge 1 31 2 5 3" xfId="30526" xr:uid="{00000000-0005-0000-0000-0000FB080000}"/>
    <cellStyle name="20% - uthevingsfarge 1 31 2 6" xfId="22519" xr:uid="{00000000-0005-0000-0000-0000FC080000}"/>
    <cellStyle name="20% - uthevingsfarge 1 31 2 6 2" xfId="38589" xr:uid="{00000000-0005-0000-0000-0000FD080000}"/>
    <cellStyle name="20% - uthevingsfarge 1 31 2 7" xfId="33913" xr:uid="{00000000-0005-0000-0000-0000FE080000}"/>
    <cellStyle name="20% - uthevingsfarge 1 31 3" xfId="3880" xr:uid="{00000000-0005-0000-0000-0000FF080000}"/>
    <cellStyle name="20% - uthevingsfarge 1 31 3 2" xfId="5768" xr:uid="{00000000-0005-0000-0000-000000090000}"/>
    <cellStyle name="20% - uthevingsfarge 1 31 3 2 2" xfId="9183" xr:uid="{00000000-0005-0000-0000-000001090000}"/>
    <cellStyle name="20% - uthevingsfarge 1 31 3 2 2 2" xfId="21305" xr:uid="{00000000-0005-0000-0000-000002090000}"/>
    <cellStyle name="20% - uthevingsfarge 1 31 3 2 2 2 2" xfId="37385" xr:uid="{00000000-0005-0000-0000-000003090000}"/>
    <cellStyle name="20% - uthevingsfarge 1 31 3 2 2 3" xfId="28615" xr:uid="{00000000-0005-0000-0000-000004090000}"/>
    <cellStyle name="20% - uthevingsfarge 1 31 3 2 3" xfId="22275" xr:uid="{00000000-0005-0000-0000-000005090000}"/>
    <cellStyle name="20% - uthevingsfarge 1 31 3 2 3 2" xfId="38347" xr:uid="{00000000-0005-0000-0000-000006090000}"/>
    <cellStyle name="20% - uthevingsfarge 1 31 3 2 4" xfId="32006" xr:uid="{00000000-0005-0000-0000-000007090000}"/>
    <cellStyle name="20% - uthevingsfarge 1 31 3 3" xfId="7486" xr:uid="{00000000-0005-0000-0000-000008090000}"/>
    <cellStyle name="20% - uthevingsfarge 1 31 3 3 2" xfId="22460" xr:uid="{00000000-0005-0000-0000-000009090000}"/>
    <cellStyle name="20% - uthevingsfarge 1 31 3 3 2 2" xfId="38532" xr:uid="{00000000-0005-0000-0000-00000A090000}"/>
    <cellStyle name="20% - uthevingsfarge 1 31 3 3 3" xfId="30312" xr:uid="{00000000-0005-0000-0000-00000B090000}"/>
    <cellStyle name="20% - uthevingsfarge 1 31 3 4" xfId="23784" xr:uid="{00000000-0005-0000-0000-00000C090000}"/>
    <cellStyle name="20% - uthevingsfarge 1 31 3 4 2" xfId="39840" xr:uid="{00000000-0005-0000-0000-00000D090000}"/>
    <cellStyle name="20% - uthevingsfarge 1 31 3 5" xfId="33699" xr:uid="{00000000-0005-0000-0000-00000E090000}"/>
    <cellStyle name="20% - uthevingsfarge 1 31 4" xfId="4820" xr:uid="{00000000-0005-0000-0000-00000F090000}"/>
    <cellStyle name="20% - uthevingsfarge 1 31 4 2" xfId="6539" xr:uid="{00000000-0005-0000-0000-000010090000}"/>
    <cellStyle name="20% - uthevingsfarge 1 31 4 2 2" xfId="9945" xr:uid="{00000000-0005-0000-0000-000011090000}"/>
    <cellStyle name="20% - uthevingsfarge 1 31 4 2 2 2" xfId="21545" xr:uid="{00000000-0005-0000-0000-000012090000}"/>
    <cellStyle name="20% - uthevingsfarge 1 31 4 2 2 2 2" xfId="37625" xr:uid="{00000000-0005-0000-0000-000013090000}"/>
    <cellStyle name="20% - uthevingsfarge 1 31 4 2 2 3" xfId="27854" xr:uid="{00000000-0005-0000-0000-000014090000}"/>
    <cellStyle name="20% - uthevingsfarge 1 31 4 2 3" xfId="24060" xr:uid="{00000000-0005-0000-0000-000015090000}"/>
    <cellStyle name="20% - uthevingsfarge 1 31 4 2 3 2" xfId="40113" xr:uid="{00000000-0005-0000-0000-000016090000}"/>
    <cellStyle name="20% - uthevingsfarge 1 31 4 2 4" xfId="31255" xr:uid="{00000000-0005-0000-0000-000017090000}"/>
    <cellStyle name="20% - uthevingsfarge 1 31 4 3" xfId="8242" xr:uid="{00000000-0005-0000-0000-000018090000}"/>
    <cellStyle name="20% - uthevingsfarge 1 31 4 3 2" xfId="10591" xr:uid="{00000000-0005-0000-0000-000019090000}"/>
    <cellStyle name="20% - uthevingsfarge 1 31 4 3 2 2" xfId="34440" xr:uid="{00000000-0005-0000-0000-00001A090000}"/>
    <cellStyle name="20% - uthevingsfarge 1 31 4 3 3" xfId="29555" xr:uid="{00000000-0005-0000-0000-00001B090000}"/>
    <cellStyle name="20% - uthevingsfarge 1 31 4 4" xfId="22691" xr:uid="{00000000-0005-0000-0000-00001C090000}"/>
    <cellStyle name="20% - uthevingsfarge 1 31 4 4 2" xfId="38760" xr:uid="{00000000-0005-0000-0000-00001D090000}"/>
    <cellStyle name="20% - uthevingsfarge 1 31 4 5" xfId="32947" xr:uid="{00000000-0005-0000-0000-00001E090000}"/>
    <cellStyle name="20% - uthevingsfarge 1 31 5" xfId="5384" xr:uid="{00000000-0005-0000-0000-00001F090000}"/>
    <cellStyle name="20% - uthevingsfarge 1 31 5 2" xfId="8799" xr:uid="{00000000-0005-0000-0000-000020090000}"/>
    <cellStyle name="20% - uthevingsfarge 1 31 5 2 2" xfId="22744" xr:uid="{00000000-0005-0000-0000-000021090000}"/>
    <cellStyle name="20% - uthevingsfarge 1 31 5 2 2 2" xfId="38813" xr:uid="{00000000-0005-0000-0000-000022090000}"/>
    <cellStyle name="20% - uthevingsfarge 1 31 5 2 3" xfId="28999" xr:uid="{00000000-0005-0000-0000-000023090000}"/>
    <cellStyle name="20% - uthevingsfarge 1 31 5 3" xfId="10720" xr:uid="{00000000-0005-0000-0000-000024090000}"/>
    <cellStyle name="20% - uthevingsfarge 1 31 5 3 2" xfId="34568" xr:uid="{00000000-0005-0000-0000-000025090000}"/>
    <cellStyle name="20% - uthevingsfarge 1 31 5 4" xfId="32390" xr:uid="{00000000-0005-0000-0000-000026090000}"/>
    <cellStyle name="20% - uthevingsfarge 1 31 6" xfId="7092" xr:uid="{00000000-0005-0000-0000-000027090000}"/>
    <cellStyle name="20% - uthevingsfarge 1 31 6 2" xfId="24148" xr:uid="{00000000-0005-0000-0000-000028090000}"/>
    <cellStyle name="20% - uthevingsfarge 1 31 6 2 2" xfId="40201" xr:uid="{00000000-0005-0000-0000-000029090000}"/>
    <cellStyle name="20% - uthevingsfarge 1 31 6 3" xfId="30706" xr:uid="{00000000-0005-0000-0000-00002A090000}"/>
    <cellStyle name="20% - uthevingsfarge 1 31 7" xfId="23761" xr:uid="{00000000-0005-0000-0000-00002B090000}"/>
    <cellStyle name="20% - uthevingsfarge 1 31 7 2" xfId="39817" xr:uid="{00000000-0005-0000-0000-00002C090000}"/>
    <cellStyle name="20% - uthevingsfarge 1 31 8" xfId="34093" xr:uid="{00000000-0005-0000-0000-00002D090000}"/>
    <cellStyle name="20% - uthevingsfarge 1 32" xfId="4444" xr:uid="{00000000-0005-0000-0000-00002E090000}"/>
    <cellStyle name="20% - uthevingsfarge 1 32 2" xfId="6241" xr:uid="{00000000-0005-0000-0000-00002F090000}"/>
    <cellStyle name="20% - uthevingsfarge 1 32 2 2" xfId="9651" xr:uid="{00000000-0005-0000-0000-000030090000}"/>
    <cellStyle name="20% - uthevingsfarge 1 32 2 2 2" xfId="19416" xr:uid="{00000000-0005-0000-0000-000031090000}"/>
    <cellStyle name="20% - uthevingsfarge 1 32 2 2 2 2" xfId="35530" xr:uid="{00000000-0005-0000-0000-000032090000}"/>
    <cellStyle name="20% - uthevingsfarge 1 32 2 2 3" xfId="28148" xr:uid="{00000000-0005-0000-0000-000033090000}"/>
    <cellStyle name="20% - uthevingsfarge 1 32 2 3" xfId="20376" xr:uid="{00000000-0005-0000-0000-000034090000}"/>
    <cellStyle name="20% - uthevingsfarge 1 32 2 3 2" xfId="36475" xr:uid="{00000000-0005-0000-0000-000035090000}"/>
    <cellStyle name="20% - uthevingsfarge 1 32 2 4" xfId="31549" xr:uid="{00000000-0005-0000-0000-000036090000}"/>
    <cellStyle name="20% - uthevingsfarge 1 32 3" xfId="7947" xr:uid="{00000000-0005-0000-0000-000037090000}"/>
    <cellStyle name="20% - uthevingsfarge 1 32 3 2" xfId="20955" xr:uid="{00000000-0005-0000-0000-000038090000}"/>
    <cellStyle name="20% - uthevingsfarge 1 32 3 2 2" xfId="37051" xr:uid="{00000000-0005-0000-0000-000039090000}"/>
    <cellStyle name="20% - uthevingsfarge 1 32 3 3" xfId="29852" xr:uid="{00000000-0005-0000-0000-00003A090000}"/>
    <cellStyle name="20% - uthevingsfarge 1 32 4" xfId="10978" xr:uid="{00000000-0005-0000-0000-00003B090000}"/>
    <cellStyle name="20% - uthevingsfarge 1 32 4 2" xfId="34712" xr:uid="{00000000-0005-0000-0000-00003C090000}"/>
    <cellStyle name="20% - uthevingsfarge 1 32 5" xfId="33241" xr:uid="{00000000-0005-0000-0000-00003D090000}"/>
    <cellStyle name="20% - uthevingsfarge 1 33" xfId="5349" xr:uid="{00000000-0005-0000-0000-00003E090000}"/>
    <cellStyle name="20% - uthevingsfarge 1 33 2" xfId="8764" xr:uid="{00000000-0005-0000-0000-00003F090000}"/>
    <cellStyle name="20% - uthevingsfarge 1 33 2 2" xfId="21185" xr:uid="{00000000-0005-0000-0000-000040090000}"/>
    <cellStyle name="20% - uthevingsfarge 1 33 2 2 2" xfId="37265" xr:uid="{00000000-0005-0000-0000-000041090000}"/>
    <cellStyle name="20% - uthevingsfarge 1 33 2 3" xfId="29034" xr:uid="{00000000-0005-0000-0000-000042090000}"/>
    <cellStyle name="20% - uthevingsfarge 1 33 3" xfId="10727" xr:uid="{00000000-0005-0000-0000-000043090000}"/>
    <cellStyle name="20% - uthevingsfarge 1 33 3 2" xfId="34575" xr:uid="{00000000-0005-0000-0000-000044090000}"/>
    <cellStyle name="20% - uthevingsfarge 1 33 4" xfId="32425" xr:uid="{00000000-0005-0000-0000-000045090000}"/>
    <cellStyle name="20% - uthevingsfarge 1 34" xfId="40942" xr:uid="{00000000-0005-0000-0000-000046090000}"/>
    <cellStyle name="20% - uthevingsfarge 1 35" xfId="43142" xr:uid="{00000000-0005-0000-0000-000047090000}"/>
    <cellStyle name="20% - uthevingsfarge 1 36" xfId="40898" xr:uid="{00000000-0005-0000-0000-000048090000}"/>
    <cellStyle name="20% - uthevingsfarge 1 37" xfId="40815" xr:uid="{00000000-0005-0000-0000-000049090000}"/>
    <cellStyle name="20% - uthevingsfarge 1 38" xfId="40867" xr:uid="{00000000-0005-0000-0000-00004A090000}"/>
    <cellStyle name="20% - uthevingsfarge 1 39" xfId="40842" xr:uid="{00000000-0005-0000-0000-00004B090000}"/>
    <cellStyle name="20% - uthevingsfarge 1 4" xfId="312" xr:uid="{00000000-0005-0000-0000-00004C090000}"/>
    <cellStyle name="20% - uthevingsfarge 1 4 2" xfId="313" xr:uid="{00000000-0005-0000-0000-00004D090000}"/>
    <cellStyle name="20% - uthevingsfarge 1 40" xfId="40854" xr:uid="{00000000-0005-0000-0000-00004E090000}"/>
    <cellStyle name="20% - uthevingsfarge 1 41" xfId="43203" xr:uid="{00000000-0005-0000-0000-00004F090000}"/>
    <cellStyle name="20% - uthevingsfarge 1 42" xfId="43417" xr:uid="{00000000-0005-0000-0000-000050090000}"/>
    <cellStyle name="20% - uthevingsfarge 1 43" xfId="46078" xr:uid="{00000000-0005-0000-0000-000051090000}"/>
    <cellStyle name="20% - uthevingsfarge 1 44" xfId="46288" xr:uid="{00000000-0005-0000-0000-000052090000}"/>
    <cellStyle name="20% - uthevingsfarge 1 45" xfId="46102" xr:uid="{00000000-0005-0000-0000-000053090000}"/>
    <cellStyle name="20% - uthevingsfarge 1 46" xfId="46305" xr:uid="{00000000-0005-0000-0000-000054090000}"/>
    <cellStyle name="20% - uthevingsfarge 1 47" xfId="46848" xr:uid="{00000000-0005-0000-0000-000055090000}"/>
    <cellStyle name="20% - uthevingsfarge 1 48" xfId="46345" xr:uid="{00000000-0005-0000-0000-000056090000}"/>
    <cellStyle name="20% - uthevingsfarge 1 49" xfId="46812" xr:uid="{00000000-0005-0000-0000-000057090000}"/>
    <cellStyle name="20% - uthevingsfarge 1 5" xfId="314" xr:uid="{00000000-0005-0000-0000-000058090000}"/>
    <cellStyle name="20% - uthevingsfarge 1 5 2" xfId="315" xr:uid="{00000000-0005-0000-0000-000059090000}"/>
    <cellStyle name="20% - uthevingsfarge 1 50" xfId="46559" xr:uid="{00000000-0005-0000-0000-00005A090000}"/>
    <cellStyle name="20% - uthevingsfarge 1 51" xfId="46563" xr:uid="{00000000-0005-0000-0000-00005B090000}"/>
    <cellStyle name="20% - uthevingsfarge 1 6" xfId="316" xr:uid="{00000000-0005-0000-0000-00005C090000}"/>
    <cellStyle name="20% - uthevingsfarge 1 6 2" xfId="317" xr:uid="{00000000-0005-0000-0000-00005D090000}"/>
    <cellStyle name="20% - uthevingsfarge 1 7" xfId="318" xr:uid="{00000000-0005-0000-0000-00005E090000}"/>
    <cellStyle name="20% - uthevingsfarge 1 7 2" xfId="319" xr:uid="{00000000-0005-0000-0000-00005F090000}"/>
    <cellStyle name="20% - uthevingsfarge 1 8" xfId="320" xr:uid="{00000000-0005-0000-0000-000060090000}"/>
    <cellStyle name="20% - uthevingsfarge 1 8 2" xfId="321" xr:uid="{00000000-0005-0000-0000-000061090000}"/>
    <cellStyle name="20% - uthevingsfarge 1 9" xfId="322" xr:uid="{00000000-0005-0000-0000-000062090000}"/>
    <cellStyle name="20% - uthevingsfarge 1 9 2" xfId="323" xr:uid="{00000000-0005-0000-0000-000063090000}"/>
    <cellStyle name="20% - uthevingsfarge 2" xfId="4565" xr:uid="{00000000-0005-0000-0000-000064090000}"/>
    <cellStyle name="20% - uthevingsfarge 2 10" xfId="325" xr:uid="{00000000-0005-0000-0000-000065090000}"/>
    <cellStyle name="20% - uthevingsfarge 2 10 2" xfId="326" xr:uid="{00000000-0005-0000-0000-000066090000}"/>
    <cellStyle name="20% - uthevingsfarge 2 11" xfId="327" xr:uid="{00000000-0005-0000-0000-000067090000}"/>
    <cellStyle name="20% - uthevingsfarge 2 11 2" xfId="328" xr:uid="{00000000-0005-0000-0000-000068090000}"/>
    <cellStyle name="20% - uthevingsfarge 2 12" xfId="329" xr:uid="{00000000-0005-0000-0000-000069090000}"/>
    <cellStyle name="20% - uthevingsfarge 2 12 2" xfId="330" xr:uid="{00000000-0005-0000-0000-00006A090000}"/>
    <cellStyle name="20% - uthevingsfarge 2 13" xfId="331" xr:uid="{00000000-0005-0000-0000-00006B090000}"/>
    <cellStyle name="20% - uthevingsfarge 2 13 2" xfId="332" xr:uid="{00000000-0005-0000-0000-00006C090000}"/>
    <cellStyle name="20% - uthevingsfarge 2 14" xfId="333" xr:uid="{00000000-0005-0000-0000-00006D090000}"/>
    <cellStyle name="20% - uthevingsfarge 2 14 2" xfId="334" xr:uid="{00000000-0005-0000-0000-00006E090000}"/>
    <cellStyle name="20% - uthevingsfarge 2 15" xfId="335" xr:uid="{00000000-0005-0000-0000-00006F090000}"/>
    <cellStyle name="20% - uthevingsfarge 2 15 2" xfId="336" xr:uid="{00000000-0005-0000-0000-000070090000}"/>
    <cellStyle name="20% - uthevingsfarge 2 16" xfId="337" xr:uid="{00000000-0005-0000-0000-000071090000}"/>
    <cellStyle name="20% - uthevingsfarge 2 16 2" xfId="338" xr:uid="{00000000-0005-0000-0000-000072090000}"/>
    <cellStyle name="20% - uthevingsfarge 2 17" xfId="339" xr:uid="{00000000-0005-0000-0000-000073090000}"/>
    <cellStyle name="20% - uthevingsfarge 2 17 2" xfId="340" xr:uid="{00000000-0005-0000-0000-000074090000}"/>
    <cellStyle name="20% - uthevingsfarge 2 18" xfId="341" xr:uid="{00000000-0005-0000-0000-000075090000}"/>
    <cellStyle name="20% - uthevingsfarge 2 18 2" xfId="342" xr:uid="{00000000-0005-0000-0000-000076090000}"/>
    <cellStyle name="20% - uthevingsfarge 2 19" xfId="343" xr:uid="{00000000-0005-0000-0000-000077090000}"/>
    <cellStyle name="20% - uthevingsfarge 2 19 2" xfId="344" xr:uid="{00000000-0005-0000-0000-000078090000}"/>
    <cellStyle name="20% - uthevingsfarge 2 2" xfId="345" xr:uid="{00000000-0005-0000-0000-000079090000}"/>
    <cellStyle name="20% - uthevingsfarge 2 2 2" xfId="346" xr:uid="{00000000-0005-0000-0000-00007A090000}"/>
    <cellStyle name="20% - uthevingsfarge 2 2 3" xfId="347" xr:uid="{00000000-0005-0000-0000-00007B090000}"/>
    <cellStyle name="20% - uthevingsfarge 2 2 4" xfId="348" xr:uid="{00000000-0005-0000-0000-00007C090000}"/>
    <cellStyle name="20% - uthevingsfarge 2 2 5" xfId="10799" xr:uid="{00000000-0005-0000-0000-00007D090000}"/>
    <cellStyle name="20% - uthevingsfarge 2 2 6" xfId="10800" xr:uid="{00000000-0005-0000-0000-00007E090000}"/>
    <cellStyle name="20% - uthevingsfarge 2 2 7" xfId="10801" xr:uid="{00000000-0005-0000-0000-00007F090000}"/>
    <cellStyle name="20% - uthevingsfarge 2 2 8" xfId="10802" xr:uid="{00000000-0005-0000-0000-000080090000}"/>
    <cellStyle name="20% - uthevingsfarge 2 2 9" xfId="10803" xr:uid="{00000000-0005-0000-0000-000081090000}"/>
    <cellStyle name="20% - uthevingsfarge 2 20" xfId="349" xr:uid="{00000000-0005-0000-0000-000082090000}"/>
    <cellStyle name="20% - uthevingsfarge 2 20 2" xfId="350" xr:uid="{00000000-0005-0000-0000-000083090000}"/>
    <cellStyle name="20% - uthevingsfarge 2 21" xfId="351" xr:uid="{00000000-0005-0000-0000-000084090000}"/>
    <cellStyle name="20% - uthevingsfarge 2 22" xfId="352" xr:uid="{00000000-0005-0000-0000-000085090000}"/>
    <cellStyle name="20% - uthevingsfarge 2 23" xfId="353" xr:uid="{00000000-0005-0000-0000-000086090000}"/>
    <cellStyle name="20% - uthevingsfarge 2 24" xfId="354" xr:uid="{00000000-0005-0000-0000-000087090000}"/>
    <cellStyle name="20% - uthevingsfarge 2 25" xfId="355" xr:uid="{00000000-0005-0000-0000-000088090000}"/>
    <cellStyle name="20% - uthevingsfarge 2 26" xfId="356" xr:uid="{00000000-0005-0000-0000-000089090000}"/>
    <cellStyle name="20% - uthevingsfarge 2 26 10" xfId="6902" xr:uid="{00000000-0005-0000-0000-00008A090000}"/>
    <cellStyle name="20% - uthevingsfarge 2 26 10 2" xfId="23113" xr:uid="{00000000-0005-0000-0000-00008B090000}"/>
    <cellStyle name="20% - uthevingsfarge 2 26 10 2 2" xfId="39182" xr:uid="{00000000-0005-0000-0000-00008C090000}"/>
    <cellStyle name="20% - uthevingsfarge 2 26 10 3" xfId="30896" xr:uid="{00000000-0005-0000-0000-00008D090000}"/>
    <cellStyle name="20% - uthevingsfarge 2 26 11" xfId="10811" xr:uid="{00000000-0005-0000-0000-00008E090000}"/>
    <cellStyle name="20% - uthevingsfarge 2 26 12" xfId="34284" xr:uid="{00000000-0005-0000-0000-00008F090000}"/>
    <cellStyle name="20% - uthevingsfarge 2 26 2" xfId="357" xr:uid="{00000000-0005-0000-0000-000090090000}"/>
    <cellStyle name="20% - uthevingsfarge 2 26 3" xfId="3314" xr:uid="{00000000-0005-0000-0000-000091090000}"/>
    <cellStyle name="20% - uthevingsfarge 2 26 3 10" xfId="34177" xr:uid="{00000000-0005-0000-0000-000092090000}"/>
    <cellStyle name="20% - uthevingsfarge 2 26 3 2" xfId="3546" xr:uid="{00000000-0005-0000-0000-000093090000}"/>
    <cellStyle name="20% - uthevingsfarge 2 26 3 2 10" xfId="47145" xr:uid="{00000000-0005-0000-0000-000094090000}"/>
    <cellStyle name="20% - uthevingsfarge 2 26 3 2 2" xfId="3976" xr:uid="{00000000-0005-0000-0000-000095090000}"/>
    <cellStyle name="20% - uthevingsfarge 2 26 3 2 2 2" xfId="5864" xr:uid="{00000000-0005-0000-0000-000096090000}"/>
    <cellStyle name="20% - uthevingsfarge 2 26 3 2 2 2 2" xfId="9279" xr:uid="{00000000-0005-0000-0000-000097090000}"/>
    <cellStyle name="20% - uthevingsfarge 2 26 3 2 2 2 2 2" xfId="21335" xr:uid="{00000000-0005-0000-0000-000098090000}"/>
    <cellStyle name="20% - uthevingsfarge 2 26 3 2 2 2 2 2 2" xfId="37415" xr:uid="{00000000-0005-0000-0000-000099090000}"/>
    <cellStyle name="20% - uthevingsfarge 2 26 3 2 2 2 2 3" xfId="28519" xr:uid="{00000000-0005-0000-0000-00009A090000}"/>
    <cellStyle name="20% - uthevingsfarge 2 26 3 2 2 2 3" xfId="22095" xr:uid="{00000000-0005-0000-0000-00009B090000}"/>
    <cellStyle name="20% - uthevingsfarge 2 26 3 2 2 2 3 2" xfId="38169" xr:uid="{00000000-0005-0000-0000-00009C090000}"/>
    <cellStyle name="20% - uthevingsfarge 2 26 3 2 2 2 4" xfId="31910" xr:uid="{00000000-0005-0000-0000-00009D090000}"/>
    <cellStyle name="20% - uthevingsfarge 2 26 3 2 2 3" xfId="7582" xr:uid="{00000000-0005-0000-0000-00009E090000}"/>
    <cellStyle name="20% - uthevingsfarge 2 26 3 2 2 3 2" xfId="20825" xr:uid="{00000000-0005-0000-0000-00009F090000}"/>
    <cellStyle name="20% - uthevingsfarge 2 26 3 2 2 3 2 2" xfId="36924" xr:uid="{00000000-0005-0000-0000-0000A0090000}"/>
    <cellStyle name="20% - uthevingsfarge 2 26 3 2 2 3 3" xfId="30216" xr:uid="{00000000-0005-0000-0000-0000A1090000}"/>
    <cellStyle name="20% - uthevingsfarge 2 26 3 2 2 4" xfId="17953" xr:uid="{00000000-0005-0000-0000-0000A2090000}"/>
    <cellStyle name="20% - uthevingsfarge 2 26 3 2 2 5" xfId="21827" xr:uid="{00000000-0005-0000-0000-0000A3090000}"/>
    <cellStyle name="20% - uthevingsfarge 2 26 3 2 2 5 2" xfId="37903" xr:uid="{00000000-0005-0000-0000-0000A4090000}"/>
    <cellStyle name="20% - uthevingsfarge 2 26 3 2 2 6" xfId="33603" xr:uid="{00000000-0005-0000-0000-0000A5090000}"/>
    <cellStyle name="20% - uthevingsfarge 2 26 3 2 3" xfId="4916" xr:uid="{00000000-0005-0000-0000-0000A6090000}"/>
    <cellStyle name="20% - uthevingsfarge 2 26 3 2 3 10" xfId="47335" xr:uid="{00000000-0005-0000-0000-0000A7090000}"/>
    <cellStyle name="20% - uthevingsfarge 2 26 3 2 3 2" xfId="6635" xr:uid="{00000000-0005-0000-0000-0000A8090000}"/>
    <cellStyle name="20% - uthevingsfarge 2 26 3 2 3 2 2" xfId="10041" xr:uid="{00000000-0005-0000-0000-0000A9090000}"/>
    <cellStyle name="20% - uthevingsfarge 2 26 3 2 3 2 2 2" xfId="21809" xr:uid="{00000000-0005-0000-0000-0000AA090000}"/>
    <cellStyle name="20% - uthevingsfarge 2 26 3 2 3 2 2 2 2" xfId="37885" xr:uid="{00000000-0005-0000-0000-0000AB090000}"/>
    <cellStyle name="20% - uthevingsfarge 2 26 3 2 3 2 2 3" xfId="27758" xr:uid="{00000000-0005-0000-0000-0000AC090000}"/>
    <cellStyle name="20% - uthevingsfarge 2 26 3 2 3 2 3" xfId="22373" xr:uid="{00000000-0005-0000-0000-0000AD090000}"/>
    <cellStyle name="20% - uthevingsfarge 2 26 3 2 3 2 3 2" xfId="38445" xr:uid="{00000000-0005-0000-0000-0000AE090000}"/>
    <cellStyle name="20% - uthevingsfarge 2 26 3 2 3 2 4" xfId="31159" xr:uid="{00000000-0005-0000-0000-0000AF090000}"/>
    <cellStyle name="20% - uthevingsfarge 2 26 3 2 3 2 5" xfId="43029" xr:uid="{00000000-0005-0000-0000-0000B0090000}"/>
    <cellStyle name="20% - uthevingsfarge 2 26 3 2 3 2 6" xfId="43326" xr:uid="{00000000-0005-0000-0000-0000B1090000}"/>
    <cellStyle name="20% - uthevingsfarge 2 26 3 2 3 2 7" xfId="46174" xr:uid="{00000000-0005-0000-0000-0000B2090000}"/>
    <cellStyle name="20% - uthevingsfarge 2 26 3 2 3 2 8" xfId="46946" xr:uid="{00000000-0005-0000-0000-0000B3090000}"/>
    <cellStyle name="20% - uthevingsfarge 2 26 3 2 3 2 9" xfId="47531" xr:uid="{00000000-0005-0000-0000-0000B4090000}"/>
    <cellStyle name="20% - uthevingsfarge 2 26 3 2 3 3" xfId="8338" xr:uid="{00000000-0005-0000-0000-0000B5090000}"/>
    <cellStyle name="20% - uthevingsfarge 2 26 3 2 3 3 2" xfId="19485" xr:uid="{00000000-0005-0000-0000-0000B6090000}"/>
    <cellStyle name="20% - uthevingsfarge 2 26 3 2 3 3 2 2" xfId="35599" xr:uid="{00000000-0005-0000-0000-0000B7090000}"/>
    <cellStyle name="20% - uthevingsfarge 2 26 3 2 3 3 3" xfId="29460" xr:uid="{00000000-0005-0000-0000-0000B8090000}"/>
    <cellStyle name="20% - uthevingsfarge 2 26 3 2 3 3 4" xfId="43879" xr:uid="{00000000-0005-0000-0000-0000B9090000}"/>
    <cellStyle name="20% - uthevingsfarge 2 26 3 2 3 4" xfId="16474" xr:uid="{00000000-0005-0000-0000-0000BA090000}"/>
    <cellStyle name="20% - uthevingsfarge 2 26 3 2 3 4 2" xfId="35421" xr:uid="{00000000-0005-0000-0000-0000BB090000}"/>
    <cellStyle name="20% - uthevingsfarge 2 26 3 2 3 5" xfId="25083" xr:uid="{00000000-0005-0000-0000-0000BC090000}"/>
    <cellStyle name="20% - uthevingsfarge 2 26 3 2 3 6" xfId="25244" xr:uid="{00000000-0005-0000-0000-0000BD090000}"/>
    <cellStyle name="20% - uthevingsfarge 2 26 3 2 3 7" xfId="32851" xr:uid="{00000000-0005-0000-0000-0000BE090000}"/>
    <cellStyle name="20% - uthevingsfarge 2 26 3 2 3 8" xfId="43787" xr:uid="{00000000-0005-0000-0000-0000BF090000}"/>
    <cellStyle name="20% - uthevingsfarge 2 26 3 2 3 9" xfId="46712" xr:uid="{00000000-0005-0000-0000-0000C0090000}"/>
    <cellStyle name="20% - uthevingsfarge 2 26 3 2 4" xfId="5470" xr:uid="{00000000-0005-0000-0000-0000C1090000}"/>
    <cellStyle name="20% - uthevingsfarge 2 26 3 2 4 2" xfId="8885" xr:uid="{00000000-0005-0000-0000-0000C2090000}"/>
    <cellStyle name="20% - uthevingsfarge 2 26 3 2 4 2 2" xfId="10481" xr:uid="{00000000-0005-0000-0000-0000C3090000}"/>
    <cellStyle name="20% - uthevingsfarge 2 26 3 2 4 2 2 2" xfId="34385" xr:uid="{00000000-0005-0000-0000-0000C4090000}"/>
    <cellStyle name="20% - uthevingsfarge 2 26 3 2 4 2 3" xfId="28913" xr:uid="{00000000-0005-0000-0000-0000C5090000}"/>
    <cellStyle name="20% - uthevingsfarge 2 26 3 2 4 3" xfId="10697" xr:uid="{00000000-0005-0000-0000-0000C6090000}"/>
    <cellStyle name="20% - uthevingsfarge 2 26 3 2 4 3 2" xfId="34545" xr:uid="{00000000-0005-0000-0000-0000C7090000}"/>
    <cellStyle name="20% - uthevingsfarge 2 26 3 2 4 4" xfId="32304" xr:uid="{00000000-0005-0000-0000-0000C8090000}"/>
    <cellStyle name="20% - uthevingsfarge 2 26 3 2 5" xfId="7188" xr:uid="{00000000-0005-0000-0000-0000C9090000}"/>
    <cellStyle name="20% - uthevingsfarge 2 26 3 2 5 2" xfId="10638" xr:uid="{00000000-0005-0000-0000-0000CA090000}"/>
    <cellStyle name="20% - uthevingsfarge 2 26 3 2 5 2 2" xfId="34486" xr:uid="{00000000-0005-0000-0000-0000CB090000}"/>
    <cellStyle name="20% - uthevingsfarge 2 26 3 2 5 3" xfId="30610" xr:uid="{00000000-0005-0000-0000-0000CC090000}"/>
    <cellStyle name="20% - uthevingsfarge 2 26 3 2 6" xfId="10814" xr:uid="{00000000-0005-0000-0000-0000CD090000}"/>
    <cellStyle name="20% - uthevingsfarge 2 26 3 2 7" xfId="33997" xr:uid="{00000000-0005-0000-0000-0000CE090000}"/>
    <cellStyle name="20% - uthevingsfarge 2 26 3 2 8" xfId="43578" xr:uid="{00000000-0005-0000-0000-0000CF090000}"/>
    <cellStyle name="20% - uthevingsfarge 2 26 3 2 9" xfId="46484" xr:uid="{00000000-0005-0000-0000-0000D0090000}"/>
    <cellStyle name="20% - uthevingsfarge 2 26 3 2_Avviksanalyse løpende RNB15 (1)" xfId="16569" xr:uid="{00000000-0005-0000-0000-0000D1090000}"/>
    <cellStyle name="20% - uthevingsfarge 2 26 3 3" xfId="3796" xr:uid="{00000000-0005-0000-0000-0000D2090000}"/>
    <cellStyle name="20% - uthevingsfarge 2 26 3 3 2" xfId="5684" xr:uid="{00000000-0005-0000-0000-0000D3090000}"/>
    <cellStyle name="20% - uthevingsfarge 2 26 3 3 2 2" xfId="9099" xr:uid="{00000000-0005-0000-0000-0000D4090000}"/>
    <cellStyle name="20% - uthevingsfarge 2 26 3 3 2 2 2" xfId="23453" xr:uid="{00000000-0005-0000-0000-0000D5090000}"/>
    <cellStyle name="20% - uthevingsfarge 2 26 3 3 2 2 2 2" xfId="39509" xr:uid="{00000000-0005-0000-0000-0000D6090000}"/>
    <cellStyle name="20% - uthevingsfarge 2 26 3 3 2 2 3" xfId="28699" xr:uid="{00000000-0005-0000-0000-0000D7090000}"/>
    <cellStyle name="20% - uthevingsfarge 2 26 3 3 2 3" xfId="22897" xr:uid="{00000000-0005-0000-0000-0000D8090000}"/>
    <cellStyle name="20% - uthevingsfarge 2 26 3 3 2 3 2" xfId="38966" xr:uid="{00000000-0005-0000-0000-0000D9090000}"/>
    <cellStyle name="20% - uthevingsfarge 2 26 3 3 2 4" xfId="32090" xr:uid="{00000000-0005-0000-0000-0000DA090000}"/>
    <cellStyle name="20% - uthevingsfarge 2 26 3 3 3" xfId="7402" xr:uid="{00000000-0005-0000-0000-0000DB090000}"/>
    <cellStyle name="20% - uthevingsfarge 2 26 3 3 3 2" xfId="20771" xr:uid="{00000000-0005-0000-0000-0000DC090000}"/>
    <cellStyle name="20% - uthevingsfarge 2 26 3 3 3 2 2" xfId="36870" xr:uid="{00000000-0005-0000-0000-0000DD090000}"/>
    <cellStyle name="20% - uthevingsfarge 2 26 3 3 3 3" xfId="30396" xr:uid="{00000000-0005-0000-0000-0000DE090000}"/>
    <cellStyle name="20% - uthevingsfarge 2 26 3 3 4" xfId="19931" xr:uid="{00000000-0005-0000-0000-0000DF090000}"/>
    <cellStyle name="20% - uthevingsfarge 2 26 3 3 4 2" xfId="36035" xr:uid="{00000000-0005-0000-0000-0000E0090000}"/>
    <cellStyle name="20% - uthevingsfarge 2 26 3 3 5" xfId="33783" xr:uid="{00000000-0005-0000-0000-0000E1090000}"/>
    <cellStyle name="20% - uthevingsfarge 2 26 3 4" xfId="4281" xr:uid="{00000000-0005-0000-0000-0000E2090000}"/>
    <cellStyle name="20% - uthevingsfarge 2 26 3 4 2" xfId="6110" xr:uid="{00000000-0005-0000-0000-0000E3090000}"/>
    <cellStyle name="20% - uthevingsfarge 2 26 3 4 2 2" xfId="9524" xr:uid="{00000000-0005-0000-0000-0000E4090000}"/>
    <cellStyle name="20% - uthevingsfarge 2 26 3 4 2 2 2" xfId="21412" xr:uid="{00000000-0005-0000-0000-0000E5090000}"/>
    <cellStyle name="20% - uthevingsfarge 2 26 3 4 2 2 2 2" xfId="37492" xr:uid="{00000000-0005-0000-0000-0000E6090000}"/>
    <cellStyle name="20% - uthevingsfarge 2 26 3 4 2 2 3" xfId="28274" xr:uid="{00000000-0005-0000-0000-0000E7090000}"/>
    <cellStyle name="20% - uthevingsfarge 2 26 3 4 2 3" xfId="20327" xr:uid="{00000000-0005-0000-0000-0000E8090000}"/>
    <cellStyle name="20% - uthevingsfarge 2 26 3 4 2 3 2" xfId="36426" xr:uid="{00000000-0005-0000-0000-0000E9090000}"/>
    <cellStyle name="20% - uthevingsfarge 2 26 3 4 2 4" xfId="31669" xr:uid="{00000000-0005-0000-0000-0000EA090000}"/>
    <cellStyle name="20% - uthevingsfarge 2 26 3 4 3" xfId="7843" xr:uid="{00000000-0005-0000-0000-0000EB090000}"/>
    <cellStyle name="20% - uthevingsfarge 2 26 3 4 3 2" xfId="24651" xr:uid="{00000000-0005-0000-0000-0000EC090000}"/>
    <cellStyle name="20% - uthevingsfarge 2 26 3 4 3 2 2" xfId="40695" xr:uid="{00000000-0005-0000-0000-0000ED090000}"/>
    <cellStyle name="20% - uthevingsfarge 2 26 3 4 3 3" xfId="29956" xr:uid="{00000000-0005-0000-0000-0000EE090000}"/>
    <cellStyle name="20% - uthevingsfarge 2 26 3 4 4" xfId="19997" xr:uid="{00000000-0005-0000-0000-0000EF090000}"/>
    <cellStyle name="20% - uthevingsfarge 2 26 3 4 4 2" xfId="36101" xr:uid="{00000000-0005-0000-0000-0000F0090000}"/>
    <cellStyle name="20% - uthevingsfarge 2 26 3 4 5" xfId="33344" xr:uid="{00000000-0005-0000-0000-0000F1090000}"/>
    <cellStyle name="20% - uthevingsfarge 2 26 3 5" xfId="4736" xr:uid="{00000000-0005-0000-0000-0000F2090000}"/>
    <cellStyle name="20% - uthevingsfarge 2 26 3 5 2" xfId="6456" xr:uid="{00000000-0005-0000-0000-0000F3090000}"/>
    <cellStyle name="20% - uthevingsfarge 2 26 3 5 2 2" xfId="9862" xr:uid="{00000000-0005-0000-0000-0000F4090000}"/>
    <cellStyle name="20% - uthevingsfarge 2 26 3 5 2 2 2" xfId="24577" xr:uid="{00000000-0005-0000-0000-0000F5090000}"/>
    <cellStyle name="20% - uthevingsfarge 2 26 3 5 2 2 2 2" xfId="40621" xr:uid="{00000000-0005-0000-0000-0000F6090000}"/>
    <cellStyle name="20% - uthevingsfarge 2 26 3 5 2 2 3" xfId="27937" xr:uid="{00000000-0005-0000-0000-0000F7090000}"/>
    <cellStyle name="20% - uthevingsfarge 2 26 3 5 2 3" xfId="20458" xr:uid="{00000000-0005-0000-0000-0000F8090000}"/>
    <cellStyle name="20% - uthevingsfarge 2 26 3 5 2 3 2" xfId="36557" xr:uid="{00000000-0005-0000-0000-0000F9090000}"/>
    <cellStyle name="20% - uthevingsfarge 2 26 3 5 2 4" xfId="31338" xr:uid="{00000000-0005-0000-0000-0000FA090000}"/>
    <cellStyle name="20% - uthevingsfarge 2 26 3 5 3" xfId="8158" xr:uid="{00000000-0005-0000-0000-0000FB090000}"/>
    <cellStyle name="20% - uthevingsfarge 2 26 3 5 3 2" xfId="23322" xr:uid="{00000000-0005-0000-0000-0000FC090000}"/>
    <cellStyle name="20% - uthevingsfarge 2 26 3 5 3 2 2" xfId="39387" xr:uid="{00000000-0005-0000-0000-0000FD090000}"/>
    <cellStyle name="20% - uthevingsfarge 2 26 3 5 3 3" xfId="29640" xr:uid="{00000000-0005-0000-0000-0000FE090000}"/>
    <cellStyle name="20% - uthevingsfarge 2 26 3 5 4" xfId="19694" xr:uid="{00000000-0005-0000-0000-0000FF090000}"/>
    <cellStyle name="20% - uthevingsfarge 2 26 3 5 4 2" xfId="35808" xr:uid="{00000000-0005-0000-0000-0000000A0000}"/>
    <cellStyle name="20% - uthevingsfarge 2 26 3 5 5" xfId="33031" xr:uid="{00000000-0005-0000-0000-0000010A0000}"/>
    <cellStyle name="20% - uthevingsfarge 2 26 3 6" xfId="5096" xr:uid="{00000000-0005-0000-0000-0000020A0000}"/>
    <cellStyle name="20% - uthevingsfarge 2 26 3 6 2" xfId="6815" xr:uid="{00000000-0005-0000-0000-0000030A0000}"/>
    <cellStyle name="20% - uthevingsfarge 2 26 3 6 2 2" xfId="10221" xr:uid="{00000000-0005-0000-0000-0000040A0000}"/>
    <cellStyle name="20% - uthevingsfarge 2 26 3 6 2 2 2" xfId="23644" xr:uid="{00000000-0005-0000-0000-0000050A0000}"/>
    <cellStyle name="20% - uthevingsfarge 2 26 3 6 2 2 2 2" xfId="39700" xr:uid="{00000000-0005-0000-0000-0000060A0000}"/>
    <cellStyle name="20% - uthevingsfarge 2 26 3 6 2 2 3" xfId="27578" xr:uid="{00000000-0005-0000-0000-0000070A0000}"/>
    <cellStyle name="20% - uthevingsfarge 2 26 3 6 2 3" xfId="22531" xr:uid="{00000000-0005-0000-0000-0000080A0000}"/>
    <cellStyle name="20% - uthevingsfarge 2 26 3 6 2 3 2" xfId="38601" xr:uid="{00000000-0005-0000-0000-0000090A0000}"/>
    <cellStyle name="20% - uthevingsfarge 2 26 3 6 2 4" xfId="30979" xr:uid="{00000000-0005-0000-0000-00000A0A0000}"/>
    <cellStyle name="20% - uthevingsfarge 2 26 3 6 3" xfId="8518" xr:uid="{00000000-0005-0000-0000-00000B0A0000}"/>
    <cellStyle name="20% - uthevingsfarge 2 26 3 6 3 2" xfId="21117" xr:uid="{00000000-0005-0000-0000-00000C0A0000}"/>
    <cellStyle name="20% - uthevingsfarge 2 26 3 6 3 2 2" xfId="37198" xr:uid="{00000000-0005-0000-0000-00000D0A0000}"/>
    <cellStyle name="20% - uthevingsfarge 2 26 3 6 3 3" xfId="29280" xr:uid="{00000000-0005-0000-0000-00000E0A0000}"/>
    <cellStyle name="20% - uthevingsfarge 2 26 3 6 4" xfId="23845" xr:uid="{00000000-0005-0000-0000-00000F0A0000}"/>
    <cellStyle name="20% - uthevingsfarge 2 26 3 6 4 2" xfId="39901" xr:uid="{00000000-0005-0000-0000-0000100A0000}"/>
    <cellStyle name="20% - uthevingsfarge 2 26 3 6 5" xfId="32671" xr:uid="{00000000-0005-0000-0000-0000110A0000}"/>
    <cellStyle name="20% - uthevingsfarge 2 26 3 7" xfId="5275" xr:uid="{00000000-0005-0000-0000-0000120A0000}"/>
    <cellStyle name="20% - uthevingsfarge 2 26 3 7 2" xfId="8690" xr:uid="{00000000-0005-0000-0000-0000130A0000}"/>
    <cellStyle name="20% - uthevingsfarge 2 26 3 7 2 2" xfId="21162" xr:uid="{00000000-0005-0000-0000-0000140A0000}"/>
    <cellStyle name="20% - uthevingsfarge 2 26 3 7 2 2 2" xfId="37242" xr:uid="{00000000-0005-0000-0000-0000150A0000}"/>
    <cellStyle name="20% - uthevingsfarge 2 26 3 7 2 3" xfId="29108" xr:uid="{00000000-0005-0000-0000-0000160A0000}"/>
    <cellStyle name="20% - uthevingsfarge 2 26 3 7 3" xfId="19791" xr:uid="{00000000-0005-0000-0000-0000170A0000}"/>
    <cellStyle name="20% - uthevingsfarge 2 26 3 7 3 2" xfId="35905" xr:uid="{00000000-0005-0000-0000-0000180A0000}"/>
    <cellStyle name="20% - uthevingsfarge 2 26 3 7 4" xfId="32499" xr:uid="{00000000-0005-0000-0000-0000190A0000}"/>
    <cellStyle name="20% - uthevingsfarge 2 26 3 8" xfId="7008" xr:uid="{00000000-0005-0000-0000-00001A0A0000}"/>
    <cellStyle name="20% - uthevingsfarge 2 26 3 8 2" xfId="22168" xr:uid="{00000000-0005-0000-0000-00001B0A0000}"/>
    <cellStyle name="20% - uthevingsfarge 2 26 3 8 2 2" xfId="38242" xr:uid="{00000000-0005-0000-0000-00001C0A0000}"/>
    <cellStyle name="20% - uthevingsfarge 2 26 3 8 3" xfId="30790" xr:uid="{00000000-0005-0000-0000-00001D0A0000}"/>
    <cellStyle name="20% - uthevingsfarge 2 26 3 9" xfId="10813" xr:uid="{00000000-0005-0000-0000-00001E0A0000}"/>
    <cellStyle name="20% - uthevingsfarge 2 26 4" xfId="3461" xr:uid="{00000000-0005-0000-0000-00001F0A0000}"/>
    <cellStyle name="20% - uthevingsfarge 2 26 4 10" xfId="47077" xr:uid="{00000000-0005-0000-0000-0000200A0000}"/>
    <cellStyle name="20% - uthevingsfarge 2 26 4 2" xfId="3897" xr:uid="{00000000-0005-0000-0000-0000210A0000}"/>
    <cellStyle name="20% - uthevingsfarge 2 26 4 2 2" xfId="5785" xr:uid="{00000000-0005-0000-0000-0000220A0000}"/>
    <cellStyle name="20% - uthevingsfarge 2 26 4 2 2 2" xfId="9200" xr:uid="{00000000-0005-0000-0000-0000230A0000}"/>
    <cellStyle name="20% - uthevingsfarge 2 26 4 2 2 2 2" xfId="21312" xr:uid="{00000000-0005-0000-0000-0000240A0000}"/>
    <cellStyle name="20% - uthevingsfarge 2 26 4 2 2 2 2 2" xfId="37392" xr:uid="{00000000-0005-0000-0000-0000250A0000}"/>
    <cellStyle name="20% - uthevingsfarge 2 26 4 2 2 2 3" xfId="28598" xr:uid="{00000000-0005-0000-0000-0000260A0000}"/>
    <cellStyle name="20% - uthevingsfarge 2 26 4 2 2 3" xfId="20201" xr:uid="{00000000-0005-0000-0000-0000270A0000}"/>
    <cellStyle name="20% - uthevingsfarge 2 26 4 2 2 3 2" xfId="36300" xr:uid="{00000000-0005-0000-0000-0000280A0000}"/>
    <cellStyle name="20% - uthevingsfarge 2 26 4 2 2 4" xfId="31989" xr:uid="{00000000-0005-0000-0000-0000290A0000}"/>
    <cellStyle name="20% - uthevingsfarge 2 26 4 2 3" xfId="7503" xr:uid="{00000000-0005-0000-0000-00002A0A0000}"/>
    <cellStyle name="20% - uthevingsfarge 2 26 4 2 3 2" xfId="19855" xr:uid="{00000000-0005-0000-0000-00002B0A0000}"/>
    <cellStyle name="20% - uthevingsfarge 2 26 4 2 3 2 2" xfId="35968" xr:uid="{00000000-0005-0000-0000-00002C0A0000}"/>
    <cellStyle name="20% - uthevingsfarge 2 26 4 2 3 3" xfId="30295" xr:uid="{00000000-0005-0000-0000-00002D0A0000}"/>
    <cellStyle name="20% - uthevingsfarge 2 26 4 2 4" xfId="17954" xr:uid="{00000000-0005-0000-0000-00002E0A0000}"/>
    <cellStyle name="20% - uthevingsfarge 2 26 4 2 5" xfId="23785" xr:uid="{00000000-0005-0000-0000-00002F0A0000}"/>
    <cellStyle name="20% - uthevingsfarge 2 26 4 2 5 2" xfId="39841" xr:uid="{00000000-0005-0000-0000-0000300A0000}"/>
    <cellStyle name="20% - uthevingsfarge 2 26 4 2 6" xfId="33682" xr:uid="{00000000-0005-0000-0000-0000310A0000}"/>
    <cellStyle name="20% - uthevingsfarge 2 26 4 3" xfId="4837" xr:uid="{00000000-0005-0000-0000-0000320A0000}"/>
    <cellStyle name="20% - uthevingsfarge 2 26 4 3 10" xfId="47267" xr:uid="{00000000-0005-0000-0000-0000330A0000}"/>
    <cellStyle name="20% - uthevingsfarge 2 26 4 3 2" xfId="6556" xr:uid="{00000000-0005-0000-0000-0000340A0000}"/>
    <cellStyle name="20% - uthevingsfarge 2 26 4 3 2 2" xfId="9962" xr:uid="{00000000-0005-0000-0000-0000350A0000}"/>
    <cellStyle name="20% - uthevingsfarge 2 26 4 3 2 2 2" xfId="23591" xr:uid="{00000000-0005-0000-0000-0000360A0000}"/>
    <cellStyle name="20% - uthevingsfarge 2 26 4 3 2 2 2 2" xfId="39647" xr:uid="{00000000-0005-0000-0000-0000370A0000}"/>
    <cellStyle name="20% - uthevingsfarge 2 26 4 3 2 2 3" xfId="27837" xr:uid="{00000000-0005-0000-0000-0000380A0000}"/>
    <cellStyle name="20% - uthevingsfarge 2 26 4 3 2 3" xfId="20495" xr:uid="{00000000-0005-0000-0000-0000390A0000}"/>
    <cellStyle name="20% - uthevingsfarge 2 26 4 3 2 3 2" xfId="36594" xr:uid="{00000000-0005-0000-0000-00003A0A0000}"/>
    <cellStyle name="20% - uthevingsfarge 2 26 4 3 2 4" xfId="31238" xr:uid="{00000000-0005-0000-0000-00003B0A0000}"/>
    <cellStyle name="20% - uthevingsfarge 2 26 4 3 2 5" xfId="42822" xr:uid="{00000000-0005-0000-0000-00003C0A0000}"/>
    <cellStyle name="20% - uthevingsfarge 2 26 4 3 2 6" xfId="43260" xr:uid="{00000000-0005-0000-0000-00003D0A0000}"/>
    <cellStyle name="20% - uthevingsfarge 2 26 4 3 2 7" xfId="46108" xr:uid="{00000000-0005-0000-0000-00003E0A0000}"/>
    <cellStyle name="20% - uthevingsfarge 2 26 4 3 2 8" xfId="46877" xr:uid="{00000000-0005-0000-0000-00003F0A0000}"/>
    <cellStyle name="20% - uthevingsfarge 2 26 4 3 2 9" xfId="47463" xr:uid="{00000000-0005-0000-0000-0000400A0000}"/>
    <cellStyle name="20% - uthevingsfarge 2 26 4 3 3" xfId="8259" xr:uid="{00000000-0005-0000-0000-0000410A0000}"/>
    <cellStyle name="20% - uthevingsfarge 2 26 4 3 3 2" xfId="23338" xr:uid="{00000000-0005-0000-0000-0000420A0000}"/>
    <cellStyle name="20% - uthevingsfarge 2 26 4 3 3 2 2" xfId="39400" xr:uid="{00000000-0005-0000-0000-0000430A0000}"/>
    <cellStyle name="20% - uthevingsfarge 2 26 4 3 3 3" xfId="29538" xr:uid="{00000000-0005-0000-0000-0000440A0000}"/>
    <cellStyle name="20% - uthevingsfarge 2 26 4 3 3 4" xfId="43880" xr:uid="{00000000-0005-0000-0000-0000450A0000}"/>
    <cellStyle name="20% - uthevingsfarge 2 26 4 3 4" xfId="16267" xr:uid="{00000000-0005-0000-0000-0000460A0000}"/>
    <cellStyle name="20% - uthevingsfarge 2 26 4 3 4 2" xfId="35355" xr:uid="{00000000-0005-0000-0000-0000470A0000}"/>
    <cellStyle name="20% - uthevingsfarge 2 26 4 3 5" xfId="25014" xr:uid="{00000000-0005-0000-0000-0000480A0000}"/>
    <cellStyle name="20% - uthevingsfarge 2 26 4 3 6" xfId="25245" xr:uid="{00000000-0005-0000-0000-0000490A0000}"/>
    <cellStyle name="20% - uthevingsfarge 2 26 4 3 7" xfId="32930" xr:uid="{00000000-0005-0000-0000-00004A0A0000}"/>
    <cellStyle name="20% - uthevingsfarge 2 26 4 3 8" xfId="43720" xr:uid="{00000000-0005-0000-0000-00004B0A0000}"/>
    <cellStyle name="20% - uthevingsfarge 2 26 4 3 9" xfId="46646" xr:uid="{00000000-0005-0000-0000-00004C0A0000}"/>
    <cellStyle name="20% - uthevingsfarge 2 26 4 4" xfId="5400" xr:uid="{00000000-0005-0000-0000-00004D0A0000}"/>
    <cellStyle name="20% - uthevingsfarge 2 26 4 4 2" xfId="8815" xr:uid="{00000000-0005-0000-0000-00004E0A0000}"/>
    <cellStyle name="20% - uthevingsfarge 2 26 4 4 2 2" xfId="22747" xr:uid="{00000000-0005-0000-0000-00004F0A0000}"/>
    <cellStyle name="20% - uthevingsfarge 2 26 4 4 2 2 2" xfId="38816" xr:uid="{00000000-0005-0000-0000-0000500A0000}"/>
    <cellStyle name="20% - uthevingsfarge 2 26 4 4 2 3" xfId="28983" xr:uid="{00000000-0005-0000-0000-0000510A0000}"/>
    <cellStyle name="20% - uthevingsfarge 2 26 4 4 3" xfId="12035" xr:uid="{00000000-0005-0000-0000-0000520A0000}"/>
    <cellStyle name="20% - uthevingsfarge 2 26 4 4 3 2" xfId="35038" xr:uid="{00000000-0005-0000-0000-0000530A0000}"/>
    <cellStyle name="20% - uthevingsfarge 2 26 4 4 4" xfId="32374" xr:uid="{00000000-0005-0000-0000-0000540A0000}"/>
    <cellStyle name="20% - uthevingsfarge 2 26 4 5" xfId="7109" xr:uid="{00000000-0005-0000-0000-0000550A0000}"/>
    <cellStyle name="20% - uthevingsfarge 2 26 4 5 2" xfId="23150" xr:uid="{00000000-0005-0000-0000-0000560A0000}"/>
    <cellStyle name="20% - uthevingsfarge 2 26 4 5 2 2" xfId="39219" xr:uid="{00000000-0005-0000-0000-0000570A0000}"/>
    <cellStyle name="20% - uthevingsfarge 2 26 4 5 3" xfId="30689" xr:uid="{00000000-0005-0000-0000-0000580A0000}"/>
    <cellStyle name="20% - uthevingsfarge 2 26 4 6" xfId="10815" xr:uid="{00000000-0005-0000-0000-0000590A0000}"/>
    <cellStyle name="20% - uthevingsfarge 2 26 4 7" xfId="34076" xr:uid="{00000000-0005-0000-0000-00005A0A0000}"/>
    <cellStyle name="20% - uthevingsfarge 2 26 4 8" xfId="43512" xr:uid="{00000000-0005-0000-0000-00005B0A0000}"/>
    <cellStyle name="20% - uthevingsfarge 2 26 4 9" xfId="46416" xr:uid="{00000000-0005-0000-0000-00005C0A0000}"/>
    <cellStyle name="20% - uthevingsfarge 2 26 4_Avviksanalyse løpende RNB15 (1)" xfId="16570" xr:uid="{00000000-0005-0000-0000-00005D0A0000}"/>
    <cellStyle name="20% - uthevingsfarge 2 26 5" xfId="3718" xr:uid="{00000000-0005-0000-0000-00005E0A0000}"/>
    <cellStyle name="20% - uthevingsfarge 2 26 5 2" xfId="5606" xr:uid="{00000000-0005-0000-0000-00005F0A0000}"/>
    <cellStyle name="20% - uthevingsfarge 2 26 5 2 2" xfId="9021" xr:uid="{00000000-0005-0000-0000-0000600A0000}"/>
    <cellStyle name="20% - uthevingsfarge 2 26 5 2 2 2" xfId="21254" xr:uid="{00000000-0005-0000-0000-0000610A0000}"/>
    <cellStyle name="20% - uthevingsfarge 2 26 5 2 2 2 2" xfId="37334" xr:uid="{00000000-0005-0000-0000-0000620A0000}"/>
    <cellStyle name="20% - uthevingsfarge 2 26 5 2 2 3" xfId="28777" xr:uid="{00000000-0005-0000-0000-0000630A0000}"/>
    <cellStyle name="20% - uthevingsfarge 2 26 5 2 3" xfId="20138" xr:uid="{00000000-0005-0000-0000-0000640A0000}"/>
    <cellStyle name="20% - uthevingsfarge 2 26 5 2 3 2" xfId="36241" xr:uid="{00000000-0005-0000-0000-0000650A0000}"/>
    <cellStyle name="20% - uthevingsfarge 2 26 5 2 4" xfId="32168" xr:uid="{00000000-0005-0000-0000-0000660A0000}"/>
    <cellStyle name="20% - uthevingsfarge 2 26 5 3" xfId="7324" xr:uid="{00000000-0005-0000-0000-0000670A0000}"/>
    <cellStyle name="20% - uthevingsfarge 2 26 5 3 2" xfId="24186" xr:uid="{00000000-0005-0000-0000-0000680A0000}"/>
    <cellStyle name="20% - uthevingsfarge 2 26 5 3 2 2" xfId="40239" xr:uid="{00000000-0005-0000-0000-0000690A0000}"/>
    <cellStyle name="20% - uthevingsfarge 2 26 5 3 3" xfId="30474" xr:uid="{00000000-0005-0000-0000-00006A0A0000}"/>
    <cellStyle name="20% - uthevingsfarge 2 26 5 4" xfId="23742" xr:uid="{00000000-0005-0000-0000-00006B0A0000}"/>
    <cellStyle name="20% - uthevingsfarge 2 26 5 4 2" xfId="39798" xr:uid="{00000000-0005-0000-0000-00006C0A0000}"/>
    <cellStyle name="20% - uthevingsfarge 2 26 5 5" xfId="33861" xr:uid="{00000000-0005-0000-0000-00006D0A0000}"/>
    <cellStyle name="20% - uthevingsfarge 2 26 6" xfId="4200" xr:uid="{00000000-0005-0000-0000-00006E0A0000}"/>
    <cellStyle name="20% - uthevingsfarge 2 26 6 2" xfId="6037" xr:uid="{00000000-0005-0000-0000-00006F0A0000}"/>
    <cellStyle name="20% - uthevingsfarge 2 26 6 2 2" xfId="9452" xr:uid="{00000000-0005-0000-0000-0000700A0000}"/>
    <cellStyle name="20% - uthevingsfarge 2 26 6 2 2 2" xfId="21388" xr:uid="{00000000-0005-0000-0000-0000710A0000}"/>
    <cellStyle name="20% - uthevingsfarge 2 26 6 2 2 2 2" xfId="37468" xr:uid="{00000000-0005-0000-0000-0000720A0000}"/>
    <cellStyle name="20% - uthevingsfarge 2 26 6 2 2 3" xfId="28346" xr:uid="{00000000-0005-0000-0000-0000730A0000}"/>
    <cellStyle name="20% - uthevingsfarge 2 26 6 2 3" xfId="20297" xr:uid="{00000000-0005-0000-0000-0000740A0000}"/>
    <cellStyle name="20% - uthevingsfarge 2 26 6 2 3 2" xfId="36396" xr:uid="{00000000-0005-0000-0000-0000750A0000}"/>
    <cellStyle name="20% - uthevingsfarge 2 26 6 2 4" xfId="31741" xr:uid="{00000000-0005-0000-0000-0000760A0000}"/>
    <cellStyle name="20% - uthevingsfarge 2 26 6 3" xfId="7770" xr:uid="{00000000-0005-0000-0000-0000770A0000}"/>
    <cellStyle name="20% - uthevingsfarge 2 26 6 3 2" xfId="20897" xr:uid="{00000000-0005-0000-0000-0000780A0000}"/>
    <cellStyle name="20% - uthevingsfarge 2 26 6 3 2 2" xfId="36996" xr:uid="{00000000-0005-0000-0000-0000790A0000}"/>
    <cellStyle name="20% - uthevingsfarge 2 26 6 3 3" xfId="30029" xr:uid="{00000000-0005-0000-0000-00007A0A0000}"/>
    <cellStyle name="20% - uthevingsfarge 2 26 6 4" xfId="23806" xr:uid="{00000000-0005-0000-0000-00007B0A0000}"/>
    <cellStyle name="20% - uthevingsfarge 2 26 6 4 2" xfId="39862" xr:uid="{00000000-0005-0000-0000-00007C0A0000}"/>
    <cellStyle name="20% - uthevingsfarge 2 26 6 5" xfId="33417" xr:uid="{00000000-0005-0000-0000-00007D0A0000}"/>
    <cellStyle name="20% - uthevingsfarge 2 26 7" xfId="4653" xr:uid="{00000000-0005-0000-0000-00007E0A0000}"/>
    <cellStyle name="20% - uthevingsfarge 2 26 7 2" xfId="6373" xr:uid="{00000000-0005-0000-0000-00007F0A0000}"/>
    <cellStyle name="20% - uthevingsfarge 2 26 7 2 2" xfId="9783" xr:uid="{00000000-0005-0000-0000-0000800A0000}"/>
    <cellStyle name="20% - uthevingsfarge 2 26 7 2 2 2" xfId="21482" xr:uid="{00000000-0005-0000-0000-0000810A0000}"/>
    <cellStyle name="20% - uthevingsfarge 2 26 7 2 2 2 2" xfId="37562" xr:uid="{00000000-0005-0000-0000-0000820A0000}"/>
    <cellStyle name="20% - uthevingsfarge 2 26 7 2 2 3" xfId="28016" xr:uid="{00000000-0005-0000-0000-0000830A0000}"/>
    <cellStyle name="20% - uthevingsfarge 2 26 7 2 3" xfId="24029" xr:uid="{00000000-0005-0000-0000-0000840A0000}"/>
    <cellStyle name="20% - uthevingsfarge 2 26 7 2 3 2" xfId="40082" xr:uid="{00000000-0005-0000-0000-0000850A0000}"/>
    <cellStyle name="20% - uthevingsfarge 2 26 7 2 4" xfId="31417" xr:uid="{00000000-0005-0000-0000-0000860A0000}"/>
    <cellStyle name="20% - uthevingsfarge 2 26 7 3" xfId="8079" xr:uid="{00000000-0005-0000-0000-0000870A0000}"/>
    <cellStyle name="20% - uthevingsfarge 2 26 7 3 2" xfId="10607" xr:uid="{00000000-0005-0000-0000-0000880A0000}"/>
    <cellStyle name="20% - uthevingsfarge 2 26 7 3 2 2" xfId="34455" xr:uid="{00000000-0005-0000-0000-0000890A0000}"/>
    <cellStyle name="20% - uthevingsfarge 2 26 7 3 3" xfId="29719" xr:uid="{00000000-0005-0000-0000-00008A0A0000}"/>
    <cellStyle name="20% - uthevingsfarge 2 26 7 4" xfId="23829" xr:uid="{00000000-0005-0000-0000-00008B0A0000}"/>
    <cellStyle name="20% - uthevingsfarge 2 26 7 4 2" xfId="39885" xr:uid="{00000000-0005-0000-0000-00008C0A0000}"/>
    <cellStyle name="20% - uthevingsfarge 2 26 7 5" xfId="33110" xr:uid="{00000000-0005-0000-0000-00008D0A0000}"/>
    <cellStyle name="20% - uthevingsfarge 2 26 8" xfId="5017" xr:uid="{00000000-0005-0000-0000-00008E0A0000}"/>
    <cellStyle name="20% - uthevingsfarge 2 26 8 2" xfId="6736" xr:uid="{00000000-0005-0000-0000-00008F0A0000}"/>
    <cellStyle name="20% - uthevingsfarge 2 26 8 2 2" xfId="10142" xr:uid="{00000000-0005-0000-0000-0000900A0000}"/>
    <cellStyle name="20% - uthevingsfarge 2 26 8 2 2 2" xfId="23627" xr:uid="{00000000-0005-0000-0000-0000910A0000}"/>
    <cellStyle name="20% - uthevingsfarge 2 26 8 2 2 2 2" xfId="39683" xr:uid="{00000000-0005-0000-0000-0000920A0000}"/>
    <cellStyle name="20% - uthevingsfarge 2 26 8 2 2 3" xfId="27657" xr:uid="{00000000-0005-0000-0000-0000930A0000}"/>
    <cellStyle name="20% - uthevingsfarge 2 26 8 2 3" xfId="24091" xr:uid="{00000000-0005-0000-0000-0000940A0000}"/>
    <cellStyle name="20% - uthevingsfarge 2 26 8 2 3 2" xfId="40144" xr:uid="{00000000-0005-0000-0000-0000950A0000}"/>
    <cellStyle name="20% - uthevingsfarge 2 26 8 2 4" xfId="31058" xr:uid="{00000000-0005-0000-0000-0000960A0000}"/>
    <cellStyle name="20% - uthevingsfarge 2 26 8 3" xfId="8439" xr:uid="{00000000-0005-0000-0000-0000970A0000}"/>
    <cellStyle name="20% - uthevingsfarge 2 26 8 3 2" xfId="21093" xr:uid="{00000000-0005-0000-0000-0000980A0000}"/>
    <cellStyle name="20% - uthevingsfarge 2 26 8 3 2 2" xfId="37178" xr:uid="{00000000-0005-0000-0000-0000990A0000}"/>
    <cellStyle name="20% - uthevingsfarge 2 26 8 3 3" xfId="29359" xr:uid="{00000000-0005-0000-0000-00009A0A0000}"/>
    <cellStyle name="20% - uthevingsfarge 2 26 8 4" xfId="22837" xr:uid="{00000000-0005-0000-0000-00009B0A0000}"/>
    <cellStyle name="20% - uthevingsfarge 2 26 8 4 2" xfId="38906" xr:uid="{00000000-0005-0000-0000-00009C0A0000}"/>
    <cellStyle name="20% - uthevingsfarge 2 26 8 5" xfId="32750" xr:uid="{00000000-0005-0000-0000-00009D0A0000}"/>
    <cellStyle name="20% - uthevingsfarge 2 26 9" xfId="5190" xr:uid="{00000000-0005-0000-0000-00009E0A0000}"/>
    <cellStyle name="20% - uthevingsfarge 2 26 9 2" xfId="8609" xr:uid="{00000000-0005-0000-0000-00009F0A0000}"/>
    <cellStyle name="20% - uthevingsfarge 2 26 9 2 2" xfId="24387" xr:uid="{00000000-0005-0000-0000-0000A00A0000}"/>
    <cellStyle name="20% - uthevingsfarge 2 26 9 2 2 2" xfId="40431" xr:uid="{00000000-0005-0000-0000-0000A10A0000}"/>
    <cellStyle name="20% - uthevingsfarge 2 26 9 2 3" xfId="29189" xr:uid="{00000000-0005-0000-0000-0000A20A0000}"/>
    <cellStyle name="20% - uthevingsfarge 2 26 9 3" xfId="22846" xr:uid="{00000000-0005-0000-0000-0000A30A0000}"/>
    <cellStyle name="20% - uthevingsfarge 2 26 9 3 2" xfId="38915" xr:uid="{00000000-0005-0000-0000-0000A40A0000}"/>
    <cellStyle name="20% - uthevingsfarge 2 26 9 4" xfId="32580" xr:uid="{00000000-0005-0000-0000-0000A50A0000}"/>
    <cellStyle name="20% - uthevingsfarge 2 27" xfId="358" xr:uid="{00000000-0005-0000-0000-0000A60A0000}"/>
    <cellStyle name="20% - uthevingsfarge 2 27 10" xfId="10816" xr:uid="{00000000-0005-0000-0000-0000A70A0000}"/>
    <cellStyle name="20% - uthevingsfarge 2 27 11" xfId="34283" xr:uid="{00000000-0005-0000-0000-0000A80A0000}"/>
    <cellStyle name="20% - uthevingsfarge 2 27 2" xfId="3315" xr:uid="{00000000-0005-0000-0000-0000A90A0000}"/>
    <cellStyle name="20% - uthevingsfarge 2 27 2 10" xfId="34176" xr:uid="{00000000-0005-0000-0000-0000AA0A0000}"/>
    <cellStyle name="20% - uthevingsfarge 2 27 2 2" xfId="3547" xr:uid="{00000000-0005-0000-0000-0000AB0A0000}"/>
    <cellStyle name="20% - uthevingsfarge 2 27 2 2 10" xfId="47146" xr:uid="{00000000-0005-0000-0000-0000AC0A0000}"/>
    <cellStyle name="20% - uthevingsfarge 2 27 2 2 2" xfId="3977" xr:uid="{00000000-0005-0000-0000-0000AD0A0000}"/>
    <cellStyle name="20% - uthevingsfarge 2 27 2 2 2 2" xfId="5865" xr:uid="{00000000-0005-0000-0000-0000AE0A0000}"/>
    <cellStyle name="20% - uthevingsfarge 2 27 2 2 2 2 2" xfId="9280" xr:uid="{00000000-0005-0000-0000-0000AF0A0000}"/>
    <cellStyle name="20% - uthevingsfarge 2 27 2 2 2 2 2 2" xfId="21336" xr:uid="{00000000-0005-0000-0000-0000B00A0000}"/>
    <cellStyle name="20% - uthevingsfarge 2 27 2 2 2 2 2 2 2" xfId="37416" xr:uid="{00000000-0005-0000-0000-0000B10A0000}"/>
    <cellStyle name="20% - uthevingsfarge 2 27 2 2 2 2 2 3" xfId="28518" xr:uid="{00000000-0005-0000-0000-0000B20A0000}"/>
    <cellStyle name="20% - uthevingsfarge 2 27 2 2 2 2 3" xfId="22929" xr:uid="{00000000-0005-0000-0000-0000B30A0000}"/>
    <cellStyle name="20% - uthevingsfarge 2 27 2 2 2 2 3 2" xfId="38998" xr:uid="{00000000-0005-0000-0000-0000B40A0000}"/>
    <cellStyle name="20% - uthevingsfarge 2 27 2 2 2 2 4" xfId="31909" xr:uid="{00000000-0005-0000-0000-0000B50A0000}"/>
    <cellStyle name="20% - uthevingsfarge 2 27 2 2 2 3" xfId="7583" xr:uid="{00000000-0005-0000-0000-0000B60A0000}"/>
    <cellStyle name="20% - uthevingsfarge 2 27 2 2 2 3 2" xfId="20826" xr:uid="{00000000-0005-0000-0000-0000B70A0000}"/>
    <cellStyle name="20% - uthevingsfarge 2 27 2 2 2 3 2 2" xfId="36925" xr:uid="{00000000-0005-0000-0000-0000B80A0000}"/>
    <cellStyle name="20% - uthevingsfarge 2 27 2 2 2 3 3" xfId="30215" xr:uid="{00000000-0005-0000-0000-0000B90A0000}"/>
    <cellStyle name="20% - uthevingsfarge 2 27 2 2 2 4" xfId="17955" xr:uid="{00000000-0005-0000-0000-0000BA0A0000}"/>
    <cellStyle name="20% - uthevingsfarge 2 27 2 2 2 5" xfId="11042" xr:uid="{00000000-0005-0000-0000-0000BB0A0000}"/>
    <cellStyle name="20% - uthevingsfarge 2 27 2 2 2 5 2" xfId="34750" xr:uid="{00000000-0005-0000-0000-0000BC0A0000}"/>
    <cellStyle name="20% - uthevingsfarge 2 27 2 2 2 6" xfId="33602" xr:uid="{00000000-0005-0000-0000-0000BD0A0000}"/>
    <cellStyle name="20% - uthevingsfarge 2 27 2 2 3" xfId="4917" xr:uid="{00000000-0005-0000-0000-0000BE0A0000}"/>
    <cellStyle name="20% - uthevingsfarge 2 27 2 2 3 10" xfId="47336" xr:uid="{00000000-0005-0000-0000-0000BF0A0000}"/>
    <cellStyle name="20% - uthevingsfarge 2 27 2 2 3 2" xfId="6636" xr:uid="{00000000-0005-0000-0000-0000C00A0000}"/>
    <cellStyle name="20% - uthevingsfarge 2 27 2 2 3 2 2" xfId="10042" xr:uid="{00000000-0005-0000-0000-0000C10A0000}"/>
    <cellStyle name="20% - uthevingsfarge 2 27 2 2 3 2 2 2" xfId="23607" xr:uid="{00000000-0005-0000-0000-0000C20A0000}"/>
    <cellStyle name="20% - uthevingsfarge 2 27 2 2 3 2 2 2 2" xfId="39663" xr:uid="{00000000-0005-0000-0000-0000C30A0000}"/>
    <cellStyle name="20% - uthevingsfarge 2 27 2 2 3 2 2 3" xfId="27757" xr:uid="{00000000-0005-0000-0000-0000C40A0000}"/>
    <cellStyle name="20% - uthevingsfarge 2 27 2 2 3 2 3" xfId="23077" xr:uid="{00000000-0005-0000-0000-0000C50A0000}"/>
    <cellStyle name="20% - uthevingsfarge 2 27 2 2 3 2 3 2" xfId="39146" xr:uid="{00000000-0005-0000-0000-0000C60A0000}"/>
    <cellStyle name="20% - uthevingsfarge 2 27 2 2 3 2 4" xfId="31158" xr:uid="{00000000-0005-0000-0000-0000C70A0000}"/>
    <cellStyle name="20% - uthevingsfarge 2 27 2 2 3 2 5" xfId="43030" xr:uid="{00000000-0005-0000-0000-0000C80A0000}"/>
    <cellStyle name="20% - uthevingsfarge 2 27 2 2 3 2 6" xfId="43327" xr:uid="{00000000-0005-0000-0000-0000C90A0000}"/>
    <cellStyle name="20% - uthevingsfarge 2 27 2 2 3 2 7" xfId="46175" xr:uid="{00000000-0005-0000-0000-0000CA0A0000}"/>
    <cellStyle name="20% - uthevingsfarge 2 27 2 2 3 2 8" xfId="46947" xr:uid="{00000000-0005-0000-0000-0000CB0A0000}"/>
    <cellStyle name="20% - uthevingsfarge 2 27 2 2 3 2 9" xfId="47532" xr:uid="{00000000-0005-0000-0000-0000CC0A0000}"/>
    <cellStyle name="20% - uthevingsfarge 2 27 2 2 3 3" xfId="8339" xr:uid="{00000000-0005-0000-0000-0000CD0A0000}"/>
    <cellStyle name="20% - uthevingsfarge 2 27 2 2 3 3 2" xfId="11868" xr:uid="{00000000-0005-0000-0000-0000CE0A0000}"/>
    <cellStyle name="20% - uthevingsfarge 2 27 2 2 3 3 2 2" xfId="34905" xr:uid="{00000000-0005-0000-0000-0000CF0A0000}"/>
    <cellStyle name="20% - uthevingsfarge 2 27 2 2 3 3 3" xfId="29459" xr:uid="{00000000-0005-0000-0000-0000D00A0000}"/>
    <cellStyle name="20% - uthevingsfarge 2 27 2 2 3 3 4" xfId="43881" xr:uid="{00000000-0005-0000-0000-0000D10A0000}"/>
    <cellStyle name="20% - uthevingsfarge 2 27 2 2 3 4" xfId="16475" xr:uid="{00000000-0005-0000-0000-0000D20A0000}"/>
    <cellStyle name="20% - uthevingsfarge 2 27 2 2 3 4 2" xfId="35422" xr:uid="{00000000-0005-0000-0000-0000D30A0000}"/>
    <cellStyle name="20% - uthevingsfarge 2 27 2 2 3 5" xfId="25084" xr:uid="{00000000-0005-0000-0000-0000D40A0000}"/>
    <cellStyle name="20% - uthevingsfarge 2 27 2 2 3 6" xfId="25246" xr:uid="{00000000-0005-0000-0000-0000D50A0000}"/>
    <cellStyle name="20% - uthevingsfarge 2 27 2 2 3 7" xfId="32850" xr:uid="{00000000-0005-0000-0000-0000D60A0000}"/>
    <cellStyle name="20% - uthevingsfarge 2 27 2 2 3 8" xfId="43788" xr:uid="{00000000-0005-0000-0000-0000D70A0000}"/>
    <cellStyle name="20% - uthevingsfarge 2 27 2 2 3 9" xfId="46713" xr:uid="{00000000-0005-0000-0000-0000D80A0000}"/>
    <cellStyle name="20% - uthevingsfarge 2 27 2 2 4" xfId="5471" xr:uid="{00000000-0005-0000-0000-0000D90A0000}"/>
    <cellStyle name="20% - uthevingsfarge 2 27 2 2 4 2" xfId="8886" xr:uid="{00000000-0005-0000-0000-0000DA0A0000}"/>
    <cellStyle name="20% - uthevingsfarge 2 27 2 2 4 2 2" xfId="23729" xr:uid="{00000000-0005-0000-0000-0000DB0A0000}"/>
    <cellStyle name="20% - uthevingsfarge 2 27 2 2 4 2 2 2" xfId="39785" xr:uid="{00000000-0005-0000-0000-0000DC0A0000}"/>
    <cellStyle name="20% - uthevingsfarge 2 27 2 2 4 2 3" xfId="28912" xr:uid="{00000000-0005-0000-0000-0000DD0A0000}"/>
    <cellStyle name="20% - uthevingsfarge 2 27 2 2 4 3" xfId="19837" xr:uid="{00000000-0005-0000-0000-0000DE0A0000}"/>
    <cellStyle name="20% - uthevingsfarge 2 27 2 2 4 3 2" xfId="35950" xr:uid="{00000000-0005-0000-0000-0000DF0A0000}"/>
    <cellStyle name="20% - uthevingsfarge 2 27 2 2 4 4" xfId="32303" xr:uid="{00000000-0005-0000-0000-0000E00A0000}"/>
    <cellStyle name="20% - uthevingsfarge 2 27 2 2 5" xfId="7189" xr:uid="{00000000-0005-0000-0000-0000E10A0000}"/>
    <cellStyle name="20% - uthevingsfarge 2 27 2 2 5 2" xfId="10326" xr:uid="{00000000-0005-0000-0000-0000E20A0000}"/>
    <cellStyle name="20% - uthevingsfarge 2 27 2 2 5 2 2" xfId="27487" xr:uid="{00000000-0005-0000-0000-0000E30A0000}"/>
    <cellStyle name="20% - uthevingsfarge 2 27 2 2 5 3" xfId="30609" xr:uid="{00000000-0005-0000-0000-0000E40A0000}"/>
    <cellStyle name="20% - uthevingsfarge 2 27 2 2 6" xfId="10818" xr:uid="{00000000-0005-0000-0000-0000E50A0000}"/>
    <cellStyle name="20% - uthevingsfarge 2 27 2 2 7" xfId="33996" xr:uid="{00000000-0005-0000-0000-0000E60A0000}"/>
    <cellStyle name="20% - uthevingsfarge 2 27 2 2 8" xfId="43579" xr:uid="{00000000-0005-0000-0000-0000E70A0000}"/>
    <cellStyle name="20% - uthevingsfarge 2 27 2 2 9" xfId="46485" xr:uid="{00000000-0005-0000-0000-0000E80A0000}"/>
    <cellStyle name="20% - uthevingsfarge 2 27 2 2_Avviksanalyse løpende RNB15 (1)" xfId="16571" xr:uid="{00000000-0005-0000-0000-0000E90A0000}"/>
    <cellStyle name="20% - uthevingsfarge 2 27 2 3" xfId="3797" xr:uid="{00000000-0005-0000-0000-0000EA0A0000}"/>
    <cellStyle name="20% - uthevingsfarge 2 27 2 3 2" xfId="5685" xr:uid="{00000000-0005-0000-0000-0000EB0A0000}"/>
    <cellStyle name="20% - uthevingsfarge 2 27 2 3 2 2" xfId="9100" xr:uid="{00000000-0005-0000-0000-0000EC0A0000}"/>
    <cellStyle name="20% - uthevingsfarge 2 27 2 3 2 2 2" xfId="21273" xr:uid="{00000000-0005-0000-0000-0000ED0A0000}"/>
    <cellStyle name="20% - uthevingsfarge 2 27 2 3 2 2 2 2" xfId="37353" xr:uid="{00000000-0005-0000-0000-0000EE0A0000}"/>
    <cellStyle name="20% - uthevingsfarge 2 27 2 3 2 2 3" xfId="28698" xr:uid="{00000000-0005-0000-0000-0000EF0A0000}"/>
    <cellStyle name="20% - uthevingsfarge 2 27 2 3 2 3" xfId="10686" xr:uid="{00000000-0005-0000-0000-0000F00A0000}"/>
    <cellStyle name="20% - uthevingsfarge 2 27 2 3 2 3 2" xfId="34534" xr:uid="{00000000-0005-0000-0000-0000F10A0000}"/>
    <cellStyle name="20% - uthevingsfarge 2 27 2 3 2 4" xfId="32089" xr:uid="{00000000-0005-0000-0000-0000F20A0000}"/>
    <cellStyle name="20% - uthevingsfarge 2 27 2 3 3" xfId="7403" xr:uid="{00000000-0005-0000-0000-0000F30A0000}"/>
    <cellStyle name="20% - uthevingsfarge 2 27 2 3 3 2" xfId="20772" xr:uid="{00000000-0005-0000-0000-0000F40A0000}"/>
    <cellStyle name="20% - uthevingsfarge 2 27 2 3 3 2 2" xfId="36871" xr:uid="{00000000-0005-0000-0000-0000F50A0000}"/>
    <cellStyle name="20% - uthevingsfarge 2 27 2 3 3 3" xfId="30395" xr:uid="{00000000-0005-0000-0000-0000F60A0000}"/>
    <cellStyle name="20% - uthevingsfarge 2 27 2 3 4" xfId="23695" xr:uid="{00000000-0005-0000-0000-0000F70A0000}"/>
    <cellStyle name="20% - uthevingsfarge 2 27 2 3 4 2" xfId="39751" xr:uid="{00000000-0005-0000-0000-0000F80A0000}"/>
    <cellStyle name="20% - uthevingsfarge 2 27 2 3 5" xfId="33782" xr:uid="{00000000-0005-0000-0000-0000F90A0000}"/>
    <cellStyle name="20% - uthevingsfarge 2 27 2 4" xfId="4282" xr:uid="{00000000-0005-0000-0000-0000FA0A0000}"/>
    <cellStyle name="20% - uthevingsfarge 2 27 2 4 2" xfId="6111" xr:uid="{00000000-0005-0000-0000-0000FB0A0000}"/>
    <cellStyle name="20% - uthevingsfarge 2 27 2 4 2 2" xfId="9525" xr:uid="{00000000-0005-0000-0000-0000FC0A0000}"/>
    <cellStyle name="20% - uthevingsfarge 2 27 2 4 2 2 2" xfId="10433" xr:uid="{00000000-0005-0000-0000-0000FD0A0000}"/>
    <cellStyle name="20% - uthevingsfarge 2 27 2 4 2 2 2 2" xfId="34361" xr:uid="{00000000-0005-0000-0000-0000FE0A0000}"/>
    <cellStyle name="20% - uthevingsfarge 2 27 2 4 2 2 3" xfId="28273" xr:uid="{00000000-0005-0000-0000-0000FF0A0000}"/>
    <cellStyle name="20% - uthevingsfarge 2 27 2 4 2 3" xfId="23980" xr:uid="{00000000-0005-0000-0000-0000000B0000}"/>
    <cellStyle name="20% - uthevingsfarge 2 27 2 4 2 3 2" xfId="40034" xr:uid="{00000000-0005-0000-0000-0000010B0000}"/>
    <cellStyle name="20% - uthevingsfarge 2 27 2 4 2 4" xfId="31668" xr:uid="{00000000-0005-0000-0000-0000020B0000}"/>
    <cellStyle name="20% - uthevingsfarge 2 27 2 4 3" xfId="7844" xr:uid="{00000000-0005-0000-0000-0000030B0000}"/>
    <cellStyle name="20% - uthevingsfarge 2 27 2 4 3 2" xfId="21672" xr:uid="{00000000-0005-0000-0000-0000040B0000}"/>
    <cellStyle name="20% - uthevingsfarge 2 27 2 4 3 2 2" xfId="37752" xr:uid="{00000000-0005-0000-0000-0000050B0000}"/>
    <cellStyle name="20% - uthevingsfarge 2 27 2 4 3 3" xfId="29955" xr:uid="{00000000-0005-0000-0000-0000060B0000}"/>
    <cellStyle name="20% - uthevingsfarge 2 27 2 4 4" xfId="23813" xr:uid="{00000000-0005-0000-0000-0000070B0000}"/>
    <cellStyle name="20% - uthevingsfarge 2 27 2 4 4 2" xfId="39869" xr:uid="{00000000-0005-0000-0000-0000080B0000}"/>
    <cellStyle name="20% - uthevingsfarge 2 27 2 4 5" xfId="33343" xr:uid="{00000000-0005-0000-0000-0000090B0000}"/>
    <cellStyle name="20% - uthevingsfarge 2 27 2 5" xfId="4737" xr:uid="{00000000-0005-0000-0000-00000A0B0000}"/>
    <cellStyle name="20% - uthevingsfarge 2 27 2 5 2" xfId="6457" xr:uid="{00000000-0005-0000-0000-00000B0B0000}"/>
    <cellStyle name="20% - uthevingsfarge 2 27 2 5 2 2" xfId="9863" xr:uid="{00000000-0005-0000-0000-00000C0B0000}"/>
    <cellStyle name="20% - uthevingsfarge 2 27 2 5 2 2 2" xfId="21991" xr:uid="{00000000-0005-0000-0000-00000D0B0000}"/>
    <cellStyle name="20% - uthevingsfarge 2 27 2 5 2 2 2 2" xfId="38066" xr:uid="{00000000-0005-0000-0000-00000E0B0000}"/>
    <cellStyle name="20% - uthevingsfarge 2 27 2 5 2 2 3" xfId="27936" xr:uid="{00000000-0005-0000-0000-00000F0B0000}"/>
    <cellStyle name="20% - uthevingsfarge 2 27 2 5 2 3" xfId="24045" xr:uid="{00000000-0005-0000-0000-0000100B0000}"/>
    <cellStyle name="20% - uthevingsfarge 2 27 2 5 2 3 2" xfId="40098" xr:uid="{00000000-0005-0000-0000-0000110B0000}"/>
    <cellStyle name="20% - uthevingsfarge 2 27 2 5 2 4" xfId="31337" xr:uid="{00000000-0005-0000-0000-0000120B0000}"/>
    <cellStyle name="20% - uthevingsfarge 2 27 2 5 3" xfId="8159" xr:uid="{00000000-0005-0000-0000-0000130B0000}"/>
    <cellStyle name="20% - uthevingsfarge 2 27 2 5 3 2" xfId="21016" xr:uid="{00000000-0005-0000-0000-0000140B0000}"/>
    <cellStyle name="20% - uthevingsfarge 2 27 2 5 3 2 2" xfId="37110" xr:uid="{00000000-0005-0000-0000-0000150B0000}"/>
    <cellStyle name="20% - uthevingsfarge 2 27 2 5 3 3" xfId="29639" xr:uid="{00000000-0005-0000-0000-0000160B0000}"/>
    <cellStyle name="20% - uthevingsfarge 2 27 2 5 4" xfId="12276" xr:uid="{00000000-0005-0000-0000-0000170B0000}"/>
    <cellStyle name="20% - uthevingsfarge 2 27 2 5 4 2" xfId="35152" xr:uid="{00000000-0005-0000-0000-0000180B0000}"/>
    <cellStyle name="20% - uthevingsfarge 2 27 2 5 5" xfId="33030" xr:uid="{00000000-0005-0000-0000-0000190B0000}"/>
    <cellStyle name="20% - uthevingsfarge 2 27 2 6" xfId="5097" xr:uid="{00000000-0005-0000-0000-00001A0B0000}"/>
    <cellStyle name="20% - uthevingsfarge 2 27 2 6 2" xfId="6816" xr:uid="{00000000-0005-0000-0000-00001B0B0000}"/>
    <cellStyle name="20% - uthevingsfarge 2 27 2 6 2 2" xfId="10222" xr:uid="{00000000-0005-0000-0000-00001C0B0000}"/>
    <cellStyle name="20% - uthevingsfarge 2 27 2 6 2 2 2" xfId="24648" xr:uid="{00000000-0005-0000-0000-00001D0B0000}"/>
    <cellStyle name="20% - uthevingsfarge 2 27 2 6 2 2 2 2" xfId="40692" xr:uid="{00000000-0005-0000-0000-00001E0B0000}"/>
    <cellStyle name="20% - uthevingsfarge 2 27 2 6 2 2 3" xfId="27577" xr:uid="{00000000-0005-0000-0000-00001F0B0000}"/>
    <cellStyle name="20% - uthevingsfarge 2 27 2 6 2 3" xfId="11810" xr:uid="{00000000-0005-0000-0000-0000200B0000}"/>
    <cellStyle name="20% - uthevingsfarge 2 27 2 6 2 3 2" xfId="34876" xr:uid="{00000000-0005-0000-0000-0000210B0000}"/>
    <cellStyle name="20% - uthevingsfarge 2 27 2 6 2 4" xfId="30978" xr:uid="{00000000-0005-0000-0000-0000220B0000}"/>
    <cellStyle name="20% - uthevingsfarge 2 27 2 6 3" xfId="8519" xr:uid="{00000000-0005-0000-0000-0000230B0000}"/>
    <cellStyle name="20% - uthevingsfarge 2 27 2 6 3 2" xfId="24376" xr:uid="{00000000-0005-0000-0000-0000240B0000}"/>
    <cellStyle name="20% - uthevingsfarge 2 27 2 6 3 2 2" xfId="40421" xr:uid="{00000000-0005-0000-0000-0000250B0000}"/>
    <cellStyle name="20% - uthevingsfarge 2 27 2 6 3 3" xfId="29279" xr:uid="{00000000-0005-0000-0000-0000260B0000}"/>
    <cellStyle name="20% - uthevingsfarge 2 27 2 6 4" xfId="22233" xr:uid="{00000000-0005-0000-0000-0000270B0000}"/>
    <cellStyle name="20% - uthevingsfarge 2 27 2 6 4 2" xfId="38307" xr:uid="{00000000-0005-0000-0000-0000280B0000}"/>
    <cellStyle name="20% - uthevingsfarge 2 27 2 6 5" xfId="32670" xr:uid="{00000000-0005-0000-0000-0000290B0000}"/>
    <cellStyle name="20% - uthevingsfarge 2 27 2 7" xfId="5276" xr:uid="{00000000-0005-0000-0000-00002A0B0000}"/>
    <cellStyle name="20% - uthevingsfarge 2 27 2 7 2" xfId="8691" xr:uid="{00000000-0005-0000-0000-00002B0B0000}"/>
    <cellStyle name="20% - uthevingsfarge 2 27 2 7 2 2" xfId="24400" xr:uid="{00000000-0005-0000-0000-00002C0B0000}"/>
    <cellStyle name="20% - uthevingsfarge 2 27 2 7 2 2 2" xfId="40444" xr:uid="{00000000-0005-0000-0000-00002D0B0000}"/>
    <cellStyle name="20% - uthevingsfarge 2 27 2 7 2 3" xfId="29107" xr:uid="{00000000-0005-0000-0000-00002E0B0000}"/>
    <cellStyle name="20% - uthevingsfarge 2 27 2 7 3" xfId="12095" xr:uid="{00000000-0005-0000-0000-00002F0B0000}"/>
    <cellStyle name="20% - uthevingsfarge 2 27 2 7 3 2" xfId="35068" xr:uid="{00000000-0005-0000-0000-0000300B0000}"/>
    <cellStyle name="20% - uthevingsfarge 2 27 2 7 4" xfId="32498" xr:uid="{00000000-0005-0000-0000-0000310B0000}"/>
    <cellStyle name="20% - uthevingsfarge 2 27 2 8" xfId="7009" xr:uid="{00000000-0005-0000-0000-0000320B0000}"/>
    <cellStyle name="20% - uthevingsfarge 2 27 2 8 2" xfId="23130" xr:uid="{00000000-0005-0000-0000-0000330B0000}"/>
    <cellStyle name="20% - uthevingsfarge 2 27 2 8 2 2" xfId="39199" xr:uid="{00000000-0005-0000-0000-0000340B0000}"/>
    <cellStyle name="20% - uthevingsfarge 2 27 2 8 3" xfId="30789" xr:uid="{00000000-0005-0000-0000-0000350B0000}"/>
    <cellStyle name="20% - uthevingsfarge 2 27 2 9" xfId="10817" xr:uid="{00000000-0005-0000-0000-0000360B0000}"/>
    <cellStyle name="20% - uthevingsfarge 2 27 3" xfId="3462" xr:uid="{00000000-0005-0000-0000-0000370B0000}"/>
    <cellStyle name="20% - uthevingsfarge 2 27 3 10" xfId="47078" xr:uid="{00000000-0005-0000-0000-0000380B0000}"/>
    <cellStyle name="20% - uthevingsfarge 2 27 3 2" xfId="3898" xr:uid="{00000000-0005-0000-0000-0000390B0000}"/>
    <cellStyle name="20% - uthevingsfarge 2 27 3 2 2" xfId="5786" xr:uid="{00000000-0005-0000-0000-00003A0B0000}"/>
    <cellStyle name="20% - uthevingsfarge 2 27 3 2 2 2" xfId="9201" xr:uid="{00000000-0005-0000-0000-00003B0B0000}"/>
    <cellStyle name="20% - uthevingsfarge 2 27 3 2 2 2 2" xfId="24477" xr:uid="{00000000-0005-0000-0000-00003C0B0000}"/>
    <cellStyle name="20% - uthevingsfarge 2 27 3 2 2 2 2 2" xfId="40521" xr:uid="{00000000-0005-0000-0000-00003D0B0000}"/>
    <cellStyle name="20% - uthevingsfarge 2 27 3 2 2 2 3" xfId="28597" xr:uid="{00000000-0005-0000-0000-00003E0B0000}"/>
    <cellStyle name="20% - uthevingsfarge 2 27 3 2 2 3" xfId="20202" xr:uid="{00000000-0005-0000-0000-00003F0B0000}"/>
    <cellStyle name="20% - uthevingsfarge 2 27 3 2 2 3 2" xfId="36301" xr:uid="{00000000-0005-0000-0000-0000400B0000}"/>
    <cellStyle name="20% - uthevingsfarge 2 27 3 2 2 4" xfId="31988" xr:uid="{00000000-0005-0000-0000-0000410B0000}"/>
    <cellStyle name="20% - uthevingsfarge 2 27 3 2 3" xfId="7504" xr:uid="{00000000-0005-0000-0000-0000420B0000}"/>
    <cellStyle name="20% - uthevingsfarge 2 27 3 2 3 2" xfId="24664" xr:uid="{00000000-0005-0000-0000-0000430B0000}"/>
    <cellStyle name="20% - uthevingsfarge 2 27 3 2 3 2 2" xfId="40707" xr:uid="{00000000-0005-0000-0000-0000440B0000}"/>
    <cellStyle name="20% - uthevingsfarge 2 27 3 2 3 3" xfId="30294" xr:uid="{00000000-0005-0000-0000-0000450B0000}"/>
    <cellStyle name="20% - uthevingsfarge 2 27 3 2 4" xfId="17956" xr:uid="{00000000-0005-0000-0000-0000460B0000}"/>
    <cellStyle name="20% - uthevingsfarge 2 27 3 2 5" xfId="21822" xr:uid="{00000000-0005-0000-0000-0000470B0000}"/>
    <cellStyle name="20% - uthevingsfarge 2 27 3 2 5 2" xfId="37898" xr:uid="{00000000-0005-0000-0000-0000480B0000}"/>
    <cellStyle name="20% - uthevingsfarge 2 27 3 2 6" xfId="33681" xr:uid="{00000000-0005-0000-0000-0000490B0000}"/>
    <cellStyle name="20% - uthevingsfarge 2 27 3 3" xfId="4838" xr:uid="{00000000-0005-0000-0000-00004A0B0000}"/>
    <cellStyle name="20% - uthevingsfarge 2 27 3 3 10" xfId="47268" xr:uid="{00000000-0005-0000-0000-00004B0B0000}"/>
    <cellStyle name="20% - uthevingsfarge 2 27 3 3 2" xfId="6557" xr:uid="{00000000-0005-0000-0000-00004C0B0000}"/>
    <cellStyle name="20% - uthevingsfarge 2 27 3 3 2 2" xfId="9963" xr:uid="{00000000-0005-0000-0000-00004D0B0000}"/>
    <cellStyle name="20% - uthevingsfarge 2 27 3 3 2 2 2" xfId="21551" xr:uid="{00000000-0005-0000-0000-00004E0B0000}"/>
    <cellStyle name="20% - uthevingsfarge 2 27 3 3 2 2 2 2" xfId="37631" xr:uid="{00000000-0005-0000-0000-00004F0B0000}"/>
    <cellStyle name="20% - uthevingsfarge 2 27 3 3 2 2 3" xfId="27836" xr:uid="{00000000-0005-0000-0000-0000500B0000}"/>
    <cellStyle name="20% - uthevingsfarge 2 27 3 3 2 3" xfId="24064" xr:uid="{00000000-0005-0000-0000-0000510B0000}"/>
    <cellStyle name="20% - uthevingsfarge 2 27 3 3 2 3 2" xfId="40117" xr:uid="{00000000-0005-0000-0000-0000520B0000}"/>
    <cellStyle name="20% - uthevingsfarge 2 27 3 3 2 4" xfId="31237" xr:uid="{00000000-0005-0000-0000-0000530B0000}"/>
    <cellStyle name="20% - uthevingsfarge 2 27 3 3 2 5" xfId="42823" xr:uid="{00000000-0005-0000-0000-0000540B0000}"/>
    <cellStyle name="20% - uthevingsfarge 2 27 3 3 2 6" xfId="43261" xr:uid="{00000000-0005-0000-0000-0000550B0000}"/>
    <cellStyle name="20% - uthevingsfarge 2 27 3 3 2 7" xfId="46109" xr:uid="{00000000-0005-0000-0000-0000560B0000}"/>
    <cellStyle name="20% - uthevingsfarge 2 27 3 3 2 8" xfId="46878" xr:uid="{00000000-0005-0000-0000-0000570B0000}"/>
    <cellStyle name="20% - uthevingsfarge 2 27 3 3 2 9" xfId="47464" xr:uid="{00000000-0005-0000-0000-0000580B0000}"/>
    <cellStyle name="20% - uthevingsfarge 2 27 3 3 3" xfId="8260" xr:uid="{00000000-0005-0000-0000-0000590B0000}"/>
    <cellStyle name="20% - uthevingsfarge 2 27 3 3 3 2" xfId="21046" xr:uid="{00000000-0005-0000-0000-00005A0B0000}"/>
    <cellStyle name="20% - uthevingsfarge 2 27 3 3 3 2 2" xfId="37137" xr:uid="{00000000-0005-0000-0000-00005B0B0000}"/>
    <cellStyle name="20% - uthevingsfarge 2 27 3 3 3 3" xfId="29537" xr:uid="{00000000-0005-0000-0000-00005C0B0000}"/>
    <cellStyle name="20% - uthevingsfarge 2 27 3 3 3 4" xfId="43882" xr:uid="{00000000-0005-0000-0000-00005D0B0000}"/>
    <cellStyle name="20% - uthevingsfarge 2 27 3 3 4" xfId="16268" xr:uid="{00000000-0005-0000-0000-00005E0B0000}"/>
    <cellStyle name="20% - uthevingsfarge 2 27 3 3 4 2" xfId="35356" xr:uid="{00000000-0005-0000-0000-00005F0B0000}"/>
    <cellStyle name="20% - uthevingsfarge 2 27 3 3 5" xfId="25015" xr:uid="{00000000-0005-0000-0000-0000600B0000}"/>
    <cellStyle name="20% - uthevingsfarge 2 27 3 3 6" xfId="25247" xr:uid="{00000000-0005-0000-0000-0000610B0000}"/>
    <cellStyle name="20% - uthevingsfarge 2 27 3 3 7" xfId="32929" xr:uid="{00000000-0005-0000-0000-0000620B0000}"/>
    <cellStyle name="20% - uthevingsfarge 2 27 3 3 8" xfId="43721" xr:uid="{00000000-0005-0000-0000-0000630B0000}"/>
    <cellStyle name="20% - uthevingsfarge 2 27 3 3 9" xfId="46647" xr:uid="{00000000-0005-0000-0000-0000640B0000}"/>
    <cellStyle name="20% - uthevingsfarge 2 27 3 4" xfId="5401" xr:uid="{00000000-0005-0000-0000-0000650B0000}"/>
    <cellStyle name="20% - uthevingsfarge 2 27 3 4 2" xfId="8816" xr:uid="{00000000-0005-0000-0000-0000660B0000}"/>
    <cellStyle name="20% - uthevingsfarge 2 27 3 4 2 2" xfId="11757" xr:uid="{00000000-0005-0000-0000-0000670B0000}"/>
    <cellStyle name="20% - uthevingsfarge 2 27 3 4 2 2 2" xfId="34854" xr:uid="{00000000-0005-0000-0000-0000680B0000}"/>
    <cellStyle name="20% - uthevingsfarge 2 27 3 4 2 3" xfId="28982" xr:uid="{00000000-0005-0000-0000-0000690B0000}"/>
    <cellStyle name="20% - uthevingsfarge 2 27 3 4 3" xfId="23860" xr:uid="{00000000-0005-0000-0000-00006A0B0000}"/>
    <cellStyle name="20% - uthevingsfarge 2 27 3 4 3 2" xfId="39916" xr:uid="{00000000-0005-0000-0000-00006B0B0000}"/>
    <cellStyle name="20% - uthevingsfarge 2 27 3 4 4" xfId="32373" xr:uid="{00000000-0005-0000-0000-00006C0B0000}"/>
    <cellStyle name="20% - uthevingsfarge 2 27 3 5" xfId="7110" xr:uid="{00000000-0005-0000-0000-00006D0B0000}"/>
    <cellStyle name="20% - uthevingsfarge 2 27 3 5 2" xfId="20670" xr:uid="{00000000-0005-0000-0000-00006E0B0000}"/>
    <cellStyle name="20% - uthevingsfarge 2 27 3 5 2 2" xfId="36769" xr:uid="{00000000-0005-0000-0000-00006F0B0000}"/>
    <cellStyle name="20% - uthevingsfarge 2 27 3 5 3" xfId="30688" xr:uid="{00000000-0005-0000-0000-0000700B0000}"/>
    <cellStyle name="20% - uthevingsfarge 2 27 3 6" xfId="10819" xr:uid="{00000000-0005-0000-0000-0000710B0000}"/>
    <cellStyle name="20% - uthevingsfarge 2 27 3 7" xfId="34075" xr:uid="{00000000-0005-0000-0000-0000720B0000}"/>
    <cellStyle name="20% - uthevingsfarge 2 27 3 8" xfId="43513" xr:uid="{00000000-0005-0000-0000-0000730B0000}"/>
    <cellStyle name="20% - uthevingsfarge 2 27 3 9" xfId="46417" xr:uid="{00000000-0005-0000-0000-0000740B0000}"/>
    <cellStyle name="20% - uthevingsfarge 2 27 3_Avviksanalyse løpende RNB15 (1)" xfId="16572" xr:uid="{00000000-0005-0000-0000-0000750B0000}"/>
    <cellStyle name="20% - uthevingsfarge 2 27 4" xfId="3719" xr:uid="{00000000-0005-0000-0000-0000760B0000}"/>
    <cellStyle name="20% - uthevingsfarge 2 27 4 2" xfId="5607" xr:uid="{00000000-0005-0000-0000-0000770B0000}"/>
    <cellStyle name="20% - uthevingsfarge 2 27 4 2 2" xfId="9022" xr:uid="{00000000-0005-0000-0000-0000780B0000}"/>
    <cellStyle name="20% - uthevingsfarge 2 27 4 2 2 2" xfId="24448" xr:uid="{00000000-0005-0000-0000-0000790B0000}"/>
    <cellStyle name="20% - uthevingsfarge 2 27 4 2 2 2 2" xfId="40492" xr:uid="{00000000-0005-0000-0000-00007A0B0000}"/>
    <cellStyle name="20% - uthevingsfarge 2 27 4 2 2 3" xfId="28776" xr:uid="{00000000-0005-0000-0000-00007B0B0000}"/>
    <cellStyle name="20% - uthevingsfarge 2 27 4 2 3" xfId="20139" xr:uid="{00000000-0005-0000-0000-00007C0B0000}"/>
    <cellStyle name="20% - uthevingsfarge 2 27 4 2 3 2" xfId="36242" xr:uid="{00000000-0005-0000-0000-00007D0B0000}"/>
    <cellStyle name="20% - uthevingsfarge 2 27 4 2 4" xfId="32167" xr:uid="{00000000-0005-0000-0000-00007E0B0000}"/>
    <cellStyle name="20% - uthevingsfarge 2 27 4 3" xfId="7325" xr:uid="{00000000-0005-0000-0000-00007F0B0000}"/>
    <cellStyle name="20% - uthevingsfarge 2 27 4 3 2" xfId="22437" xr:uid="{00000000-0005-0000-0000-0000800B0000}"/>
    <cellStyle name="20% - uthevingsfarge 2 27 4 3 2 2" xfId="38509" xr:uid="{00000000-0005-0000-0000-0000810B0000}"/>
    <cellStyle name="20% - uthevingsfarge 2 27 4 3 3" xfId="30473" xr:uid="{00000000-0005-0000-0000-0000820B0000}"/>
    <cellStyle name="20% - uthevingsfarge 2 27 4 4" xfId="12588" xr:uid="{00000000-0005-0000-0000-0000830B0000}"/>
    <cellStyle name="20% - uthevingsfarge 2 27 4 4 2" xfId="35286" xr:uid="{00000000-0005-0000-0000-0000840B0000}"/>
    <cellStyle name="20% - uthevingsfarge 2 27 4 5" xfId="33860" xr:uid="{00000000-0005-0000-0000-0000850B0000}"/>
    <cellStyle name="20% - uthevingsfarge 2 27 5" xfId="4201" xr:uid="{00000000-0005-0000-0000-0000860B0000}"/>
    <cellStyle name="20% - uthevingsfarge 2 27 5 2" xfId="6038" xr:uid="{00000000-0005-0000-0000-0000870B0000}"/>
    <cellStyle name="20% - uthevingsfarge 2 27 5 2 2" xfId="9453" xr:uid="{00000000-0005-0000-0000-0000880B0000}"/>
    <cellStyle name="20% - uthevingsfarge 2 27 5 2 2 2" xfId="24515" xr:uid="{00000000-0005-0000-0000-0000890B0000}"/>
    <cellStyle name="20% - uthevingsfarge 2 27 5 2 2 2 2" xfId="40559" xr:uid="{00000000-0005-0000-0000-00008A0B0000}"/>
    <cellStyle name="20% - uthevingsfarge 2 27 5 2 2 3" xfId="28345" xr:uid="{00000000-0005-0000-0000-00008B0B0000}"/>
    <cellStyle name="20% - uthevingsfarge 2 27 5 2 3" xfId="20298" xr:uid="{00000000-0005-0000-0000-00008C0B0000}"/>
    <cellStyle name="20% - uthevingsfarge 2 27 5 2 3 2" xfId="36397" xr:uid="{00000000-0005-0000-0000-00008D0B0000}"/>
    <cellStyle name="20% - uthevingsfarge 2 27 5 2 4" xfId="31740" xr:uid="{00000000-0005-0000-0000-00008E0B0000}"/>
    <cellStyle name="20% - uthevingsfarge 2 27 5 3" xfId="7771" xr:uid="{00000000-0005-0000-0000-00008F0B0000}"/>
    <cellStyle name="20% - uthevingsfarge 2 27 5 3 2" xfId="24267" xr:uid="{00000000-0005-0000-0000-0000900B0000}"/>
    <cellStyle name="20% - uthevingsfarge 2 27 5 3 2 2" xfId="40320" xr:uid="{00000000-0005-0000-0000-0000910B0000}"/>
    <cellStyle name="20% - uthevingsfarge 2 27 5 3 3" xfId="30028" xr:uid="{00000000-0005-0000-0000-0000920B0000}"/>
    <cellStyle name="20% - uthevingsfarge 2 27 5 4" xfId="21835" xr:uid="{00000000-0005-0000-0000-0000930B0000}"/>
    <cellStyle name="20% - uthevingsfarge 2 27 5 4 2" xfId="37911" xr:uid="{00000000-0005-0000-0000-0000940B0000}"/>
    <cellStyle name="20% - uthevingsfarge 2 27 5 5" xfId="33416" xr:uid="{00000000-0005-0000-0000-0000950B0000}"/>
    <cellStyle name="20% - uthevingsfarge 2 27 6" xfId="4654" xr:uid="{00000000-0005-0000-0000-0000960B0000}"/>
    <cellStyle name="20% - uthevingsfarge 2 27 6 2" xfId="6374" xr:uid="{00000000-0005-0000-0000-0000970B0000}"/>
    <cellStyle name="20% - uthevingsfarge 2 27 6 2 2" xfId="9784" xr:uid="{00000000-0005-0000-0000-0000980B0000}"/>
    <cellStyle name="20% - uthevingsfarge 2 27 6 2 2 2" xfId="24562" xr:uid="{00000000-0005-0000-0000-0000990B0000}"/>
    <cellStyle name="20% - uthevingsfarge 2 27 6 2 2 2 2" xfId="40606" xr:uid="{00000000-0005-0000-0000-00009A0B0000}"/>
    <cellStyle name="20% - uthevingsfarge 2 27 6 2 2 3" xfId="28015" xr:uid="{00000000-0005-0000-0000-00009B0B0000}"/>
    <cellStyle name="20% - uthevingsfarge 2 27 6 2 3" xfId="22346" xr:uid="{00000000-0005-0000-0000-00009C0B0000}"/>
    <cellStyle name="20% - uthevingsfarge 2 27 6 2 3 2" xfId="38418" xr:uid="{00000000-0005-0000-0000-00009D0B0000}"/>
    <cellStyle name="20% - uthevingsfarge 2 27 6 2 4" xfId="31416" xr:uid="{00000000-0005-0000-0000-00009E0B0000}"/>
    <cellStyle name="20% - uthevingsfarge 2 27 6 3" xfId="8080" xr:uid="{00000000-0005-0000-0000-00009F0B0000}"/>
    <cellStyle name="20% - uthevingsfarge 2 27 6 3 2" xfId="19463" xr:uid="{00000000-0005-0000-0000-0000A00B0000}"/>
    <cellStyle name="20% - uthevingsfarge 2 27 6 3 2 2" xfId="35577" xr:uid="{00000000-0005-0000-0000-0000A10B0000}"/>
    <cellStyle name="20% - uthevingsfarge 2 27 6 3 3" xfId="29718" xr:uid="{00000000-0005-0000-0000-0000A20B0000}"/>
    <cellStyle name="20% - uthevingsfarge 2 27 6 4" xfId="22057" xr:uid="{00000000-0005-0000-0000-0000A30B0000}"/>
    <cellStyle name="20% - uthevingsfarge 2 27 6 4 2" xfId="38131" xr:uid="{00000000-0005-0000-0000-0000A40B0000}"/>
    <cellStyle name="20% - uthevingsfarge 2 27 6 5" xfId="33109" xr:uid="{00000000-0005-0000-0000-0000A50B0000}"/>
    <cellStyle name="20% - uthevingsfarge 2 27 7" xfId="5018" xr:uid="{00000000-0005-0000-0000-0000A60B0000}"/>
    <cellStyle name="20% - uthevingsfarge 2 27 7 2" xfId="6737" xr:uid="{00000000-0005-0000-0000-0000A70B0000}"/>
    <cellStyle name="20% - uthevingsfarge 2 27 7 2 2" xfId="10143" xr:uid="{00000000-0005-0000-0000-0000A80B0000}"/>
    <cellStyle name="20% - uthevingsfarge 2 27 7 2 2 2" xfId="21623" xr:uid="{00000000-0005-0000-0000-0000A90B0000}"/>
    <cellStyle name="20% - uthevingsfarge 2 27 7 2 2 2 2" xfId="37703" xr:uid="{00000000-0005-0000-0000-0000AA0B0000}"/>
    <cellStyle name="20% - uthevingsfarge 2 27 7 2 2 3" xfId="27656" xr:uid="{00000000-0005-0000-0000-0000AB0B0000}"/>
    <cellStyle name="20% - uthevingsfarge 2 27 7 2 3" xfId="10656" xr:uid="{00000000-0005-0000-0000-0000AC0B0000}"/>
    <cellStyle name="20% - uthevingsfarge 2 27 7 2 3 2" xfId="34504" xr:uid="{00000000-0005-0000-0000-0000AD0B0000}"/>
    <cellStyle name="20% - uthevingsfarge 2 27 7 2 4" xfId="31057" xr:uid="{00000000-0005-0000-0000-0000AE0B0000}"/>
    <cellStyle name="20% - uthevingsfarge 2 27 7 3" xfId="8440" xr:uid="{00000000-0005-0000-0000-0000AF0B0000}"/>
    <cellStyle name="20% - uthevingsfarge 2 27 7 3 2" xfId="24365" xr:uid="{00000000-0005-0000-0000-0000B00B0000}"/>
    <cellStyle name="20% - uthevingsfarge 2 27 7 3 2 2" xfId="40411" xr:uid="{00000000-0005-0000-0000-0000B10B0000}"/>
    <cellStyle name="20% - uthevingsfarge 2 27 7 3 3" xfId="29358" xr:uid="{00000000-0005-0000-0000-0000B20B0000}"/>
    <cellStyle name="20% - uthevingsfarge 2 27 7 4" xfId="10858" xr:uid="{00000000-0005-0000-0000-0000B30B0000}"/>
    <cellStyle name="20% - uthevingsfarge 2 27 7 4 2" xfId="34656" xr:uid="{00000000-0005-0000-0000-0000B40B0000}"/>
    <cellStyle name="20% - uthevingsfarge 2 27 7 5" xfId="32749" xr:uid="{00000000-0005-0000-0000-0000B50B0000}"/>
    <cellStyle name="20% - uthevingsfarge 2 27 8" xfId="5191" xr:uid="{00000000-0005-0000-0000-0000B60B0000}"/>
    <cellStyle name="20% - uthevingsfarge 2 27 8 2" xfId="8610" xr:uid="{00000000-0005-0000-0000-0000B70B0000}"/>
    <cellStyle name="20% - uthevingsfarge 2 27 8 2 2" xfId="22587" xr:uid="{00000000-0005-0000-0000-0000B80B0000}"/>
    <cellStyle name="20% - uthevingsfarge 2 27 8 2 2 2" xfId="38656" xr:uid="{00000000-0005-0000-0000-0000B90B0000}"/>
    <cellStyle name="20% - uthevingsfarge 2 27 8 2 3" xfId="29188" xr:uid="{00000000-0005-0000-0000-0000BA0B0000}"/>
    <cellStyle name="20% - uthevingsfarge 2 27 8 3" xfId="20067" xr:uid="{00000000-0005-0000-0000-0000BB0B0000}"/>
    <cellStyle name="20% - uthevingsfarge 2 27 8 3 2" xfId="36171" xr:uid="{00000000-0005-0000-0000-0000BC0B0000}"/>
    <cellStyle name="20% - uthevingsfarge 2 27 8 4" xfId="32579" xr:uid="{00000000-0005-0000-0000-0000BD0B0000}"/>
    <cellStyle name="20% - uthevingsfarge 2 27 9" xfId="6903" xr:uid="{00000000-0005-0000-0000-0000BE0B0000}"/>
    <cellStyle name="20% - uthevingsfarge 2 27 9 2" xfId="20597" xr:uid="{00000000-0005-0000-0000-0000BF0B0000}"/>
    <cellStyle name="20% - uthevingsfarge 2 27 9 2 2" xfId="36696" xr:uid="{00000000-0005-0000-0000-0000C00B0000}"/>
    <cellStyle name="20% - uthevingsfarge 2 27 9 3" xfId="30895" xr:uid="{00000000-0005-0000-0000-0000C10B0000}"/>
    <cellStyle name="20% - uthevingsfarge 2 28" xfId="359" xr:uid="{00000000-0005-0000-0000-0000C20B0000}"/>
    <cellStyle name="20% - uthevingsfarge 2 28 10" xfId="6904" xr:uid="{00000000-0005-0000-0000-0000C30B0000}"/>
    <cellStyle name="20% - uthevingsfarge 2 28 10 2" xfId="20598" xr:uid="{00000000-0005-0000-0000-0000C40B0000}"/>
    <cellStyle name="20% - uthevingsfarge 2 28 10 2 2" xfId="36697" xr:uid="{00000000-0005-0000-0000-0000C50B0000}"/>
    <cellStyle name="20% - uthevingsfarge 2 28 10 3" xfId="30894" xr:uid="{00000000-0005-0000-0000-0000C60B0000}"/>
    <cellStyle name="20% - uthevingsfarge 2 28 11" xfId="10820" xr:uid="{00000000-0005-0000-0000-0000C70B0000}"/>
    <cellStyle name="20% - uthevingsfarge 2 28 12" xfId="34282" xr:uid="{00000000-0005-0000-0000-0000C80B0000}"/>
    <cellStyle name="20% - uthevingsfarge 2 28 2" xfId="3316" xr:uid="{00000000-0005-0000-0000-0000C90B0000}"/>
    <cellStyle name="20% - uthevingsfarge 2 28 2 10" xfId="34175" xr:uid="{00000000-0005-0000-0000-0000CA0B0000}"/>
    <cellStyle name="20% - uthevingsfarge 2 28 2 2" xfId="3548" xr:uid="{00000000-0005-0000-0000-0000CB0B0000}"/>
    <cellStyle name="20% - uthevingsfarge 2 28 2 2 10" xfId="47147" xr:uid="{00000000-0005-0000-0000-0000CC0B0000}"/>
    <cellStyle name="20% - uthevingsfarge 2 28 2 2 2" xfId="3978" xr:uid="{00000000-0005-0000-0000-0000CD0B0000}"/>
    <cellStyle name="20% - uthevingsfarge 2 28 2 2 2 2" xfId="5866" xr:uid="{00000000-0005-0000-0000-0000CE0B0000}"/>
    <cellStyle name="20% - uthevingsfarge 2 28 2 2 2 2 2" xfId="9281" xr:uid="{00000000-0005-0000-0000-0000CF0B0000}"/>
    <cellStyle name="20% - uthevingsfarge 2 28 2 2 2 2 2 2" xfId="21337" xr:uid="{00000000-0005-0000-0000-0000D00B0000}"/>
    <cellStyle name="20% - uthevingsfarge 2 28 2 2 2 2 2 2 2" xfId="37417" xr:uid="{00000000-0005-0000-0000-0000D10B0000}"/>
    <cellStyle name="20% - uthevingsfarge 2 28 2 2 2 2 2 3" xfId="28517" xr:uid="{00000000-0005-0000-0000-0000D20B0000}"/>
    <cellStyle name="20% - uthevingsfarge 2 28 2 2 2 2 3" xfId="20231" xr:uid="{00000000-0005-0000-0000-0000D30B0000}"/>
    <cellStyle name="20% - uthevingsfarge 2 28 2 2 2 2 3 2" xfId="36330" xr:uid="{00000000-0005-0000-0000-0000D40B0000}"/>
    <cellStyle name="20% - uthevingsfarge 2 28 2 2 2 2 4" xfId="31908" xr:uid="{00000000-0005-0000-0000-0000D50B0000}"/>
    <cellStyle name="20% - uthevingsfarge 2 28 2 2 2 3" xfId="7584" xr:uid="{00000000-0005-0000-0000-0000D60B0000}"/>
    <cellStyle name="20% - uthevingsfarge 2 28 2 2 2 3 2" xfId="24230" xr:uid="{00000000-0005-0000-0000-0000D70B0000}"/>
    <cellStyle name="20% - uthevingsfarge 2 28 2 2 2 3 2 2" xfId="40283" xr:uid="{00000000-0005-0000-0000-0000D80B0000}"/>
    <cellStyle name="20% - uthevingsfarge 2 28 2 2 2 3 3" xfId="30214" xr:uid="{00000000-0005-0000-0000-0000D90B0000}"/>
    <cellStyle name="20% - uthevingsfarge 2 28 2 2 2 4" xfId="17957" xr:uid="{00000000-0005-0000-0000-0000DA0B0000}"/>
    <cellStyle name="20% - uthevingsfarge 2 28 2 2 2 5" xfId="21743" xr:uid="{00000000-0005-0000-0000-0000DB0B0000}"/>
    <cellStyle name="20% - uthevingsfarge 2 28 2 2 2 5 2" xfId="37821" xr:uid="{00000000-0005-0000-0000-0000DC0B0000}"/>
    <cellStyle name="20% - uthevingsfarge 2 28 2 2 2 6" xfId="33601" xr:uid="{00000000-0005-0000-0000-0000DD0B0000}"/>
    <cellStyle name="20% - uthevingsfarge 2 28 2 2 3" xfId="4918" xr:uid="{00000000-0005-0000-0000-0000DE0B0000}"/>
    <cellStyle name="20% - uthevingsfarge 2 28 2 2 3 10" xfId="47337" xr:uid="{00000000-0005-0000-0000-0000DF0B0000}"/>
    <cellStyle name="20% - uthevingsfarge 2 28 2 2 3 2" xfId="6637" xr:uid="{00000000-0005-0000-0000-0000E00B0000}"/>
    <cellStyle name="20% - uthevingsfarge 2 28 2 2 3 2 2" xfId="10043" xr:uid="{00000000-0005-0000-0000-0000E10B0000}"/>
    <cellStyle name="20% - uthevingsfarge 2 28 2 2 3 2 2 2" xfId="21583" xr:uid="{00000000-0005-0000-0000-0000E20B0000}"/>
    <cellStyle name="20% - uthevingsfarge 2 28 2 2 3 2 2 2 2" xfId="37663" xr:uid="{00000000-0005-0000-0000-0000E30B0000}"/>
    <cellStyle name="20% - uthevingsfarge 2 28 2 2 3 2 2 3" xfId="27756" xr:uid="{00000000-0005-0000-0000-0000E40B0000}"/>
    <cellStyle name="20% - uthevingsfarge 2 28 2 2 3 2 3" xfId="20528" xr:uid="{00000000-0005-0000-0000-0000E50B0000}"/>
    <cellStyle name="20% - uthevingsfarge 2 28 2 2 3 2 3 2" xfId="36627" xr:uid="{00000000-0005-0000-0000-0000E60B0000}"/>
    <cellStyle name="20% - uthevingsfarge 2 28 2 2 3 2 4" xfId="31157" xr:uid="{00000000-0005-0000-0000-0000E70B0000}"/>
    <cellStyle name="20% - uthevingsfarge 2 28 2 2 3 2 5" xfId="43031" xr:uid="{00000000-0005-0000-0000-0000E80B0000}"/>
    <cellStyle name="20% - uthevingsfarge 2 28 2 2 3 2 6" xfId="43328" xr:uid="{00000000-0005-0000-0000-0000E90B0000}"/>
    <cellStyle name="20% - uthevingsfarge 2 28 2 2 3 2 7" xfId="46176" xr:uid="{00000000-0005-0000-0000-0000EA0B0000}"/>
    <cellStyle name="20% - uthevingsfarge 2 28 2 2 3 2 8" xfId="46948" xr:uid="{00000000-0005-0000-0000-0000EB0B0000}"/>
    <cellStyle name="20% - uthevingsfarge 2 28 2 2 3 2 9" xfId="47533" xr:uid="{00000000-0005-0000-0000-0000EC0B0000}"/>
    <cellStyle name="20% - uthevingsfarge 2 28 2 2 3 3" xfId="8340" xr:uid="{00000000-0005-0000-0000-0000ED0B0000}"/>
    <cellStyle name="20% - uthevingsfarge 2 28 2 2 3 3 2" xfId="21065" xr:uid="{00000000-0005-0000-0000-0000EE0B0000}"/>
    <cellStyle name="20% - uthevingsfarge 2 28 2 2 3 3 2 2" xfId="37152" xr:uid="{00000000-0005-0000-0000-0000EF0B0000}"/>
    <cellStyle name="20% - uthevingsfarge 2 28 2 2 3 3 3" xfId="29458" xr:uid="{00000000-0005-0000-0000-0000F00B0000}"/>
    <cellStyle name="20% - uthevingsfarge 2 28 2 2 3 3 4" xfId="43883" xr:uid="{00000000-0005-0000-0000-0000F10B0000}"/>
    <cellStyle name="20% - uthevingsfarge 2 28 2 2 3 4" xfId="16476" xr:uid="{00000000-0005-0000-0000-0000F20B0000}"/>
    <cellStyle name="20% - uthevingsfarge 2 28 2 2 3 4 2" xfId="35423" xr:uid="{00000000-0005-0000-0000-0000F30B0000}"/>
    <cellStyle name="20% - uthevingsfarge 2 28 2 2 3 5" xfId="25085" xr:uid="{00000000-0005-0000-0000-0000F40B0000}"/>
    <cellStyle name="20% - uthevingsfarge 2 28 2 2 3 6" xfId="25248" xr:uid="{00000000-0005-0000-0000-0000F50B0000}"/>
    <cellStyle name="20% - uthevingsfarge 2 28 2 2 3 7" xfId="32849" xr:uid="{00000000-0005-0000-0000-0000F60B0000}"/>
    <cellStyle name="20% - uthevingsfarge 2 28 2 2 3 8" xfId="43789" xr:uid="{00000000-0005-0000-0000-0000F70B0000}"/>
    <cellStyle name="20% - uthevingsfarge 2 28 2 2 3 9" xfId="46714" xr:uid="{00000000-0005-0000-0000-0000F80B0000}"/>
    <cellStyle name="20% - uthevingsfarge 2 28 2 2 4" xfId="5472" xr:uid="{00000000-0005-0000-0000-0000F90B0000}"/>
    <cellStyle name="20% - uthevingsfarge 2 28 2 2 4 2" xfId="8887" xr:uid="{00000000-0005-0000-0000-0000FA0B0000}"/>
    <cellStyle name="20% - uthevingsfarge 2 28 2 2 4 2 2" xfId="23681" xr:uid="{00000000-0005-0000-0000-0000FB0B0000}"/>
    <cellStyle name="20% - uthevingsfarge 2 28 2 2 4 2 2 2" xfId="39737" xr:uid="{00000000-0005-0000-0000-0000FC0B0000}"/>
    <cellStyle name="20% - uthevingsfarge 2 28 2 2 4 2 3" xfId="28911" xr:uid="{00000000-0005-0000-0000-0000FD0B0000}"/>
    <cellStyle name="20% - uthevingsfarge 2 28 2 2 4 3" xfId="12000" xr:uid="{00000000-0005-0000-0000-0000FE0B0000}"/>
    <cellStyle name="20% - uthevingsfarge 2 28 2 2 4 3 2" xfId="35021" xr:uid="{00000000-0005-0000-0000-0000FF0B0000}"/>
    <cellStyle name="20% - uthevingsfarge 2 28 2 2 4 4" xfId="32302" xr:uid="{00000000-0005-0000-0000-0000000C0000}"/>
    <cellStyle name="20% - uthevingsfarge 2 28 2 2 5" xfId="7190" xr:uid="{00000000-0005-0000-0000-0000010C0000}"/>
    <cellStyle name="20% - uthevingsfarge 2 28 2 2 5 2" xfId="23675" xr:uid="{00000000-0005-0000-0000-0000020C0000}"/>
    <cellStyle name="20% - uthevingsfarge 2 28 2 2 5 2 2" xfId="39731" xr:uid="{00000000-0005-0000-0000-0000030C0000}"/>
    <cellStyle name="20% - uthevingsfarge 2 28 2 2 5 3" xfId="30608" xr:uid="{00000000-0005-0000-0000-0000040C0000}"/>
    <cellStyle name="20% - uthevingsfarge 2 28 2 2 6" xfId="10822" xr:uid="{00000000-0005-0000-0000-0000050C0000}"/>
    <cellStyle name="20% - uthevingsfarge 2 28 2 2 7" xfId="33995" xr:uid="{00000000-0005-0000-0000-0000060C0000}"/>
    <cellStyle name="20% - uthevingsfarge 2 28 2 2 8" xfId="43580" xr:uid="{00000000-0005-0000-0000-0000070C0000}"/>
    <cellStyle name="20% - uthevingsfarge 2 28 2 2 9" xfId="46486" xr:uid="{00000000-0005-0000-0000-0000080C0000}"/>
    <cellStyle name="20% - uthevingsfarge 2 28 2 2_Avviksanalyse løpende RNB15 (1)" xfId="16573" xr:uid="{00000000-0005-0000-0000-0000090C0000}"/>
    <cellStyle name="20% - uthevingsfarge 2 28 2 3" xfId="3798" xr:uid="{00000000-0005-0000-0000-00000A0C0000}"/>
    <cellStyle name="20% - uthevingsfarge 2 28 2 3 2" xfId="5686" xr:uid="{00000000-0005-0000-0000-00000B0C0000}"/>
    <cellStyle name="20% - uthevingsfarge 2 28 2 3 2 2" xfId="9101" xr:uid="{00000000-0005-0000-0000-00000C0C0000}"/>
    <cellStyle name="20% - uthevingsfarge 2 28 2 3 2 2 2" xfId="21274" xr:uid="{00000000-0005-0000-0000-00000D0C0000}"/>
    <cellStyle name="20% - uthevingsfarge 2 28 2 3 2 2 2 2" xfId="37354" xr:uid="{00000000-0005-0000-0000-00000E0C0000}"/>
    <cellStyle name="20% - uthevingsfarge 2 28 2 3 2 2 3" xfId="28697" xr:uid="{00000000-0005-0000-0000-00000F0C0000}"/>
    <cellStyle name="20% - uthevingsfarge 2 28 2 3 2 3" xfId="10369" xr:uid="{00000000-0005-0000-0000-0000100C0000}"/>
    <cellStyle name="20% - uthevingsfarge 2 28 2 3 2 3 2" xfId="34331" xr:uid="{00000000-0005-0000-0000-0000110C0000}"/>
    <cellStyle name="20% - uthevingsfarge 2 28 2 3 2 4" xfId="32088" xr:uid="{00000000-0005-0000-0000-0000120C0000}"/>
    <cellStyle name="20% - uthevingsfarge 2 28 2 3 3" xfId="7404" xr:uid="{00000000-0005-0000-0000-0000130C0000}"/>
    <cellStyle name="20% - uthevingsfarge 2 28 2 3 3 2" xfId="20773" xr:uid="{00000000-0005-0000-0000-0000140C0000}"/>
    <cellStyle name="20% - uthevingsfarge 2 28 2 3 3 2 2" xfId="36872" xr:uid="{00000000-0005-0000-0000-0000150C0000}"/>
    <cellStyle name="20% - uthevingsfarge 2 28 2 3 3 3" xfId="30394" xr:uid="{00000000-0005-0000-0000-0000160C0000}"/>
    <cellStyle name="20% - uthevingsfarge 2 28 2 3 4" xfId="19546" xr:uid="{00000000-0005-0000-0000-0000170C0000}"/>
    <cellStyle name="20% - uthevingsfarge 2 28 2 3 4 2" xfId="35660" xr:uid="{00000000-0005-0000-0000-0000180C0000}"/>
    <cellStyle name="20% - uthevingsfarge 2 28 2 3 5" xfId="33781" xr:uid="{00000000-0005-0000-0000-0000190C0000}"/>
    <cellStyle name="20% - uthevingsfarge 2 28 2 4" xfId="4283" xr:uid="{00000000-0005-0000-0000-00001A0C0000}"/>
    <cellStyle name="20% - uthevingsfarge 2 28 2 4 2" xfId="6112" xr:uid="{00000000-0005-0000-0000-00001B0C0000}"/>
    <cellStyle name="20% - uthevingsfarge 2 28 2 4 2 2" xfId="9526" xr:uid="{00000000-0005-0000-0000-00001C0C0000}"/>
    <cellStyle name="20% - uthevingsfarge 2 28 2 4 2 2 2" xfId="19530" xr:uid="{00000000-0005-0000-0000-00001D0C0000}"/>
    <cellStyle name="20% - uthevingsfarge 2 28 2 4 2 2 2 2" xfId="35644" xr:uid="{00000000-0005-0000-0000-00001E0C0000}"/>
    <cellStyle name="20% - uthevingsfarge 2 28 2 4 2 2 3" xfId="28272" xr:uid="{00000000-0005-0000-0000-00001F0C0000}"/>
    <cellStyle name="20% - uthevingsfarge 2 28 2 4 2 3" xfId="22313" xr:uid="{00000000-0005-0000-0000-0000200C0000}"/>
    <cellStyle name="20% - uthevingsfarge 2 28 2 4 2 3 2" xfId="38385" xr:uid="{00000000-0005-0000-0000-0000210C0000}"/>
    <cellStyle name="20% - uthevingsfarge 2 28 2 4 2 4" xfId="31667" xr:uid="{00000000-0005-0000-0000-0000220C0000}"/>
    <cellStyle name="20% - uthevingsfarge 2 28 2 4 3" xfId="7845" xr:uid="{00000000-0005-0000-0000-0000230C0000}"/>
    <cellStyle name="20% - uthevingsfarge 2 28 2 4 3 2" xfId="20922" xr:uid="{00000000-0005-0000-0000-0000240C0000}"/>
    <cellStyle name="20% - uthevingsfarge 2 28 2 4 3 2 2" xfId="37021" xr:uid="{00000000-0005-0000-0000-0000250C0000}"/>
    <cellStyle name="20% - uthevingsfarge 2 28 2 4 3 3" xfId="29954" xr:uid="{00000000-0005-0000-0000-0000260C0000}"/>
    <cellStyle name="20% - uthevingsfarge 2 28 2 4 4" xfId="22548" xr:uid="{00000000-0005-0000-0000-0000270C0000}"/>
    <cellStyle name="20% - uthevingsfarge 2 28 2 4 4 2" xfId="38617" xr:uid="{00000000-0005-0000-0000-0000280C0000}"/>
    <cellStyle name="20% - uthevingsfarge 2 28 2 4 5" xfId="33342" xr:uid="{00000000-0005-0000-0000-0000290C0000}"/>
    <cellStyle name="20% - uthevingsfarge 2 28 2 5" xfId="4738" xr:uid="{00000000-0005-0000-0000-00002A0C0000}"/>
    <cellStyle name="20% - uthevingsfarge 2 28 2 5 2" xfId="6458" xr:uid="{00000000-0005-0000-0000-00002B0C0000}"/>
    <cellStyle name="20% - uthevingsfarge 2 28 2 5 2 2" xfId="9864" xr:uid="{00000000-0005-0000-0000-00002C0C0000}"/>
    <cellStyle name="20% - uthevingsfarge 2 28 2 5 2 2 2" xfId="23572" xr:uid="{00000000-0005-0000-0000-00002D0C0000}"/>
    <cellStyle name="20% - uthevingsfarge 2 28 2 5 2 2 2 2" xfId="39628" xr:uid="{00000000-0005-0000-0000-00002E0C0000}"/>
    <cellStyle name="20% - uthevingsfarge 2 28 2 5 2 2 3" xfId="27935" xr:uid="{00000000-0005-0000-0000-00002F0C0000}"/>
    <cellStyle name="20% - uthevingsfarge 2 28 2 5 2 3" xfId="22357" xr:uid="{00000000-0005-0000-0000-0000300C0000}"/>
    <cellStyle name="20% - uthevingsfarge 2 28 2 5 2 3 2" xfId="38429" xr:uid="{00000000-0005-0000-0000-0000310C0000}"/>
    <cellStyle name="20% - uthevingsfarge 2 28 2 5 2 4" xfId="31336" xr:uid="{00000000-0005-0000-0000-0000320C0000}"/>
    <cellStyle name="20% - uthevingsfarge 2 28 2 5 3" xfId="8160" xr:uid="{00000000-0005-0000-0000-0000330C0000}"/>
    <cellStyle name="20% - uthevingsfarge 2 28 2 5 3 2" xfId="21017" xr:uid="{00000000-0005-0000-0000-0000340C0000}"/>
    <cellStyle name="20% - uthevingsfarge 2 28 2 5 3 2 2" xfId="37111" xr:uid="{00000000-0005-0000-0000-0000350C0000}"/>
    <cellStyle name="20% - uthevingsfarge 2 28 2 5 3 3" xfId="29638" xr:uid="{00000000-0005-0000-0000-0000360C0000}"/>
    <cellStyle name="20% - uthevingsfarge 2 28 2 5 4" xfId="23833" xr:uid="{00000000-0005-0000-0000-0000370C0000}"/>
    <cellStyle name="20% - uthevingsfarge 2 28 2 5 4 2" xfId="39889" xr:uid="{00000000-0005-0000-0000-0000380C0000}"/>
    <cellStyle name="20% - uthevingsfarge 2 28 2 5 5" xfId="33029" xr:uid="{00000000-0005-0000-0000-0000390C0000}"/>
    <cellStyle name="20% - uthevingsfarge 2 28 2 6" xfId="5098" xr:uid="{00000000-0005-0000-0000-00003A0C0000}"/>
    <cellStyle name="20% - uthevingsfarge 2 28 2 6 2" xfId="6817" xr:uid="{00000000-0005-0000-0000-00003B0C0000}"/>
    <cellStyle name="20% - uthevingsfarge 2 28 2 6 2 2" xfId="10223" xr:uid="{00000000-0005-0000-0000-00003C0C0000}"/>
    <cellStyle name="20% - uthevingsfarge 2 28 2 6 2 2 2" xfId="21696" xr:uid="{00000000-0005-0000-0000-00003D0C0000}"/>
    <cellStyle name="20% - uthevingsfarge 2 28 2 6 2 2 2 2" xfId="37775" xr:uid="{00000000-0005-0000-0000-00003E0C0000}"/>
    <cellStyle name="20% - uthevingsfarge 2 28 2 6 2 2 3" xfId="27576" xr:uid="{00000000-0005-0000-0000-00003F0C0000}"/>
    <cellStyle name="20% - uthevingsfarge 2 28 2 6 2 3" xfId="22703" xr:uid="{00000000-0005-0000-0000-0000400C0000}"/>
    <cellStyle name="20% - uthevingsfarge 2 28 2 6 2 3 2" xfId="38772" xr:uid="{00000000-0005-0000-0000-0000410C0000}"/>
    <cellStyle name="20% - uthevingsfarge 2 28 2 6 2 4" xfId="30977" xr:uid="{00000000-0005-0000-0000-0000420C0000}"/>
    <cellStyle name="20% - uthevingsfarge 2 28 2 6 3" xfId="8520" xr:uid="{00000000-0005-0000-0000-0000430C0000}"/>
    <cellStyle name="20% - uthevingsfarge 2 28 2 6 3 2" xfId="22583" xr:uid="{00000000-0005-0000-0000-0000440C0000}"/>
    <cellStyle name="20% - uthevingsfarge 2 28 2 6 3 2 2" xfId="38652" xr:uid="{00000000-0005-0000-0000-0000450C0000}"/>
    <cellStyle name="20% - uthevingsfarge 2 28 2 6 3 3" xfId="29278" xr:uid="{00000000-0005-0000-0000-0000460C0000}"/>
    <cellStyle name="20% - uthevingsfarge 2 28 2 6 4" xfId="10839" xr:uid="{00000000-0005-0000-0000-0000470C0000}"/>
    <cellStyle name="20% - uthevingsfarge 2 28 2 6 4 2" xfId="34637" xr:uid="{00000000-0005-0000-0000-0000480C0000}"/>
    <cellStyle name="20% - uthevingsfarge 2 28 2 6 5" xfId="32669" xr:uid="{00000000-0005-0000-0000-0000490C0000}"/>
    <cellStyle name="20% - uthevingsfarge 2 28 2 7" xfId="5277" xr:uid="{00000000-0005-0000-0000-00004A0C0000}"/>
    <cellStyle name="20% - uthevingsfarge 2 28 2 7 2" xfId="8692" xr:uid="{00000000-0005-0000-0000-00004B0C0000}"/>
    <cellStyle name="20% - uthevingsfarge 2 28 2 7 2 2" xfId="21891" xr:uid="{00000000-0005-0000-0000-00004C0C0000}"/>
    <cellStyle name="20% - uthevingsfarge 2 28 2 7 2 2 2" xfId="37966" xr:uid="{00000000-0005-0000-0000-00004D0C0000}"/>
    <cellStyle name="20% - uthevingsfarge 2 28 2 7 2 3" xfId="29106" xr:uid="{00000000-0005-0000-0000-00004E0C0000}"/>
    <cellStyle name="20% - uthevingsfarge 2 28 2 7 3" xfId="20075" xr:uid="{00000000-0005-0000-0000-00004F0C0000}"/>
    <cellStyle name="20% - uthevingsfarge 2 28 2 7 3 2" xfId="36179" xr:uid="{00000000-0005-0000-0000-0000500C0000}"/>
    <cellStyle name="20% - uthevingsfarge 2 28 2 7 4" xfId="32497" xr:uid="{00000000-0005-0000-0000-0000510C0000}"/>
    <cellStyle name="20% - uthevingsfarge 2 28 2 8" xfId="7010" xr:uid="{00000000-0005-0000-0000-0000520C0000}"/>
    <cellStyle name="20% - uthevingsfarge 2 28 2 8 2" xfId="20630" xr:uid="{00000000-0005-0000-0000-0000530C0000}"/>
    <cellStyle name="20% - uthevingsfarge 2 28 2 8 2 2" xfId="36729" xr:uid="{00000000-0005-0000-0000-0000540C0000}"/>
    <cellStyle name="20% - uthevingsfarge 2 28 2 8 3" xfId="30788" xr:uid="{00000000-0005-0000-0000-0000550C0000}"/>
    <cellStyle name="20% - uthevingsfarge 2 28 2 9" xfId="10821" xr:uid="{00000000-0005-0000-0000-0000560C0000}"/>
    <cellStyle name="20% - uthevingsfarge 2 28 3" xfId="3463" xr:uid="{00000000-0005-0000-0000-0000570C0000}"/>
    <cellStyle name="20% - uthevingsfarge 2 28 3 10" xfId="46418" xr:uid="{00000000-0005-0000-0000-0000580C0000}"/>
    <cellStyle name="20% - uthevingsfarge 2 28 3 11" xfId="47079" xr:uid="{00000000-0005-0000-0000-0000590C0000}"/>
    <cellStyle name="20% - uthevingsfarge 2 28 3 2" xfId="3899" xr:uid="{00000000-0005-0000-0000-00005A0C0000}"/>
    <cellStyle name="20% - uthevingsfarge 2 28 3 2 2" xfId="5787" xr:uid="{00000000-0005-0000-0000-00005B0C0000}"/>
    <cellStyle name="20% - uthevingsfarge 2 28 3 2 2 2" xfId="9202" xr:uid="{00000000-0005-0000-0000-00005C0C0000}"/>
    <cellStyle name="20% - uthevingsfarge 2 28 3 2 2 2 2" xfId="21928" xr:uid="{00000000-0005-0000-0000-00005D0C0000}"/>
    <cellStyle name="20% - uthevingsfarge 2 28 3 2 2 2 2 2" xfId="38003" xr:uid="{00000000-0005-0000-0000-00005E0C0000}"/>
    <cellStyle name="20% - uthevingsfarge 2 28 3 2 2 2 3" xfId="28596" xr:uid="{00000000-0005-0000-0000-00005F0C0000}"/>
    <cellStyle name="20% - uthevingsfarge 2 28 3 2 2 3" xfId="20203" xr:uid="{00000000-0005-0000-0000-0000600C0000}"/>
    <cellStyle name="20% - uthevingsfarge 2 28 3 2 2 3 2" xfId="36302" xr:uid="{00000000-0005-0000-0000-0000610C0000}"/>
    <cellStyle name="20% - uthevingsfarge 2 28 3 2 2 4" xfId="31987" xr:uid="{00000000-0005-0000-0000-0000620C0000}"/>
    <cellStyle name="20% - uthevingsfarge 2 28 3 2 3" xfId="7505" xr:uid="{00000000-0005-0000-0000-0000630C0000}"/>
    <cellStyle name="20% - uthevingsfarge 2 28 3 2 3 2" xfId="19656" xr:uid="{00000000-0005-0000-0000-0000640C0000}"/>
    <cellStyle name="20% - uthevingsfarge 2 28 3 2 3 2 2" xfId="35770" xr:uid="{00000000-0005-0000-0000-0000650C0000}"/>
    <cellStyle name="20% - uthevingsfarge 2 28 3 2 3 3" xfId="30293" xr:uid="{00000000-0005-0000-0000-0000660C0000}"/>
    <cellStyle name="20% - uthevingsfarge 2 28 3 2 4" xfId="17958" xr:uid="{00000000-0005-0000-0000-0000670C0000}"/>
    <cellStyle name="20% - uthevingsfarge 2 28 3 2 5" xfId="11057" xr:uid="{00000000-0005-0000-0000-0000680C0000}"/>
    <cellStyle name="20% - uthevingsfarge 2 28 3 2 5 2" xfId="34765" xr:uid="{00000000-0005-0000-0000-0000690C0000}"/>
    <cellStyle name="20% - uthevingsfarge 2 28 3 2 6" xfId="33680" xr:uid="{00000000-0005-0000-0000-00006A0C0000}"/>
    <cellStyle name="20% - uthevingsfarge 2 28 3 3" xfId="4402" xr:uid="{00000000-0005-0000-0000-00006B0C0000}"/>
    <cellStyle name="20% - uthevingsfarge 2 28 3 3 10" xfId="47269" xr:uid="{00000000-0005-0000-0000-00006C0C0000}"/>
    <cellStyle name="20% - uthevingsfarge 2 28 3 3 2" xfId="6199" xr:uid="{00000000-0005-0000-0000-00006D0C0000}"/>
    <cellStyle name="20% - uthevingsfarge 2 28 3 3 2 2" xfId="9613" xr:uid="{00000000-0005-0000-0000-00006E0C0000}"/>
    <cellStyle name="20% - uthevingsfarge 2 28 3 3 2 2 2" xfId="21438" xr:uid="{00000000-0005-0000-0000-00006F0C0000}"/>
    <cellStyle name="20% - uthevingsfarge 2 28 3 3 2 2 2 2" xfId="37518" xr:uid="{00000000-0005-0000-0000-0000700C0000}"/>
    <cellStyle name="20% - uthevingsfarge 2 28 3 3 2 2 3" xfId="28185" xr:uid="{00000000-0005-0000-0000-0000710C0000}"/>
    <cellStyle name="20% - uthevingsfarge 2 28 3 3 2 3" xfId="22325" xr:uid="{00000000-0005-0000-0000-0000720C0000}"/>
    <cellStyle name="20% - uthevingsfarge 2 28 3 3 2 3 2" xfId="38397" xr:uid="{00000000-0005-0000-0000-0000730C0000}"/>
    <cellStyle name="20% - uthevingsfarge 2 28 3 3 2 4" xfId="31586" xr:uid="{00000000-0005-0000-0000-0000740C0000}"/>
    <cellStyle name="20% - uthevingsfarge 2 28 3 3 2 5" xfId="42824" xr:uid="{00000000-0005-0000-0000-0000750C0000}"/>
    <cellStyle name="20% - uthevingsfarge 2 28 3 3 2 6" xfId="43262" xr:uid="{00000000-0005-0000-0000-0000760C0000}"/>
    <cellStyle name="20% - uthevingsfarge 2 28 3 3 2 7" xfId="46110" xr:uid="{00000000-0005-0000-0000-0000770C0000}"/>
    <cellStyle name="20% - uthevingsfarge 2 28 3 3 2 8" xfId="46879" xr:uid="{00000000-0005-0000-0000-0000780C0000}"/>
    <cellStyle name="20% - uthevingsfarge 2 28 3 3 2 9" xfId="47465" xr:uid="{00000000-0005-0000-0000-0000790C0000}"/>
    <cellStyle name="20% - uthevingsfarge 2 28 3 3 3" xfId="7933" xr:uid="{00000000-0005-0000-0000-00007A0C0000}"/>
    <cellStyle name="20% - uthevingsfarge 2 28 3 3 3 2" xfId="20947" xr:uid="{00000000-0005-0000-0000-00007B0C0000}"/>
    <cellStyle name="20% - uthevingsfarge 2 28 3 3 3 2 2" xfId="37043" xr:uid="{00000000-0005-0000-0000-00007C0C0000}"/>
    <cellStyle name="20% - uthevingsfarge 2 28 3 3 3 3" xfId="29866" xr:uid="{00000000-0005-0000-0000-00007D0C0000}"/>
    <cellStyle name="20% - uthevingsfarge 2 28 3 3 3 4" xfId="43884" xr:uid="{00000000-0005-0000-0000-00007E0C0000}"/>
    <cellStyle name="20% - uthevingsfarge 2 28 3 3 4" xfId="16269" xr:uid="{00000000-0005-0000-0000-00007F0C0000}"/>
    <cellStyle name="20% - uthevingsfarge 2 28 3 3 4 2" xfId="35357" xr:uid="{00000000-0005-0000-0000-0000800C0000}"/>
    <cellStyle name="20% - uthevingsfarge 2 28 3 3 5" xfId="25016" xr:uid="{00000000-0005-0000-0000-0000810C0000}"/>
    <cellStyle name="20% - uthevingsfarge 2 28 3 3 6" xfId="25249" xr:uid="{00000000-0005-0000-0000-0000820C0000}"/>
    <cellStyle name="20% - uthevingsfarge 2 28 3 3 7" xfId="33255" xr:uid="{00000000-0005-0000-0000-0000830C0000}"/>
    <cellStyle name="20% - uthevingsfarge 2 28 3 3 8" xfId="43722" xr:uid="{00000000-0005-0000-0000-0000840C0000}"/>
    <cellStyle name="20% - uthevingsfarge 2 28 3 3 9" xfId="46648" xr:uid="{00000000-0005-0000-0000-0000850C0000}"/>
    <cellStyle name="20% - uthevingsfarge 2 28 3 4" xfId="4839" xr:uid="{00000000-0005-0000-0000-0000860C0000}"/>
    <cellStyle name="20% - uthevingsfarge 2 28 3 4 2" xfId="6558" xr:uid="{00000000-0005-0000-0000-0000870C0000}"/>
    <cellStyle name="20% - uthevingsfarge 2 28 3 4 2 2" xfId="9964" xr:uid="{00000000-0005-0000-0000-0000880C0000}"/>
    <cellStyle name="20% - uthevingsfarge 2 28 3 4 2 2 2" xfId="21552" xr:uid="{00000000-0005-0000-0000-0000890C0000}"/>
    <cellStyle name="20% - uthevingsfarge 2 28 3 4 2 2 2 2" xfId="37632" xr:uid="{00000000-0005-0000-0000-00008A0C0000}"/>
    <cellStyle name="20% - uthevingsfarge 2 28 3 4 2 2 3" xfId="27835" xr:uid="{00000000-0005-0000-0000-00008B0C0000}"/>
    <cellStyle name="20% - uthevingsfarge 2 28 3 4 2 3" xfId="22134" xr:uid="{00000000-0005-0000-0000-00008C0C0000}"/>
    <cellStyle name="20% - uthevingsfarge 2 28 3 4 2 3 2" xfId="38208" xr:uid="{00000000-0005-0000-0000-00008D0C0000}"/>
    <cellStyle name="20% - uthevingsfarge 2 28 3 4 2 4" xfId="31236" xr:uid="{00000000-0005-0000-0000-00008E0C0000}"/>
    <cellStyle name="20% - uthevingsfarge 2 28 3 4 3" xfId="8261" xr:uid="{00000000-0005-0000-0000-00008F0C0000}"/>
    <cellStyle name="20% - uthevingsfarge 2 28 3 4 3 2" xfId="24341" xr:uid="{00000000-0005-0000-0000-0000900C0000}"/>
    <cellStyle name="20% - uthevingsfarge 2 28 3 4 3 2 2" xfId="40391" xr:uid="{00000000-0005-0000-0000-0000910C0000}"/>
    <cellStyle name="20% - uthevingsfarge 2 28 3 4 3 3" xfId="29536" xr:uid="{00000000-0005-0000-0000-0000920C0000}"/>
    <cellStyle name="20% - uthevingsfarge 2 28 3 4 4" xfId="12255" xr:uid="{00000000-0005-0000-0000-0000930C0000}"/>
    <cellStyle name="20% - uthevingsfarge 2 28 3 4 4 2" xfId="35133" xr:uid="{00000000-0005-0000-0000-0000940C0000}"/>
    <cellStyle name="20% - uthevingsfarge 2 28 3 4 5" xfId="32928" xr:uid="{00000000-0005-0000-0000-0000950C0000}"/>
    <cellStyle name="20% - uthevingsfarge 2 28 3 5" xfId="5233" xr:uid="{00000000-0005-0000-0000-0000960C0000}"/>
    <cellStyle name="20% - uthevingsfarge 2 28 3 5 2" xfId="8648" xr:uid="{00000000-0005-0000-0000-0000970C0000}"/>
    <cellStyle name="20% - uthevingsfarge 2 28 3 5 2 2" xfId="21150" xr:uid="{00000000-0005-0000-0000-0000980C0000}"/>
    <cellStyle name="20% - uthevingsfarge 2 28 3 5 2 2 2" xfId="37230" xr:uid="{00000000-0005-0000-0000-0000990C0000}"/>
    <cellStyle name="20% - uthevingsfarge 2 28 3 5 2 3" xfId="29150" xr:uid="{00000000-0005-0000-0000-00009A0C0000}"/>
    <cellStyle name="20% - uthevingsfarge 2 28 3 5 3" xfId="19778" xr:uid="{00000000-0005-0000-0000-00009B0C0000}"/>
    <cellStyle name="20% - uthevingsfarge 2 28 3 5 3 2" xfId="35892" xr:uid="{00000000-0005-0000-0000-00009C0C0000}"/>
    <cellStyle name="20% - uthevingsfarge 2 28 3 5 4" xfId="32541" xr:uid="{00000000-0005-0000-0000-00009D0C0000}"/>
    <cellStyle name="20% - uthevingsfarge 2 28 3 6" xfId="7111" xr:uid="{00000000-0005-0000-0000-00009E0C0000}"/>
    <cellStyle name="20% - uthevingsfarge 2 28 3 6 2" xfId="20671" xr:uid="{00000000-0005-0000-0000-00009F0C0000}"/>
    <cellStyle name="20% - uthevingsfarge 2 28 3 6 2 2" xfId="36770" xr:uid="{00000000-0005-0000-0000-0000A00C0000}"/>
    <cellStyle name="20% - uthevingsfarge 2 28 3 6 3" xfId="30687" xr:uid="{00000000-0005-0000-0000-0000A10C0000}"/>
    <cellStyle name="20% - uthevingsfarge 2 28 3 7" xfId="10823" xr:uid="{00000000-0005-0000-0000-0000A20C0000}"/>
    <cellStyle name="20% - uthevingsfarge 2 28 3 8" xfId="34074" xr:uid="{00000000-0005-0000-0000-0000A30C0000}"/>
    <cellStyle name="20% - uthevingsfarge 2 28 3 9" xfId="43514" xr:uid="{00000000-0005-0000-0000-0000A40C0000}"/>
    <cellStyle name="20% - uthevingsfarge 2 28 3_Avviksanalyse løpende RNB15 (1)" xfId="16574" xr:uid="{00000000-0005-0000-0000-0000A50C0000}"/>
    <cellStyle name="20% - uthevingsfarge 2 28 4" xfId="3720" xr:uid="{00000000-0005-0000-0000-0000A60C0000}"/>
    <cellStyle name="20% - uthevingsfarge 2 28 4 2" xfId="5608" xr:uid="{00000000-0005-0000-0000-0000A70C0000}"/>
    <cellStyle name="20% - uthevingsfarge 2 28 4 2 2" xfId="9023" xr:uid="{00000000-0005-0000-0000-0000A80C0000}"/>
    <cellStyle name="20% - uthevingsfarge 2 28 4 2 2 2" xfId="21910" xr:uid="{00000000-0005-0000-0000-0000A90C0000}"/>
    <cellStyle name="20% - uthevingsfarge 2 28 4 2 2 2 2" xfId="37985" xr:uid="{00000000-0005-0000-0000-0000AA0C0000}"/>
    <cellStyle name="20% - uthevingsfarge 2 28 4 2 2 3" xfId="28775" xr:uid="{00000000-0005-0000-0000-0000AB0C0000}"/>
    <cellStyle name="20% - uthevingsfarge 2 28 4 2 3" xfId="23886" xr:uid="{00000000-0005-0000-0000-0000AC0C0000}"/>
    <cellStyle name="20% - uthevingsfarge 2 28 4 2 3 2" xfId="39942" xr:uid="{00000000-0005-0000-0000-0000AD0C0000}"/>
    <cellStyle name="20% - uthevingsfarge 2 28 4 2 4" xfId="32166" xr:uid="{00000000-0005-0000-0000-0000AE0C0000}"/>
    <cellStyle name="20% - uthevingsfarge 2 28 4 3" xfId="7326" xr:uid="{00000000-0005-0000-0000-0000AF0C0000}"/>
    <cellStyle name="20% - uthevingsfarge 2 28 4 3 2" xfId="23185" xr:uid="{00000000-0005-0000-0000-0000B00C0000}"/>
    <cellStyle name="20% - uthevingsfarge 2 28 4 3 2 2" xfId="39254" xr:uid="{00000000-0005-0000-0000-0000B10C0000}"/>
    <cellStyle name="20% - uthevingsfarge 2 28 4 3 3" xfId="30472" xr:uid="{00000000-0005-0000-0000-0000B20C0000}"/>
    <cellStyle name="20% - uthevingsfarge 2 28 4 4" xfId="23769" xr:uid="{00000000-0005-0000-0000-0000B30C0000}"/>
    <cellStyle name="20% - uthevingsfarge 2 28 4 4 2" xfId="39825" xr:uid="{00000000-0005-0000-0000-0000B40C0000}"/>
    <cellStyle name="20% - uthevingsfarge 2 28 4 5" xfId="33859" xr:uid="{00000000-0005-0000-0000-0000B50C0000}"/>
    <cellStyle name="20% - uthevingsfarge 2 28 5" xfId="4233" xr:uid="{00000000-0005-0000-0000-0000B60C0000}"/>
    <cellStyle name="20% - uthevingsfarge 2 28 5 2" xfId="6065" xr:uid="{00000000-0005-0000-0000-0000B70C0000}"/>
    <cellStyle name="20% - uthevingsfarge 2 28 5 2 2" xfId="9480" xr:uid="{00000000-0005-0000-0000-0000B80C0000}"/>
    <cellStyle name="20% - uthevingsfarge 2 28 5 2 2 2" xfId="21952" xr:uid="{00000000-0005-0000-0000-0000B90C0000}"/>
    <cellStyle name="20% - uthevingsfarge 2 28 5 2 2 2 2" xfId="38027" xr:uid="{00000000-0005-0000-0000-0000BA0C0000}"/>
    <cellStyle name="20% - uthevingsfarge 2 28 5 2 2 3" xfId="28318" xr:uid="{00000000-0005-0000-0000-0000BB0C0000}"/>
    <cellStyle name="20% - uthevingsfarge 2 28 5 2 3" xfId="22968" xr:uid="{00000000-0005-0000-0000-0000BC0C0000}"/>
    <cellStyle name="20% - uthevingsfarge 2 28 5 2 3 2" xfId="39037" xr:uid="{00000000-0005-0000-0000-0000BD0C0000}"/>
    <cellStyle name="20% - uthevingsfarge 2 28 5 2 4" xfId="31713" xr:uid="{00000000-0005-0000-0000-0000BE0C0000}"/>
    <cellStyle name="20% - uthevingsfarge 2 28 5 3" xfId="7799" xr:uid="{00000000-0005-0000-0000-0000BF0C0000}"/>
    <cellStyle name="20% - uthevingsfarge 2 28 5 3 2" xfId="24273" xr:uid="{00000000-0005-0000-0000-0000C00C0000}"/>
    <cellStyle name="20% - uthevingsfarge 2 28 5 3 2 2" xfId="40326" xr:uid="{00000000-0005-0000-0000-0000C10C0000}"/>
    <cellStyle name="20% - uthevingsfarge 2 28 5 3 3" xfId="30000" xr:uid="{00000000-0005-0000-0000-0000C20C0000}"/>
    <cellStyle name="20% - uthevingsfarge 2 28 5 4" xfId="23809" xr:uid="{00000000-0005-0000-0000-0000C30C0000}"/>
    <cellStyle name="20% - uthevingsfarge 2 28 5 4 2" xfId="39865" xr:uid="{00000000-0005-0000-0000-0000C40C0000}"/>
    <cellStyle name="20% - uthevingsfarge 2 28 5 5" xfId="33388" xr:uid="{00000000-0005-0000-0000-0000C50C0000}"/>
    <cellStyle name="20% - uthevingsfarge 2 28 6" xfId="4383" xr:uid="{00000000-0005-0000-0000-0000C60C0000}"/>
    <cellStyle name="20% - uthevingsfarge 2 28 6 2" xfId="6190" xr:uid="{00000000-0005-0000-0000-0000C70C0000}"/>
    <cellStyle name="20% - uthevingsfarge 2 28 6 2 2" xfId="9604" xr:uid="{00000000-0005-0000-0000-0000C80C0000}"/>
    <cellStyle name="20% - uthevingsfarge 2 28 6 2 2 2" xfId="21435" xr:uid="{00000000-0005-0000-0000-0000C90C0000}"/>
    <cellStyle name="20% - uthevingsfarge 2 28 6 2 2 2 2" xfId="37515" xr:uid="{00000000-0005-0000-0000-0000CA0C0000}"/>
    <cellStyle name="20% - uthevingsfarge 2 28 6 2 2 3" xfId="28194" xr:uid="{00000000-0005-0000-0000-0000CB0C0000}"/>
    <cellStyle name="20% - uthevingsfarge 2 28 6 2 3" xfId="22992" xr:uid="{00000000-0005-0000-0000-0000CC0C0000}"/>
    <cellStyle name="20% - uthevingsfarge 2 28 6 2 3 2" xfId="39061" xr:uid="{00000000-0005-0000-0000-0000CD0C0000}"/>
    <cellStyle name="20% - uthevingsfarge 2 28 6 2 4" xfId="31593" xr:uid="{00000000-0005-0000-0000-0000CE0C0000}"/>
    <cellStyle name="20% - uthevingsfarge 2 28 6 3" xfId="7924" xr:uid="{00000000-0005-0000-0000-0000CF0C0000}"/>
    <cellStyle name="20% - uthevingsfarge 2 28 6 3 2" xfId="10615" xr:uid="{00000000-0005-0000-0000-0000D00C0000}"/>
    <cellStyle name="20% - uthevingsfarge 2 28 6 3 2 2" xfId="34463" xr:uid="{00000000-0005-0000-0000-0000D10C0000}"/>
    <cellStyle name="20% - uthevingsfarge 2 28 6 3 3" xfId="29875" xr:uid="{00000000-0005-0000-0000-0000D20C0000}"/>
    <cellStyle name="20% - uthevingsfarge 2 28 6 4" xfId="20011" xr:uid="{00000000-0005-0000-0000-0000D30C0000}"/>
    <cellStyle name="20% - uthevingsfarge 2 28 6 4 2" xfId="36115" xr:uid="{00000000-0005-0000-0000-0000D40C0000}"/>
    <cellStyle name="20% - uthevingsfarge 2 28 6 5" xfId="33263" xr:uid="{00000000-0005-0000-0000-0000D50C0000}"/>
    <cellStyle name="20% - uthevingsfarge 2 28 7" xfId="4655" xr:uid="{00000000-0005-0000-0000-0000D60C0000}"/>
    <cellStyle name="20% - uthevingsfarge 2 28 7 2" xfId="6375" xr:uid="{00000000-0005-0000-0000-0000D70C0000}"/>
    <cellStyle name="20% - uthevingsfarge 2 28 7 2 2" xfId="9785" xr:uid="{00000000-0005-0000-0000-0000D80C0000}"/>
    <cellStyle name="20% - uthevingsfarge 2 28 7 2 2 2" xfId="21801" xr:uid="{00000000-0005-0000-0000-0000D90C0000}"/>
    <cellStyle name="20% - uthevingsfarge 2 28 7 2 2 2 2" xfId="37877" xr:uid="{00000000-0005-0000-0000-0000DA0C0000}"/>
    <cellStyle name="20% - uthevingsfarge 2 28 7 2 2 3" xfId="28014" xr:uid="{00000000-0005-0000-0000-0000DB0C0000}"/>
    <cellStyle name="20% - uthevingsfarge 2 28 7 2 3" xfId="23027" xr:uid="{00000000-0005-0000-0000-0000DC0C0000}"/>
    <cellStyle name="20% - uthevingsfarge 2 28 7 2 3 2" xfId="39096" xr:uid="{00000000-0005-0000-0000-0000DD0C0000}"/>
    <cellStyle name="20% - uthevingsfarge 2 28 7 2 4" xfId="31415" xr:uid="{00000000-0005-0000-0000-0000DE0C0000}"/>
    <cellStyle name="20% - uthevingsfarge 2 28 7 3" xfId="8081" xr:uid="{00000000-0005-0000-0000-0000DF0C0000}"/>
    <cellStyle name="20% - uthevingsfarge 2 28 7 3 2" xfId="11896" xr:uid="{00000000-0005-0000-0000-0000E00C0000}"/>
    <cellStyle name="20% - uthevingsfarge 2 28 7 3 2 2" xfId="34932" xr:uid="{00000000-0005-0000-0000-0000E10C0000}"/>
    <cellStyle name="20% - uthevingsfarge 2 28 7 3 3" xfId="29717" xr:uid="{00000000-0005-0000-0000-0000E20C0000}"/>
    <cellStyle name="20% - uthevingsfarge 2 28 7 4" xfId="22826" xr:uid="{00000000-0005-0000-0000-0000E30C0000}"/>
    <cellStyle name="20% - uthevingsfarge 2 28 7 4 2" xfId="38895" xr:uid="{00000000-0005-0000-0000-0000E40C0000}"/>
    <cellStyle name="20% - uthevingsfarge 2 28 7 5" xfId="33108" xr:uid="{00000000-0005-0000-0000-0000E50C0000}"/>
    <cellStyle name="20% - uthevingsfarge 2 28 8" xfId="5019" xr:uid="{00000000-0005-0000-0000-0000E60C0000}"/>
    <cellStyle name="20% - uthevingsfarge 2 28 8 2" xfId="6738" xr:uid="{00000000-0005-0000-0000-0000E70C0000}"/>
    <cellStyle name="20% - uthevingsfarge 2 28 8 2 2" xfId="10144" xr:uid="{00000000-0005-0000-0000-0000E80C0000}"/>
    <cellStyle name="20% - uthevingsfarge 2 28 8 2 2 2" xfId="21624" xr:uid="{00000000-0005-0000-0000-0000E90C0000}"/>
    <cellStyle name="20% - uthevingsfarge 2 28 8 2 2 2 2" xfId="37704" xr:uid="{00000000-0005-0000-0000-0000EA0C0000}"/>
    <cellStyle name="20% - uthevingsfarge 2 28 8 2 2 3" xfId="27655" xr:uid="{00000000-0005-0000-0000-0000EB0C0000}"/>
    <cellStyle name="20% - uthevingsfarge 2 28 8 2 3" xfId="10345" xr:uid="{00000000-0005-0000-0000-0000EC0C0000}"/>
    <cellStyle name="20% - uthevingsfarge 2 28 8 2 3 2" xfId="34319" xr:uid="{00000000-0005-0000-0000-0000ED0C0000}"/>
    <cellStyle name="20% - uthevingsfarge 2 28 8 2 4" xfId="31056" xr:uid="{00000000-0005-0000-0000-0000EE0C0000}"/>
    <cellStyle name="20% - uthevingsfarge 2 28 8 3" xfId="8441" xr:uid="{00000000-0005-0000-0000-0000EF0C0000}"/>
    <cellStyle name="20% - uthevingsfarge 2 28 8 3 2" xfId="21871" xr:uid="{00000000-0005-0000-0000-0000F00C0000}"/>
    <cellStyle name="20% - uthevingsfarge 2 28 8 3 2 2" xfId="37947" xr:uid="{00000000-0005-0000-0000-0000F10C0000}"/>
    <cellStyle name="20% - uthevingsfarge 2 28 8 3 3" xfId="29357" xr:uid="{00000000-0005-0000-0000-0000F20C0000}"/>
    <cellStyle name="20% - uthevingsfarge 2 28 8 4" xfId="19730" xr:uid="{00000000-0005-0000-0000-0000F30C0000}"/>
    <cellStyle name="20% - uthevingsfarge 2 28 8 4 2" xfId="35844" xr:uid="{00000000-0005-0000-0000-0000F40C0000}"/>
    <cellStyle name="20% - uthevingsfarge 2 28 8 5" xfId="32748" xr:uid="{00000000-0005-0000-0000-0000F50C0000}"/>
    <cellStyle name="20% - uthevingsfarge 2 28 9" xfId="5222" xr:uid="{00000000-0005-0000-0000-0000F60C0000}"/>
    <cellStyle name="20% - uthevingsfarge 2 28 9 2" xfId="8637" xr:uid="{00000000-0005-0000-0000-0000F70C0000}"/>
    <cellStyle name="20% - uthevingsfarge 2 28 9 2 2" xfId="23388" xr:uid="{00000000-0005-0000-0000-0000F80C0000}"/>
    <cellStyle name="20% - uthevingsfarge 2 28 9 2 2 2" xfId="39444" xr:uid="{00000000-0005-0000-0000-0000F90C0000}"/>
    <cellStyle name="20% - uthevingsfarge 2 28 9 2 3" xfId="29161" xr:uid="{00000000-0005-0000-0000-0000FA0C0000}"/>
    <cellStyle name="20% - uthevingsfarge 2 28 9 3" xfId="19777" xr:uid="{00000000-0005-0000-0000-0000FB0C0000}"/>
    <cellStyle name="20% - uthevingsfarge 2 28 9 3 2" xfId="35891" xr:uid="{00000000-0005-0000-0000-0000FC0C0000}"/>
    <cellStyle name="20% - uthevingsfarge 2 28 9 4" xfId="32552" xr:uid="{00000000-0005-0000-0000-0000FD0C0000}"/>
    <cellStyle name="20% - uthevingsfarge 2 29" xfId="360" xr:uid="{00000000-0005-0000-0000-0000FE0C0000}"/>
    <cellStyle name="20% - uthevingsfarge 2 29 10" xfId="10824" xr:uid="{00000000-0005-0000-0000-0000FF0C0000}"/>
    <cellStyle name="20% - uthevingsfarge 2 29 11" xfId="34281" xr:uid="{00000000-0005-0000-0000-0000000D0000}"/>
    <cellStyle name="20% - uthevingsfarge 2 29 2" xfId="3317" xr:uid="{00000000-0005-0000-0000-0000010D0000}"/>
    <cellStyle name="20% - uthevingsfarge 2 29 2 10" xfId="34174" xr:uid="{00000000-0005-0000-0000-0000020D0000}"/>
    <cellStyle name="20% - uthevingsfarge 2 29 2 2" xfId="3549" xr:uid="{00000000-0005-0000-0000-0000030D0000}"/>
    <cellStyle name="20% - uthevingsfarge 2 29 2 2 10" xfId="47148" xr:uid="{00000000-0005-0000-0000-0000040D0000}"/>
    <cellStyle name="20% - uthevingsfarge 2 29 2 2 2" xfId="3979" xr:uid="{00000000-0005-0000-0000-0000050D0000}"/>
    <cellStyle name="20% - uthevingsfarge 2 29 2 2 2 2" xfId="5867" xr:uid="{00000000-0005-0000-0000-0000060D0000}"/>
    <cellStyle name="20% - uthevingsfarge 2 29 2 2 2 2 2" xfId="9282" xr:uid="{00000000-0005-0000-0000-0000070D0000}"/>
    <cellStyle name="20% - uthevingsfarge 2 29 2 2 2 2 2 2" xfId="21675" xr:uid="{00000000-0005-0000-0000-0000080D0000}"/>
    <cellStyle name="20% - uthevingsfarge 2 29 2 2 2 2 2 2 2" xfId="37755" xr:uid="{00000000-0005-0000-0000-0000090D0000}"/>
    <cellStyle name="20% - uthevingsfarge 2 29 2 2 2 2 2 3" xfId="28516" xr:uid="{00000000-0005-0000-0000-00000A0D0000}"/>
    <cellStyle name="20% - uthevingsfarge 2 29 2 2 2 2 3" xfId="20232" xr:uid="{00000000-0005-0000-0000-00000B0D0000}"/>
    <cellStyle name="20% - uthevingsfarge 2 29 2 2 2 2 3 2" xfId="36331" xr:uid="{00000000-0005-0000-0000-00000C0D0000}"/>
    <cellStyle name="20% - uthevingsfarge 2 29 2 2 2 2 4" xfId="31907" xr:uid="{00000000-0005-0000-0000-00000D0D0000}"/>
    <cellStyle name="20% - uthevingsfarge 2 29 2 2 2 3" xfId="7585" xr:uid="{00000000-0005-0000-0000-00000E0D0000}"/>
    <cellStyle name="20% - uthevingsfarge 2 29 2 2 2 3 2" xfId="22468" xr:uid="{00000000-0005-0000-0000-00000F0D0000}"/>
    <cellStyle name="20% - uthevingsfarge 2 29 2 2 2 3 2 2" xfId="38540" xr:uid="{00000000-0005-0000-0000-0000100D0000}"/>
    <cellStyle name="20% - uthevingsfarge 2 29 2 2 2 3 3" xfId="30213" xr:uid="{00000000-0005-0000-0000-0000110D0000}"/>
    <cellStyle name="20% - uthevingsfarge 2 29 2 2 2 4" xfId="17959" xr:uid="{00000000-0005-0000-0000-0000120D0000}"/>
    <cellStyle name="20% - uthevingsfarge 2 29 2 2 2 5" xfId="12460" xr:uid="{00000000-0005-0000-0000-0000130D0000}"/>
    <cellStyle name="20% - uthevingsfarge 2 29 2 2 2 5 2" xfId="35243" xr:uid="{00000000-0005-0000-0000-0000140D0000}"/>
    <cellStyle name="20% - uthevingsfarge 2 29 2 2 2 6" xfId="33600" xr:uid="{00000000-0005-0000-0000-0000150D0000}"/>
    <cellStyle name="20% - uthevingsfarge 2 29 2 2 3" xfId="4919" xr:uid="{00000000-0005-0000-0000-0000160D0000}"/>
    <cellStyle name="20% - uthevingsfarge 2 29 2 2 3 10" xfId="47338" xr:uid="{00000000-0005-0000-0000-0000170D0000}"/>
    <cellStyle name="20% - uthevingsfarge 2 29 2 2 3 2" xfId="6638" xr:uid="{00000000-0005-0000-0000-0000180D0000}"/>
    <cellStyle name="20% - uthevingsfarge 2 29 2 2 3 2 2" xfId="10044" xr:uid="{00000000-0005-0000-0000-0000190D0000}"/>
    <cellStyle name="20% - uthevingsfarge 2 29 2 2 3 2 2 2" xfId="21584" xr:uid="{00000000-0005-0000-0000-00001A0D0000}"/>
    <cellStyle name="20% - uthevingsfarge 2 29 2 2 3 2 2 2 2" xfId="37664" xr:uid="{00000000-0005-0000-0000-00001B0D0000}"/>
    <cellStyle name="20% - uthevingsfarge 2 29 2 2 3 2 2 3" xfId="27755" xr:uid="{00000000-0005-0000-0000-00001C0D0000}"/>
    <cellStyle name="20% - uthevingsfarge 2 29 2 2 3 2 3" xfId="24080" xr:uid="{00000000-0005-0000-0000-00001D0D0000}"/>
    <cellStyle name="20% - uthevingsfarge 2 29 2 2 3 2 3 2" xfId="40133" xr:uid="{00000000-0005-0000-0000-00001E0D0000}"/>
    <cellStyle name="20% - uthevingsfarge 2 29 2 2 3 2 4" xfId="31156" xr:uid="{00000000-0005-0000-0000-00001F0D0000}"/>
    <cellStyle name="20% - uthevingsfarge 2 29 2 2 3 2 5" xfId="43032" xr:uid="{00000000-0005-0000-0000-0000200D0000}"/>
    <cellStyle name="20% - uthevingsfarge 2 29 2 2 3 2 6" xfId="43329" xr:uid="{00000000-0005-0000-0000-0000210D0000}"/>
    <cellStyle name="20% - uthevingsfarge 2 29 2 2 3 2 7" xfId="46177" xr:uid="{00000000-0005-0000-0000-0000220D0000}"/>
    <cellStyle name="20% - uthevingsfarge 2 29 2 2 3 2 8" xfId="46949" xr:uid="{00000000-0005-0000-0000-0000230D0000}"/>
    <cellStyle name="20% - uthevingsfarge 2 29 2 2 3 2 9" xfId="47534" xr:uid="{00000000-0005-0000-0000-0000240D0000}"/>
    <cellStyle name="20% - uthevingsfarge 2 29 2 2 3 3" xfId="8341" xr:uid="{00000000-0005-0000-0000-0000250D0000}"/>
    <cellStyle name="20% - uthevingsfarge 2 29 2 2 3 3 2" xfId="21066" xr:uid="{00000000-0005-0000-0000-0000260D0000}"/>
    <cellStyle name="20% - uthevingsfarge 2 29 2 2 3 3 2 2" xfId="37153" xr:uid="{00000000-0005-0000-0000-0000270D0000}"/>
    <cellStyle name="20% - uthevingsfarge 2 29 2 2 3 3 3" xfId="29457" xr:uid="{00000000-0005-0000-0000-0000280D0000}"/>
    <cellStyle name="20% - uthevingsfarge 2 29 2 2 3 3 4" xfId="43885" xr:uid="{00000000-0005-0000-0000-0000290D0000}"/>
    <cellStyle name="20% - uthevingsfarge 2 29 2 2 3 4" xfId="16477" xr:uid="{00000000-0005-0000-0000-00002A0D0000}"/>
    <cellStyle name="20% - uthevingsfarge 2 29 2 2 3 4 2" xfId="35424" xr:uid="{00000000-0005-0000-0000-00002B0D0000}"/>
    <cellStyle name="20% - uthevingsfarge 2 29 2 2 3 5" xfId="25086" xr:uid="{00000000-0005-0000-0000-00002C0D0000}"/>
    <cellStyle name="20% - uthevingsfarge 2 29 2 2 3 6" xfId="25250" xr:uid="{00000000-0005-0000-0000-00002D0D0000}"/>
    <cellStyle name="20% - uthevingsfarge 2 29 2 2 3 7" xfId="32848" xr:uid="{00000000-0005-0000-0000-00002E0D0000}"/>
    <cellStyle name="20% - uthevingsfarge 2 29 2 2 3 8" xfId="43790" xr:uid="{00000000-0005-0000-0000-00002F0D0000}"/>
    <cellStyle name="20% - uthevingsfarge 2 29 2 2 3 9" xfId="46715" xr:uid="{00000000-0005-0000-0000-0000300D0000}"/>
    <cellStyle name="20% - uthevingsfarge 2 29 2 2 4" xfId="5473" xr:uid="{00000000-0005-0000-0000-0000310D0000}"/>
    <cellStyle name="20% - uthevingsfarge 2 29 2 2 4 2" xfId="8888" xr:uid="{00000000-0005-0000-0000-0000320D0000}"/>
    <cellStyle name="20% - uthevingsfarge 2 29 2 2 4 2 2" xfId="23424" xr:uid="{00000000-0005-0000-0000-0000330D0000}"/>
    <cellStyle name="20% - uthevingsfarge 2 29 2 2 4 2 2 2" xfId="39480" xr:uid="{00000000-0005-0000-0000-0000340D0000}"/>
    <cellStyle name="20% - uthevingsfarge 2 29 2 2 4 2 3" xfId="28910" xr:uid="{00000000-0005-0000-0000-0000350D0000}"/>
    <cellStyle name="20% - uthevingsfarge 2 29 2 2 4 3" xfId="22860" xr:uid="{00000000-0005-0000-0000-0000360D0000}"/>
    <cellStyle name="20% - uthevingsfarge 2 29 2 2 4 3 2" xfId="38929" xr:uid="{00000000-0005-0000-0000-0000370D0000}"/>
    <cellStyle name="20% - uthevingsfarge 2 29 2 2 4 4" xfId="32301" xr:uid="{00000000-0005-0000-0000-0000380D0000}"/>
    <cellStyle name="20% - uthevingsfarge 2 29 2 2 5" xfId="7191" xr:uid="{00000000-0005-0000-0000-0000390D0000}"/>
    <cellStyle name="20% - uthevingsfarge 2 29 2 2 5 2" xfId="22179" xr:uid="{00000000-0005-0000-0000-00003A0D0000}"/>
    <cellStyle name="20% - uthevingsfarge 2 29 2 2 5 2 2" xfId="38253" xr:uid="{00000000-0005-0000-0000-00003B0D0000}"/>
    <cellStyle name="20% - uthevingsfarge 2 29 2 2 5 3" xfId="30607" xr:uid="{00000000-0005-0000-0000-00003C0D0000}"/>
    <cellStyle name="20% - uthevingsfarge 2 29 2 2 6" xfId="10826" xr:uid="{00000000-0005-0000-0000-00003D0D0000}"/>
    <cellStyle name="20% - uthevingsfarge 2 29 2 2 7" xfId="33994" xr:uid="{00000000-0005-0000-0000-00003E0D0000}"/>
    <cellStyle name="20% - uthevingsfarge 2 29 2 2 8" xfId="43581" xr:uid="{00000000-0005-0000-0000-00003F0D0000}"/>
    <cellStyle name="20% - uthevingsfarge 2 29 2 2 9" xfId="46487" xr:uid="{00000000-0005-0000-0000-0000400D0000}"/>
    <cellStyle name="20% - uthevingsfarge 2 29 2 2_Avviksanalyse løpende RNB15 (1)" xfId="16575" xr:uid="{00000000-0005-0000-0000-0000410D0000}"/>
    <cellStyle name="20% - uthevingsfarge 2 29 2 3" xfId="3799" xr:uid="{00000000-0005-0000-0000-0000420D0000}"/>
    <cellStyle name="20% - uthevingsfarge 2 29 2 3 2" xfId="5687" xr:uid="{00000000-0005-0000-0000-0000430D0000}"/>
    <cellStyle name="20% - uthevingsfarge 2 29 2 3 2 2" xfId="9102" xr:uid="{00000000-0005-0000-0000-0000440D0000}"/>
    <cellStyle name="20% - uthevingsfarge 2 29 2 3 2 2 2" xfId="24458" xr:uid="{00000000-0005-0000-0000-0000450D0000}"/>
    <cellStyle name="20% - uthevingsfarge 2 29 2 3 2 2 2 2" xfId="40502" xr:uid="{00000000-0005-0000-0000-0000460D0000}"/>
    <cellStyle name="20% - uthevingsfarge 2 29 2 3 2 2 3" xfId="28696" xr:uid="{00000000-0005-0000-0000-0000470D0000}"/>
    <cellStyle name="20% - uthevingsfarge 2 29 2 3 2 3" xfId="11987" xr:uid="{00000000-0005-0000-0000-0000480D0000}"/>
    <cellStyle name="20% - uthevingsfarge 2 29 2 3 2 3 2" xfId="35009" xr:uid="{00000000-0005-0000-0000-0000490D0000}"/>
    <cellStyle name="20% - uthevingsfarge 2 29 2 3 2 4" xfId="32087" xr:uid="{00000000-0005-0000-0000-00004A0D0000}"/>
    <cellStyle name="20% - uthevingsfarge 2 29 2 3 3" xfId="7405" xr:uid="{00000000-0005-0000-0000-00004B0D0000}"/>
    <cellStyle name="20% - uthevingsfarge 2 29 2 3 3 2" xfId="19852" xr:uid="{00000000-0005-0000-0000-00004C0D0000}"/>
    <cellStyle name="20% - uthevingsfarge 2 29 2 3 3 2 2" xfId="35965" xr:uid="{00000000-0005-0000-0000-00004D0D0000}"/>
    <cellStyle name="20% - uthevingsfarge 2 29 2 3 3 3" xfId="30393" xr:uid="{00000000-0005-0000-0000-00004E0D0000}"/>
    <cellStyle name="20% - uthevingsfarge 2 29 2 3 4" xfId="12573" xr:uid="{00000000-0005-0000-0000-00004F0D0000}"/>
    <cellStyle name="20% - uthevingsfarge 2 29 2 3 4 2" xfId="35279" xr:uid="{00000000-0005-0000-0000-0000500D0000}"/>
    <cellStyle name="20% - uthevingsfarge 2 29 2 3 5" xfId="33780" xr:uid="{00000000-0005-0000-0000-0000510D0000}"/>
    <cellStyle name="20% - uthevingsfarge 2 29 2 4" xfId="4284" xr:uid="{00000000-0005-0000-0000-0000520D0000}"/>
    <cellStyle name="20% - uthevingsfarge 2 29 2 4 2" xfId="6113" xr:uid="{00000000-0005-0000-0000-0000530D0000}"/>
    <cellStyle name="20% - uthevingsfarge 2 29 2 4 2 2" xfId="9527" xr:uid="{00000000-0005-0000-0000-0000540D0000}"/>
    <cellStyle name="20% - uthevingsfarge 2 29 2 4 2 2 2" xfId="11663" xr:uid="{00000000-0005-0000-0000-0000550D0000}"/>
    <cellStyle name="20% - uthevingsfarge 2 29 2 4 2 2 2 2" xfId="34828" xr:uid="{00000000-0005-0000-0000-0000560D0000}"/>
    <cellStyle name="20% - uthevingsfarge 2 29 2 4 2 2 3" xfId="28271" xr:uid="{00000000-0005-0000-0000-0000570D0000}"/>
    <cellStyle name="20% - uthevingsfarge 2 29 2 4 2 3" xfId="22977" xr:uid="{00000000-0005-0000-0000-0000580D0000}"/>
    <cellStyle name="20% - uthevingsfarge 2 29 2 4 2 3 2" xfId="39046" xr:uid="{00000000-0005-0000-0000-0000590D0000}"/>
    <cellStyle name="20% - uthevingsfarge 2 29 2 4 2 4" xfId="31666" xr:uid="{00000000-0005-0000-0000-00005A0D0000}"/>
    <cellStyle name="20% - uthevingsfarge 2 29 2 4 3" xfId="7846" xr:uid="{00000000-0005-0000-0000-00005B0D0000}"/>
    <cellStyle name="20% - uthevingsfarge 2 29 2 4 3 2" xfId="20923" xr:uid="{00000000-0005-0000-0000-00005C0D0000}"/>
    <cellStyle name="20% - uthevingsfarge 2 29 2 4 3 2 2" xfId="37022" xr:uid="{00000000-0005-0000-0000-00005D0D0000}"/>
    <cellStyle name="20% - uthevingsfarge 2 29 2 4 3 3" xfId="29953" xr:uid="{00000000-0005-0000-0000-00005E0D0000}"/>
    <cellStyle name="20% - uthevingsfarge 2 29 2 4 4" xfId="19624" xr:uid="{00000000-0005-0000-0000-00005F0D0000}"/>
    <cellStyle name="20% - uthevingsfarge 2 29 2 4 4 2" xfId="35738" xr:uid="{00000000-0005-0000-0000-0000600D0000}"/>
    <cellStyle name="20% - uthevingsfarge 2 29 2 4 5" xfId="33341" xr:uid="{00000000-0005-0000-0000-0000610D0000}"/>
    <cellStyle name="20% - uthevingsfarge 2 29 2 5" xfId="4739" xr:uid="{00000000-0005-0000-0000-0000620D0000}"/>
    <cellStyle name="20% - uthevingsfarge 2 29 2 5 2" xfId="6459" xr:uid="{00000000-0005-0000-0000-0000630D0000}"/>
    <cellStyle name="20% - uthevingsfarge 2 29 2 5 2 2" xfId="9865" xr:uid="{00000000-0005-0000-0000-0000640D0000}"/>
    <cellStyle name="20% - uthevingsfarge 2 29 2 5 2 2 2" xfId="21513" xr:uid="{00000000-0005-0000-0000-0000650D0000}"/>
    <cellStyle name="20% - uthevingsfarge 2 29 2 5 2 2 2 2" xfId="37593" xr:uid="{00000000-0005-0000-0000-0000660D0000}"/>
    <cellStyle name="20% - uthevingsfarge 2 29 2 5 2 2 3" xfId="27934" xr:uid="{00000000-0005-0000-0000-0000670D0000}"/>
    <cellStyle name="20% - uthevingsfarge 2 29 2 5 2 3" xfId="23043" xr:uid="{00000000-0005-0000-0000-0000680D0000}"/>
    <cellStyle name="20% - uthevingsfarge 2 29 2 5 2 3 2" xfId="39112" xr:uid="{00000000-0005-0000-0000-0000690D0000}"/>
    <cellStyle name="20% - uthevingsfarge 2 29 2 5 2 4" xfId="31335" xr:uid="{00000000-0005-0000-0000-00006A0D0000}"/>
    <cellStyle name="20% - uthevingsfarge 2 29 2 5 3" xfId="8161" xr:uid="{00000000-0005-0000-0000-00006B0D0000}"/>
    <cellStyle name="20% - uthevingsfarge 2 29 2 5 3 2" xfId="21018" xr:uid="{00000000-0005-0000-0000-00006C0D0000}"/>
    <cellStyle name="20% - uthevingsfarge 2 29 2 5 3 2 2" xfId="37112" xr:uid="{00000000-0005-0000-0000-00006D0D0000}"/>
    <cellStyle name="20% - uthevingsfarge 2 29 2 5 3 3" xfId="29637" xr:uid="{00000000-0005-0000-0000-00006E0D0000}"/>
    <cellStyle name="20% - uthevingsfarge 2 29 2 5 4" xfId="22228" xr:uid="{00000000-0005-0000-0000-00006F0D0000}"/>
    <cellStyle name="20% - uthevingsfarge 2 29 2 5 4 2" xfId="38302" xr:uid="{00000000-0005-0000-0000-0000700D0000}"/>
    <cellStyle name="20% - uthevingsfarge 2 29 2 5 5" xfId="33028" xr:uid="{00000000-0005-0000-0000-0000710D0000}"/>
    <cellStyle name="20% - uthevingsfarge 2 29 2 6" xfId="5099" xr:uid="{00000000-0005-0000-0000-0000720D0000}"/>
    <cellStyle name="20% - uthevingsfarge 2 29 2 6 2" xfId="6818" xr:uid="{00000000-0005-0000-0000-0000730D0000}"/>
    <cellStyle name="20% - uthevingsfarge 2 29 2 6 2 2" xfId="10224" xr:uid="{00000000-0005-0000-0000-0000740D0000}"/>
    <cellStyle name="20% - uthevingsfarge 2 29 2 6 2 2 2" xfId="24667" xr:uid="{00000000-0005-0000-0000-0000750D0000}"/>
    <cellStyle name="20% - uthevingsfarge 2 29 2 6 2 2 2 2" xfId="40710" xr:uid="{00000000-0005-0000-0000-0000760D0000}"/>
    <cellStyle name="20% - uthevingsfarge 2 29 2 6 2 2 3" xfId="27575" xr:uid="{00000000-0005-0000-0000-0000770D0000}"/>
    <cellStyle name="20% - uthevingsfarge 2 29 2 6 2 3" xfId="23673" xr:uid="{00000000-0005-0000-0000-0000780D0000}"/>
    <cellStyle name="20% - uthevingsfarge 2 29 2 6 2 3 2" xfId="39729" xr:uid="{00000000-0005-0000-0000-0000790D0000}"/>
    <cellStyle name="20% - uthevingsfarge 2 29 2 6 2 4" xfId="30976" xr:uid="{00000000-0005-0000-0000-00007A0D0000}"/>
    <cellStyle name="20% - uthevingsfarge 2 29 2 6 3" xfId="8521" xr:uid="{00000000-0005-0000-0000-00007B0D0000}"/>
    <cellStyle name="20% - uthevingsfarge 2 29 2 6 3 2" xfId="23373" xr:uid="{00000000-0005-0000-0000-00007C0D0000}"/>
    <cellStyle name="20% - uthevingsfarge 2 29 2 6 3 2 2" xfId="39430" xr:uid="{00000000-0005-0000-0000-00007D0D0000}"/>
    <cellStyle name="20% - uthevingsfarge 2 29 2 6 3 3" xfId="29277" xr:uid="{00000000-0005-0000-0000-00007E0D0000}"/>
    <cellStyle name="20% - uthevingsfarge 2 29 2 6 4" xfId="19749" xr:uid="{00000000-0005-0000-0000-00007F0D0000}"/>
    <cellStyle name="20% - uthevingsfarge 2 29 2 6 4 2" xfId="35863" xr:uid="{00000000-0005-0000-0000-0000800D0000}"/>
    <cellStyle name="20% - uthevingsfarge 2 29 2 6 5" xfId="32668" xr:uid="{00000000-0005-0000-0000-0000810D0000}"/>
    <cellStyle name="20% - uthevingsfarge 2 29 2 7" xfId="5278" xr:uid="{00000000-0005-0000-0000-0000820D0000}"/>
    <cellStyle name="20% - uthevingsfarge 2 29 2 7 2" xfId="8693" xr:uid="{00000000-0005-0000-0000-0000830D0000}"/>
    <cellStyle name="20% - uthevingsfarge 2 29 2 7 2 2" xfId="22660" xr:uid="{00000000-0005-0000-0000-0000840D0000}"/>
    <cellStyle name="20% - uthevingsfarge 2 29 2 7 2 2 2" xfId="38729" xr:uid="{00000000-0005-0000-0000-0000850D0000}"/>
    <cellStyle name="20% - uthevingsfarge 2 29 2 7 2 3" xfId="29105" xr:uid="{00000000-0005-0000-0000-0000860D0000}"/>
    <cellStyle name="20% - uthevingsfarge 2 29 2 7 3" xfId="23854" xr:uid="{00000000-0005-0000-0000-0000870D0000}"/>
    <cellStyle name="20% - uthevingsfarge 2 29 2 7 3 2" xfId="39910" xr:uid="{00000000-0005-0000-0000-0000880D0000}"/>
    <cellStyle name="20% - uthevingsfarge 2 29 2 7 4" xfId="32496" xr:uid="{00000000-0005-0000-0000-0000890D0000}"/>
    <cellStyle name="20% - uthevingsfarge 2 29 2 8" xfId="7011" xr:uid="{00000000-0005-0000-0000-00008A0D0000}"/>
    <cellStyle name="20% - uthevingsfarge 2 29 2 8 2" xfId="20631" xr:uid="{00000000-0005-0000-0000-00008B0D0000}"/>
    <cellStyle name="20% - uthevingsfarge 2 29 2 8 2 2" xfId="36730" xr:uid="{00000000-0005-0000-0000-00008C0D0000}"/>
    <cellStyle name="20% - uthevingsfarge 2 29 2 8 3" xfId="30787" xr:uid="{00000000-0005-0000-0000-00008D0D0000}"/>
    <cellStyle name="20% - uthevingsfarge 2 29 2 9" xfId="10825" xr:uid="{00000000-0005-0000-0000-00008E0D0000}"/>
    <cellStyle name="20% - uthevingsfarge 2 29 3" xfId="3464" xr:uid="{00000000-0005-0000-0000-00008F0D0000}"/>
    <cellStyle name="20% - uthevingsfarge 2 29 3 10" xfId="47080" xr:uid="{00000000-0005-0000-0000-0000900D0000}"/>
    <cellStyle name="20% - uthevingsfarge 2 29 3 2" xfId="3900" xr:uid="{00000000-0005-0000-0000-0000910D0000}"/>
    <cellStyle name="20% - uthevingsfarge 2 29 3 2 2" xfId="5788" xr:uid="{00000000-0005-0000-0000-0000920D0000}"/>
    <cellStyle name="20% - uthevingsfarge 2 29 3 2 2 2" xfId="9203" xr:uid="{00000000-0005-0000-0000-0000930D0000}"/>
    <cellStyle name="20% - uthevingsfarge 2 29 3 2 2 2 2" xfId="23473" xr:uid="{00000000-0005-0000-0000-0000940D0000}"/>
    <cellStyle name="20% - uthevingsfarge 2 29 3 2 2 2 2 2" xfId="39529" xr:uid="{00000000-0005-0000-0000-0000950D0000}"/>
    <cellStyle name="20% - uthevingsfarge 2 29 3 2 2 2 3" xfId="28595" xr:uid="{00000000-0005-0000-0000-0000960D0000}"/>
    <cellStyle name="20% - uthevingsfarge 2 29 3 2 2 3" xfId="23918" xr:uid="{00000000-0005-0000-0000-0000970D0000}"/>
    <cellStyle name="20% - uthevingsfarge 2 29 3 2 2 3 2" xfId="39972" xr:uid="{00000000-0005-0000-0000-0000980D0000}"/>
    <cellStyle name="20% - uthevingsfarge 2 29 3 2 2 4" xfId="31986" xr:uid="{00000000-0005-0000-0000-0000990D0000}"/>
    <cellStyle name="20% - uthevingsfarge 2 29 3 2 3" xfId="7506" xr:uid="{00000000-0005-0000-0000-00009A0D0000}"/>
    <cellStyle name="20% - uthevingsfarge 2 29 3 2 3 2" xfId="19857" xr:uid="{00000000-0005-0000-0000-00009B0D0000}"/>
    <cellStyle name="20% - uthevingsfarge 2 29 3 2 3 2 2" xfId="35970" xr:uid="{00000000-0005-0000-0000-00009C0D0000}"/>
    <cellStyle name="20% - uthevingsfarge 2 29 3 2 3 3" xfId="30292" xr:uid="{00000000-0005-0000-0000-00009D0D0000}"/>
    <cellStyle name="20% - uthevingsfarge 2 29 3 2 4" xfId="17960" xr:uid="{00000000-0005-0000-0000-00009E0D0000}"/>
    <cellStyle name="20% - uthevingsfarge 2 29 3 2 5" xfId="23750" xr:uid="{00000000-0005-0000-0000-00009F0D0000}"/>
    <cellStyle name="20% - uthevingsfarge 2 29 3 2 5 2" xfId="39806" xr:uid="{00000000-0005-0000-0000-0000A00D0000}"/>
    <cellStyle name="20% - uthevingsfarge 2 29 3 2 6" xfId="33679" xr:uid="{00000000-0005-0000-0000-0000A10D0000}"/>
    <cellStyle name="20% - uthevingsfarge 2 29 3 3" xfId="4840" xr:uid="{00000000-0005-0000-0000-0000A20D0000}"/>
    <cellStyle name="20% - uthevingsfarge 2 29 3 3 10" xfId="47270" xr:uid="{00000000-0005-0000-0000-0000A30D0000}"/>
    <cellStyle name="20% - uthevingsfarge 2 29 3 3 2" xfId="6559" xr:uid="{00000000-0005-0000-0000-0000A40D0000}"/>
    <cellStyle name="20% - uthevingsfarge 2 29 3 3 2 2" xfId="9965" xr:uid="{00000000-0005-0000-0000-0000A50D0000}"/>
    <cellStyle name="20% - uthevingsfarge 2 29 3 3 2 2 2" xfId="21553" xr:uid="{00000000-0005-0000-0000-0000A60D0000}"/>
    <cellStyle name="20% - uthevingsfarge 2 29 3 3 2 2 2 2" xfId="37633" xr:uid="{00000000-0005-0000-0000-0000A70D0000}"/>
    <cellStyle name="20% - uthevingsfarge 2 29 3 3 2 2 3" xfId="27834" xr:uid="{00000000-0005-0000-0000-0000A80D0000}"/>
    <cellStyle name="20% - uthevingsfarge 2 29 3 3 2 3" xfId="23062" xr:uid="{00000000-0005-0000-0000-0000A90D0000}"/>
    <cellStyle name="20% - uthevingsfarge 2 29 3 3 2 3 2" xfId="39131" xr:uid="{00000000-0005-0000-0000-0000AA0D0000}"/>
    <cellStyle name="20% - uthevingsfarge 2 29 3 3 2 4" xfId="31235" xr:uid="{00000000-0005-0000-0000-0000AB0D0000}"/>
    <cellStyle name="20% - uthevingsfarge 2 29 3 3 2 5" xfId="42825" xr:uid="{00000000-0005-0000-0000-0000AC0D0000}"/>
    <cellStyle name="20% - uthevingsfarge 2 29 3 3 2 6" xfId="43263" xr:uid="{00000000-0005-0000-0000-0000AD0D0000}"/>
    <cellStyle name="20% - uthevingsfarge 2 29 3 3 2 7" xfId="46111" xr:uid="{00000000-0005-0000-0000-0000AE0D0000}"/>
    <cellStyle name="20% - uthevingsfarge 2 29 3 3 2 8" xfId="46880" xr:uid="{00000000-0005-0000-0000-0000AF0D0000}"/>
    <cellStyle name="20% - uthevingsfarge 2 29 3 3 2 9" xfId="47466" xr:uid="{00000000-0005-0000-0000-0000B00D0000}"/>
    <cellStyle name="20% - uthevingsfarge 2 29 3 3 3" xfId="8262" xr:uid="{00000000-0005-0000-0000-0000B10D0000}"/>
    <cellStyle name="20% - uthevingsfarge 2 29 3 3 3 2" xfId="21686" xr:uid="{00000000-0005-0000-0000-0000B20D0000}"/>
    <cellStyle name="20% - uthevingsfarge 2 29 3 3 3 2 2" xfId="37766" xr:uid="{00000000-0005-0000-0000-0000B30D0000}"/>
    <cellStyle name="20% - uthevingsfarge 2 29 3 3 3 3" xfId="29535" xr:uid="{00000000-0005-0000-0000-0000B40D0000}"/>
    <cellStyle name="20% - uthevingsfarge 2 29 3 3 3 4" xfId="43886" xr:uid="{00000000-0005-0000-0000-0000B50D0000}"/>
    <cellStyle name="20% - uthevingsfarge 2 29 3 3 4" xfId="16270" xr:uid="{00000000-0005-0000-0000-0000B60D0000}"/>
    <cellStyle name="20% - uthevingsfarge 2 29 3 3 4 2" xfId="35358" xr:uid="{00000000-0005-0000-0000-0000B70D0000}"/>
    <cellStyle name="20% - uthevingsfarge 2 29 3 3 5" xfId="25017" xr:uid="{00000000-0005-0000-0000-0000B80D0000}"/>
    <cellStyle name="20% - uthevingsfarge 2 29 3 3 6" xfId="25251" xr:uid="{00000000-0005-0000-0000-0000B90D0000}"/>
    <cellStyle name="20% - uthevingsfarge 2 29 3 3 7" xfId="32927" xr:uid="{00000000-0005-0000-0000-0000BA0D0000}"/>
    <cellStyle name="20% - uthevingsfarge 2 29 3 3 8" xfId="43723" xr:uid="{00000000-0005-0000-0000-0000BB0D0000}"/>
    <cellStyle name="20% - uthevingsfarge 2 29 3 3 9" xfId="46649" xr:uid="{00000000-0005-0000-0000-0000BC0D0000}"/>
    <cellStyle name="20% - uthevingsfarge 2 29 3 4" xfId="5402" xr:uid="{00000000-0005-0000-0000-0000BD0D0000}"/>
    <cellStyle name="20% - uthevingsfarge 2 29 3 4 2" xfId="8817" xr:uid="{00000000-0005-0000-0000-0000BE0D0000}"/>
    <cellStyle name="20% - uthevingsfarge 2 29 3 4 2 2" xfId="24416" xr:uid="{00000000-0005-0000-0000-0000BF0D0000}"/>
    <cellStyle name="20% - uthevingsfarge 2 29 3 4 2 2 2" xfId="40460" xr:uid="{00000000-0005-0000-0000-0000C00D0000}"/>
    <cellStyle name="20% - uthevingsfarge 2 29 3 4 2 3" xfId="28981" xr:uid="{00000000-0005-0000-0000-0000C10D0000}"/>
    <cellStyle name="20% - uthevingsfarge 2 29 3 4 3" xfId="22069" xr:uid="{00000000-0005-0000-0000-0000C20D0000}"/>
    <cellStyle name="20% - uthevingsfarge 2 29 3 4 3 2" xfId="38143" xr:uid="{00000000-0005-0000-0000-0000C30D0000}"/>
    <cellStyle name="20% - uthevingsfarge 2 29 3 4 4" xfId="32372" xr:uid="{00000000-0005-0000-0000-0000C40D0000}"/>
    <cellStyle name="20% - uthevingsfarge 2 29 3 5" xfId="7112" xr:uid="{00000000-0005-0000-0000-0000C50D0000}"/>
    <cellStyle name="20% - uthevingsfarge 2 29 3 5 2" xfId="20672" xr:uid="{00000000-0005-0000-0000-0000C60D0000}"/>
    <cellStyle name="20% - uthevingsfarge 2 29 3 5 2 2" xfId="36771" xr:uid="{00000000-0005-0000-0000-0000C70D0000}"/>
    <cellStyle name="20% - uthevingsfarge 2 29 3 5 3" xfId="30686" xr:uid="{00000000-0005-0000-0000-0000C80D0000}"/>
    <cellStyle name="20% - uthevingsfarge 2 29 3 6" xfId="10827" xr:uid="{00000000-0005-0000-0000-0000C90D0000}"/>
    <cellStyle name="20% - uthevingsfarge 2 29 3 7" xfId="34073" xr:uid="{00000000-0005-0000-0000-0000CA0D0000}"/>
    <cellStyle name="20% - uthevingsfarge 2 29 3 8" xfId="43515" xr:uid="{00000000-0005-0000-0000-0000CB0D0000}"/>
    <cellStyle name="20% - uthevingsfarge 2 29 3 9" xfId="46419" xr:uid="{00000000-0005-0000-0000-0000CC0D0000}"/>
    <cellStyle name="20% - uthevingsfarge 2 29 3_Avviksanalyse løpende RNB15 (1)" xfId="16576" xr:uid="{00000000-0005-0000-0000-0000CD0D0000}"/>
    <cellStyle name="20% - uthevingsfarge 2 29 4" xfId="3721" xr:uid="{00000000-0005-0000-0000-0000CE0D0000}"/>
    <cellStyle name="20% - uthevingsfarge 2 29 4 2" xfId="5609" xr:uid="{00000000-0005-0000-0000-0000CF0D0000}"/>
    <cellStyle name="20% - uthevingsfarge 2 29 4 2 2" xfId="9024" xr:uid="{00000000-0005-0000-0000-0000D00D0000}"/>
    <cellStyle name="20% - uthevingsfarge 2 29 4 2 2 2" xfId="23444" xr:uid="{00000000-0005-0000-0000-0000D10D0000}"/>
    <cellStyle name="20% - uthevingsfarge 2 29 4 2 2 2 2" xfId="39500" xr:uid="{00000000-0005-0000-0000-0000D20D0000}"/>
    <cellStyle name="20% - uthevingsfarge 2 29 4 2 2 3" xfId="28774" xr:uid="{00000000-0005-0000-0000-0000D30D0000}"/>
    <cellStyle name="20% - uthevingsfarge 2 29 4 2 3" xfId="22262" xr:uid="{00000000-0005-0000-0000-0000D40D0000}"/>
    <cellStyle name="20% - uthevingsfarge 2 29 4 2 3 2" xfId="38336" xr:uid="{00000000-0005-0000-0000-0000D50D0000}"/>
    <cellStyle name="20% - uthevingsfarge 2 29 4 2 4" xfId="32165" xr:uid="{00000000-0005-0000-0000-0000D60D0000}"/>
    <cellStyle name="20% - uthevingsfarge 2 29 4 3" xfId="7327" xr:uid="{00000000-0005-0000-0000-0000D70D0000}"/>
    <cellStyle name="20% - uthevingsfarge 2 29 4 3 2" xfId="20741" xr:uid="{00000000-0005-0000-0000-0000D80D0000}"/>
    <cellStyle name="20% - uthevingsfarge 2 29 4 3 2 2" xfId="36840" xr:uid="{00000000-0005-0000-0000-0000D90D0000}"/>
    <cellStyle name="20% - uthevingsfarge 2 29 4 3 3" xfId="30471" xr:uid="{00000000-0005-0000-0000-0000DA0D0000}"/>
    <cellStyle name="20% - uthevingsfarge 2 29 4 4" xfId="21713" xr:uid="{00000000-0005-0000-0000-0000DB0D0000}"/>
    <cellStyle name="20% - uthevingsfarge 2 29 4 4 2" xfId="37791" xr:uid="{00000000-0005-0000-0000-0000DC0D0000}"/>
    <cellStyle name="20% - uthevingsfarge 2 29 4 5" xfId="33858" xr:uid="{00000000-0005-0000-0000-0000DD0D0000}"/>
    <cellStyle name="20% - uthevingsfarge 2 29 5" xfId="4234" xr:uid="{00000000-0005-0000-0000-0000DE0D0000}"/>
    <cellStyle name="20% - uthevingsfarge 2 29 5 2" xfId="6066" xr:uid="{00000000-0005-0000-0000-0000DF0D0000}"/>
    <cellStyle name="20% - uthevingsfarge 2 29 5 2 2" xfId="9481" xr:uid="{00000000-0005-0000-0000-0000E00D0000}"/>
    <cellStyle name="20% - uthevingsfarge 2 29 5 2 2 2" xfId="23515" xr:uid="{00000000-0005-0000-0000-0000E10D0000}"/>
    <cellStyle name="20% - uthevingsfarge 2 29 5 2 2 2 2" xfId="39571" xr:uid="{00000000-0005-0000-0000-0000E20D0000}"/>
    <cellStyle name="20% - uthevingsfarge 2 29 5 2 2 3" xfId="28317" xr:uid="{00000000-0005-0000-0000-0000E30D0000}"/>
    <cellStyle name="20% - uthevingsfarge 2 29 5 2 3" xfId="20308" xr:uid="{00000000-0005-0000-0000-0000E40D0000}"/>
    <cellStyle name="20% - uthevingsfarge 2 29 5 2 3 2" xfId="36407" xr:uid="{00000000-0005-0000-0000-0000E50D0000}"/>
    <cellStyle name="20% - uthevingsfarge 2 29 5 2 4" xfId="31712" xr:uid="{00000000-0005-0000-0000-0000E60D0000}"/>
    <cellStyle name="20% - uthevingsfarge 2 29 5 3" xfId="7800" xr:uid="{00000000-0005-0000-0000-0000E70D0000}"/>
    <cellStyle name="20% - uthevingsfarge 2 29 5 3 2" xfId="22569" xr:uid="{00000000-0005-0000-0000-0000E80D0000}"/>
    <cellStyle name="20% - uthevingsfarge 2 29 5 3 2 2" xfId="38638" xr:uid="{00000000-0005-0000-0000-0000E90D0000}"/>
    <cellStyle name="20% - uthevingsfarge 2 29 5 3 3" xfId="29999" xr:uid="{00000000-0005-0000-0000-0000EA0D0000}"/>
    <cellStyle name="20% - uthevingsfarge 2 29 5 4" xfId="22723" xr:uid="{00000000-0005-0000-0000-0000EB0D0000}"/>
    <cellStyle name="20% - uthevingsfarge 2 29 5 4 2" xfId="38792" xr:uid="{00000000-0005-0000-0000-0000EC0D0000}"/>
    <cellStyle name="20% - uthevingsfarge 2 29 5 5" xfId="33387" xr:uid="{00000000-0005-0000-0000-0000ED0D0000}"/>
    <cellStyle name="20% - uthevingsfarge 2 29 6" xfId="4656" xr:uid="{00000000-0005-0000-0000-0000EE0D0000}"/>
    <cellStyle name="20% - uthevingsfarge 2 29 6 2" xfId="6376" xr:uid="{00000000-0005-0000-0000-0000EF0D0000}"/>
    <cellStyle name="20% - uthevingsfarge 2 29 6 2 2" xfId="9786" xr:uid="{00000000-0005-0000-0000-0000F00D0000}"/>
    <cellStyle name="20% - uthevingsfarge 2 29 6 2 2 2" xfId="23557" xr:uid="{00000000-0005-0000-0000-0000F10D0000}"/>
    <cellStyle name="20% - uthevingsfarge 2 29 6 2 2 2 2" xfId="39613" xr:uid="{00000000-0005-0000-0000-0000F20D0000}"/>
    <cellStyle name="20% - uthevingsfarge 2 29 6 2 2 3" xfId="28013" xr:uid="{00000000-0005-0000-0000-0000F30D0000}"/>
    <cellStyle name="20% - uthevingsfarge 2 29 6 2 3" xfId="20427" xr:uid="{00000000-0005-0000-0000-0000F40D0000}"/>
    <cellStyle name="20% - uthevingsfarge 2 29 6 2 3 2" xfId="36526" xr:uid="{00000000-0005-0000-0000-0000F50D0000}"/>
    <cellStyle name="20% - uthevingsfarge 2 29 6 2 4" xfId="31414" xr:uid="{00000000-0005-0000-0000-0000F60D0000}"/>
    <cellStyle name="20% - uthevingsfarge 2 29 6 3" xfId="8082" xr:uid="{00000000-0005-0000-0000-0000F70D0000}"/>
    <cellStyle name="20% - uthevingsfarge 2 29 6 3 2" xfId="20996" xr:uid="{00000000-0005-0000-0000-0000F80D0000}"/>
    <cellStyle name="20% - uthevingsfarge 2 29 6 3 2 2" xfId="37091" xr:uid="{00000000-0005-0000-0000-0000F90D0000}"/>
    <cellStyle name="20% - uthevingsfarge 2 29 6 3 3" xfId="29716" xr:uid="{00000000-0005-0000-0000-0000FA0D0000}"/>
    <cellStyle name="20% - uthevingsfarge 2 29 6 4" xfId="22731" xr:uid="{00000000-0005-0000-0000-0000FB0D0000}"/>
    <cellStyle name="20% - uthevingsfarge 2 29 6 4 2" xfId="38800" xr:uid="{00000000-0005-0000-0000-0000FC0D0000}"/>
    <cellStyle name="20% - uthevingsfarge 2 29 6 5" xfId="33107" xr:uid="{00000000-0005-0000-0000-0000FD0D0000}"/>
    <cellStyle name="20% - uthevingsfarge 2 29 7" xfId="5020" xr:uid="{00000000-0005-0000-0000-0000FE0D0000}"/>
    <cellStyle name="20% - uthevingsfarge 2 29 7 2" xfId="6739" xr:uid="{00000000-0005-0000-0000-0000FF0D0000}"/>
    <cellStyle name="20% - uthevingsfarge 2 29 7 2 2" xfId="10145" xr:uid="{00000000-0005-0000-0000-0000000E0000}"/>
    <cellStyle name="20% - uthevingsfarge 2 29 7 2 2 2" xfId="24633" xr:uid="{00000000-0005-0000-0000-0000010E0000}"/>
    <cellStyle name="20% - uthevingsfarge 2 29 7 2 2 2 2" xfId="40677" xr:uid="{00000000-0005-0000-0000-0000020E0000}"/>
    <cellStyle name="20% - uthevingsfarge 2 29 7 2 2 3" xfId="27654" xr:uid="{00000000-0005-0000-0000-0000030E0000}"/>
    <cellStyle name="20% - uthevingsfarge 2 29 7 2 3" xfId="11955" xr:uid="{00000000-0005-0000-0000-0000040E0000}"/>
    <cellStyle name="20% - uthevingsfarge 2 29 7 2 3 2" xfId="34977" xr:uid="{00000000-0005-0000-0000-0000050E0000}"/>
    <cellStyle name="20% - uthevingsfarge 2 29 7 2 4" xfId="31055" xr:uid="{00000000-0005-0000-0000-0000060E0000}"/>
    <cellStyle name="20% - uthevingsfarge 2 29 7 3" xfId="8442" xr:uid="{00000000-0005-0000-0000-0000070E0000}"/>
    <cellStyle name="20% - uthevingsfarge 2 29 7 3 2" xfId="23362" xr:uid="{00000000-0005-0000-0000-0000080E0000}"/>
    <cellStyle name="20% - uthevingsfarge 2 29 7 3 2 2" xfId="39421" xr:uid="{00000000-0005-0000-0000-0000090E0000}"/>
    <cellStyle name="20% - uthevingsfarge 2 29 7 3 3" xfId="29356" xr:uid="{00000000-0005-0000-0000-00000A0E0000}"/>
    <cellStyle name="20% - uthevingsfarge 2 29 7 4" xfId="12209" xr:uid="{00000000-0005-0000-0000-00000B0E0000}"/>
    <cellStyle name="20% - uthevingsfarge 2 29 7 4 2" xfId="35126" xr:uid="{00000000-0005-0000-0000-00000C0E0000}"/>
    <cellStyle name="20% - uthevingsfarge 2 29 7 5" xfId="32747" xr:uid="{00000000-0005-0000-0000-00000D0E0000}"/>
    <cellStyle name="20% - uthevingsfarge 2 29 8" xfId="5234" xr:uid="{00000000-0005-0000-0000-00000E0E0000}"/>
    <cellStyle name="20% - uthevingsfarge 2 29 8 2" xfId="8649" xr:uid="{00000000-0005-0000-0000-00000F0E0000}"/>
    <cellStyle name="20% - uthevingsfarge 2 29 8 2 2" xfId="24394" xr:uid="{00000000-0005-0000-0000-0000100E0000}"/>
    <cellStyle name="20% - uthevingsfarge 2 29 8 2 2 2" xfId="40438" xr:uid="{00000000-0005-0000-0000-0000110E0000}"/>
    <cellStyle name="20% - uthevingsfarge 2 29 8 2 3" xfId="29149" xr:uid="{00000000-0005-0000-0000-0000120E0000}"/>
    <cellStyle name="20% - uthevingsfarge 2 29 8 3" xfId="12118" xr:uid="{00000000-0005-0000-0000-0000130E0000}"/>
    <cellStyle name="20% - uthevingsfarge 2 29 8 3 2" xfId="35080" xr:uid="{00000000-0005-0000-0000-0000140E0000}"/>
    <cellStyle name="20% - uthevingsfarge 2 29 8 4" xfId="32540" xr:uid="{00000000-0005-0000-0000-0000150E0000}"/>
    <cellStyle name="20% - uthevingsfarge 2 29 9" xfId="6905" xr:uid="{00000000-0005-0000-0000-0000160E0000}"/>
    <cellStyle name="20% - uthevingsfarge 2 29 9 2" xfId="24115" xr:uid="{00000000-0005-0000-0000-0000170E0000}"/>
    <cellStyle name="20% - uthevingsfarge 2 29 9 2 2" xfId="40168" xr:uid="{00000000-0005-0000-0000-0000180E0000}"/>
    <cellStyle name="20% - uthevingsfarge 2 29 9 3" xfId="30893" xr:uid="{00000000-0005-0000-0000-0000190E0000}"/>
    <cellStyle name="20% - uthevingsfarge 2 3" xfId="361" xr:uid="{00000000-0005-0000-0000-00001A0E0000}"/>
    <cellStyle name="20% - uthevingsfarge 2 3 2" xfId="362" xr:uid="{00000000-0005-0000-0000-00001B0E0000}"/>
    <cellStyle name="20% - uthevingsfarge 2 30" xfId="363" xr:uid="{00000000-0005-0000-0000-00001C0E0000}"/>
    <cellStyle name="20% - uthevingsfarge 2 30 10" xfId="10830" xr:uid="{00000000-0005-0000-0000-00001D0E0000}"/>
    <cellStyle name="20% - uthevingsfarge 2 30 11" xfId="34280" xr:uid="{00000000-0005-0000-0000-00001E0E0000}"/>
    <cellStyle name="20% - uthevingsfarge 2 30 2" xfId="3318" xr:uid="{00000000-0005-0000-0000-00001F0E0000}"/>
    <cellStyle name="20% - uthevingsfarge 2 30 2 10" xfId="34173" xr:uid="{00000000-0005-0000-0000-0000200E0000}"/>
    <cellStyle name="20% - uthevingsfarge 2 30 2 2" xfId="3550" xr:uid="{00000000-0005-0000-0000-0000210E0000}"/>
    <cellStyle name="20% - uthevingsfarge 2 30 2 2 10" xfId="47149" xr:uid="{00000000-0005-0000-0000-0000220E0000}"/>
    <cellStyle name="20% - uthevingsfarge 2 30 2 2 2" xfId="3980" xr:uid="{00000000-0005-0000-0000-0000230E0000}"/>
    <cellStyle name="20% - uthevingsfarge 2 30 2 2 2 2" xfId="5868" xr:uid="{00000000-0005-0000-0000-0000240E0000}"/>
    <cellStyle name="20% - uthevingsfarge 2 30 2 2 2 2 2" xfId="9283" xr:uid="{00000000-0005-0000-0000-0000250E0000}"/>
    <cellStyle name="20% - uthevingsfarge 2 30 2 2 2 2 2 2" xfId="19521" xr:uid="{00000000-0005-0000-0000-0000260E0000}"/>
    <cellStyle name="20% - uthevingsfarge 2 30 2 2 2 2 2 2 2" xfId="35635" xr:uid="{00000000-0005-0000-0000-0000270E0000}"/>
    <cellStyle name="20% - uthevingsfarge 2 30 2 2 2 2 2 3" xfId="28515" xr:uid="{00000000-0005-0000-0000-0000280E0000}"/>
    <cellStyle name="20% - uthevingsfarge 2 30 2 2 2 2 3" xfId="20233" xr:uid="{00000000-0005-0000-0000-0000290E0000}"/>
    <cellStyle name="20% - uthevingsfarge 2 30 2 2 2 2 3 2" xfId="36332" xr:uid="{00000000-0005-0000-0000-00002A0E0000}"/>
    <cellStyle name="20% - uthevingsfarge 2 30 2 2 2 2 4" xfId="31906" xr:uid="{00000000-0005-0000-0000-00002B0E0000}"/>
    <cellStyle name="20% - uthevingsfarge 2 30 2 2 2 3" xfId="7586" xr:uid="{00000000-0005-0000-0000-00002C0E0000}"/>
    <cellStyle name="20% - uthevingsfarge 2 30 2 2 2 3 2" xfId="23228" xr:uid="{00000000-0005-0000-0000-00002D0E0000}"/>
    <cellStyle name="20% - uthevingsfarge 2 30 2 2 2 3 2 2" xfId="39297" xr:uid="{00000000-0005-0000-0000-00002E0E0000}"/>
    <cellStyle name="20% - uthevingsfarge 2 30 2 2 2 3 3" xfId="30212" xr:uid="{00000000-0005-0000-0000-00002F0E0000}"/>
    <cellStyle name="20% - uthevingsfarge 2 30 2 2 2 4" xfId="17961" xr:uid="{00000000-0005-0000-0000-0000300E0000}"/>
    <cellStyle name="20% - uthevingsfarge 2 30 2 2 2 5" xfId="22793" xr:uid="{00000000-0005-0000-0000-0000310E0000}"/>
    <cellStyle name="20% - uthevingsfarge 2 30 2 2 2 5 2" xfId="38862" xr:uid="{00000000-0005-0000-0000-0000320E0000}"/>
    <cellStyle name="20% - uthevingsfarge 2 30 2 2 2 6" xfId="33599" xr:uid="{00000000-0005-0000-0000-0000330E0000}"/>
    <cellStyle name="20% - uthevingsfarge 2 30 2 2 3" xfId="4920" xr:uid="{00000000-0005-0000-0000-0000340E0000}"/>
    <cellStyle name="20% - uthevingsfarge 2 30 2 2 3 10" xfId="47339" xr:uid="{00000000-0005-0000-0000-0000350E0000}"/>
    <cellStyle name="20% - uthevingsfarge 2 30 2 2 3 2" xfId="6639" xr:uid="{00000000-0005-0000-0000-0000360E0000}"/>
    <cellStyle name="20% - uthevingsfarge 2 30 2 2 3 2 2" xfId="10045" xr:uid="{00000000-0005-0000-0000-0000370E0000}"/>
    <cellStyle name="20% - uthevingsfarge 2 30 2 2 3 2 2 2" xfId="24613" xr:uid="{00000000-0005-0000-0000-0000380E0000}"/>
    <cellStyle name="20% - uthevingsfarge 2 30 2 2 3 2 2 2 2" xfId="40657" xr:uid="{00000000-0005-0000-0000-0000390E0000}"/>
    <cellStyle name="20% - uthevingsfarge 2 30 2 2 3 2 2 3" xfId="27754" xr:uid="{00000000-0005-0000-0000-00003A0E0000}"/>
    <cellStyle name="20% - uthevingsfarge 2 30 2 2 3 2 3" xfId="22148" xr:uid="{00000000-0005-0000-0000-00003B0E0000}"/>
    <cellStyle name="20% - uthevingsfarge 2 30 2 2 3 2 3 2" xfId="38222" xr:uid="{00000000-0005-0000-0000-00003C0E0000}"/>
    <cellStyle name="20% - uthevingsfarge 2 30 2 2 3 2 4" xfId="31155" xr:uid="{00000000-0005-0000-0000-00003D0E0000}"/>
    <cellStyle name="20% - uthevingsfarge 2 30 2 2 3 2 5" xfId="43033" xr:uid="{00000000-0005-0000-0000-00003E0E0000}"/>
    <cellStyle name="20% - uthevingsfarge 2 30 2 2 3 2 6" xfId="43330" xr:uid="{00000000-0005-0000-0000-00003F0E0000}"/>
    <cellStyle name="20% - uthevingsfarge 2 30 2 2 3 2 7" xfId="46178" xr:uid="{00000000-0005-0000-0000-0000400E0000}"/>
    <cellStyle name="20% - uthevingsfarge 2 30 2 2 3 2 8" xfId="46950" xr:uid="{00000000-0005-0000-0000-0000410E0000}"/>
    <cellStyle name="20% - uthevingsfarge 2 30 2 2 3 2 9" xfId="47535" xr:uid="{00000000-0005-0000-0000-0000420E0000}"/>
    <cellStyle name="20% - uthevingsfarge 2 30 2 2 3 3" xfId="8342" xr:uid="{00000000-0005-0000-0000-0000430E0000}"/>
    <cellStyle name="20% - uthevingsfarge 2 30 2 2 3 3 2" xfId="10569" xr:uid="{00000000-0005-0000-0000-0000440E0000}"/>
    <cellStyle name="20% - uthevingsfarge 2 30 2 2 3 3 2 2" xfId="34429" xr:uid="{00000000-0005-0000-0000-0000450E0000}"/>
    <cellStyle name="20% - uthevingsfarge 2 30 2 2 3 3 3" xfId="29456" xr:uid="{00000000-0005-0000-0000-0000460E0000}"/>
    <cellStyle name="20% - uthevingsfarge 2 30 2 2 3 3 4" xfId="43887" xr:uid="{00000000-0005-0000-0000-0000470E0000}"/>
    <cellStyle name="20% - uthevingsfarge 2 30 2 2 3 4" xfId="16478" xr:uid="{00000000-0005-0000-0000-0000480E0000}"/>
    <cellStyle name="20% - uthevingsfarge 2 30 2 2 3 4 2" xfId="35425" xr:uid="{00000000-0005-0000-0000-0000490E0000}"/>
    <cellStyle name="20% - uthevingsfarge 2 30 2 2 3 5" xfId="25087" xr:uid="{00000000-0005-0000-0000-00004A0E0000}"/>
    <cellStyle name="20% - uthevingsfarge 2 30 2 2 3 6" xfId="25252" xr:uid="{00000000-0005-0000-0000-00004B0E0000}"/>
    <cellStyle name="20% - uthevingsfarge 2 30 2 2 3 7" xfId="32847" xr:uid="{00000000-0005-0000-0000-00004C0E0000}"/>
    <cellStyle name="20% - uthevingsfarge 2 30 2 2 3 8" xfId="43791" xr:uid="{00000000-0005-0000-0000-00004D0E0000}"/>
    <cellStyle name="20% - uthevingsfarge 2 30 2 2 3 9" xfId="46716" xr:uid="{00000000-0005-0000-0000-00004E0E0000}"/>
    <cellStyle name="20% - uthevingsfarge 2 30 2 2 4" xfId="5474" xr:uid="{00000000-0005-0000-0000-00004F0E0000}"/>
    <cellStyle name="20% - uthevingsfarge 2 30 2 2 4 2" xfId="8889" xr:uid="{00000000-0005-0000-0000-0000500E0000}"/>
    <cellStyle name="20% - uthevingsfarge 2 30 2 2 4 2 2" xfId="10478" xr:uid="{00000000-0005-0000-0000-0000510E0000}"/>
    <cellStyle name="20% - uthevingsfarge 2 30 2 2 4 2 2 2" xfId="34384" xr:uid="{00000000-0005-0000-0000-0000520E0000}"/>
    <cellStyle name="20% - uthevingsfarge 2 30 2 2 4 2 3" xfId="28909" xr:uid="{00000000-0005-0000-0000-0000530E0000}"/>
    <cellStyle name="20% - uthevingsfarge 2 30 2 2 4 3" xfId="20095" xr:uid="{00000000-0005-0000-0000-0000540E0000}"/>
    <cellStyle name="20% - uthevingsfarge 2 30 2 2 4 3 2" xfId="36199" xr:uid="{00000000-0005-0000-0000-0000550E0000}"/>
    <cellStyle name="20% - uthevingsfarge 2 30 2 2 4 4" xfId="32300" xr:uid="{00000000-0005-0000-0000-0000560E0000}"/>
    <cellStyle name="20% - uthevingsfarge 2 30 2 2 5" xfId="7192" xr:uid="{00000000-0005-0000-0000-0000570E0000}"/>
    <cellStyle name="20% - uthevingsfarge 2 30 2 2 5 2" xfId="23161" xr:uid="{00000000-0005-0000-0000-0000580E0000}"/>
    <cellStyle name="20% - uthevingsfarge 2 30 2 2 5 2 2" xfId="39230" xr:uid="{00000000-0005-0000-0000-0000590E0000}"/>
    <cellStyle name="20% - uthevingsfarge 2 30 2 2 5 3" xfId="30606" xr:uid="{00000000-0005-0000-0000-00005A0E0000}"/>
    <cellStyle name="20% - uthevingsfarge 2 30 2 2 6" xfId="10832" xr:uid="{00000000-0005-0000-0000-00005B0E0000}"/>
    <cellStyle name="20% - uthevingsfarge 2 30 2 2 7" xfId="33993" xr:uid="{00000000-0005-0000-0000-00005C0E0000}"/>
    <cellStyle name="20% - uthevingsfarge 2 30 2 2 8" xfId="43582" xr:uid="{00000000-0005-0000-0000-00005D0E0000}"/>
    <cellStyle name="20% - uthevingsfarge 2 30 2 2 9" xfId="46488" xr:uid="{00000000-0005-0000-0000-00005E0E0000}"/>
    <cellStyle name="20% - uthevingsfarge 2 30 2 2_Avviksanalyse løpende RNB15 (1)" xfId="16577" xr:uid="{00000000-0005-0000-0000-00005F0E0000}"/>
    <cellStyle name="20% - uthevingsfarge 2 30 2 3" xfId="3800" xr:uid="{00000000-0005-0000-0000-0000600E0000}"/>
    <cellStyle name="20% - uthevingsfarge 2 30 2 3 2" xfId="5688" xr:uid="{00000000-0005-0000-0000-0000610E0000}"/>
    <cellStyle name="20% - uthevingsfarge 2 30 2 3 2 2" xfId="9103" xr:uid="{00000000-0005-0000-0000-0000620E0000}"/>
    <cellStyle name="20% - uthevingsfarge 2 30 2 3 2 2 2" xfId="21915" xr:uid="{00000000-0005-0000-0000-0000630E0000}"/>
    <cellStyle name="20% - uthevingsfarge 2 30 2 3 2 2 2 2" xfId="37990" xr:uid="{00000000-0005-0000-0000-0000640E0000}"/>
    <cellStyle name="20% - uthevingsfarge 2 30 2 3 2 2 3" xfId="28695" xr:uid="{00000000-0005-0000-0000-0000650E0000}"/>
    <cellStyle name="20% - uthevingsfarge 2 30 2 3 2 3" xfId="20168" xr:uid="{00000000-0005-0000-0000-0000660E0000}"/>
    <cellStyle name="20% - uthevingsfarge 2 30 2 3 2 3 2" xfId="36269" xr:uid="{00000000-0005-0000-0000-0000670E0000}"/>
    <cellStyle name="20% - uthevingsfarge 2 30 2 3 2 4" xfId="32086" xr:uid="{00000000-0005-0000-0000-0000680E0000}"/>
    <cellStyle name="20% - uthevingsfarge 2 30 2 3 3" xfId="7406" xr:uid="{00000000-0005-0000-0000-0000690E0000}"/>
    <cellStyle name="20% - uthevingsfarge 2 30 2 3 3 2" xfId="24202" xr:uid="{00000000-0005-0000-0000-00006A0E0000}"/>
    <cellStyle name="20% - uthevingsfarge 2 30 2 3 3 2 2" xfId="40255" xr:uid="{00000000-0005-0000-0000-00006B0E0000}"/>
    <cellStyle name="20% - uthevingsfarge 2 30 2 3 3 3" xfId="30392" xr:uid="{00000000-0005-0000-0000-00006C0E0000}"/>
    <cellStyle name="20% - uthevingsfarge 2 30 2 3 4" xfId="19932" xr:uid="{00000000-0005-0000-0000-00006D0E0000}"/>
    <cellStyle name="20% - uthevingsfarge 2 30 2 3 4 2" xfId="36036" xr:uid="{00000000-0005-0000-0000-00006E0E0000}"/>
    <cellStyle name="20% - uthevingsfarge 2 30 2 3 5" xfId="33779" xr:uid="{00000000-0005-0000-0000-00006F0E0000}"/>
    <cellStyle name="20% - uthevingsfarge 2 30 2 4" xfId="4285" xr:uid="{00000000-0005-0000-0000-0000700E0000}"/>
    <cellStyle name="20% - uthevingsfarge 2 30 2 4 2" xfId="6114" xr:uid="{00000000-0005-0000-0000-0000710E0000}"/>
    <cellStyle name="20% - uthevingsfarge 2 30 2 4 2 2" xfId="9528" xr:uid="{00000000-0005-0000-0000-0000720E0000}"/>
    <cellStyle name="20% - uthevingsfarge 2 30 2 4 2 2 2" xfId="24527" xr:uid="{00000000-0005-0000-0000-0000730E0000}"/>
    <cellStyle name="20% - uthevingsfarge 2 30 2 4 2 2 2 2" xfId="40571" xr:uid="{00000000-0005-0000-0000-0000740E0000}"/>
    <cellStyle name="20% - uthevingsfarge 2 30 2 4 2 2 3" xfId="28270" xr:uid="{00000000-0005-0000-0000-0000750E0000}"/>
    <cellStyle name="20% - uthevingsfarge 2 30 2 4 2 3" xfId="20328" xr:uid="{00000000-0005-0000-0000-0000760E0000}"/>
    <cellStyle name="20% - uthevingsfarge 2 30 2 4 2 3 2" xfId="36427" xr:uid="{00000000-0005-0000-0000-0000770E0000}"/>
    <cellStyle name="20% - uthevingsfarge 2 30 2 4 2 4" xfId="31665" xr:uid="{00000000-0005-0000-0000-0000780E0000}"/>
    <cellStyle name="20% - uthevingsfarge 2 30 2 4 3" xfId="7847" xr:uid="{00000000-0005-0000-0000-0000790E0000}"/>
    <cellStyle name="20% - uthevingsfarge 2 30 2 4 3 2" xfId="20924" xr:uid="{00000000-0005-0000-0000-00007A0E0000}"/>
    <cellStyle name="20% - uthevingsfarge 2 30 2 4 3 2 2" xfId="37023" xr:uid="{00000000-0005-0000-0000-00007B0E0000}"/>
    <cellStyle name="20% - uthevingsfarge 2 30 2 4 3 3" xfId="29952" xr:uid="{00000000-0005-0000-0000-00007C0E0000}"/>
    <cellStyle name="20% - uthevingsfarge 2 30 2 4 4" xfId="22688" xr:uid="{00000000-0005-0000-0000-00007D0E0000}"/>
    <cellStyle name="20% - uthevingsfarge 2 30 2 4 4 2" xfId="38757" xr:uid="{00000000-0005-0000-0000-00007E0E0000}"/>
    <cellStyle name="20% - uthevingsfarge 2 30 2 4 5" xfId="33340" xr:uid="{00000000-0005-0000-0000-00007F0E0000}"/>
    <cellStyle name="20% - uthevingsfarge 2 30 2 5" xfId="4740" xr:uid="{00000000-0005-0000-0000-0000800E0000}"/>
    <cellStyle name="20% - uthevingsfarge 2 30 2 5 2" xfId="6460" xr:uid="{00000000-0005-0000-0000-0000810E0000}"/>
    <cellStyle name="20% - uthevingsfarge 2 30 2 5 2 2" xfId="9866" xr:uid="{00000000-0005-0000-0000-0000820E0000}"/>
    <cellStyle name="20% - uthevingsfarge 2 30 2 5 2 2 2" xfId="21514" xr:uid="{00000000-0005-0000-0000-0000830E0000}"/>
    <cellStyle name="20% - uthevingsfarge 2 30 2 5 2 2 2 2" xfId="37594" xr:uid="{00000000-0005-0000-0000-0000840E0000}"/>
    <cellStyle name="20% - uthevingsfarge 2 30 2 5 2 2 3" xfId="27933" xr:uid="{00000000-0005-0000-0000-0000850E0000}"/>
    <cellStyle name="20% - uthevingsfarge 2 30 2 5 2 3" xfId="20459" xr:uid="{00000000-0005-0000-0000-0000860E0000}"/>
    <cellStyle name="20% - uthevingsfarge 2 30 2 5 2 3 2" xfId="36558" xr:uid="{00000000-0005-0000-0000-0000870E0000}"/>
    <cellStyle name="20% - uthevingsfarge 2 30 2 5 2 4" xfId="31334" xr:uid="{00000000-0005-0000-0000-0000880E0000}"/>
    <cellStyle name="20% - uthevingsfarge 2 30 2 5 3" xfId="8162" xr:uid="{00000000-0005-0000-0000-0000890E0000}"/>
    <cellStyle name="20% - uthevingsfarge 2 30 2 5 3 2" xfId="24325" xr:uid="{00000000-0005-0000-0000-00008A0E0000}"/>
    <cellStyle name="20% - uthevingsfarge 2 30 2 5 3 2 2" xfId="40375" xr:uid="{00000000-0005-0000-0000-00008B0E0000}"/>
    <cellStyle name="20% - uthevingsfarge 2 30 2 5 3 3" xfId="29636" xr:uid="{00000000-0005-0000-0000-00008C0E0000}"/>
    <cellStyle name="20% - uthevingsfarge 2 30 2 5 4" xfId="10897" xr:uid="{00000000-0005-0000-0000-00008D0E0000}"/>
    <cellStyle name="20% - uthevingsfarge 2 30 2 5 4 2" xfId="34669" xr:uid="{00000000-0005-0000-0000-00008E0E0000}"/>
    <cellStyle name="20% - uthevingsfarge 2 30 2 5 5" xfId="33027" xr:uid="{00000000-0005-0000-0000-00008F0E0000}"/>
    <cellStyle name="20% - uthevingsfarge 2 30 2 6" xfId="5100" xr:uid="{00000000-0005-0000-0000-0000900E0000}"/>
    <cellStyle name="20% - uthevingsfarge 2 30 2 6 2" xfId="6819" xr:uid="{00000000-0005-0000-0000-0000910E0000}"/>
    <cellStyle name="20% - uthevingsfarge 2 30 2 6 2 2" xfId="10225" xr:uid="{00000000-0005-0000-0000-0000920E0000}"/>
    <cellStyle name="20% - uthevingsfarge 2 30 2 6 2 2 2" xfId="24668" xr:uid="{00000000-0005-0000-0000-0000930E0000}"/>
    <cellStyle name="20% - uthevingsfarge 2 30 2 6 2 2 2 2" xfId="40711" xr:uid="{00000000-0005-0000-0000-0000940E0000}"/>
    <cellStyle name="20% - uthevingsfarge 2 30 2 6 2 2 3" xfId="27574" xr:uid="{00000000-0005-0000-0000-0000950E0000}"/>
    <cellStyle name="20% - uthevingsfarge 2 30 2 6 2 3" xfId="10653" xr:uid="{00000000-0005-0000-0000-0000960E0000}"/>
    <cellStyle name="20% - uthevingsfarge 2 30 2 6 2 3 2" xfId="34501" xr:uid="{00000000-0005-0000-0000-0000970E0000}"/>
    <cellStyle name="20% - uthevingsfarge 2 30 2 6 2 4" xfId="30975" xr:uid="{00000000-0005-0000-0000-0000980E0000}"/>
    <cellStyle name="20% - uthevingsfarge 2 30 2 6 3" xfId="8522" xr:uid="{00000000-0005-0000-0000-0000990E0000}"/>
    <cellStyle name="20% - uthevingsfarge 2 30 2 6 3 2" xfId="21118" xr:uid="{00000000-0005-0000-0000-00009A0E0000}"/>
    <cellStyle name="20% - uthevingsfarge 2 30 2 6 3 2 2" xfId="37199" xr:uid="{00000000-0005-0000-0000-00009B0E0000}"/>
    <cellStyle name="20% - uthevingsfarge 2 30 2 6 3 3" xfId="29276" xr:uid="{00000000-0005-0000-0000-00009C0E0000}"/>
    <cellStyle name="20% - uthevingsfarge 2 30 2 6 4" xfId="12173" xr:uid="{00000000-0005-0000-0000-00009D0E0000}"/>
    <cellStyle name="20% - uthevingsfarge 2 30 2 6 4 2" xfId="35108" xr:uid="{00000000-0005-0000-0000-00009E0E0000}"/>
    <cellStyle name="20% - uthevingsfarge 2 30 2 6 5" xfId="32667" xr:uid="{00000000-0005-0000-0000-00009F0E0000}"/>
    <cellStyle name="20% - uthevingsfarge 2 30 2 7" xfId="5279" xr:uid="{00000000-0005-0000-0000-0000A00E0000}"/>
    <cellStyle name="20% - uthevingsfarge 2 30 2 7 2" xfId="8694" xr:uid="{00000000-0005-0000-0000-0000A10E0000}"/>
    <cellStyle name="20% - uthevingsfarge 2 30 2 7 2 2" xfId="19511" xr:uid="{00000000-0005-0000-0000-0000A20E0000}"/>
    <cellStyle name="20% - uthevingsfarge 2 30 2 7 2 2 2" xfId="35625" xr:uid="{00000000-0005-0000-0000-0000A30E0000}"/>
    <cellStyle name="20% - uthevingsfarge 2 30 2 7 2 3" xfId="29104" xr:uid="{00000000-0005-0000-0000-0000A40E0000}"/>
    <cellStyle name="20% - uthevingsfarge 2 30 2 7 3" xfId="10760" xr:uid="{00000000-0005-0000-0000-0000A50E0000}"/>
    <cellStyle name="20% - uthevingsfarge 2 30 2 7 3 2" xfId="34587" xr:uid="{00000000-0005-0000-0000-0000A60E0000}"/>
    <cellStyle name="20% - uthevingsfarge 2 30 2 7 4" xfId="32495" xr:uid="{00000000-0005-0000-0000-0000A70E0000}"/>
    <cellStyle name="20% - uthevingsfarge 2 30 2 8" xfId="7012" xr:uid="{00000000-0005-0000-0000-0000A80E0000}"/>
    <cellStyle name="20% - uthevingsfarge 2 30 2 8 2" xfId="20632" xr:uid="{00000000-0005-0000-0000-0000A90E0000}"/>
    <cellStyle name="20% - uthevingsfarge 2 30 2 8 2 2" xfId="36731" xr:uid="{00000000-0005-0000-0000-0000AA0E0000}"/>
    <cellStyle name="20% - uthevingsfarge 2 30 2 8 3" xfId="30786" xr:uid="{00000000-0005-0000-0000-0000AB0E0000}"/>
    <cellStyle name="20% - uthevingsfarge 2 30 2 9" xfId="10831" xr:uid="{00000000-0005-0000-0000-0000AC0E0000}"/>
    <cellStyle name="20% - uthevingsfarge 2 30 3" xfId="3465" xr:uid="{00000000-0005-0000-0000-0000AD0E0000}"/>
    <cellStyle name="20% - uthevingsfarge 2 30 3 10" xfId="47081" xr:uid="{00000000-0005-0000-0000-0000AE0E0000}"/>
    <cellStyle name="20% - uthevingsfarge 2 30 3 2" xfId="3901" xr:uid="{00000000-0005-0000-0000-0000AF0E0000}"/>
    <cellStyle name="20% - uthevingsfarge 2 30 3 2 2" xfId="5789" xr:uid="{00000000-0005-0000-0000-0000B00E0000}"/>
    <cellStyle name="20% - uthevingsfarge 2 30 3 2 2 2" xfId="9204" xr:uid="{00000000-0005-0000-0000-0000B10E0000}"/>
    <cellStyle name="20% - uthevingsfarge 2 30 3 2 2 2 2" xfId="21313" xr:uid="{00000000-0005-0000-0000-0000B20E0000}"/>
    <cellStyle name="20% - uthevingsfarge 2 30 3 2 2 2 2 2" xfId="37393" xr:uid="{00000000-0005-0000-0000-0000B30E0000}"/>
    <cellStyle name="20% - uthevingsfarge 2 30 3 2 2 2 3" xfId="28594" xr:uid="{00000000-0005-0000-0000-0000B40E0000}"/>
    <cellStyle name="20% - uthevingsfarge 2 30 3 2 2 3" xfId="22090" xr:uid="{00000000-0005-0000-0000-0000B50E0000}"/>
    <cellStyle name="20% - uthevingsfarge 2 30 3 2 2 3 2" xfId="38164" xr:uid="{00000000-0005-0000-0000-0000B60E0000}"/>
    <cellStyle name="20% - uthevingsfarge 2 30 3 2 2 4" xfId="31985" xr:uid="{00000000-0005-0000-0000-0000B70E0000}"/>
    <cellStyle name="20% - uthevingsfarge 2 30 3 2 3" xfId="7507" xr:uid="{00000000-0005-0000-0000-0000B80E0000}"/>
    <cellStyle name="20% - uthevingsfarge 2 30 3 2 3 2" xfId="22528" xr:uid="{00000000-0005-0000-0000-0000B90E0000}"/>
    <cellStyle name="20% - uthevingsfarge 2 30 3 2 3 2 2" xfId="38598" xr:uid="{00000000-0005-0000-0000-0000BA0E0000}"/>
    <cellStyle name="20% - uthevingsfarge 2 30 3 2 3 3" xfId="30291" xr:uid="{00000000-0005-0000-0000-0000BB0E0000}"/>
    <cellStyle name="20% - uthevingsfarge 2 30 3 2 4" xfId="17962" xr:uid="{00000000-0005-0000-0000-0000BC0E0000}"/>
    <cellStyle name="20% - uthevingsfarge 2 30 3 2 5" xfId="12497" xr:uid="{00000000-0005-0000-0000-0000BD0E0000}"/>
    <cellStyle name="20% - uthevingsfarge 2 30 3 2 5 2" xfId="35259" xr:uid="{00000000-0005-0000-0000-0000BE0E0000}"/>
    <cellStyle name="20% - uthevingsfarge 2 30 3 2 6" xfId="33678" xr:uid="{00000000-0005-0000-0000-0000BF0E0000}"/>
    <cellStyle name="20% - uthevingsfarge 2 30 3 3" xfId="4841" xr:uid="{00000000-0005-0000-0000-0000C00E0000}"/>
    <cellStyle name="20% - uthevingsfarge 2 30 3 3 10" xfId="47271" xr:uid="{00000000-0005-0000-0000-0000C10E0000}"/>
    <cellStyle name="20% - uthevingsfarge 2 30 3 3 2" xfId="6560" xr:uid="{00000000-0005-0000-0000-0000C20E0000}"/>
    <cellStyle name="20% - uthevingsfarge 2 30 3 3 2 2" xfId="9966" xr:uid="{00000000-0005-0000-0000-0000C30E0000}"/>
    <cellStyle name="20% - uthevingsfarge 2 30 3 3 2 2 2" xfId="24597" xr:uid="{00000000-0005-0000-0000-0000C40E0000}"/>
    <cellStyle name="20% - uthevingsfarge 2 30 3 3 2 2 2 2" xfId="40641" xr:uid="{00000000-0005-0000-0000-0000C50E0000}"/>
    <cellStyle name="20% - uthevingsfarge 2 30 3 3 2 2 3" xfId="27833" xr:uid="{00000000-0005-0000-0000-0000C60E0000}"/>
    <cellStyle name="20% - uthevingsfarge 2 30 3 3 2 3" xfId="20496" xr:uid="{00000000-0005-0000-0000-0000C70E0000}"/>
    <cellStyle name="20% - uthevingsfarge 2 30 3 3 2 3 2" xfId="36595" xr:uid="{00000000-0005-0000-0000-0000C80E0000}"/>
    <cellStyle name="20% - uthevingsfarge 2 30 3 3 2 4" xfId="31234" xr:uid="{00000000-0005-0000-0000-0000C90E0000}"/>
    <cellStyle name="20% - uthevingsfarge 2 30 3 3 2 5" xfId="42826" xr:uid="{00000000-0005-0000-0000-0000CA0E0000}"/>
    <cellStyle name="20% - uthevingsfarge 2 30 3 3 2 6" xfId="43264" xr:uid="{00000000-0005-0000-0000-0000CB0E0000}"/>
    <cellStyle name="20% - uthevingsfarge 2 30 3 3 2 7" xfId="46112" xr:uid="{00000000-0005-0000-0000-0000CC0E0000}"/>
    <cellStyle name="20% - uthevingsfarge 2 30 3 3 2 8" xfId="46881" xr:uid="{00000000-0005-0000-0000-0000CD0E0000}"/>
    <cellStyle name="20% - uthevingsfarge 2 30 3 3 2 9" xfId="47467" xr:uid="{00000000-0005-0000-0000-0000CE0E0000}"/>
    <cellStyle name="20% - uthevingsfarge 2 30 3 3 3" xfId="8263" xr:uid="{00000000-0005-0000-0000-0000CF0E0000}"/>
    <cellStyle name="20% - uthevingsfarge 2 30 3 3 3 2" xfId="23339" xr:uid="{00000000-0005-0000-0000-0000D00E0000}"/>
    <cellStyle name="20% - uthevingsfarge 2 30 3 3 3 2 2" xfId="39401" xr:uid="{00000000-0005-0000-0000-0000D10E0000}"/>
    <cellStyle name="20% - uthevingsfarge 2 30 3 3 3 3" xfId="29534" xr:uid="{00000000-0005-0000-0000-0000D20E0000}"/>
    <cellStyle name="20% - uthevingsfarge 2 30 3 3 3 4" xfId="43888" xr:uid="{00000000-0005-0000-0000-0000D30E0000}"/>
    <cellStyle name="20% - uthevingsfarge 2 30 3 3 4" xfId="16271" xr:uid="{00000000-0005-0000-0000-0000D40E0000}"/>
    <cellStyle name="20% - uthevingsfarge 2 30 3 3 4 2" xfId="35359" xr:uid="{00000000-0005-0000-0000-0000D50E0000}"/>
    <cellStyle name="20% - uthevingsfarge 2 30 3 3 5" xfId="25018" xr:uid="{00000000-0005-0000-0000-0000D60E0000}"/>
    <cellStyle name="20% - uthevingsfarge 2 30 3 3 6" xfId="25253" xr:uid="{00000000-0005-0000-0000-0000D70E0000}"/>
    <cellStyle name="20% - uthevingsfarge 2 30 3 3 7" xfId="32926" xr:uid="{00000000-0005-0000-0000-0000D80E0000}"/>
    <cellStyle name="20% - uthevingsfarge 2 30 3 3 8" xfId="43724" xr:uid="{00000000-0005-0000-0000-0000D90E0000}"/>
    <cellStyle name="20% - uthevingsfarge 2 30 3 3 9" xfId="46650" xr:uid="{00000000-0005-0000-0000-0000DA0E0000}"/>
    <cellStyle name="20% - uthevingsfarge 2 30 3 4" xfId="5403" xr:uid="{00000000-0005-0000-0000-0000DB0E0000}"/>
    <cellStyle name="20% - uthevingsfarge 2 30 3 4 2" xfId="8818" xr:uid="{00000000-0005-0000-0000-0000DC0E0000}"/>
    <cellStyle name="20% - uthevingsfarge 2 30 3 4 2 2" xfId="23720" xr:uid="{00000000-0005-0000-0000-0000DD0E0000}"/>
    <cellStyle name="20% - uthevingsfarge 2 30 3 4 2 2 2" xfId="39776" xr:uid="{00000000-0005-0000-0000-0000DE0E0000}"/>
    <cellStyle name="20% - uthevingsfarge 2 30 3 4 2 3" xfId="28980" xr:uid="{00000000-0005-0000-0000-0000DF0E0000}"/>
    <cellStyle name="20% - uthevingsfarge 2 30 3 4 3" xfId="10712" xr:uid="{00000000-0005-0000-0000-0000E00E0000}"/>
    <cellStyle name="20% - uthevingsfarge 2 30 3 4 3 2" xfId="34560" xr:uid="{00000000-0005-0000-0000-0000E10E0000}"/>
    <cellStyle name="20% - uthevingsfarge 2 30 3 4 4" xfId="32371" xr:uid="{00000000-0005-0000-0000-0000E20E0000}"/>
    <cellStyle name="20% - uthevingsfarge 2 30 3 5" xfId="7113" xr:uid="{00000000-0005-0000-0000-0000E30E0000}"/>
    <cellStyle name="20% - uthevingsfarge 2 30 3 5 2" xfId="24152" xr:uid="{00000000-0005-0000-0000-0000E40E0000}"/>
    <cellStyle name="20% - uthevingsfarge 2 30 3 5 2 2" xfId="40205" xr:uid="{00000000-0005-0000-0000-0000E50E0000}"/>
    <cellStyle name="20% - uthevingsfarge 2 30 3 5 3" xfId="30685" xr:uid="{00000000-0005-0000-0000-0000E60E0000}"/>
    <cellStyle name="20% - uthevingsfarge 2 30 3 6" xfId="10833" xr:uid="{00000000-0005-0000-0000-0000E70E0000}"/>
    <cellStyle name="20% - uthevingsfarge 2 30 3 7" xfId="34072" xr:uid="{00000000-0005-0000-0000-0000E80E0000}"/>
    <cellStyle name="20% - uthevingsfarge 2 30 3 8" xfId="43516" xr:uid="{00000000-0005-0000-0000-0000E90E0000}"/>
    <cellStyle name="20% - uthevingsfarge 2 30 3 9" xfId="46420" xr:uid="{00000000-0005-0000-0000-0000EA0E0000}"/>
    <cellStyle name="20% - uthevingsfarge 2 30 3_Avviksanalyse løpende RNB15 (1)" xfId="16578" xr:uid="{00000000-0005-0000-0000-0000EB0E0000}"/>
    <cellStyle name="20% - uthevingsfarge 2 30 4" xfId="3722" xr:uid="{00000000-0005-0000-0000-0000EC0E0000}"/>
    <cellStyle name="20% - uthevingsfarge 2 30 4 2" xfId="5610" xr:uid="{00000000-0005-0000-0000-0000ED0E0000}"/>
    <cellStyle name="20% - uthevingsfarge 2 30 4 2 2" xfId="9025" xr:uid="{00000000-0005-0000-0000-0000EE0E0000}"/>
    <cellStyle name="20% - uthevingsfarge 2 30 4 2 2 2" xfId="21255" xr:uid="{00000000-0005-0000-0000-0000EF0E0000}"/>
    <cellStyle name="20% - uthevingsfarge 2 30 4 2 2 2 2" xfId="37335" xr:uid="{00000000-0005-0000-0000-0000F00E0000}"/>
    <cellStyle name="20% - uthevingsfarge 2 30 4 2 2 3" xfId="28773" xr:uid="{00000000-0005-0000-0000-0000F10E0000}"/>
    <cellStyle name="20% - uthevingsfarge 2 30 4 2 3" xfId="22883" xr:uid="{00000000-0005-0000-0000-0000F20E0000}"/>
    <cellStyle name="20% - uthevingsfarge 2 30 4 2 3 2" xfId="38952" xr:uid="{00000000-0005-0000-0000-0000F30E0000}"/>
    <cellStyle name="20% - uthevingsfarge 2 30 4 2 4" xfId="32164" xr:uid="{00000000-0005-0000-0000-0000F40E0000}"/>
    <cellStyle name="20% - uthevingsfarge 2 30 4 3" xfId="7328" xr:uid="{00000000-0005-0000-0000-0000F50E0000}"/>
    <cellStyle name="20% - uthevingsfarge 2 30 4 3 2" xfId="24187" xr:uid="{00000000-0005-0000-0000-0000F60E0000}"/>
    <cellStyle name="20% - uthevingsfarge 2 30 4 3 2 2" xfId="40240" xr:uid="{00000000-0005-0000-0000-0000F70E0000}"/>
    <cellStyle name="20% - uthevingsfarge 2 30 4 3 3" xfId="30470" xr:uid="{00000000-0005-0000-0000-0000F80E0000}"/>
    <cellStyle name="20% - uthevingsfarge 2 30 4 4" xfId="22772" xr:uid="{00000000-0005-0000-0000-0000F90E0000}"/>
    <cellStyle name="20% - uthevingsfarge 2 30 4 4 2" xfId="38841" xr:uid="{00000000-0005-0000-0000-0000FA0E0000}"/>
    <cellStyle name="20% - uthevingsfarge 2 30 4 5" xfId="33857" xr:uid="{00000000-0005-0000-0000-0000FB0E0000}"/>
    <cellStyle name="20% - uthevingsfarge 2 30 5" xfId="4235" xr:uid="{00000000-0005-0000-0000-0000FC0E0000}"/>
    <cellStyle name="20% - uthevingsfarge 2 30 5 2" xfId="6067" xr:uid="{00000000-0005-0000-0000-0000FD0E0000}"/>
    <cellStyle name="20% - uthevingsfarge 2 30 5 2 2" xfId="9482" xr:uid="{00000000-0005-0000-0000-0000FE0E0000}"/>
    <cellStyle name="20% - uthevingsfarge 2 30 5 2 2 2" xfId="21397" xr:uid="{00000000-0005-0000-0000-0000FF0E0000}"/>
    <cellStyle name="20% - uthevingsfarge 2 30 5 2 2 2 2" xfId="37477" xr:uid="{00000000-0005-0000-0000-0000000F0000}"/>
    <cellStyle name="20% - uthevingsfarge 2 30 5 2 2 3" xfId="28316" xr:uid="{00000000-0005-0000-0000-0000010F0000}"/>
    <cellStyle name="20% - uthevingsfarge 2 30 5 2 3" xfId="20309" xr:uid="{00000000-0005-0000-0000-0000020F0000}"/>
    <cellStyle name="20% - uthevingsfarge 2 30 5 2 3 2" xfId="36408" xr:uid="{00000000-0005-0000-0000-0000030F0000}"/>
    <cellStyle name="20% - uthevingsfarge 2 30 5 2 4" xfId="31711" xr:uid="{00000000-0005-0000-0000-0000040F0000}"/>
    <cellStyle name="20% - uthevingsfarge 2 30 5 3" xfId="7801" xr:uid="{00000000-0005-0000-0000-0000050F0000}"/>
    <cellStyle name="20% - uthevingsfarge 2 30 5 3 2" xfId="23271" xr:uid="{00000000-0005-0000-0000-0000060F0000}"/>
    <cellStyle name="20% - uthevingsfarge 2 30 5 3 2 2" xfId="39339" xr:uid="{00000000-0005-0000-0000-0000070F0000}"/>
    <cellStyle name="20% - uthevingsfarge 2 30 5 3 3" xfId="29998" xr:uid="{00000000-0005-0000-0000-0000080F0000}"/>
    <cellStyle name="20% - uthevingsfarge 2 30 5 4" xfId="22760" xr:uid="{00000000-0005-0000-0000-0000090F0000}"/>
    <cellStyle name="20% - uthevingsfarge 2 30 5 4 2" xfId="38829" xr:uid="{00000000-0005-0000-0000-00000A0F0000}"/>
    <cellStyle name="20% - uthevingsfarge 2 30 5 5" xfId="33386" xr:uid="{00000000-0005-0000-0000-00000B0F0000}"/>
    <cellStyle name="20% - uthevingsfarge 2 30 6" xfId="4657" xr:uid="{00000000-0005-0000-0000-00000C0F0000}"/>
    <cellStyle name="20% - uthevingsfarge 2 30 6 2" xfId="6377" xr:uid="{00000000-0005-0000-0000-00000D0F0000}"/>
    <cellStyle name="20% - uthevingsfarge 2 30 6 2 2" xfId="9787" xr:uid="{00000000-0005-0000-0000-00000E0F0000}"/>
    <cellStyle name="20% - uthevingsfarge 2 30 6 2 2 2" xfId="21483" xr:uid="{00000000-0005-0000-0000-00000F0F0000}"/>
    <cellStyle name="20% - uthevingsfarge 2 30 6 2 2 2 2" xfId="37563" xr:uid="{00000000-0005-0000-0000-0000100F0000}"/>
    <cellStyle name="20% - uthevingsfarge 2 30 6 2 2 3" xfId="28012" xr:uid="{00000000-0005-0000-0000-0000110F0000}"/>
    <cellStyle name="20% - uthevingsfarge 2 30 6 2 3" xfId="24030" xr:uid="{00000000-0005-0000-0000-0000120F0000}"/>
    <cellStyle name="20% - uthevingsfarge 2 30 6 2 3 2" xfId="40083" xr:uid="{00000000-0005-0000-0000-0000130F0000}"/>
    <cellStyle name="20% - uthevingsfarge 2 30 6 2 4" xfId="31413" xr:uid="{00000000-0005-0000-0000-0000140F0000}"/>
    <cellStyle name="20% - uthevingsfarge 2 30 6 3" xfId="8083" xr:uid="{00000000-0005-0000-0000-0000150F0000}"/>
    <cellStyle name="20% - uthevingsfarge 2 30 6 3 2" xfId="24313" xr:uid="{00000000-0005-0000-0000-0000160F0000}"/>
    <cellStyle name="20% - uthevingsfarge 2 30 6 3 2 2" xfId="40364" xr:uid="{00000000-0005-0000-0000-0000170F0000}"/>
    <cellStyle name="20% - uthevingsfarge 2 30 6 3 3" xfId="29715" xr:uid="{00000000-0005-0000-0000-0000180F0000}"/>
    <cellStyle name="20% - uthevingsfarge 2 30 6 4" xfId="19693" xr:uid="{00000000-0005-0000-0000-0000190F0000}"/>
    <cellStyle name="20% - uthevingsfarge 2 30 6 4 2" xfId="35807" xr:uid="{00000000-0005-0000-0000-00001A0F0000}"/>
    <cellStyle name="20% - uthevingsfarge 2 30 6 5" xfId="33106" xr:uid="{00000000-0005-0000-0000-00001B0F0000}"/>
    <cellStyle name="20% - uthevingsfarge 2 30 7" xfId="5021" xr:uid="{00000000-0005-0000-0000-00001C0F0000}"/>
    <cellStyle name="20% - uthevingsfarge 2 30 7 2" xfId="6740" xr:uid="{00000000-0005-0000-0000-00001D0F0000}"/>
    <cellStyle name="20% - uthevingsfarge 2 30 7 2 2" xfId="10146" xr:uid="{00000000-0005-0000-0000-00001E0F0000}"/>
    <cellStyle name="20% - uthevingsfarge 2 30 7 2 2 2" xfId="22031" xr:uid="{00000000-0005-0000-0000-00001F0F0000}"/>
    <cellStyle name="20% - uthevingsfarge 2 30 7 2 2 2 2" xfId="38106" xr:uid="{00000000-0005-0000-0000-0000200F0000}"/>
    <cellStyle name="20% - uthevingsfarge 2 30 7 2 2 3" xfId="27653" xr:uid="{00000000-0005-0000-0000-0000210F0000}"/>
    <cellStyle name="20% - uthevingsfarge 2 30 7 2 3" xfId="22151" xr:uid="{00000000-0005-0000-0000-0000220F0000}"/>
    <cellStyle name="20% - uthevingsfarge 2 30 7 2 3 2" xfId="38225" xr:uid="{00000000-0005-0000-0000-0000230F0000}"/>
    <cellStyle name="20% - uthevingsfarge 2 30 7 2 4" xfId="31054" xr:uid="{00000000-0005-0000-0000-0000240F0000}"/>
    <cellStyle name="20% - uthevingsfarge 2 30 7 3" xfId="8443" xr:uid="{00000000-0005-0000-0000-0000250F0000}"/>
    <cellStyle name="20% - uthevingsfarge 2 30 7 3 2" xfId="21094" xr:uid="{00000000-0005-0000-0000-0000260F0000}"/>
    <cellStyle name="20% - uthevingsfarge 2 30 7 3 2 2" xfId="37179" xr:uid="{00000000-0005-0000-0000-0000270F0000}"/>
    <cellStyle name="20% - uthevingsfarge 2 30 7 3 3" xfId="29355" xr:uid="{00000000-0005-0000-0000-0000280F0000}"/>
    <cellStyle name="20% - uthevingsfarge 2 30 7 4" xfId="20051" xr:uid="{00000000-0005-0000-0000-0000290F0000}"/>
    <cellStyle name="20% - uthevingsfarge 2 30 7 4 2" xfId="36155" xr:uid="{00000000-0005-0000-0000-00002A0F0000}"/>
    <cellStyle name="20% - uthevingsfarge 2 30 7 5" xfId="32746" xr:uid="{00000000-0005-0000-0000-00002B0F0000}"/>
    <cellStyle name="20% - uthevingsfarge 2 30 8" xfId="5235" xr:uid="{00000000-0005-0000-0000-00002C0F0000}"/>
    <cellStyle name="20% - uthevingsfarge 2 30 8 2" xfId="8650" xr:uid="{00000000-0005-0000-0000-00002D0F0000}"/>
    <cellStyle name="20% - uthevingsfarge 2 30 8 2 2" xfId="21780" xr:uid="{00000000-0005-0000-0000-00002E0F0000}"/>
    <cellStyle name="20% - uthevingsfarge 2 30 8 2 2 2" xfId="37856" xr:uid="{00000000-0005-0000-0000-00002F0F0000}"/>
    <cellStyle name="20% - uthevingsfarge 2 30 8 2 3" xfId="29148" xr:uid="{00000000-0005-0000-0000-0000300F0000}"/>
    <cellStyle name="20% - uthevingsfarge 2 30 8 3" xfId="22065" xr:uid="{00000000-0005-0000-0000-0000310F0000}"/>
    <cellStyle name="20% - uthevingsfarge 2 30 8 3 2" xfId="38139" xr:uid="{00000000-0005-0000-0000-0000320F0000}"/>
    <cellStyle name="20% - uthevingsfarge 2 30 8 4" xfId="32539" xr:uid="{00000000-0005-0000-0000-0000330F0000}"/>
    <cellStyle name="20% - uthevingsfarge 2 30 9" xfId="6906" xr:uid="{00000000-0005-0000-0000-0000340F0000}"/>
    <cellStyle name="20% - uthevingsfarge 2 30 9 2" xfId="22162" xr:uid="{00000000-0005-0000-0000-0000350F0000}"/>
    <cellStyle name="20% - uthevingsfarge 2 30 9 2 2" xfId="38236" xr:uid="{00000000-0005-0000-0000-0000360F0000}"/>
    <cellStyle name="20% - uthevingsfarge 2 30 9 3" xfId="30892" xr:uid="{00000000-0005-0000-0000-0000370F0000}"/>
    <cellStyle name="20% - uthevingsfarge 2 31" xfId="3438" xr:uid="{00000000-0005-0000-0000-0000380F0000}"/>
    <cellStyle name="20% - uthevingsfarge 2 31 2" xfId="3634" xr:uid="{00000000-0005-0000-0000-0000390F0000}"/>
    <cellStyle name="20% - uthevingsfarge 2 31 2 2" xfId="4062" xr:uid="{00000000-0005-0000-0000-00003A0F0000}"/>
    <cellStyle name="20% - uthevingsfarge 2 31 2 2 2" xfId="5950" xr:uid="{00000000-0005-0000-0000-00003B0F0000}"/>
    <cellStyle name="20% - uthevingsfarge 2 31 2 2 2 2" xfId="9365" xr:uid="{00000000-0005-0000-0000-00003C0F0000}"/>
    <cellStyle name="20% - uthevingsfarge 2 31 2 2 2 2 2" xfId="21943" xr:uid="{00000000-0005-0000-0000-00003D0F0000}"/>
    <cellStyle name="20% - uthevingsfarge 2 31 2 2 2 2 2 2" xfId="38018" xr:uid="{00000000-0005-0000-0000-00003E0F0000}"/>
    <cellStyle name="20% - uthevingsfarge 2 31 2 2 2 2 3" xfId="28433" xr:uid="{00000000-0005-0000-0000-00003F0F0000}"/>
    <cellStyle name="20% - uthevingsfarge 2 31 2 2 2 3" xfId="22297" xr:uid="{00000000-0005-0000-0000-0000400F0000}"/>
    <cellStyle name="20% - uthevingsfarge 2 31 2 2 2 3 2" xfId="38369" xr:uid="{00000000-0005-0000-0000-0000410F0000}"/>
    <cellStyle name="20% - uthevingsfarge 2 31 2 2 2 4" xfId="31828" xr:uid="{00000000-0005-0000-0000-0000420F0000}"/>
    <cellStyle name="20% - uthevingsfarge 2 31 2 2 3" xfId="7668" xr:uid="{00000000-0005-0000-0000-0000430F0000}"/>
    <cellStyle name="20% - uthevingsfarge 2 31 2 2 3 2" xfId="22209" xr:uid="{00000000-0005-0000-0000-0000440F0000}"/>
    <cellStyle name="20% - uthevingsfarge 2 31 2 2 3 2 2" xfId="38283" xr:uid="{00000000-0005-0000-0000-0000450F0000}"/>
    <cellStyle name="20% - uthevingsfarge 2 31 2 2 3 3" xfId="30130" xr:uid="{00000000-0005-0000-0000-0000460F0000}"/>
    <cellStyle name="20% - uthevingsfarge 2 31 2 2 4" xfId="23700" xr:uid="{00000000-0005-0000-0000-0000470F0000}"/>
    <cellStyle name="20% - uthevingsfarge 2 31 2 2 4 2" xfId="39756" xr:uid="{00000000-0005-0000-0000-0000480F0000}"/>
    <cellStyle name="20% - uthevingsfarge 2 31 2 2 5" xfId="33517" xr:uid="{00000000-0005-0000-0000-0000490F0000}"/>
    <cellStyle name="20% - uthevingsfarge 2 31 2 3" xfId="5002" xr:uid="{00000000-0005-0000-0000-00004A0F0000}"/>
    <cellStyle name="20% - uthevingsfarge 2 31 2 3 2" xfId="6721" xr:uid="{00000000-0005-0000-0000-00004B0F0000}"/>
    <cellStyle name="20% - uthevingsfarge 2 31 2 3 2 2" xfId="10127" xr:uid="{00000000-0005-0000-0000-00004C0F0000}"/>
    <cellStyle name="20% - uthevingsfarge 2 31 2 3 2 2 2" xfId="23624" xr:uid="{00000000-0005-0000-0000-00004D0F0000}"/>
    <cellStyle name="20% - uthevingsfarge 2 31 2 3 2 2 2 2" xfId="39680" xr:uid="{00000000-0005-0000-0000-00004E0F0000}"/>
    <cellStyle name="20% - uthevingsfarge 2 31 2 3 2 2 3" xfId="27672" xr:uid="{00000000-0005-0000-0000-00004F0F0000}"/>
    <cellStyle name="20% - uthevingsfarge 2 31 2 3 2 3" xfId="23087" xr:uid="{00000000-0005-0000-0000-0000500F0000}"/>
    <cellStyle name="20% - uthevingsfarge 2 31 2 3 2 3 2" xfId="39156" xr:uid="{00000000-0005-0000-0000-0000510F0000}"/>
    <cellStyle name="20% - uthevingsfarge 2 31 2 3 2 4" xfId="31073" xr:uid="{00000000-0005-0000-0000-0000520F0000}"/>
    <cellStyle name="20% - uthevingsfarge 2 31 2 3 3" xfId="8424" xr:uid="{00000000-0005-0000-0000-0000530F0000}"/>
    <cellStyle name="20% - uthevingsfarge 2 31 2 3 3 2" xfId="19495" xr:uid="{00000000-0005-0000-0000-0000540F0000}"/>
    <cellStyle name="20% - uthevingsfarge 2 31 2 3 3 2 2" xfId="35609" xr:uid="{00000000-0005-0000-0000-0000550F0000}"/>
    <cellStyle name="20% - uthevingsfarge 2 31 2 3 3 3" xfId="29374" xr:uid="{00000000-0005-0000-0000-0000560F0000}"/>
    <cellStyle name="20% - uthevingsfarge 2 31 2 3 4" xfId="12231" xr:uid="{00000000-0005-0000-0000-0000570F0000}"/>
    <cellStyle name="20% - uthevingsfarge 2 31 2 3 4 2" xfId="35130" xr:uid="{00000000-0005-0000-0000-0000580F0000}"/>
    <cellStyle name="20% - uthevingsfarge 2 31 2 3 5" xfId="32765" xr:uid="{00000000-0005-0000-0000-0000590F0000}"/>
    <cellStyle name="20% - uthevingsfarge 2 31 2 4" xfId="5556" xr:uid="{00000000-0005-0000-0000-00005A0F0000}"/>
    <cellStyle name="20% - uthevingsfarge 2 31 2 4 2" xfId="8971" xr:uid="{00000000-0005-0000-0000-00005B0F0000}"/>
    <cellStyle name="20% - uthevingsfarge 2 31 2 4 2 2" xfId="21237" xr:uid="{00000000-0005-0000-0000-00005C0F0000}"/>
    <cellStyle name="20% - uthevingsfarge 2 31 2 4 2 2 2" xfId="37317" xr:uid="{00000000-0005-0000-0000-00005D0F0000}"/>
    <cellStyle name="20% - uthevingsfarge 2 31 2 4 2 3" xfId="28827" xr:uid="{00000000-0005-0000-0000-00005E0F0000}"/>
    <cellStyle name="20% - uthevingsfarge 2 31 2 4 3" xfId="20119" xr:uid="{00000000-0005-0000-0000-00005F0F0000}"/>
    <cellStyle name="20% - uthevingsfarge 2 31 2 4 3 2" xfId="36222" xr:uid="{00000000-0005-0000-0000-0000600F0000}"/>
    <cellStyle name="20% - uthevingsfarge 2 31 2 4 4" xfId="32218" xr:uid="{00000000-0005-0000-0000-0000610F0000}"/>
    <cellStyle name="20% - uthevingsfarge 2 31 2 5" xfId="7274" xr:uid="{00000000-0005-0000-0000-0000620F0000}"/>
    <cellStyle name="20% - uthevingsfarge 2 31 2 5 2" xfId="22183" xr:uid="{00000000-0005-0000-0000-0000630F0000}"/>
    <cellStyle name="20% - uthevingsfarge 2 31 2 5 2 2" xfId="38257" xr:uid="{00000000-0005-0000-0000-0000640F0000}"/>
    <cellStyle name="20% - uthevingsfarge 2 31 2 5 3" xfId="30524" xr:uid="{00000000-0005-0000-0000-0000650F0000}"/>
    <cellStyle name="20% - uthevingsfarge 2 31 2 6" xfId="19919" xr:uid="{00000000-0005-0000-0000-0000660F0000}"/>
    <cellStyle name="20% - uthevingsfarge 2 31 2 6 2" xfId="36023" xr:uid="{00000000-0005-0000-0000-0000670F0000}"/>
    <cellStyle name="20% - uthevingsfarge 2 31 2 7" xfId="33911" xr:uid="{00000000-0005-0000-0000-0000680F0000}"/>
    <cellStyle name="20% - uthevingsfarge 2 31 3" xfId="3882" xr:uid="{00000000-0005-0000-0000-0000690F0000}"/>
    <cellStyle name="20% - uthevingsfarge 2 31 3 2" xfId="5770" xr:uid="{00000000-0005-0000-0000-00006A0F0000}"/>
    <cellStyle name="20% - uthevingsfarge 2 31 3 2 2" xfId="9185" xr:uid="{00000000-0005-0000-0000-00006B0F0000}"/>
    <cellStyle name="20% - uthevingsfarge 2 31 3 2 2 2" xfId="24474" xr:uid="{00000000-0005-0000-0000-00006C0F0000}"/>
    <cellStyle name="20% - uthevingsfarge 2 31 3 2 2 2 2" xfId="40518" xr:uid="{00000000-0005-0000-0000-00006D0F0000}"/>
    <cellStyle name="20% - uthevingsfarge 2 31 3 2 2 3" xfId="28613" xr:uid="{00000000-0005-0000-0000-00006E0F0000}"/>
    <cellStyle name="20% - uthevingsfarge 2 31 3 2 3" xfId="10680" xr:uid="{00000000-0005-0000-0000-00006F0F0000}"/>
    <cellStyle name="20% - uthevingsfarge 2 31 3 2 3 2" xfId="34528" xr:uid="{00000000-0005-0000-0000-0000700F0000}"/>
    <cellStyle name="20% - uthevingsfarge 2 31 3 2 4" xfId="32004" xr:uid="{00000000-0005-0000-0000-0000710F0000}"/>
    <cellStyle name="20% - uthevingsfarge 2 31 3 3" xfId="7488" xr:uid="{00000000-0005-0000-0000-0000720F0000}"/>
    <cellStyle name="20% - uthevingsfarge 2 31 3 3 2" xfId="20802" xr:uid="{00000000-0005-0000-0000-0000730F0000}"/>
    <cellStyle name="20% - uthevingsfarge 2 31 3 3 2 2" xfId="36901" xr:uid="{00000000-0005-0000-0000-0000740F0000}"/>
    <cellStyle name="20% - uthevingsfarge 2 31 3 3 3" xfId="30310" xr:uid="{00000000-0005-0000-0000-0000750F0000}"/>
    <cellStyle name="20% - uthevingsfarge 2 31 3 4" xfId="22787" xr:uid="{00000000-0005-0000-0000-0000760F0000}"/>
    <cellStyle name="20% - uthevingsfarge 2 31 3 4 2" xfId="38856" xr:uid="{00000000-0005-0000-0000-0000770F0000}"/>
    <cellStyle name="20% - uthevingsfarge 2 31 3 5" xfId="33697" xr:uid="{00000000-0005-0000-0000-0000780F0000}"/>
    <cellStyle name="20% - uthevingsfarge 2 31 4" xfId="4822" xr:uid="{00000000-0005-0000-0000-0000790F0000}"/>
    <cellStyle name="20% - uthevingsfarge 2 31 4 2" xfId="6541" xr:uid="{00000000-0005-0000-0000-00007A0F0000}"/>
    <cellStyle name="20% - uthevingsfarge 2 31 4 2 2" xfId="9947" xr:uid="{00000000-0005-0000-0000-00007B0F0000}"/>
    <cellStyle name="20% - uthevingsfarge 2 31 4 2 2 2" xfId="22627" xr:uid="{00000000-0005-0000-0000-00007C0F0000}"/>
    <cellStyle name="20% - uthevingsfarge 2 31 4 2 2 2 2" xfId="38696" xr:uid="{00000000-0005-0000-0000-00007D0F0000}"/>
    <cellStyle name="20% - uthevingsfarge 2 31 4 2 2 3" xfId="27852" xr:uid="{00000000-0005-0000-0000-00007E0F0000}"/>
    <cellStyle name="20% - uthevingsfarge 2 31 4 2 3" xfId="23058" xr:uid="{00000000-0005-0000-0000-00007F0F0000}"/>
    <cellStyle name="20% - uthevingsfarge 2 31 4 2 3 2" xfId="39127" xr:uid="{00000000-0005-0000-0000-0000800F0000}"/>
    <cellStyle name="20% - uthevingsfarge 2 31 4 2 4" xfId="31253" xr:uid="{00000000-0005-0000-0000-0000810F0000}"/>
    <cellStyle name="20% - uthevingsfarge 2 31 4 3" xfId="8244" xr:uid="{00000000-0005-0000-0000-0000820F0000}"/>
    <cellStyle name="20% - uthevingsfarge 2 31 4 3 2" xfId="11878" xr:uid="{00000000-0005-0000-0000-0000830F0000}"/>
    <cellStyle name="20% - uthevingsfarge 2 31 4 3 2 2" xfId="34915" xr:uid="{00000000-0005-0000-0000-0000840F0000}"/>
    <cellStyle name="20% - uthevingsfarge 2 31 4 3 3" xfId="29553" xr:uid="{00000000-0005-0000-0000-0000850F0000}"/>
    <cellStyle name="20% - uthevingsfarge 2 31 4 4" xfId="19715" xr:uid="{00000000-0005-0000-0000-0000860F0000}"/>
    <cellStyle name="20% - uthevingsfarge 2 31 4 4 2" xfId="35829" xr:uid="{00000000-0005-0000-0000-0000870F0000}"/>
    <cellStyle name="20% - uthevingsfarge 2 31 4 5" xfId="32945" xr:uid="{00000000-0005-0000-0000-0000880F0000}"/>
    <cellStyle name="20% - uthevingsfarge 2 31 5" xfId="5386" xr:uid="{00000000-0005-0000-0000-0000890F0000}"/>
    <cellStyle name="20% - uthevingsfarge 2 31 5 2" xfId="8801" xr:uid="{00000000-0005-0000-0000-00008A0F0000}"/>
    <cellStyle name="20% - uthevingsfarge 2 31 5 2 2" xfId="21663" xr:uid="{00000000-0005-0000-0000-00008B0F0000}"/>
    <cellStyle name="20% - uthevingsfarge 2 31 5 2 2 2" xfId="37743" xr:uid="{00000000-0005-0000-0000-00008C0F0000}"/>
    <cellStyle name="20% - uthevingsfarge 2 31 5 2 3" xfId="28997" xr:uid="{00000000-0005-0000-0000-00008D0F0000}"/>
    <cellStyle name="20% - uthevingsfarge 2 31 5 3" xfId="12045" xr:uid="{00000000-0005-0000-0000-00008E0F0000}"/>
    <cellStyle name="20% - uthevingsfarge 2 31 5 3 2" xfId="35043" xr:uid="{00000000-0005-0000-0000-00008F0F0000}"/>
    <cellStyle name="20% - uthevingsfarge 2 31 5 4" xfId="32388" xr:uid="{00000000-0005-0000-0000-0000900F0000}"/>
    <cellStyle name="20% - uthevingsfarge 2 31 6" xfId="7094" xr:uid="{00000000-0005-0000-0000-0000910F0000}"/>
    <cellStyle name="20% - uthevingsfarge 2 31 6 2" xfId="23147" xr:uid="{00000000-0005-0000-0000-0000920F0000}"/>
    <cellStyle name="20% - uthevingsfarge 2 31 6 2 2" xfId="39216" xr:uid="{00000000-0005-0000-0000-0000930F0000}"/>
    <cellStyle name="20% - uthevingsfarge 2 31 6 3" xfId="30704" xr:uid="{00000000-0005-0000-0000-0000940F0000}"/>
    <cellStyle name="20% - uthevingsfarge 2 31 7" xfId="19641" xr:uid="{00000000-0005-0000-0000-0000950F0000}"/>
    <cellStyle name="20% - uthevingsfarge 2 31 7 2" xfId="35755" xr:uid="{00000000-0005-0000-0000-0000960F0000}"/>
    <cellStyle name="20% - uthevingsfarge 2 31 8" xfId="34091" xr:uid="{00000000-0005-0000-0000-0000970F0000}"/>
    <cellStyle name="20% - uthevingsfarge 2 32" xfId="4446" xr:uid="{00000000-0005-0000-0000-0000980F0000}"/>
    <cellStyle name="20% - uthevingsfarge 2 32 2" xfId="6243" xr:uid="{00000000-0005-0000-0000-0000990F0000}"/>
    <cellStyle name="20% - uthevingsfarge 2 32 2 2" xfId="9653" xr:uid="{00000000-0005-0000-0000-00009A0F0000}"/>
    <cellStyle name="20% - uthevingsfarge 2 32 2 2 2" xfId="21445" xr:uid="{00000000-0005-0000-0000-00009B0F0000}"/>
    <cellStyle name="20% - uthevingsfarge 2 32 2 2 2 2" xfId="37525" xr:uid="{00000000-0005-0000-0000-00009C0F0000}"/>
    <cellStyle name="20% - uthevingsfarge 2 32 2 2 3" xfId="28146" xr:uid="{00000000-0005-0000-0000-00009D0F0000}"/>
    <cellStyle name="20% - uthevingsfarge 2 32 2 3" xfId="22118" xr:uid="{00000000-0005-0000-0000-00009E0F0000}"/>
    <cellStyle name="20% - uthevingsfarge 2 32 2 3 2" xfId="38192" xr:uid="{00000000-0005-0000-0000-00009F0F0000}"/>
    <cellStyle name="20% - uthevingsfarge 2 32 2 4" xfId="31547" xr:uid="{00000000-0005-0000-0000-0000A00F0000}"/>
    <cellStyle name="20% - uthevingsfarge 2 32 3" xfId="7949" xr:uid="{00000000-0005-0000-0000-0000A10F0000}"/>
    <cellStyle name="20% - uthevingsfarge 2 32 3 2" xfId="20957" xr:uid="{00000000-0005-0000-0000-0000A20F0000}"/>
    <cellStyle name="20% - uthevingsfarge 2 32 3 2 2" xfId="37053" xr:uid="{00000000-0005-0000-0000-0000A30F0000}"/>
    <cellStyle name="20% - uthevingsfarge 2 32 3 3" xfId="29850" xr:uid="{00000000-0005-0000-0000-0000A40F0000}"/>
    <cellStyle name="20% - uthevingsfarge 2 32 4" xfId="12341" xr:uid="{00000000-0005-0000-0000-0000A50F0000}"/>
    <cellStyle name="20% - uthevingsfarge 2 32 4 2" xfId="35200" xr:uid="{00000000-0005-0000-0000-0000A60F0000}"/>
    <cellStyle name="20% - uthevingsfarge 2 32 5" xfId="33239" xr:uid="{00000000-0005-0000-0000-0000A70F0000}"/>
    <cellStyle name="20% - uthevingsfarge 2 33" xfId="5351" xr:uid="{00000000-0005-0000-0000-0000A80F0000}"/>
    <cellStyle name="20% - uthevingsfarge 2 33 2" xfId="8766" xr:uid="{00000000-0005-0000-0000-0000A90F0000}"/>
    <cellStyle name="20% - uthevingsfarge 2 33 2 2" xfId="22591" xr:uid="{00000000-0005-0000-0000-0000AA0F0000}"/>
    <cellStyle name="20% - uthevingsfarge 2 33 2 2 2" xfId="38660" xr:uid="{00000000-0005-0000-0000-0000AB0F0000}"/>
    <cellStyle name="20% - uthevingsfarge 2 33 2 3" xfId="29032" xr:uid="{00000000-0005-0000-0000-0000AC0F0000}"/>
    <cellStyle name="20% - uthevingsfarge 2 33 3" xfId="12060" xr:uid="{00000000-0005-0000-0000-0000AD0F0000}"/>
    <cellStyle name="20% - uthevingsfarge 2 33 3 2" xfId="35050" xr:uid="{00000000-0005-0000-0000-0000AE0F0000}"/>
    <cellStyle name="20% - uthevingsfarge 2 33 4" xfId="32423" xr:uid="{00000000-0005-0000-0000-0000AF0F0000}"/>
    <cellStyle name="20% - uthevingsfarge 2 34" xfId="40946" xr:uid="{00000000-0005-0000-0000-0000B00F0000}"/>
    <cellStyle name="20% - uthevingsfarge 2 35" xfId="43146" xr:uid="{00000000-0005-0000-0000-0000B10F0000}"/>
    <cellStyle name="20% - uthevingsfarge 2 36" xfId="40901" xr:uid="{00000000-0005-0000-0000-0000B20F0000}"/>
    <cellStyle name="20% - uthevingsfarge 2 37" xfId="40813" xr:uid="{00000000-0005-0000-0000-0000B30F0000}"/>
    <cellStyle name="20% - uthevingsfarge 2 38" xfId="40869" xr:uid="{00000000-0005-0000-0000-0000B40F0000}"/>
    <cellStyle name="20% - uthevingsfarge 2 39" xfId="43176" xr:uid="{00000000-0005-0000-0000-0000B50F0000}"/>
    <cellStyle name="20% - uthevingsfarge 2 4" xfId="364" xr:uid="{00000000-0005-0000-0000-0000B60F0000}"/>
    <cellStyle name="20% - uthevingsfarge 2 4 2" xfId="365" xr:uid="{00000000-0005-0000-0000-0000B70F0000}"/>
    <cellStyle name="20% - uthevingsfarge 2 40" xfId="43168" xr:uid="{00000000-0005-0000-0000-0000B80F0000}"/>
    <cellStyle name="20% - uthevingsfarge 2 41" xfId="43207" xr:uid="{00000000-0005-0000-0000-0000B90F0000}"/>
    <cellStyle name="20% - uthevingsfarge 2 42" xfId="43421" xr:uid="{00000000-0005-0000-0000-0000BA0F0000}"/>
    <cellStyle name="20% - uthevingsfarge 2 43" xfId="46079" xr:uid="{00000000-0005-0000-0000-0000BB0F0000}"/>
    <cellStyle name="20% - uthevingsfarge 2 44" xfId="43480" xr:uid="{00000000-0005-0000-0000-0000BC0F0000}"/>
    <cellStyle name="20% - uthevingsfarge 2 45" xfId="43465" xr:uid="{00000000-0005-0000-0000-0000BD0F0000}"/>
    <cellStyle name="20% - uthevingsfarge 2 46" xfId="46309" xr:uid="{00000000-0005-0000-0000-0000BE0F0000}"/>
    <cellStyle name="20% - uthevingsfarge 2 47" xfId="46599" xr:uid="{00000000-0005-0000-0000-0000BF0F0000}"/>
    <cellStyle name="20% - uthevingsfarge 2 48" xfId="46560" xr:uid="{00000000-0005-0000-0000-0000C00F0000}"/>
    <cellStyle name="20% - uthevingsfarge 2 49" xfId="46357" xr:uid="{00000000-0005-0000-0000-0000C10F0000}"/>
    <cellStyle name="20% - uthevingsfarge 2 5" xfId="366" xr:uid="{00000000-0005-0000-0000-0000C20F0000}"/>
    <cellStyle name="20% - uthevingsfarge 2 5 2" xfId="367" xr:uid="{00000000-0005-0000-0000-0000C30F0000}"/>
    <cellStyle name="20% - uthevingsfarge 2 50" xfId="46402" xr:uid="{00000000-0005-0000-0000-0000C40F0000}"/>
    <cellStyle name="20% - uthevingsfarge 2 51" xfId="46631" xr:uid="{00000000-0005-0000-0000-0000C50F0000}"/>
    <cellStyle name="20% - uthevingsfarge 2 6" xfId="368" xr:uid="{00000000-0005-0000-0000-0000C60F0000}"/>
    <cellStyle name="20% - uthevingsfarge 2 6 2" xfId="369" xr:uid="{00000000-0005-0000-0000-0000C70F0000}"/>
    <cellStyle name="20% - uthevingsfarge 2 7" xfId="370" xr:uid="{00000000-0005-0000-0000-0000C80F0000}"/>
    <cellStyle name="20% - uthevingsfarge 2 7 2" xfId="371" xr:uid="{00000000-0005-0000-0000-0000C90F0000}"/>
    <cellStyle name="20% - uthevingsfarge 2 8" xfId="372" xr:uid="{00000000-0005-0000-0000-0000CA0F0000}"/>
    <cellStyle name="20% - uthevingsfarge 2 8 2" xfId="373" xr:uid="{00000000-0005-0000-0000-0000CB0F0000}"/>
    <cellStyle name="20% - uthevingsfarge 2 9" xfId="374" xr:uid="{00000000-0005-0000-0000-0000CC0F0000}"/>
    <cellStyle name="20% - uthevingsfarge 2 9 2" xfId="375" xr:uid="{00000000-0005-0000-0000-0000CD0F0000}"/>
    <cellStyle name="20% - uthevingsfarge 3" xfId="4566" xr:uid="{00000000-0005-0000-0000-0000CE0F0000}"/>
    <cellStyle name="20% - uthevingsfarge 3 10" xfId="377" xr:uid="{00000000-0005-0000-0000-0000CF0F0000}"/>
    <cellStyle name="20% - uthevingsfarge 3 10 2" xfId="378" xr:uid="{00000000-0005-0000-0000-0000D00F0000}"/>
    <cellStyle name="20% - uthevingsfarge 3 11" xfId="379" xr:uid="{00000000-0005-0000-0000-0000D10F0000}"/>
    <cellStyle name="20% - uthevingsfarge 3 11 2" xfId="380" xr:uid="{00000000-0005-0000-0000-0000D20F0000}"/>
    <cellStyle name="20% - uthevingsfarge 3 12" xfId="381" xr:uid="{00000000-0005-0000-0000-0000D30F0000}"/>
    <cellStyle name="20% - uthevingsfarge 3 12 2" xfId="382" xr:uid="{00000000-0005-0000-0000-0000D40F0000}"/>
    <cellStyle name="20% - uthevingsfarge 3 13" xfId="383" xr:uid="{00000000-0005-0000-0000-0000D50F0000}"/>
    <cellStyle name="20% - uthevingsfarge 3 13 2" xfId="384" xr:uid="{00000000-0005-0000-0000-0000D60F0000}"/>
    <cellStyle name="20% - uthevingsfarge 3 14" xfId="385" xr:uid="{00000000-0005-0000-0000-0000D70F0000}"/>
    <cellStyle name="20% - uthevingsfarge 3 14 2" xfId="386" xr:uid="{00000000-0005-0000-0000-0000D80F0000}"/>
    <cellStyle name="20% - uthevingsfarge 3 15" xfId="387" xr:uid="{00000000-0005-0000-0000-0000D90F0000}"/>
    <cellStyle name="20% - uthevingsfarge 3 15 2" xfId="388" xr:uid="{00000000-0005-0000-0000-0000DA0F0000}"/>
    <cellStyle name="20% - uthevingsfarge 3 16" xfId="389" xr:uid="{00000000-0005-0000-0000-0000DB0F0000}"/>
    <cellStyle name="20% - uthevingsfarge 3 16 2" xfId="390" xr:uid="{00000000-0005-0000-0000-0000DC0F0000}"/>
    <cellStyle name="20% - uthevingsfarge 3 17" xfId="391" xr:uid="{00000000-0005-0000-0000-0000DD0F0000}"/>
    <cellStyle name="20% - uthevingsfarge 3 17 2" xfId="392" xr:uid="{00000000-0005-0000-0000-0000DE0F0000}"/>
    <cellStyle name="20% - uthevingsfarge 3 18" xfId="393" xr:uid="{00000000-0005-0000-0000-0000DF0F0000}"/>
    <cellStyle name="20% - uthevingsfarge 3 18 2" xfId="394" xr:uid="{00000000-0005-0000-0000-0000E00F0000}"/>
    <cellStyle name="20% - uthevingsfarge 3 19" xfId="395" xr:uid="{00000000-0005-0000-0000-0000E10F0000}"/>
    <cellStyle name="20% - uthevingsfarge 3 19 2" xfId="396" xr:uid="{00000000-0005-0000-0000-0000E20F0000}"/>
    <cellStyle name="20% - uthevingsfarge 3 2" xfId="397" xr:uid="{00000000-0005-0000-0000-0000E30F0000}"/>
    <cellStyle name="20% - uthevingsfarge 3 2 2" xfId="398" xr:uid="{00000000-0005-0000-0000-0000E40F0000}"/>
    <cellStyle name="20% - uthevingsfarge 3 2 3" xfId="399" xr:uid="{00000000-0005-0000-0000-0000E50F0000}"/>
    <cellStyle name="20% - uthevingsfarge 3 2 4" xfId="400" xr:uid="{00000000-0005-0000-0000-0000E60F0000}"/>
    <cellStyle name="20% - uthevingsfarge 3 2 5" xfId="10865" xr:uid="{00000000-0005-0000-0000-0000E70F0000}"/>
    <cellStyle name="20% - uthevingsfarge 3 2 6" xfId="10866" xr:uid="{00000000-0005-0000-0000-0000E80F0000}"/>
    <cellStyle name="20% - uthevingsfarge 3 2 7" xfId="10867" xr:uid="{00000000-0005-0000-0000-0000E90F0000}"/>
    <cellStyle name="20% - uthevingsfarge 3 2 8" xfId="10868" xr:uid="{00000000-0005-0000-0000-0000EA0F0000}"/>
    <cellStyle name="20% - uthevingsfarge 3 2 9" xfId="10869" xr:uid="{00000000-0005-0000-0000-0000EB0F0000}"/>
    <cellStyle name="20% - uthevingsfarge 3 20" xfId="401" xr:uid="{00000000-0005-0000-0000-0000EC0F0000}"/>
    <cellStyle name="20% - uthevingsfarge 3 20 2" xfId="402" xr:uid="{00000000-0005-0000-0000-0000ED0F0000}"/>
    <cellStyle name="20% - uthevingsfarge 3 21" xfId="403" xr:uid="{00000000-0005-0000-0000-0000EE0F0000}"/>
    <cellStyle name="20% - uthevingsfarge 3 22" xfId="404" xr:uid="{00000000-0005-0000-0000-0000EF0F0000}"/>
    <cellStyle name="20% - uthevingsfarge 3 23" xfId="405" xr:uid="{00000000-0005-0000-0000-0000F00F0000}"/>
    <cellStyle name="20% - uthevingsfarge 3 24" xfId="406" xr:uid="{00000000-0005-0000-0000-0000F10F0000}"/>
    <cellStyle name="20% - uthevingsfarge 3 25" xfId="407" xr:uid="{00000000-0005-0000-0000-0000F20F0000}"/>
    <cellStyle name="20% - uthevingsfarge 3 26" xfId="408" xr:uid="{00000000-0005-0000-0000-0000F30F0000}"/>
    <cellStyle name="20% - uthevingsfarge 3 26 10" xfId="6908" xr:uid="{00000000-0005-0000-0000-0000F40F0000}"/>
    <cellStyle name="20% - uthevingsfarge 3 26 10 2" xfId="20599" xr:uid="{00000000-0005-0000-0000-0000F50F0000}"/>
    <cellStyle name="20% - uthevingsfarge 3 26 10 2 2" xfId="36698" xr:uid="{00000000-0005-0000-0000-0000F60F0000}"/>
    <cellStyle name="20% - uthevingsfarge 3 26 10 3" xfId="30890" xr:uid="{00000000-0005-0000-0000-0000F70F0000}"/>
    <cellStyle name="20% - uthevingsfarge 3 26 11" xfId="10870" xr:uid="{00000000-0005-0000-0000-0000F80F0000}"/>
    <cellStyle name="20% - uthevingsfarge 3 26 12" xfId="34278" xr:uid="{00000000-0005-0000-0000-0000F90F0000}"/>
    <cellStyle name="20% - uthevingsfarge 3 26 2" xfId="409" xr:uid="{00000000-0005-0000-0000-0000FA0F0000}"/>
    <cellStyle name="20% - uthevingsfarge 3 26 3" xfId="3319" xr:uid="{00000000-0005-0000-0000-0000FB0F0000}"/>
    <cellStyle name="20% - uthevingsfarge 3 26 3 10" xfId="34172" xr:uid="{00000000-0005-0000-0000-0000FC0F0000}"/>
    <cellStyle name="20% - uthevingsfarge 3 26 3 2" xfId="3551" xr:uid="{00000000-0005-0000-0000-0000FD0F0000}"/>
    <cellStyle name="20% - uthevingsfarge 3 26 3 2 10" xfId="47150" xr:uid="{00000000-0005-0000-0000-0000FE0F0000}"/>
    <cellStyle name="20% - uthevingsfarge 3 26 3 2 2" xfId="3981" xr:uid="{00000000-0005-0000-0000-0000FF0F0000}"/>
    <cellStyle name="20% - uthevingsfarge 3 26 3 2 2 2" xfId="5869" xr:uid="{00000000-0005-0000-0000-000000100000}"/>
    <cellStyle name="20% - uthevingsfarge 3 26 3 2 2 2 2" xfId="9284" xr:uid="{00000000-0005-0000-0000-000001100000}"/>
    <cellStyle name="20% - uthevingsfarge 3 26 3 2 2 2 2 2" xfId="23687" xr:uid="{00000000-0005-0000-0000-000002100000}"/>
    <cellStyle name="20% - uthevingsfarge 3 26 3 2 2 2 2 2 2" xfId="39743" xr:uid="{00000000-0005-0000-0000-000003100000}"/>
    <cellStyle name="20% - uthevingsfarge 3 26 3 2 2 2 2 3" xfId="28514" xr:uid="{00000000-0005-0000-0000-000004100000}"/>
    <cellStyle name="20% - uthevingsfarge 3 26 3 2 2 2 3" xfId="23933" xr:uid="{00000000-0005-0000-0000-000005100000}"/>
    <cellStyle name="20% - uthevingsfarge 3 26 3 2 2 2 3 2" xfId="39987" xr:uid="{00000000-0005-0000-0000-000006100000}"/>
    <cellStyle name="20% - uthevingsfarge 3 26 3 2 2 2 4" xfId="31905" xr:uid="{00000000-0005-0000-0000-000007100000}"/>
    <cellStyle name="20% - uthevingsfarge 3 26 3 2 2 3" xfId="7587" xr:uid="{00000000-0005-0000-0000-000008100000}"/>
    <cellStyle name="20% - uthevingsfarge 3 26 3 2 2 3 2" xfId="20827" xr:uid="{00000000-0005-0000-0000-000009100000}"/>
    <cellStyle name="20% - uthevingsfarge 3 26 3 2 2 3 2 2" xfId="36926" xr:uid="{00000000-0005-0000-0000-00000A100000}"/>
    <cellStyle name="20% - uthevingsfarge 3 26 3 2 2 3 3" xfId="30211" xr:uid="{00000000-0005-0000-0000-00000B100000}"/>
    <cellStyle name="20% - uthevingsfarge 3 26 3 2 2 4" xfId="17963" xr:uid="{00000000-0005-0000-0000-00000C100000}"/>
    <cellStyle name="20% - uthevingsfarge 3 26 3 2 2 5" xfId="19956" xr:uid="{00000000-0005-0000-0000-00000D100000}"/>
    <cellStyle name="20% - uthevingsfarge 3 26 3 2 2 5 2" xfId="36060" xr:uid="{00000000-0005-0000-0000-00000E100000}"/>
    <cellStyle name="20% - uthevingsfarge 3 26 3 2 2 6" xfId="33598" xr:uid="{00000000-0005-0000-0000-00000F100000}"/>
    <cellStyle name="20% - uthevingsfarge 3 26 3 2 3" xfId="4921" xr:uid="{00000000-0005-0000-0000-000010100000}"/>
    <cellStyle name="20% - uthevingsfarge 3 26 3 2 3 10" xfId="47340" xr:uid="{00000000-0005-0000-0000-000011100000}"/>
    <cellStyle name="20% - uthevingsfarge 3 26 3 2 3 2" xfId="6640" xr:uid="{00000000-0005-0000-0000-000012100000}"/>
    <cellStyle name="20% - uthevingsfarge 3 26 3 2 3 2 2" xfId="10046" xr:uid="{00000000-0005-0000-0000-000013100000}"/>
    <cellStyle name="20% - uthevingsfarge 3 26 3 2 3 2 2 2" xfId="22015" xr:uid="{00000000-0005-0000-0000-000014100000}"/>
    <cellStyle name="20% - uthevingsfarge 3 26 3 2 3 2 2 2 2" xfId="38090" xr:uid="{00000000-0005-0000-0000-000015100000}"/>
    <cellStyle name="20% - uthevingsfarge 3 26 3 2 3 2 2 3" xfId="27753" xr:uid="{00000000-0005-0000-0000-000016100000}"/>
    <cellStyle name="20% - uthevingsfarge 3 26 3 2 3 2 3" xfId="23078" xr:uid="{00000000-0005-0000-0000-000017100000}"/>
    <cellStyle name="20% - uthevingsfarge 3 26 3 2 3 2 3 2" xfId="39147" xr:uid="{00000000-0005-0000-0000-000018100000}"/>
    <cellStyle name="20% - uthevingsfarge 3 26 3 2 3 2 4" xfId="31154" xr:uid="{00000000-0005-0000-0000-000019100000}"/>
    <cellStyle name="20% - uthevingsfarge 3 26 3 2 3 2 5" xfId="43034" xr:uid="{00000000-0005-0000-0000-00001A100000}"/>
    <cellStyle name="20% - uthevingsfarge 3 26 3 2 3 2 6" xfId="43331" xr:uid="{00000000-0005-0000-0000-00001B100000}"/>
    <cellStyle name="20% - uthevingsfarge 3 26 3 2 3 2 7" xfId="46179" xr:uid="{00000000-0005-0000-0000-00001C100000}"/>
    <cellStyle name="20% - uthevingsfarge 3 26 3 2 3 2 8" xfId="46951" xr:uid="{00000000-0005-0000-0000-00001D100000}"/>
    <cellStyle name="20% - uthevingsfarge 3 26 3 2 3 2 9" xfId="47536" xr:uid="{00000000-0005-0000-0000-00001E100000}"/>
    <cellStyle name="20% - uthevingsfarge 3 26 3 2 3 3" xfId="8343" xr:uid="{00000000-0005-0000-0000-00001F100000}"/>
    <cellStyle name="20% - uthevingsfarge 3 26 3 2 3 3 2" xfId="19486" xr:uid="{00000000-0005-0000-0000-000020100000}"/>
    <cellStyle name="20% - uthevingsfarge 3 26 3 2 3 3 2 2" xfId="35600" xr:uid="{00000000-0005-0000-0000-000021100000}"/>
    <cellStyle name="20% - uthevingsfarge 3 26 3 2 3 3 3" xfId="29455" xr:uid="{00000000-0005-0000-0000-000022100000}"/>
    <cellStyle name="20% - uthevingsfarge 3 26 3 2 3 3 4" xfId="43889" xr:uid="{00000000-0005-0000-0000-000023100000}"/>
    <cellStyle name="20% - uthevingsfarge 3 26 3 2 3 4" xfId="16479" xr:uid="{00000000-0005-0000-0000-000024100000}"/>
    <cellStyle name="20% - uthevingsfarge 3 26 3 2 3 4 2" xfId="35426" xr:uid="{00000000-0005-0000-0000-000025100000}"/>
    <cellStyle name="20% - uthevingsfarge 3 26 3 2 3 5" xfId="25088" xr:uid="{00000000-0005-0000-0000-000026100000}"/>
    <cellStyle name="20% - uthevingsfarge 3 26 3 2 3 6" xfId="25254" xr:uid="{00000000-0005-0000-0000-000027100000}"/>
    <cellStyle name="20% - uthevingsfarge 3 26 3 2 3 7" xfId="32846" xr:uid="{00000000-0005-0000-0000-000028100000}"/>
    <cellStyle name="20% - uthevingsfarge 3 26 3 2 3 8" xfId="43792" xr:uid="{00000000-0005-0000-0000-000029100000}"/>
    <cellStyle name="20% - uthevingsfarge 3 26 3 2 3 9" xfId="46717" xr:uid="{00000000-0005-0000-0000-00002A100000}"/>
    <cellStyle name="20% - uthevingsfarge 3 26 3 2 4" xfId="5475" xr:uid="{00000000-0005-0000-0000-00002B100000}"/>
    <cellStyle name="20% - uthevingsfarge 3 26 3 2 4 2" xfId="8890" xr:uid="{00000000-0005-0000-0000-00002C100000}"/>
    <cellStyle name="20% - uthevingsfarge 3 26 3 2 4 2 2" xfId="19387" xr:uid="{00000000-0005-0000-0000-00002D100000}"/>
    <cellStyle name="20% - uthevingsfarge 3 26 3 2 4 2 2 2" xfId="35501" xr:uid="{00000000-0005-0000-0000-00002E100000}"/>
    <cellStyle name="20% - uthevingsfarge 3 26 3 2 4 2 3" xfId="28908" xr:uid="{00000000-0005-0000-0000-00002F100000}"/>
    <cellStyle name="20% - uthevingsfarge 3 26 3 2 4 3" xfId="10694" xr:uid="{00000000-0005-0000-0000-000030100000}"/>
    <cellStyle name="20% - uthevingsfarge 3 26 3 2 4 3 2" xfId="34542" xr:uid="{00000000-0005-0000-0000-000031100000}"/>
    <cellStyle name="20% - uthevingsfarge 3 26 3 2 4 4" xfId="32299" xr:uid="{00000000-0005-0000-0000-000032100000}"/>
    <cellStyle name="20% - uthevingsfarge 3 26 3 2 5" xfId="7193" xr:uid="{00000000-0005-0000-0000-000033100000}"/>
    <cellStyle name="20% - uthevingsfarge 3 26 3 2 5 2" xfId="20691" xr:uid="{00000000-0005-0000-0000-000034100000}"/>
    <cellStyle name="20% - uthevingsfarge 3 26 3 2 5 2 2" xfId="36790" xr:uid="{00000000-0005-0000-0000-000035100000}"/>
    <cellStyle name="20% - uthevingsfarge 3 26 3 2 5 3" xfId="30605" xr:uid="{00000000-0005-0000-0000-000036100000}"/>
    <cellStyle name="20% - uthevingsfarge 3 26 3 2 6" xfId="10872" xr:uid="{00000000-0005-0000-0000-000037100000}"/>
    <cellStyle name="20% - uthevingsfarge 3 26 3 2 7" xfId="33992" xr:uid="{00000000-0005-0000-0000-000038100000}"/>
    <cellStyle name="20% - uthevingsfarge 3 26 3 2 8" xfId="43583" xr:uid="{00000000-0005-0000-0000-000039100000}"/>
    <cellStyle name="20% - uthevingsfarge 3 26 3 2 9" xfId="46489" xr:uid="{00000000-0005-0000-0000-00003A100000}"/>
    <cellStyle name="20% - uthevingsfarge 3 26 3 2_Avviksanalyse løpende RNB15 (1)" xfId="16579" xr:uid="{00000000-0005-0000-0000-00003B100000}"/>
    <cellStyle name="20% - uthevingsfarge 3 26 3 3" xfId="3801" xr:uid="{00000000-0005-0000-0000-00003C100000}"/>
    <cellStyle name="20% - uthevingsfarge 3 26 3 3 2" xfId="5689" xr:uid="{00000000-0005-0000-0000-00003D100000}"/>
    <cellStyle name="20% - uthevingsfarge 3 26 3 3 2 2" xfId="9104" xr:uid="{00000000-0005-0000-0000-00003E100000}"/>
    <cellStyle name="20% - uthevingsfarge 3 26 3 3 2 2 2" xfId="23454" xr:uid="{00000000-0005-0000-0000-00003F100000}"/>
    <cellStyle name="20% - uthevingsfarge 3 26 3 3 2 2 2 2" xfId="39510" xr:uid="{00000000-0005-0000-0000-000040100000}"/>
    <cellStyle name="20% - uthevingsfarge 3 26 3 3 2 2 3" xfId="28694" xr:uid="{00000000-0005-0000-0000-000041100000}"/>
    <cellStyle name="20% - uthevingsfarge 3 26 3 3 2 3" xfId="20169" xr:uid="{00000000-0005-0000-0000-000042100000}"/>
    <cellStyle name="20% - uthevingsfarge 3 26 3 3 2 3 2" xfId="36270" xr:uid="{00000000-0005-0000-0000-000043100000}"/>
    <cellStyle name="20% - uthevingsfarge 3 26 3 3 2 4" xfId="32085" xr:uid="{00000000-0005-0000-0000-000044100000}"/>
    <cellStyle name="20% - uthevingsfarge 3 26 3 3 3" xfId="7407" xr:uid="{00000000-0005-0000-0000-000045100000}"/>
    <cellStyle name="20% - uthevingsfarge 3 26 3 3 3 2" xfId="10633" xr:uid="{00000000-0005-0000-0000-000046100000}"/>
    <cellStyle name="20% - uthevingsfarge 3 26 3 3 3 2 2" xfId="34481" xr:uid="{00000000-0005-0000-0000-000047100000}"/>
    <cellStyle name="20% - uthevingsfarge 3 26 3 3 3 3" xfId="30391" xr:uid="{00000000-0005-0000-0000-000048100000}"/>
    <cellStyle name="20% - uthevingsfarge 3 26 3 3 4" xfId="22541" xr:uid="{00000000-0005-0000-0000-000049100000}"/>
    <cellStyle name="20% - uthevingsfarge 3 26 3 3 4 2" xfId="38610" xr:uid="{00000000-0005-0000-0000-00004A100000}"/>
    <cellStyle name="20% - uthevingsfarge 3 26 3 3 5" xfId="33778" xr:uid="{00000000-0005-0000-0000-00004B100000}"/>
    <cellStyle name="20% - uthevingsfarge 3 26 3 4" xfId="4286" xr:uid="{00000000-0005-0000-0000-00004C100000}"/>
    <cellStyle name="20% - uthevingsfarge 3 26 3 4 2" xfId="6115" xr:uid="{00000000-0005-0000-0000-00004D100000}"/>
    <cellStyle name="20% - uthevingsfarge 3 26 3 4 2 2" xfId="9529" xr:uid="{00000000-0005-0000-0000-00004E100000}"/>
    <cellStyle name="20% - uthevingsfarge 3 26 3 4 2 2 2" xfId="10430" xr:uid="{00000000-0005-0000-0000-00004F100000}"/>
    <cellStyle name="20% - uthevingsfarge 3 26 3 4 2 2 2 2" xfId="34360" xr:uid="{00000000-0005-0000-0000-000050100000}"/>
    <cellStyle name="20% - uthevingsfarge 3 26 3 4 2 2 3" xfId="28269" xr:uid="{00000000-0005-0000-0000-000051100000}"/>
    <cellStyle name="20% - uthevingsfarge 3 26 3 4 2 3" xfId="20329" xr:uid="{00000000-0005-0000-0000-000052100000}"/>
    <cellStyle name="20% - uthevingsfarge 3 26 3 4 2 3 2" xfId="36428" xr:uid="{00000000-0005-0000-0000-000053100000}"/>
    <cellStyle name="20% - uthevingsfarge 3 26 3 4 2 4" xfId="31664" xr:uid="{00000000-0005-0000-0000-000054100000}"/>
    <cellStyle name="20% - uthevingsfarge 3 26 3 4 3" xfId="7848" xr:uid="{00000000-0005-0000-0000-000055100000}"/>
    <cellStyle name="20% - uthevingsfarge 3 26 3 4 3 2" xfId="20925" xr:uid="{00000000-0005-0000-0000-000056100000}"/>
    <cellStyle name="20% - uthevingsfarge 3 26 3 4 3 2 2" xfId="37024" xr:uid="{00000000-0005-0000-0000-000057100000}"/>
    <cellStyle name="20% - uthevingsfarge 3 26 3 4 3 3" xfId="29951" xr:uid="{00000000-0005-0000-0000-000058100000}"/>
    <cellStyle name="20% - uthevingsfarge 3 26 3 4 4" xfId="21840" xr:uid="{00000000-0005-0000-0000-000059100000}"/>
    <cellStyle name="20% - uthevingsfarge 3 26 3 4 4 2" xfId="37916" xr:uid="{00000000-0005-0000-0000-00005A100000}"/>
    <cellStyle name="20% - uthevingsfarge 3 26 3 4 5" xfId="33339" xr:uid="{00000000-0005-0000-0000-00005B100000}"/>
    <cellStyle name="20% - uthevingsfarge 3 26 3 5" xfId="4741" xr:uid="{00000000-0005-0000-0000-00005C100000}"/>
    <cellStyle name="20% - uthevingsfarge 3 26 3 5 2" xfId="6461" xr:uid="{00000000-0005-0000-0000-00005D100000}"/>
    <cellStyle name="20% - uthevingsfarge 3 26 3 5 2 2" xfId="9867" xr:uid="{00000000-0005-0000-0000-00005E100000}"/>
    <cellStyle name="20% - uthevingsfarge 3 26 3 5 2 2 2" xfId="24578" xr:uid="{00000000-0005-0000-0000-00005F100000}"/>
    <cellStyle name="20% - uthevingsfarge 3 26 3 5 2 2 2 2" xfId="40622" xr:uid="{00000000-0005-0000-0000-000060100000}"/>
    <cellStyle name="20% - uthevingsfarge 3 26 3 5 2 2 3" xfId="27932" xr:uid="{00000000-0005-0000-0000-000061100000}"/>
    <cellStyle name="20% - uthevingsfarge 3 26 3 5 2 3" xfId="24046" xr:uid="{00000000-0005-0000-0000-000062100000}"/>
    <cellStyle name="20% - uthevingsfarge 3 26 3 5 2 3 2" xfId="40099" xr:uid="{00000000-0005-0000-0000-000063100000}"/>
    <cellStyle name="20% - uthevingsfarge 3 26 3 5 2 4" xfId="31333" xr:uid="{00000000-0005-0000-0000-000064100000}"/>
    <cellStyle name="20% - uthevingsfarge 3 26 3 5 3" xfId="8163" xr:uid="{00000000-0005-0000-0000-000065100000}"/>
    <cellStyle name="20% - uthevingsfarge 3 26 3 5 3 2" xfId="22509" xr:uid="{00000000-0005-0000-0000-000066100000}"/>
    <cellStyle name="20% - uthevingsfarge 3 26 3 5 3 2 2" xfId="38579" xr:uid="{00000000-0005-0000-0000-000067100000}"/>
    <cellStyle name="20% - uthevingsfarge 3 26 3 5 3 3" xfId="29635" xr:uid="{00000000-0005-0000-0000-000068100000}"/>
    <cellStyle name="20% - uthevingsfarge 3 26 3 5 4" xfId="19710" xr:uid="{00000000-0005-0000-0000-000069100000}"/>
    <cellStyle name="20% - uthevingsfarge 3 26 3 5 4 2" xfId="35824" xr:uid="{00000000-0005-0000-0000-00006A100000}"/>
    <cellStyle name="20% - uthevingsfarge 3 26 3 5 5" xfId="33026" xr:uid="{00000000-0005-0000-0000-00006B100000}"/>
    <cellStyle name="20% - uthevingsfarge 3 26 3 6" xfId="5101" xr:uid="{00000000-0005-0000-0000-00006C100000}"/>
    <cellStyle name="20% - uthevingsfarge 3 26 3 6 2" xfId="6820" xr:uid="{00000000-0005-0000-0000-00006D100000}"/>
    <cellStyle name="20% - uthevingsfarge 3 26 3 6 2 2" xfId="10226" xr:uid="{00000000-0005-0000-0000-00006E100000}"/>
    <cellStyle name="20% - uthevingsfarge 3 26 3 6 2 2 2" xfId="24669" xr:uid="{00000000-0005-0000-0000-00006F100000}"/>
    <cellStyle name="20% - uthevingsfarge 3 26 3 6 2 2 2 2" xfId="40712" xr:uid="{00000000-0005-0000-0000-000070100000}"/>
    <cellStyle name="20% - uthevingsfarge 3 26 3 6 2 2 3" xfId="27573" xr:uid="{00000000-0005-0000-0000-000071100000}"/>
    <cellStyle name="20% - uthevingsfarge 3 26 3 6 2 3" xfId="19434" xr:uid="{00000000-0005-0000-0000-000072100000}"/>
    <cellStyle name="20% - uthevingsfarge 3 26 3 6 2 3 2" xfId="35548" xr:uid="{00000000-0005-0000-0000-000073100000}"/>
    <cellStyle name="20% - uthevingsfarge 3 26 3 6 2 4" xfId="30974" xr:uid="{00000000-0005-0000-0000-000074100000}"/>
    <cellStyle name="20% - uthevingsfarge 3 26 3 6 3" xfId="8523" xr:uid="{00000000-0005-0000-0000-000075100000}"/>
    <cellStyle name="20% - uthevingsfarge 3 26 3 6 3 2" xfId="21119" xr:uid="{00000000-0005-0000-0000-000076100000}"/>
    <cellStyle name="20% - uthevingsfarge 3 26 3 6 3 2 2" xfId="37200" xr:uid="{00000000-0005-0000-0000-000077100000}"/>
    <cellStyle name="20% - uthevingsfarge 3 26 3 6 3 3" xfId="29275" xr:uid="{00000000-0005-0000-0000-000078100000}"/>
    <cellStyle name="20% - uthevingsfarge 3 26 3 6 4" xfId="10840" xr:uid="{00000000-0005-0000-0000-000079100000}"/>
    <cellStyle name="20% - uthevingsfarge 3 26 3 6 4 2" xfId="34638" xr:uid="{00000000-0005-0000-0000-00007A100000}"/>
    <cellStyle name="20% - uthevingsfarge 3 26 3 6 5" xfId="32666" xr:uid="{00000000-0005-0000-0000-00007B100000}"/>
    <cellStyle name="20% - uthevingsfarge 3 26 3 7" xfId="5280" xr:uid="{00000000-0005-0000-0000-00007C100000}"/>
    <cellStyle name="20% - uthevingsfarge 3 26 3 7 2" xfId="8695" xr:uid="{00000000-0005-0000-0000-00007D100000}"/>
    <cellStyle name="20% - uthevingsfarge 3 26 3 7 2 2" xfId="11794" xr:uid="{00000000-0005-0000-0000-00007E100000}"/>
    <cellStyle name="20% - uthevingsfarge 3 26 3 7 2 2 2" xfId="34868" xr:uid="{00000000-0005-0000-0000-00007F100000}"/>
    <cellStyle name="20% - uthevingsfarge 3 26 3 7 2 3" xfId="29103" xr:uid="{00000000-0005-0000-0000-000080100000}"/>
    <cellStyle name="20% - uthevingsfarge 3 26 3 7 3" xfId="22563" xr:uid="{00000000-0005-0000-0000-000081100000}"/>
    <cellStyle name="20% - uthevingsfarge 3 26 3 7 3 2" xfId="38632" xr:uid="{00000000-0005-0000-0000-000082100000}"/>
    <cellStyle name="20% - uthevingsfarge 3 26 3 7 4" xfId="32494" xr:uid="{00000000-0005-0000-0000-000083100000}"/>
    <cellStyle name="20% - uthevingsfarge 3 26 3 8" xfId="7013" xr:uid="{00000000-0005-0000-0000-000084100000}"/>
    <cellStyle name="20% - uthevingsfarge 3 26 3 8 2" xfId="24132" xr:uid="{00000000-0005-0000-0000-000085100000}"/>
    <cellStyle name="20% - uthevingsfarge 3 26 3 8 2 2" xfId="40185" xr:uid="{00000000-0005-0000-0000-000086100000}"/>
    <cellStyle name="20% - uthevingsfarge 3 26 3 8 3" xfId="30785" xr:uid="{00000000-0005-0000-0000-000087100000}"/>
    <cellStyle name="20% - uthevingsfarge 3 26 3 9" xfId="10871" xr:uid="{00000000-0005-0000-0000-000088100000}"/>
    <cellStyle name="20% - uthevingsfarge 3 26 4" xfId="3466" xr:uid="{00000000-0005-0000-0000-000089100000}"/>
    <cellStyle name="20% - uthevingsfarge 3 26 4 10" xfId="47082" xr:uid="{00000000-0005-0000-0000-00008A100000}"/>
    <cellStyle name="20% - uthevingsfarge 3 26 4 2" xfId="3902" xr:uid="{00000000-0005-0000-0000-00008B100000}"/>
    <cellStyle name="20% - uthevingsfarge 3 26 4 2 2" xfId="5790" xr:uid="{00000000-0005-0000-0000-00008C100000}"/>
    <cellStyle name="20% - uthevingsfarge 3 26 4 2 2 2" xfId="9205" xr:uid="{00000000-0005-0000-0000-00008D100000}"/>
    <cellStyle name="20% - uthevingsfarge 3 26 4 2 2 2 2" xfId="21314" xr:uid="{00000000-0005-0000-0000-00008E100000}"/>
    <cellStyle name="20% - uthevingsfarge 3 26 4 2 2 2 2 2" xfId="37394" xr:uid="{00000000-0005-0000-0000-00008F100000}"/>
    <cellStyle name="20% - uthevingsfarge 3 26 4 2 2 2 3" xfId="28593" xr:uid="{00000000-0005-0000-0000-000090100000}"/>
    <cellStyle name="20% - uthevingsfarge 3 26 4 2 2 3" xfId="22915" xr:uid="{00000000-0005-0000-0000-000091100000}"/>
    <cellStyle name="20% - uthevingsfarge 3 26 4 2 2 3 2" xfId="38984" xr:uid="{00000000-0005-0000-0000-000092100000}"/>
    <cellStyle name="20% - uthevingsfarge 3 26 4 2 2 4" xfId="31984" xr:uid="{00000000-0005-0000-0000-000093100000}"/>
    <cellStyle name="20% - uthevingsfarge 3 26 4 2 3" xfId="7508" xr:uid="{00000000-0005-0000-0000-000094100000}"/>
    <cellStyle name="20% - uthevingsfarge 3 26 4 2 3 2" xfId="11688" xr:uid="{00000000-0005-0000-0000-000095100000}"/>
    <cellStyle name="20% - uthevingsfarge 3 26 4 2 3 2 2" xfId="34837" xr:uid="{00000000-0005-0000-0000-000096100000}"/>
    <cellStyle name="20% - uthevingsfarge 3 26 4 2 3 3" xfId="30290" xr:uid="{00000000-0005-0000-0000-000097100000}"/>
    <cellStyle name="20% - uthevingsfarge 3 26 4 2 4" xfId="17964" xr:uid="{00000000-0005-0000-0000-000098100000}"/>
    <cellStyle name="20% - uthevingsfarge 3 26 4 2 5" xfId="22788" xr:uid="{00000000-0005-0000-0000-000099100000}"/>
    <cellStyle name="20% - uthevingsfarge 3 26 4 2 5 2" xfId="38857" xr:uid="{00000000-0005-0000-0000-00009A100000}"/>
    <cellStyle name="20% - uthevingsfarge 3 26 4 2 6" xfId="33677" xr:uid="{00000000-0005-0000-0000-00009B100000}"/>
    <cellStyle name="20% - uthevingsfarge 3 26 4 3" xfId="4842" xr:uid="{00000000-0005-0000-0000-00009C100000}"/>
    <cellStyle name="20% - uthevingsfarge 3 26 4 3 10" xfId="47272" xr:uid="{00000000-0005-0000-0000-00009D100000}"/>
    <cellStyle name="20% - uthevingsfarge 3 26 4 3 2" xfId="6561" xr:uid="{00000000-0005-0000-0000-00009E100000}"/>
    <cellStyle name="20% - uthevingsfarge 3 26 4 3 2 2" xfId="9967" xr:uid="{00000000-0005-0000-0000-00009F100000}"/>
    <cellStyle name="20% - uthevingsfarge 3 26 4 3 2 2 2" xfId="22629" xr:uid="{00000000-0005-0000-0000-0000A0100000}"/>
    <cellStyle name="20% - uthevingsfarge 3 26 4 3 2 2 2 2" xfId="38698" xr:uid="{00000000-0005-0000-0000-0000A1100000}"/>
    <cellStyle name="20% - uthevingsfarge 3 26 4 3 2 2 3" xfId="27832" xr:uid="{00000000-0005-0000-0000-0000A2100000}"/>
    <cellStyle name="20% - uthevingsfarge 3 26 4 3 2 3" xfId="20497" xr:uid="{00000000-0005-0000-0000-0000A3100000}"/>
    <cellStyle name="20% - uthevingsfarge 3 26 4 3 2 3 2" xfId="36596" xr:uid="{00000000-0005-0000-0000-0000A4100000}"/>
    <cellStyle name="20% - uthevingsfarge 3 26 4 3 2 4" xfId="31233" xr:uid="{00000000-0005-0000-0000-0000A5100000}"/>
    <cellStyle name="20% - uthevingsfarge 3 26 4 3 2 5" xfId="42827" xr:uid="{00000000-0005-0000-0000-0000A6100000}"/>
    <cellStyle name="20% - uthevingsfarge 3 26 4 3 2 6" xfId="43265" xr:uid="{00000000-0005-0000-0000-0000A7100000}"/>
    <cellStyle name="20% - uthevingsfarge 3 26 4 3 2 7" xfId="46113" xr:uid="{00000000-0005-0000-0000-0000A8100000}"/>
    <cellStyle name="20% - uthevingsfarge 3 26 4 3 2 8" xfId="46882" xr:uid="{00000000-0005-0000-0000-0000A9100000}"/>
    <cellStyle name="20% - uthevingsfarge 3 26 4 3 2 9" xfId="47468" xr:uid="{00000000-0005-0000-0000-0000AA100000}"/>
    <cellStyle name="20% - uthevingsfarge 3 26 4 3 3" xfId="8264" xr:uid="{00000000-0005-0000-0000-0000AB100000}"/>
    <cellStyle name="20% - uthevingsfarge 3 26 4 3 3 2" xfId="21047" xr:uid="{00000000-0005-0000-0000-0000AC100000}"/>
    <cellStyle name="20% - uthevingsfarge 3 26 4 3 3 2 2" xfId="37138" xr:uid="{00000000-0005-0000-0000-0000AD100000}"/>
    <cellStyle name="20% - uthevingsfarge 3 26 4 3 3 3" xfId="29533" xr:uid="{00000000-0005-0000-0000-0000AE100000}"/>
    <cellStyle name="20% - uthevingsfarge 3 26 4 3 3 4" xfId="43890" xr:uid="{00000000-0005-0000-0000-0000AF100000}"/>
    <cellStyle name="20% - uthevingsfarge 3 26 4 3 4" xfId="16272" xr:uid="{00000000-0005-0000-0000-0000B0100000}"/>
    <cellStyle name="20% - uthevingsfarge 3 26 4 3 4 2" xfId="35360" xr:uid="{00000000-0005-0000-0000-0000B1100000}"/>
    <cellStyle name="20% - uthevingsfarge 3 26 4 3 5" xfId="25019" xr:uid="{00000000-0005-0000-0000-0000B2100000}"/>
    <cellStyle name="20% - uthevingsfarge 3 26 4 3 6" xfId="25255" xr:uid="{00000000-0005-0000-0000-0000B3100000}"/>
    <cellStyle name="20% - uthevingsfarge 3 26 4 3 7" xfId="32925" xr:uid="{00000000-0005-0000-0000-0000B4100000}"/>
    <cellStyle name="20% - uthevingsfarge 3 26 4 3 8" xfId="43725" xr:uid="{00000000-0005-0000-0000-0000B5100000}"/>
    <cellStyle name="20% - uthevingsfarge 3 26 4 3 9" xfId="46651" xr:uid="{00000000-0005-0000-0000-0000B6100000}"/>
    <cellStyle name="20% - uthevingsfarge 3 26 4 4" xfId="5404" xr:uid="{00000000-0005-0000-0000-0000B7100000}"/>
    <cellStyle name="20% - uthevingsfarge 3 26 4 4 2" xfId="8819" xr:uid="{00000000-0005-0000-0000-0000B8100000}"/>
    <cellStyle name="20% - uthevingsfarge 3 26 4 4 2 2" xfId="21679" xr:uid="{00000000-0005-0000-0000-0000B9100000}"/>
    <cellStyle name="20% - uthevingsfarge 3 26 4 4 2 2 2" xfId="37759" xr:uid="{00000000-0005-0000-0000-0000BA100000}"/>
    <cellStyle name="20% - uthevingsfarge 3 26 4 4 2 3" xfId="28979" xr:uid="{00000000-0005-0000-0000-0000BB100000}"/>
    <cellStyle name="20% - uthevingsfarge 3 26 4 4 3" xfId="19822" xr:uid="{00000000-0005-0000-0000-0000BC100000}"/>
    <cellStyle name="20% - uthevingsfarge 3 26 4 4 3 2" xfId="35935" xr:uid="{00000000-0005-0000-0000-0000BD100000}"/>
    <cellStyle name="20% - uthevingsfarge 3 26 4 4 4" xfId="32370" xr:uid="{00000000-0005-0000-0000-0000BE100000}"/>
    <cellStyle name="20% - uthevingsfarge 3 26 4 5" xfId="7114" xr:uid="{00000000-0005-0000-0000-0000BF100000}"/>
    <cellStyle name="20% - uthevingsfarge 3 26 4 5 2" xfId="22422" xr:uid="{00000000-0005-0000-0000-0000C0100000}"/>
    <cellStyle name="20% - uthevingsfarge 3 26 4 5 2 2" xfId="38494" xr:uid="{00000000-0005-0000-0000-0000C1100000}"/>
    <cellStyle name="20% - uthevingsfarge 3 26 4 5 3" xfId="30684" xr:uid="{00000000-0005-0000-0000-0000C2100000}"/>
    <cellStyle name="20% - uthevingsfarge 3 26 4 6" xfId="10873" xr:uid="{00000000-0005-0000-0000-0000C3100000}"/>
    <cellStyle name="20% - uthevingsfarge 3 26 4 7" xfId="34071" xr:uid="{00000000-0005-0000-0000-0000C4100000}"/>
    <cellStyle name="20% - uthevingsfarge 3 26 4 8" xfId="43517" xr:uid="{00000000-0005-0000-0000-0000C5100000}"/>
    <cellStyle name="20% - uthevingsfarge 3 26 4 9" xfId="46421" xr:uid="{00000000-0005-0000-0000-0000C6100000}"/>
    <cellStyle name="20% - uthevingsfarge 3 26 4_Avviksanalyse løpende RNB15 (1)" xfId="16580" xr:uid="{00000000-0005-0000-0000-0000C7100000}"/>
    <cellStyle name="20% - uthevingsfarge 3 26 5" xfId="3723" xr:uid="{00000000-0005-0000-0000-0000C8100000}"/>
    <cellStyle name="20% - uthevingsfarge 3 26 5 2" xfId="5611" xr:uid="{00000000-0005-0000-0000-0000C9100000}"/>
    <cellStyle name="20% - uthevingsfarge 3 26 5 2 2" xfId="9026" xr:uid="{00000000-0005-0000-0000-0000CA100000}"/>
    <cellStyle name="20% - uthevingsfarge 3 26 5 2 2 2" xfId="21256" xr:uid="{00000000-0005-0000-0000-0000CB100000}"/>
    <cellStyle name="20% - uthevingsfarge 3 26 5 2 2 2 2" xfId="37336" xr:uid="{00000000-0005-0000-0000-0000CC100000}"/>
    <cellStyle name="20% - uthevingsfarge 3 26 5 2 2 3" xfId="28772" xr:uid="{00000000-0005-0000-0000-0000CD100000}"/>
    <cellStyle name="20% - uthevingsfarge 3 26 5 2 3" xfId="20140" xr:uid="{00000000-0005-0000-0000-0000CE100000}"/>
    <cellStyle name="20% - uthevingsfarge 3 26 5 2 3 2" xfId="36243" xr:uid="{00000000-0005-0000-0000-0000CF100000}"/>
    <cellStyle name="20% - uthevingsfarge 3 26 5 2 4" xfId="32163" xr:uid="{00000000-0005-0000-0000-0000D0100000}"/>
    <cellStyle name="20% - uthevingsfarge 3 26 5 3" xfId="7329" xr:uid="{00000000-0005-0000-0000-0000D1100000}"/>
    <cellStyle name="20% - uthevingsfarge 3 26 5 3 2" xfId="22192" xr:uid="{00000000-0005-0000-0000-0000D2100000}"/>
    <cellStyle name="20% - uthevingsfarge 3 26 5 3 2 2" xfId="38266" xr:uid="{00000000-0005-0000-0000-0000D3100000}"/>
    <cellStyle name="20% - uthevingsfarge 3 26 5 3 3" xfId="30469" xr:uid="{00000000-0005-0000-0000-0000D4100000}"/>
    <cellStyle name="20% - uthevingsfarge 3 26 5 4" xfId="11077" xr:uid="{00000000-0005-0000-0000-0000D5100000}"/>
    <cellStyle name="20% - uthevingsfarge 3 26 5 4 2" xfId="34781" xr:uid="{00000000-0005-0000-0000-0000D6100000}"/>
    <cellStyle name="20% - uthevingsfarge 3 26 5 5" xfId="33856" xr:uid="{00000000-0005-0000-0000-0000D7100000}"/>
    <cellStyle name="20% - uthevingsfarge 3 26 6" xfId="4202" xr:uid="{00000000-0005-0000-0000-0000D8100000}"/>
    <cellStyle name="20% - uthevingsfarge 3 26 6 2" xfId="6039" xr:uid="{00000000-0005-0000-0000-0000D9100000}"/>
    <cellStyle name="20% - uthevingsfarge 3 26 6 2 2" xfId="9454" xr:uid="{00000000-0005-0000-0000-0000DA100000}"/>
    <cellStyle name="20% - uthevingsfarge 3 26 6 2 2 2" xfId="10441" xr:uid="{00000000-0005-0000-0000-0000DB100000}"/>
    <cellStyle name="20% - uthevingsfarge 3 26 6 2 2 2 2" xfId="34365" xr:uid="{00000000-0005-0000-0000-0000DC100000}"/>
    <cellStyle name="20% - uthevingsfarge 3 26 6 2 2 3" xfId="28344" xr:uid="{00000000-0005-0000-0000-0000DD100000}"/>
    <cellStyle name="20% - uthevingsfarge 3 26 6 2 3" xfId="23966" xr:uid="{00000000-0005-0000-0000-0000DE100000}"/>
    <cellStyle name="20% - uthevingsfarge 3 26 6 2 3 2" xfId="40020" xr:uid="{00000000-0005-0000-0000-0000DF100000}"/>
    <cellStyle name="20% - uthevingsfarge 3 26 6 2 4" xfId="31739" xr:uid="{00000000-0005-0000-0000-0000E0100000}"/>
    <cellStyle name="20% - uthevingsfarge 3 26 6 3" xfId="7772" xr:uid="{00000000-0005-0000-0000-0000E1100000}"/>
    <cellStyle name="20% - uthevingsfarge 3 26 6 3 2" xfId="21818" xr:uid="{00000000-0005-0000-0000-0000E2100000}"/>
    <cellStyle name="20% - uthevingsfarge 3 26 6 3 2 2" xfId="37894" xr:uid="{00000000-0005-0000-0000-0000E3100000}"/>
    <cellStyle name="20% - uthevingsfarge 3 26 6 3 3" xfId="30027" xr:uid="{00000000-0005-0000-0000-0000E4100000}"/>
    <cellStyle name="20% - uthevingsfarge 3 26 6 4" xfId="23755" xr:uid="{00000000-0005-0000-0000-0000E5100000}"/>
    <cellStyle name="20% - uthevingsfarge 3 26 6 4 2" xfId="39811" xr:uid="{00000000-0005-0000-0000-0000E6100000}"/>
    <cellStyle name="20% - uthevingsfarge 3 26 6 5" xfId="33415" xr:uid="{00000000-0005-0000-0000-0000E7100000}"/>
    <cellStyle name="20% - uthevingsfarge 3 26 7" xfId="4658" xr:uid="{00000000-0005-0000-0000-0000E8100000}"/>
    <cellStyle name="20% - uthevingsfarge 3 26 7 2" xfId="6378" xr:uid="{00000000-0005-0000-0000-0000E9100000}"/>
    <cellStyle name="20% - uthevingsfarge 3 26 7 2 2" xfId="9788" xr:uid="{00000000-0005-0000-0000-0000EA100000}"/>
    <cellStyle name="20% - uthevingsfarge 3 26 7 2 2 2" xfId="21484" xr:uid="{00000000-0005-0000-0000-0000EB100000}"/>
    <cellStyle name="20% - uthevingsfarge 3 26 7 2 2 2 2" xfId="37564" xr:uid="{00000000-0005-0000-0000-0000EC100000}"/>
    <cellStyle name="20% - uthevingsfarge 3 26 7 2 2 3" xfId="28011" xr:uid="{00000000-0005-0000-0000-0000ED100000}"/>
    <cellStyle name="20% - uthevingsfarge 3 26 7 2 3" xfId="22122" xr:uid="{00000000-0005-0000-0000-0000EE100000}"/>
    <cellStyle name="20% - uthevingsfarge 3 26 7 2 3 2" xfId="38196" xr:uid="{00000000-0005-0000-0000-0000EF100000}"/>
    <cellStyle name="20% - uthevingsfarge 3 26 7 2 4" xfId="31412" xr:uid="{00000000-0005-0000-0000-0000F0100000}"/>
    <cellStyle name="20% - uthevingsfarge 3 26 7 3" xfId="8084" xr:uid="{00000000-0005-0000-0000-0000F1100000}"/>
    <cellStyle name="20% - uthevingsfarge 3 26 7 3 2" xfId="10606" xr:uid="{00000000-0005-0000-0000-0000F2100000}"/>
    <cellStyle name="20% - uthevingsfarge 3 26 7 3 2 2" xfId="34454" xr:uid="{00000000-0005-0000-0000-0000F3100000}"/>
    <cellStyle name="20% - uthevingsfarge 3 26 7 3 3" xfId="29714" xr:uid="{00000000-0005-0000-0000-0000F4100000}"/>
    <cellStyle name="20% - uthevingsfarge 3 26 7 4" xfId="12277" xr:uid="{00000000-0005-0000-0000-0000F5100000}"/>
    <cellStyle name="20% - uthevingsfarge 3 26 7 4 2" xfId="35153" xr:uid="{00000000-0005-0000-0000-0000F6100000}"/>
    <cellStyle name="20% - uthevingsfarge 3 26 7 5" xfId="33105" xr:uid="{00000000-0005-0000-0000-0000F7100000}"/>
    <cellStyle name="20% - uthevingsfarge 3 26 8" xfId="5022" xr:uid="{00000000-0005-0000-0000-0000F8100000}"/>
    <cellStyle name="20% - uthevingsfarge 3 26 8 2" xfId="6741" xr:uid="{00000000-0005-0000-0000-0000F9100000}"/>
    <cellStyle name="20% - uthevingsfarge 3 26 8 2 2" xfId="10147" xr:uid="{00000000-0005-0000-0000-0000FA100000}"/>
    <cellStyle name="20% - uthevingsfarge 3 26 8 2 2 2" xfId="23628" xr:uid="{00000000-0005-0000-0000-0000FB100000}"/>
    <cellStyle name="20% - uthevingsfarge 3 26 8 2 2 2 2" xfId="39684" xr:uid="{00000000-0005-0000-0000-0000FC100000}"/>
    <cellStyle name="20% - uthevingsfarge 3 26 8 2 2 3" xfId="27652" xr:uid="{00000000-0005-0000-0000-0000FD100000}"/>
    <cellStyle name="20% - uthevingsfarge 3 26 8 2 3" xfId="23089" xr:uid="{00000000-0005-0000-0000-0000FE100000}"/>
    <cellStyle name="20% - uthevingsfarge 3 26 8 2 3 2" xfId="39158" xr:uid="{00000000-0005-0000-0000-0000FF100000}"/>
    <cellStyle name="20% - uthevingsfarge 3 26 8 2 4" xfId="31053" xr:uid="{00000000-0005-0000-0000-000000110000}"/>
    <cellStyle name="20% - uthevingsfarge 3 26 8 3" xfId="8444" xr:uid="{00000000-0005-0000-0000-000001110000}"/>
    <cellStyle name="20% - uthevingsfarge 3 26 8 3 2" xfId="21095" xr:uid="{00000000-0005-0000-0000-000002110000}"/>
    <cellStyle name="20% - uthevingsfarge 3 26 8 3 2 2" xfId="37180" xr:uid="{00000000-0005-0000-0000-000003110000}"/>
    <cellStyle name="20% - uthevingsfarge 3 26 8 3 3" xfId="29354" xr:uid="{00000000-0005-0000-0000-000004110000}"/>
    <cellStyle name="20% - uthevingsfarge 3 26 8 4" xfId="20052" xr:uid="{00000000-0005-0000-0000-000005110000}"/>
    <cellStyle name="20% - uthevingsfarge 3 26 8 4 2" xfId="36156" xr:uid="{00000000-0005-0000-0000-000006110000}"/>
    <cellStyle name="20% - uthevingsfarge 3 26 8 5" xfId="32745" xr:uid="{00000000-0005-0000-0000-000007110000}"/>
    <cellStyle name="20% - uthevingsfarge 3 26 9" xfId="5192" xr:uid="{00000000-0005-0000-0000-000008110000}"/>
    <cellStyle name="20% - uthevingsfarge 3 26 9 2" xfId="8611" xr:uid="{00000000-0005-0000-0000-000009110000}"/>
    <cellStyle name="20% - uthevingsfarge 3 26 9 2 2" xfId="23384" xr:uid="{00000000-0005-0000-0000-00000A110000}"/>
    <cellStyle name="20% - uthevingsfarge 3 26 9 2 2 2" xfId="39440" xr:uid="{00000000-0005-0000-0000-00000B110000}"/>
    <cellStyle name="20% - uthevingsfarge 3 26 9 2 3" xfId="29187" xr:uid="{00000000-0005-0000-0000-00000C110000}"/>
    <cellStyle name="20% - uthevingsfarge 3 26 9 3" xfId="10777" xr:uid="{00000000-0005-0000-0000-00000D110000}"/>
    <cellStyle name="20% - uthevingsfarge 3 26 9 3 2" xfId="34600" xr:uid="{00000000-0005-0000-0000-00000E110000}"/>
    <cellStyle name="20% - uthevingsfarge 3 26 9 4" xfId="32578" xr:uid="{00000000-0005-0000-0000-00000F110000}"/>
    <cellStyle name="20% - uthevingsfarge 3 27" xfId="410" xr:uid="{00000000-0005-0000-0000-000010110000}"/>
    <cellStyle name="20% - uthevingsfarge 3 27 10" xfId="10874" xr:uid="{00000000-0005-0000-0000-000011110000}"/>
    <cellStyle name="20% - uthevingsfarge 3 27 11" xfId="34277" xr:uid="{00000000-0005-0000-0000-000012110000}"/>
    <cellStyle name="20% - uthevingsfarge 3 27 2" xfId="3320" xr:uid="{00000000-0005-0000-0000-000013110000}"/>
    <cellStyle name="20% - uthevingsfarge 3 27 2 10" xfId="34171" xr:uid="{00000000-0005-0000-0000-000014110000}"/>
    <cellStyle name="20% - uthevingsfarge 3 27 2 2" xfId="3552" xr:uid="{00000000-0005-0000-0000-000015110000}"/>
    <cellStyle name="20% - uthevingsfarge 3 27 2 2 10" xfId="47151" xr:uid="{00000000-0005-0000-0000-000016110000}"/>
    <cellStyle name="20% - uthevingsfarge 3 27 2 2 2" xfId="3982" xr:uid="{00000000-0005-0000-0000-000017110000}"/>
    <cellStyle name="20% - uthevingsfarge 3 27 2 2 2 2" xfId="5870" xr:uid="{00000000-0005-0000-0000-000018110000}"/>
    <cellStyle name="20% - uthevingsfarge 3 27 2 2 2 2 2" xfId="9285" xr:uid="{00000000-0005-0000-0000-000019110000}"/>
    <cellStyle name="20% - uthevingsfarge 3 27 2 2 2 2 2 2" xfId="24489" xr:uid="{00000000-0005-0000-0000-00001A110000}"/>
    <cellStyle name="20% - uthevingsfarge 3 27 2 2 2 2 2 2 2" xfId="40533" xr:uid="{00000000-0005-0000-0000-00001B110000}"/>
    <cellStyle name="20% - uthevingsfarge 3 27 2 2 2 2 2 3" xfId="28513" xr:uid="{00000000-0005-0000-0000-00001C110000}"/>
    <cellStyle name="20% - uthevingsfarge 3 27 2 2 2 2 3" xfId="10677" xr:uid="{00000000-0005-0000-0000-00001D110000}"/>
    <cellStyle name="20% - uthevingsfarge 3 27 2 2 2 2 3 2" xfId="34525" xr:uid="{00000000-0005-0000-0000-00001E110000}"/>
    <cellStyle name="20% - uthevingsfarge 3 27 2 2 2 2 4" xfId="31904" xr:uid="{00000000-0005-0000-0000-00001F110000}"/>
    <cellStyle name="20% - uthevingsfarge 3 27 2 2 2 3" xfId="7588" xr:uid="{00000000-0005-0000-0000-000020110000}"/>
    <cellStyle name="20% - uthevingsfarge 3 27 2 2 2 3 2" xfId="24231" xr:uid="{00000000-0005-0000-0000-000021110000}"/>
    <cellStyle name="20% - uthevingsfarge 3 27 2 2 2 3 2 2" xfId="40284" xr:uid="{00000000-0005-0000-0000-000022110000}"/>
    <cellStyle name="20% - uthevingsfarge 3 27 2 2 2 3 3" xfId="30210" xr:uid="{00000000-0005-0000-0000-000023110000}"/>
    <cellStyle name="20% - uthevingsfarge 3 27 2 2 2 4" xfId="17965" xr:uid="{00000000-0005-0000-0000-000024110000}"/>
    <cellStyle name="20% - uthevingsfarge 3 27 2 2 2 5" xfId="19957" xr:uid="{00000000-0005-0000-0000-000025110000}"/>
    <cellStyle name="20% - uthevingsfarge 3 27 2 2 2 5 2" xfId="36061" xr:uid="{00000000-0005-0000-0000-000026110000}"/>
    <cellStyle name="20% - uthevingsfarge 3 27 2 2 2 6" xfId="33597" xr:uid="{00000000-0005-0000-0000-000027110000}"/>
    <cellStyle name="20% - uthevingsfarge 3 27 2 2 3" xfId="4922" xr:uid="{00000000-0005-0000-0000-000028110000}"/>
    <cellStyle name="20% - uthevingsfarge 3 27 2 2 3 10" xfId="47341" xr:uid="{00000000-0005-0000-0000-000029110000}"/>
    <cellStyle name="20% - uthevingsfarge 3 27 2 2 3 2" xfId="6641" xr:uid="{00000000-0005-0000-0000-00002A110000}"/>
    <cellStyle name="20% - uthevingsfarge 3 27 2 2 3 2 2" xfId="10047" xr:uid="{00000000-0005-0000-0000-00002B110000}"/>
    <cellStyle name="20% - uthevingsfarge 3 27 2 2 3 2 2 2" xfId="23608" xr:uid="{00000000-0005-0000-0000-00002C110000}"/>
    <cellStyle name="20% - uthevingsfarge 3 27 2 2 3 2 2 2 2" xfId="39664" xr:uid="{00000000-0005-0000-0000-00002D110000}"/>
    <cellStyle name="20% - uthevingsfarge 3 27 2 2 3 2 2 3" xfId="27752" xr:uid="{00000000-0005-0000-0000-00002E110000}"/>
    <cellStyle name="20% - uthevingsfarge 3 27 2 2 3 2 3" xfId="20529" xr:uid="{00000000-0005-0000-0000-00002F110000}"/>
    <cellStyle name="20% - uthevingsfarge 3 27 2 2 3 2 3 2" xfId="36628" xr:uid="{00000000-0005-0000-0000-000030110000}"/>
    <cellStyle name="20% - uthevingsfarge 3 27 2 2 3 2 4" xfId="31153" xr:uid="{00000000-0005-0000-0000-000031110000}"/>
    <cellStyle name="20% - uthevingsfarge 3 27 2 2 3 2 5" xfId="43035" xr:uid="{00000000-0005-0000-0000-000032110000}"/>
    <cellStyle name="20% - uthevingsfarge 3 27 2 2 3 2 6" xfId="43332" xr:uid="{00000000-0005-0000-0000-000033110000}"/>
    <cellStyle name="20% - uthevingsfarge 3 27 2 2 3 2 7" xfId="46180" xr:uid="{00000000-0005-0000-0000-000034110000}"/>
    <cellStyle name="20% - uthevingsfarge 3 27 2 2 3 2 8" xfId="46952" xr:uid="{00000000-0005-0000-0000-000035110000}"/>
    <cellStyle name="20% - uthevingsfarge 3 27 2 2 3 2 9" xfId="47537" xr:uid="{00000000-0005-0000-0000-000036110000}"/>
    <cellStyle name="20% - uthevingsfarge 3 27 2 2 3 3" xfId="8344" xr:uid="{00000000-0005-0000-0000-000037110000}"/>
    <cellStyle name="20% - uthevingsfarge 3 27 2 2 3 3 2" xfId="23679" xr:uid="{00000000-0005-0000-0000-000038110000}"/>
    <cellStyle name="20% - uthevingsfarge 3 27 2 2 3 3 2 2" xfId="39735" xr:uid="{00000000-0005-0000-0000-000039110000}"/>
    <cellStyle name="20% - uthevingsfarge 3 27 2 2 3 3 3" xfId="29454" xr:uid="{00000000-0005-0000-0000-00003A110000}"/>
    <cellStyle name="20% - uthevingsfarge 3 27 2 2 3 3 4" xfId="43891" xr:uid="{00000000-0005-0000-0000-00003B110000}"/>
    <cellStyle name="20% - uthevingsfarge 3 27 2 2 3 4" xfId="16480" xr:uid="{00000000-0005-0000-0000-00003C110000}"/>
    <cellStyle name="20% - uthevingsfarge 3 27 2 2 3 4 2" xfId="35427" xr:uid="{00000000-0005-0000-0000-00003D110000}"/>
    <cellStyle name="20% - uthevingsfarge 3 27 2 2 3 5" xfId="25089" xr:uid="{00000000-0005-0000-0000-00003E110000}"/>
    <cellStyle name="20% - uthevingsfarge 3 27 2 2 3 6" xfId="25256" xr:uid="{00000000-0005-0000-0000-00003F110000}"/>
    <cellStyle name="20% - uthevingsfarge 3 27 2 2 3 7" xfId="32845" xr:uid="{00000000-0005-0000-0000-000040110000}"/>
    <cellStyle name="20% - uthevingsfarge 3 27 2 2 3 8" xfId="43793" xr:uid="{00000000-0005-0000-0000-000041110000}"/>
    <cellStyle name="20% - uthevingsfarge 3 27 2 2 3 9" xfId="46718" xr:uid="{00000000-0005-0000-0000-000042110000}"/>
    <cellStyle name="20% - uthevingsfarge 3 27 2 2 4" xfId="5476" xr:uid="{00000000-0005-0000-0000-000043110000}"/>
    <cellStyle name="20% - uthevingsfarge 3 27 2 2 4 2" xfId="8891" xr:uid="{00000000-0005-0000-0000-000044110000}"/>
    <cellStyle name="20% - uthevingsfarge 3 27 2 2 4 2 2" xfId="22652" xr:uid="{00000000-0005-0000-0000-000045110000}"/>
    <cellStyle name="20% - uthevingsfarge 3 27 2 2 4 2 2 2" xfId="38721" xr:uid="{00000000-0005-0000-0000-000046110000}"/>
    <cellStyle name="20% - uthevingsfarge 3 27 2 2 4 2 3" xfId="28907" xr:uid="{00000000-0005-0000-0000-000047110000}"/>
    <cellStyle name="20% - uthevingsfarge 3 27 2 2 4 3" xfId="19840" xr:uid="{00000000-0005-0000-0000-000048110000}"/>
    <cellStyle name="20% - uthevingsfarge 3 27 2 2 4 3 2" xfId="35953" xr:uid="{00000000-0005-0000-0000-000049110000}"/>
    <cellStyle name="20% - uthevingsfarge 3 27 2 2 4 4" xfId="32298" xr:uid="{00000000-0005-0000-0000-00004A110000}"/>
    <cellStyle name="20% - uthevingsfarge 3 27 2 2 5" xfId="7194" xr:uid="{00000000-0005-0000-0000-00004B110000}"/>
    <cellStyle name="20% - uthevingsfarge 3 27 2 2 5 2" xfId="10637" xr:uid="{00000000-0005-0000-0000-00004C110000}"/>
    <cellStyle name="20% - uthevingsfarge 3 27 2 2 5 2 2" xfId="34485" xr:uid="{00000000-0005-0000-0000-00004D110000}"/>
    <cellStyle name="20% - uthevingsfarge 3 27 2 2 5 3" xfId="30604" xr:uid="{00000000-0005-0000-0000-00004E110000}"/>
    <cellStyle name="20% - uthevingsfarge 3 27 2 2 6" xfId="10876" xr:uid="{00000000-0005-0000-0000-00004F110000}"/>
    <cellStyle name="20% - uthevingsfarge 3 27 2 2 7" xfId="33991" xr:uid="{00000000-0005-0000-0000-000050110000}"/>
    <cellStyle name="20% - uthevingsfarge 3 27 2 2 8" xfId="43584" xr:uid="{00000000-0005-0000-0000-000051110000}"/>
    <cellStyle name="20% - uthevingsfarge 3 27 2 2 9" xfId="46490" xr:uid="{00000000-0005-0000-0000-000052110000}"/>
    <cellStyle name="20% - uthevingsfarge 3 27 2 2_Avviksanalyse løpende RNB15 (1)" xfId="16581" xr:uid="{00000000-0005-0000-0000-000053110000}"/>
    <cellStyle name="20% - uthevingsfarge 3 27 2 3" xfId="3802" xr:uid="{00000000-0005-0000-0000-000054110000}"/>
    <cellStyle name="20% - uthevingsfarge 3 27 2 3 2" xfId="5690" xr:uid="{00000000-0005-0000-0000-000055110000}"/>
    <cellStyle name="20% - uthevingsfarge 3 27 2 3 2 2" xfId="9105" xr:uid="{00000000-0005-0000-0000-000056110000}"/>
    <cellStyle name="20% - uthevingsfarge 3 27 2 3 2 2 2" xfId="21275" xr:uid="{00000000-0005-0000-0000-000057110000}"/>
    <cellStyle name="20% - uthevingsfarge 3 27 2 3 2 2 2 2" xfId="37355" xr:uid="{00000000-0005-0000-0000-000058110000}"/>
    <cellStyle name="20% - uthevingsfarge 3 27 2 3 2 2 3" xfId="28693" xr:uid="{00000000-0005-0000-0000-000059110000}"/>
    <cellStyle name="20% - uthevingsfarge 3 27 2 3 2 3" xfId="23901" xr:uid="{00000000-0005-0000-0000-00005A110000}"/>
    <cellStyle name="20% - uthevingsfarge 3 27 2 3 2 3 2" xfId="39957" xr:uid="{00000000-0005-0000-0000-00005B110000}"/>
    <cellStyle name="20% - uthevingsfarge 3 27 2 3 2 4" xfId="32084" xr:uid="{00000000-0005-0000-0000-00005C110000}"/>
    <cellStyle name="20% - uthevingsfarge 3 27 2 3 3" xfId="7408" xr:uid="{00000000-0005-0000-0000-00005D110000}"/>
    <cellStyle name="20% - uthevingsfarge 3 27 2 3 3 2" xfId="19442" xr:uid="{00000000-0005-0000-0000-00005E110000}"/>
    <cellStyle name="20% - uthevingsfarge 3 27 2 3 3 2 2" xfId="35556" xr:uid="{00000000-0005-0000-0000-00005F110000}"/>
    <cellStyle name="20% - uthevingsfarge 3 27 2 3 3 3" xfId="30390" xr:uid="{00000000-0005-0000-0000-000060110000}"/>
    <cellStyle name="20% - uthevingsfarge 3 27 2 3 4" xfId="19545" xr:uid="{00000000-0005-0000-0000-000061110000}"/>
    <cellStyle name="20% - uthevingsfarge 3 27 2 3 4 2" xfId="35659" xr:uid="{00000000-0005-0000-0000-000062110000}"/>
    <cellStyle name="20% - uthevingsfarge 3 27 2 3 5" xfId="33777" xr:uid="{00000000-0005-0000-0000-000063110000}"/>
    <cellStyle name="20% - uthevingsfarge 3 27 2 4" xfId="4287" xr:uid="{00000000-0005-0000-0000-000064110000}"/>
    <cellStyle name="20% - uthevingsfarge 3 27 2 4 2" xfId="6116" xr:uid="{00000000-0005-0000-0000-000065110000}"/>
    <cellStyle name="20% - uthevingsfarge 3 27 2 4 2 2" xfId="9530" xr:uid="{00000000-0005-0000-0000-000066110000}"/>
    <cellStyle name="20% - uthevingsfarge 3 27 2 4 2 2 2" xfId="19409" xr:uid="{00000000-0005-0000-0000-000067110000}"/>
    <cellStyle name="20% - uthevingsfarge 3 27 2 4 2 2 2 2" xfId="35523" xr:uid="{00000000-0005-0000-0000-000068110000}"/>
    <cellStyle name="20% - uthevingsfarge 3 27 2 4 2 2 3" xfId="28268" xr:uid="{00000000-0005-0000-0000-000069110000}"/>
    <cellStyle name="20% - uthevingsfarge 3 27 2 4 2 3" xfId="20330" xr:uid="{00000000-0005-0000-0000-00006A110000}"/>
    <cellStyle name="20% - uthevingsfarge 3 27 2 4 2 3 2" xfId="36429" xr:uid="{00000000-0005-0000-0000-00006B110000}"/>
    <cellStyle name="20% - uthevingsfarge 3 27 2 4 2 4" xfId="31663" xr:uid="{00000000-0005-0000-0000-00006C110000}"/>
    <cellStyle name="20% - uthevingsfarge 3 27 2 4 3" xfId="7849" xr:uid="{00000000-0005-0000-0000-00006D110000}"/>
    <cellStyle name="20% - uthevingsfarge 3 27 2 4 3 2" xfId="24281" xr:uid="{00000000-0005-0000-0000-00006E110000}"/>
    <cellStyle name="20% - uthevingsfarge 3 27 2 4 3 2 2" xfId="40334" xr:uid="{00000000-0005-0000-0000-00006F110000}"/>
    <cellStyle name="20% - uthevingsfarge 3 27 2 4 3 3" xfId="29950" xr:uid="{00000000-0005-0000-0000-000070110000}"/>
    <cellStyle name="20% - uthevingsfarge 3 27 2 4 4" xfId="22812" xr:uid="{00000000-0005-0000-0000-000071110000}"/>
    <cellStyle name="20% - uthevingsfarge 3 27 2 4 4 2" xfId="38881" xr:uid="{00000000-0005-0000-0000-000072110000}"/>
    <cellStyle name="20% - uthevingsfarge 3 27 2 4 5" xfId="33338" xr:uid="{00000000-0005-0000-0000-000073110000}"/>
    <cellStyle name="20% - uthevingsfarge 3 27 2 5" xfId="4742" xr:uid="{00000000-0005-0000-0000-000074110000}"/>
    <cellStyle name="20% - uthevingsfarge 3 27 2 5 2" xfId="6462" xr:uid="{00000000-0005-0000-0000-000075110000}"/>
    <cellStyle name="20% - uthevingsfarge 3 27 2 5 2 2" xfId="9868" xr:uid="{00000000-0005-0000-0000-000076110000}"/>
    <cellStyle name="20% - uthevingsfarge 3 27 2 5 2 2 2" xfId="21992" xr:uid="{00000000-0005-0000-0000-000077110000}"/>
    <cellStyle name="20% - uthevingsfarge 3 27 2 5 2 2 2 2" xfId="38067" xr:uid="{00000000-0005-0000-0000-000078110000}"/>
    <cellStyle name="20% - uthevingsfarge 3 27 2 5 2 2 3" xfId="27931" xr:uid="{00000000-0005-0000-0000-000079110000}"/>
    <cellStyle name="20% - uthevingsfarge 3 27 2 5 2 3" xfId="22040" xr:uid="{00000000-0005-0000-0000-00007A110000}"/>
    <cellStyle name="20% - uthevingsfarge 3 27 2 5 2 3 2" xfId="38115" xr:uid="{00000000-0005-0000-0000-00007B110000}"/>
    <cellStyle name="20% - uthevingsfarge 3 27 2 5 2 4" xfId="31332" xr:uid="{00000000-0005-0000-0000-00007C110000}"/>
    <cellStyle name="20% - uthevingsfarge 3 27 2 5 3" xfId="8164" xr:uid="{00000000-0005-0000-0000-00007D110000}"/>
    <cellStyle name="20% - uthevingsfarge 3 27 2 5 3 2" xfId="23323" xr:uid="{00000000-0005-0000-0000-00007E110000}"/>
    <cellStyle name="20% - uthevingsfarge 3 27 2 5 3 2 2" xfId="39388" xr:uid="{00000000-0005-0000-0000-00007F110000}"/>
    <cellStyle name="20% - uthevingsfarge 3 27 2 5 3 3" xfId="29633" xr:uid="{00000000-0005-0000-0000-000080110000}"/>
    <cellStyle name="20% - uthevingsfarge 3 27 2 5 4" xfId="23663" xr:uid="{00000000-0005-0000-0000-000081110000}"/>
    <cellStyle name="20% - uthevingsfarge 3 27 2 5 4 2" xfId="39719" xr:uid="{00000000-0005-0000-0000-000082110000}"/>
    <cellStyle name="20% - uthevingsfarge 3 27 2 5 5" xfId="33025" xr:uid="{00000000-0005-0000-0000-000083110000}"/>
    <cellStyle name="20% - uthevingsfarge 3 27 2 6" xfId="5102" xr:uid="{00000000-0005-0000-0000-000084110000}"/>
    <cellStyle name="20% - uthevingsfarge 3 27 2 6 2" xfId="6821" xr:uid="{00000000-0005-0000-0000-000085110000}"/>
    <cellStyle name="20% - uthevingsfarge 3 27 2 6 2 2" xfId="10227" xr:uid="{00000000-0005-0000-0000-000086110000}"/>
    <cellStyle name="20% - uthevingsfarge 3 27 2 6 2 2 2" xfId="24670" xr:uid="{00000000-0005-0000-0000-000087110000}"/>
    <cellStyle name="20% - uthevingsfarge 3 27 2 6 2 2 2 2" xfId="40713" xr:uid="{00000000-0005-0000-0000-000088110000}"/>
    <cellStyle name="20% - uthevingsfarge 3 27 2 6 2 2 3" xfId="27572" xr:uid="{00000000-0005-0000-0000-000089110000}"/>
    <cellStyle name="20% - uthevingsfarge 3 27 2 6 2 3" xfId="22646" xr:uid="{00000000-0005-0000-0000-00008A110000}"/>
    <cellStyle name="20% - uthevingsfarge 3 27 2 6 2 3 2" xfId="38715" xr:uid="{00000000-0005-0000-0000-00008B110000}"/>
    <cellStyle name="20% - uthevingsfarge 3 27 2 6 2 4" xfId="30973" xr:uid="{00000000-0005-0000-0000-00008C110000}"/>
    <cellStyle name="20% - uthevingsfarge 3 27 2 6 3" xfId="8524" xr:uid="{00000000-0005-0000-0000-00008D110000}"/>
    <cellStyle name="20% - uthevingsfarge 3 27 2 6 3 2" xfId="24377" xr:uid="{00000000-0005-0000-0000-00008E110000}"/>
    <cellStyle name="20% - uthevingsfarge 3 27 2 6 3 2 2" xfId="40422" xr:uid="{00000000-0005-0000-0000-00008F110000}"/>
    <cellStyle name="20% - uthevingsfarge 3 27 2 6 3 3" xfId="29274" xr:uid="{00000000-0005-0000-0000-000090110000}"/>
    <cellStyle name="20% - uthevingsfarge 3 27 2 6 4" xfId="19748" xr:uid="{00000000-0005-0000-0000-000091110000}"/>
    <cellStyle name="20% - uthevingsfarge 3 27 2 6 4 2" xfId="35862" xr:uid="{00000000-0005-0000-0000-000092110000}"/>
    <cellStyle name="20% - uthevingsfarge 3 27 2 6 5" xfId="32665" xr:uid="{00000000-0005-0000-0000-000093110000}"/>
    <cellStyle name="20% - uthevingsfarge 3 27 2 7" xfId="5281" xr:uid="{00000000-0005-0000-0000-000094110000}"/>
    <cellStyle name="20% - uthevingsfarge 3 27 2 7 2" xfId="8696" xr:uid="{00000000-0005-0000-0000-000095110000}"/>
    <cellStyle name="20% - uthevingsfarge 3 27 2 7 2 2" xfId="23397" xr:uid="{00000000-0005-0000-0000-000096110000}"/>
    <cellStyle name="20% - uthevingsfarge 3 27 2 7 2 2 2" xfId="39453" xr:uid="{00000000-0005-0000-0000-000097110000}"/>
    <cellStyle name="20% - uthevingsfarge 3 27 2 7 2 3" xfId="29102" xr:uid="{00000000-0005-0000-0000-000098110000}"/>
    <cellStyle name="20% - uthevingsfarge 3 27 2 7 3" xfId="12082" xr:uid="{00000000-0005-0000-0000-000099110000}"/>
    <cellStyle name="20% - uthevingsfarge 3 27 2 7 3 2" xfId="35061" xr:uid="{00000000-0005-0000-0000-00009A110000}"/>
    <cellStyle name="20% - uthevingsfarge 3 27 2 7 4" xfId="32493" xr:uid="{00000000-0005-0000-0000-00009B110000}"/>
    <cellStyle name="20% - uthevingsfarge 3 27 2 8" xfId="7014" xr:uid="{00000000-0005-0000-0000-00009C110000}"/>
    <cellStyle name="20% - uthevingsfarge 3 27 2 8 2" xfId="22171" xr:uid="{00000000-0005-0000-0000-00009D110000}"/>
    <cellStyle name="20% - uthevingsfarge 3 27 2 8 2 2" xfId="38245" xr:uid="{00000000-0005-0000-0000-00009E110000}"/>
    <cellStyle name="20% - uthevingsfarge 3 27 2 8 3" xfId="30784" xr:uid="{00000000-0005-0000-0000-00009F110000}"/>
    <cellStyle name="20% - uthevingsfarge 3 27 2 9" xfId="10875" xr:uid="{00000000-0005-0000-0000-0000A0110000}"/>
    <cellStyle name="20% - uthevingsfarge 3 27 3" xfId="3467" xr:uid="{00000000-0005-0000-0000-0000A1110000}"/>
    <cellStyle name="20% - uthevingsfarge 3 27 3 10" xfId="47083" xr:uid="{00000000-0005-0000-0000-0000A2110000}"/>
    <cellStyle name="20% - uthevingsfarge 3 27 3 2" xfId="3903" xr:uid="{00000000-0005-0000-0000-0000A3110000}"/>
    <cellStyle name="20% - uthevingsfarge 3 27 3 2 2" xfId="5791" xr:uid="{00000000-0005-0000-0000-0000A4110000}"/>
    <cellStyle name="20% - uthevingsfarge 3 27 3 2 2 2" xfId="9206" xr:uid="{00000000-0005-0000-0000-0000A5110000}"/>
    <cellStyle name="20% - uthevingsfarge 3 27 3 2 2 2 2" xfId="24478" xr:uid="{00000000-0005-0000-0000-0000A6110000}"/>
    <cellStyle name="20% - uthevingsfarge 3 27 3 2 2 2 2 2" xfId="40522" xr:uid="{00000000-0005-0000-0000-0000A7110000}"/>
    <cellStyle name="20% - uthevingsfarge 3 27 3 2 2 2 3" xfId="28592" xr:uid="{00000000-0005-0000-0000-0000A8110000}"/>
    <cellStyle name="20% - uthevingsfarge 3 27 3 2 2 3" xfId="20204" xr:uid="{00000000-0005-0000-0000-0000A9110000}"/>
    <cellStyle name="20% - uthevingsfarge 3 27 3 2 2 3 2" xfId="36303" xr:uid="{00000000-0005-0000-0000-0000AA110000}"/>
    <cellStyle name="20% - uthevingsfarge 3 27 3 2 2 4" xfId="31983" xr:uid="{00000000-0005-0000-0000-0000AB110000}"/>
    <cellStyle name="20% - uthevingsfarge 3 27 3 2 3" xfId="7509" xr:uid="{00000000-0005-0000-0000-0000AC110000}"/>
    <cellStyle name="20% - uthevingsfarge 3 27 3 2 3 2" xfId="22697" xr:uid="{00000000-0005-0000-0000-0000AD110000}"/>
    <cellStyle name="20% - uthevingsfarge 3 27 3 2 3 2 2" xfId="38766" xr:uid="{00000000-0005-0000-0000-0000AE110000}"/>
    <cellStyle name="20% - uthevingsfarge 3 27 3 2 3 3" xfId="30289" xr:uid="{00000000-0005-0000-0000-0000AF110000}"/>
    <cellStyle name="20% - uthevingsfarge 3 27 3 2 4" xfId="17966" xr:uid="{00000000-0005-0000-0000-0000B0110000}"/>
    <cellStyle name="20% - uthevingsfarge 3 27 3 2 5" xfId="11056" xr:uid="{00000000-0005-0000-0000-0000B1110000}"/>
    <cellStyle name="20% - uthevingsfarge 3 27 3 2 5 2" xfId="34764" xr:uid="{00000000-0005-0000-0000-0000B2110000}"/>
    <cellStyle name="20% - uthevingsfarge 3 27 3 2 6" xfId="33676" xr:uid="{00000000-0005-0000-0000-0000B3110000}"/>
    <cellStyle name="20% - uthevingsfarge 3 27 3 3" xfId="4843" xr:uid="{00000000-0005-0000-0000-0000B4110000}"/>
    <cellStyle name="20% - uthevingsfarge 3 27 3 3 10" xfId="47273" xr:uid="{00000000-0005-0000-0000-0000B5110000}"/>
    <cellStyle name="20% - uthevingsfarge 3 27 3 3 2" xfId="6562" xr:uid="{00000000-0005-0000-0000-0000B6110000}"/>
    <cellStyle name="20% - uthevingsfarge 3 27 3 3 2 2" xfId="9968" xr:uid="{00000000-0005-0000-0000-0000B7110000}"/>
    <cellStyle name="20% - uthevingsfarge 3 27 3 3 2 2 2" xfId="23592" xr:uid="{00000000-0005-0000-0000-0000B8110000}"/>
    <cellStyle name="20% - uthevingsfarge 3 27 3 3 2 2 2 2" xfId="39648" xr:uid="{00000000-0005-0000-0000-0000B9110000}"/>
    <cellStyle name="20% - uthevingsfarge 3 27 3 3 2 2 3" xfId="27831" xr:uid="{00000000-0005-0000-0000-0000BA110000}"/>
    <cellStyle name="20% - uthevingsfarge 3 27 3 3 2 3" xfId="20498" xr:uid="{00000000-0005-0000-0000-0000BB110000}"/>
    <cellStyle name="20% - uthevingsfarge 3 27 3 3 2 3 2" xfId="36597" xr:uid="{00000000-0005-0000-0000-0000BC110000}"/>
    <cellStyle name="20% - uthevingsfarge 3 27 3 3 2 4" xfId="31232" xr:uid="{00000000-0005-0000-0000-0000BD110000}"/>
    <cellStyle name="20% - uthevingsfarge 3 27 3 3 2 5" xfId="42828" xr:uid="{00000000-0005-0000-0000-0000BE110000}"/>
    <cellStyle name="20% - uthevingsfarge 3 27 3 3 2 6" xfId="43266" xr:uid="{00000000-0005-0000-0000-0000BF110000}"/>
    <cellStyle name="20% - uthevingsfarge 3 27 3 3 2 7" xfId="46114" xr:uid="{00000000-0005-0000-0000-0000C0110000}"/>
    <cellStyle name="20% - uthevingsfarge 3 27 3 3 2 8" xfId="46883" xr:uid="{00000000-0005-0000-0000-0000C1110000}"/>
    <cellStyle name="20% - uthevingsfarge 3 27 3 3 2 9" xfId="47469" xr:uid="{00000000-0005-0000-0000-0000C2110000}"/>
    <cellStyle name="20% - uthevingsfarge 3 27 3 3 3" xfId="8265" xr:uid="{00000000-0005-0000-0000-0000C3110000}"/>
    <cellStyle name="20% - uthevingsfarge 3 27 3 3 3 2" xfId="24342" xr:uid="{00000000-0005-0000-0000-0000C4110000}"/>
    <cellStyle name="20% - uthevingsfarge 3 27 3 3 3 2 2" xfId="40392" xr:uid="{00000000-0005-0000-0000-0000C5110000}"/>
    <cellStyle name="20% - uthevingsfarge 3 27 3 3 3 3" xfId="29532" xr:uid="{00000000-0005-0000-0000-0000C6110000}"/>
    <cellStyle name="20% - uthevingsfarge 3 27 3 3 3 4" xfId="43892" xr:uid="{00000000-0005-0000-0000-0000C7110000}"/>
    <cellStyle name="20% - uthevingsfarge 3 27 3 3 4" xfId="16273" xr:uid="{00000000-0005-0000-0000-0000C8110000}"/>
    <cellStyle name="20% - uthevingsfarge 3 27 3 3 4 2" xfId="35361" xr:uid="{00000000-0005-0000-0000-0000C9110000}"/>
    <cellStyle name="20% - uthevingsfarge 3 27 3 3 5" xfId="25020" xr:uid="{00000000-0005-0000-0000-0000CA110000}"/>
    <cellStyle name="20% - uthevingsfarge 3 27 3 3 6" xfId="25257" xr:uid="{00000000-0005-0000-0000-0000CB110000}"/>
    <cellStyle name="20% - uthevingsfarge 3 27 3 3 7" xfId="32924" xr:uid="{00000000-0005-0000-0000-0000CC110000}"/>
    <cellStyle name="20% - uthevingsfarge 3 27 3 3 8" xfId="43726" xr:uid="{00000000-0005-0000-0000-0000CD110000}"/>
    <cellStyle name="20% - uthevingsfarge 3 27 3 3 9" xfId="46652" xr:uid="{00000000-0005-0000-0000-0000CE110000}"/>
    <cellStyle name="20% - uthevingsfarge 3 27 3 4" xfId="5405" xr:uid="{00000000-0005-0000-0000-0000CF110000}"/>
    <cellStyle name="20% - uthevingsfarge 3 27 3 4 2" xfId="8820" xr:uid="{00000000-0005-0000-0000-0000D0110000}"/>
    <cellStyle name="20% - uthevingsfarge 3 27 3 4 2 2" xfId="11756" xr:uid="{00000000-0005-0000-0000-0000D1110000}"/>
    <cellStyle name="20% - uthevingsfarge 3 27 3 4 2 2 2" xfId="34853" xr:uid="{00000000-0005-0000-0000-0000D2110000}"/>
    <cellStyle name="20% - uthevingsfarge 3 27 3 4 2 3" xfId="28978" xr:uid="{00000000-0005-0000-0000-0000D3110000}"/>
    <cellStyle name="20% - uthevingsfarge 3 27 3 4 3" xfId="12028" xr:uid="{00000000-0005-0000-0000-0000D4110000}"/>
    <cellStyle name="20% - uthevingsfarge 3 27 3 4 3 2" xfId="35035" xr:uid="{00000000-0005-0000-0000-0000D5110000}"/>
    <cellStyle name="20% - uthevingsfarge 3 27 3 4 4" xfId="32369" xr:uid="{00000000-0005-0000-0000-0000D6110000}"/>
    <cellStyle name="20% - uthevingsfarge 3 27 3 5" xfId="7115" xr:uid="{00000000-0005-0000-0000-0000D7110000}"/>
    <cellStyle name="20% - uthevingsfarge 3 27 3 5 2" xfId="23151" xr:uid="{00000000-0005-0000-0000-0000D8110000}"/>
    <cellStyle name="20% - uthevingsfarge 3 27 3 5 2 2" xfId="39220" xr:uid="{00000000-0005-0000-0000-0000D9110000}"/>
    <cellStyle name="20% - uthevingsfarge 3 27 3 5 3" xfId="30683" xr:uid="{00000000-0005-0000-0000-0000DA110000}"/>
    <cellStyle name="20% - uthevingsfarge 3 27 3 6" xfId="10877" xr:uid="{00000000-0005-0000-0000-0000DB110000}"/>
    <cellStyle name="20% - uthevingsfarge 3 27 3 7" xfId="34070" xr:uid="{00000000-0005-0000-0000-0000DC110000}"/>
    <cellStyle name="20% - uthevingsfarge 3 27 3 8" xfId="43518" xr:uid="{00000000-0005-0000-0000-0000DD110000}"/>
    <cellStyle name="20% - uthevingsfarge 3 27 3 9" xfId="46422" xr:uid="{00000000-0005-0000-0000-0000DE110000}"/>
    <cellStyle name="20% - uthevingsfarge 3 27 3_Avviksanalyse løpende RNB15 (1)" xfId="16582" xr:uid="{00000000-0005-0000-0000-0000DF110000}"/>
    <cellStyle name="20% - uthevingsfarge 3 27 4" xfId="3724" xr:uid="{00000000-0005-0000-0000-0000E0110000}"/>
    <cellStyle name="20% - uthevingsfarge 3 27 4 2" xfId="5612" xr:uid="{00000000-0005-0000-0000-0000E1110000}"/>
    <cellStyle name="20% - uthevingsfarge 3 27 4 2 2" xfId="9027" xr:uid="{00000000-0005-0000-0000-0000E2110000}"/>
    <cellStyle name="20% - uthevingsfarge 3 27 4 2 2 2" xfId="24449" xr:uid="{00000000-0005-0000-0000-0000E3110000}"/>
    <cellStyle name="20% - uthevingsfarge 3 27 4 2 2 2 2" xfId="40493" xr:uid="{00000000-0005-0000-0000-0000E4110000}"/>
    <cellStyle name="20% - uthevingsfarge 3 27 4 2 2 3" xfId="28771" xr:uid="{00000000-0005-0000-0000-0000E5110000}"/>
    <cellStyle name="20% - uthevingsfarge 3 27 4 2 3" xfId="23887" xr:uid="{00000000-0005-0000-0000-0000E6110000}"/>
    <cellStyle name="20% - uthevingsfarge 3 27 4 2 3 2" xfId="39943" xr:uid="{00000000-0005-0000-0000-0000E7110000}"/>
    <cellStyle name="20% - uthevingsfarge 3 27 4 2 4" xfId="32162" xr:uid="{00000000-0005-0000-0000-0000E8110000}"/>
    <cellStyle name="20% - uthevingsfarge 3 27 4 3" xfId="7330" xr:uid="{00000000-0005-0000-0000-0000E9110000}"/>
    <cellStyle name="20% - uthevingsfarge 3 27 4 3 2" xfId="23186" xr:uid="{00000000-0005-0000-0000-0000EA110000}"/>
    <cellStyle name="20% - uthevingsfarge 3 27 4 3 2 2" xfId="39255" xr:uid="{00000000-0005-0000-0000-0000EB110000}"/>
    <cellStyle name="20% - uthevingsfarge 3 27 4 3 3" xfId="30468" xr:uid="{00000000-0005-0000-0000-0000EC110000}"/>
    <cellStyle name="20% - uthevingsfarge 3 27 4 4" xfId="19592" xr:uid="{00000000-0005-0000-0000-0000ED110000}"/>
    <cellStyle name="20% - uthevingsfarge 3 27 4 4 2" xfId="35706" xr:uid="{00000000-0005-0000-0000-0000EE110000}"/>
    <cellStyle name="20% - uthevingsfarge 3 27 4 5" xfId="33855" xr:uid="{00000000-0005-0000-0000-0000EF110000}"/>
    <cellStyle name="20% - uthevingsfarge 3 27 5" xfId="4203" xr:uid="{00000000-0005-0000-0000-0000F0110000}"/>
    <cellStyle name="20% - uthevingsfarge 3 27 5 2" xfId="6040" xr:uid="{00000000-0005-0000-0000-0000F1110000}"/>
    <cellStyle name="20% - uthevingsfarge 3 27 5 2 2" xfId="9455" xr:uid="{00000000-0005-0000-0000-0000F2110000}"/>
    <cellStyle name="20% - uthevingsfarge 3 27 5 2 2 2" xfId="19528" xr:uid="{00000000-0005-0000-0000-0000F3110000}"/>
    <cellStyle name="20% - uthevingsfarge 3 27 5 2 2 2 2" xfId="35642" xr:uid="{00000000-0005-0000-0000-0000F4110000}"/>
    <cellStyle name="20% - uthevingsfarge 3 27 5 2 2 3" xfId="28343" xr:uid="{00000000-0005-0000-0000-0000F5110000}"/>
    <cellStyle name="20% - uthevingsfarge 3 27 5 2 3" xfId="22310" xr:uid="{00000000-0005-0000-0000-0000F6110000}"/>
    <cellStyle name="20% - uthevingsfarge 3 27 5 2 3 2" xfId="38382" xr:uid="{00000000-0005-0000-0000-0000F7110000}"/>
    <cellStyle name="20% - uthevingsfarge 3 27 5 2 4" xfId="31738" xr:uid="{00000000-0005-0000-0000-0000F8110000}"/>
    <cellStyle name="20% - uthevingsfarge 3 27 5 3" xfId="7773" xr:uid="{00000000-0005-0000-0000-0000F9110000}"/>
    <cellStyle name="20% - uthevingsfarge 3 27 5 3 2" xfId="23265" xr:uid="{00000000-0005-0000-0000-0000FA110000}"/>
    <cellStyle name="20% - uthevingsfarge 3 27 5 3 2 2" xfId="39333" xr:uid="{00000000-0005-0000-0000-0000FB110000}"/>
    <cellStyle name="20% - uthevingsfarge 3 27 5 3 3" xfId="30026" xr:uid="{00000000-0005-0000-0000-0000FC110000}"/>
    <cellStyle name="20% - uthevingsfarge 3 27 5 4" xfId="19608" xr:uid="{00000000-0005-0000-0000-0000FD110000}"/>
    <cellStyle name="20% - uthevingsfarge 3 27 5 4 2" xfId="35722" xr:uid="{00000000-0005-0000-0000-0000FE110000}"/>
    <cellStyle name="20% - uthevingsfarge 3 27 5 5" xfId="33414" xr:uid="{00000000-0005-0000-0000-0000FF110000}"/>
    <cellStyle name="20% - uthevingsfarge 3 27 6" xfId="4659" xr:uid="{00000000-0005-0000-0000-000000120000}"/>
    <cellStyle name="20% - uthevingsfarge 3 27 6 2" xfId="6379" xr:uid="{00000000-0005-0000-0000-000001120000}"/>
    <cellStyle name="20% - uthevingsfarge 3 27 6 2 2" xfId="9789" xr:uid="{00000000-0005-0000-0000-000002120000}"/>
    <cellStyle name="20% - uthevingsfarge 3 27 6 2 2 2" xfId="24563" xr:uid="{00000000-0005-0000-0000-000003120000}"/>
    <cellStyle name="20% - uthevingsfarge 3 27 6 2 2 2 2" xfId="40607" xr:uid="{00000000-0005-0000-0000-000004120000}"/>
    <cellStyle name="20% - uthevingsfarge 3 27 6 2 2 3" xfId="28010" xr:uid="{00000000-0005-0000-0000-000005120000}"/>
    <cellStyle name="20% - uthevingsfarge 3 27 6 2 3" xfId="23028" xr:uid="{00000000-0005-0000-0000-000006120000}"/>
    <cellStyle name="20% - uthevingsfarge 3 27 6 2 3 2" xfId="39097" xr:uid="{00000000-0005-0000-0000-000007120000}"/>
    <cellStyle name="20% - uthevingsfarge 3 27 6 2 4" xfId="31411" xr:uid="{00000000-0005-0000-0000-000008120000}"/>
    <cellStyle name="20% - uthevingsfarge 3 27 6 3" xfId="8085" xr:uid="{00000000-0005-0000-0000-000009120000}"/>
    <cellStyle name="20% - uthevingsfarge 3 27 6 3 2" xfId="19464" xr:uid="{00000000-0005-0000-0000-00000A120000}"/>
    <cellStyle name="20% - uthevingsfarge 3 27 6 3 2 2" xfId="35578" xr:uid="{00000000-0005-0000-0000-00000B120000}"/>
    <cellStyle name="20% - uthevingsfarge 3 27 6 3 3" xfId="29713" xr:uid="{00000000-0005-0000-0000-00000C120000}"/>
    <cellStyle name="20% - uthevingsfarge 3 27 6 4" xfId="22551" xr:uid="{00000000-0005-0000-0000-00000D120000}"/>
    <cellStyle name="20% - uthevingsfarge 3 27 6 4 2" xfId="38620" xr:uid="{00000000-0005-0000-0000-00000E120000}"/>
    <cellStyle name="20% - uthevingsfarge 3 27 6 5" xfId="33104" xr:uid="{00000000-0005-0000-0000-00000F120000}"/>
    <cellStyle name="20% - uthevingsfarge 3 27 7" xfId="5023" xr:uid="{00000000-0005-0000-0000-000010120000}"/>
    <cellStyle name="20% - uthevingsfarge 3 27 7 2" xfId="6742" xr:uid="{00000000-0005-0000-0000-000011120000}"/>
    <cellStyle name="20% - uthevingsfarge 3 27 7 2 2" xfId="10148" xr:uid="{00000000-0005-0000-0000-000012120000}"/>
    <cellStyle name="20% - uthevingsfarge 3 27 7 2 2 2" xfId="21625" xr:uid="{00000000-0005-0000-0000-000013120000}"/>
    <cellStyle name="20% - uthevingsfarge 3 27 7 2 2 2 2" xfId="37705" xr:uid="{00000000-0005-0000-0000-000014120000}"/>
    <cellStyle name="20% - uthevingsfarge 3 27 7 2 2 3" xfId="27651" xr:uid="{00000000-0005-0000-0000-000015120000}"/>
    <cellStyle name="20% - uthevingsfarge 3 27 7 2 3" xfId="20551" xr:uid="{00000000-0005-0000-0000-000016120000}"/>
    <cellStyle name="20% - uthevingsfarge 3 27 7 2 3 2" xfId="36650" xr:uid="{00000000-0005-0000-0000-000017120000}"/>
    <cellStyle name="20% - uthevingsfarge 3 27 7 2 4" xfId="31052" xr:uid="{00000000-0005-0000-0000-000018120000}"/>
    <cellStyle name="20% - uthevingsfarge 3 27 7 3" xfId="8445" xr:uid="{00000000-0005-0000-0000-000019120000}"/>
    <cellStyle name="20% - uthevingsfarge 3 27 7 3 2" xfId="24366" xr:uid="{00000000-0005-0000-0000-00001A120000}"/>
    <cellStyle name="20% - uthevingsfarge 3 27 7 3 2 2" xfId="40412" xr:uid="{00000000-0005-0000-0000-00001B120000}"/>
    <cellStyle name="20% - uthevingsfarge 3 27 7 3 3" xfId="29353" xr:uid="{00000000-0005-0000-0000-00001C120000}"/>
    <cellStyle name="20% - uthevingsfarge 3 27 7 4" xfId="10775" xr:uid="{00000000-0005-0000-0000-00001D120000}"/>
    <cellStyle name="20% - uthevingsfarge 3 27 7 4 2" xfId="34598" xr:uid="{00000000-0005-0000-0000-00001E120000}"/>
    <cellStyle name="20% - uthevingsfarge 3 27 7 5" xfId="32744" xr:uid="{00000000-0005-0000-0000-00001F120000}"/>
    <cellStyle name="20% - uthevingsfarge 3 27 8" xfId="5193" xr:uid="{00000000-0005-0000-0000-000020120000}"/>
    <cellStyle name="20% - uthevingsfarge 3 27 8 2" xfId="8612" xr:uid="{00000000-0005-0000-0000-000021120000}"/>
    <cellStyle name="20% - uthevingsfarge 3 27 8 2 2" xfId="10505" xr:uid="{00000000-0005-0000-0000-000022120000}"/>
    <cellStyle name="20% - uthevingsfarge 3 27 8 2 2 2" xfId="34397" xr:uid="{00000000-0005-0000-0000-000023120000}"/>
    <cellStyle name="20% - uthevingsfarge 3 27 8 2 3" xfId="29186" xr:uid="{00000000-0005-0000-0000-000024120000}"/>
    <cellStyle name="20% - uthevingsfarge 3 27 8 3" xfId="19785" xr:uid="{00000000-0005-0000-0000-000025120000}"/>
    <cellStyle name="20% - uthevingsfarge 3 27 8 3 2" xfId="35899" xr:uid="{00000000-0005-0000-0000-000026120000}"/>
    <cellStyle name="20% - uthevingsfarge 3 27 8 4" xfId="32577" xr:uid="{00000000-0005-0000-0000-000027120000}"/>
    <cellStyle name="20% - uthevingsfarge 3 27 9" xfId="6909" xr:uid="{00000000-0005-0000-0000-000028120000}"/>
    <cellStyle name="20% - uthevingsfarge 3 27 9 2" xfId="20600" xr:uid="{00000000-0005-0000-0000-000029120000}"/>
    <cellStyle name="20% - uthevingsfarge 3 27 9 2 2" xfId="36699" xr:uid="{00000000-0005-0000-0000-00002A120000}"/>
    <cellStyle name="20% - uthevingsfarge 3 27 9 3" xfId="30889" xr:uid="{00000000-0005-0000-0000-00002B120000}"/>
    <cellStyle name="20% - uthevingsfarge 3 28" xfId="411" xr:uid="{00000000-0005-0000-0000-00002C120000}"/>
    <cellStyle name="20% - uthevingsfarge 3 28 10" xfId="6910" xr:uid="{00000000-0005-0000-0000-00002D120000}"/>
    <cellStyle name="20% - uthevingsfarge 3 28 10 2" xfId="11849" xr:uid="{00000000-0005-0000-0000-00002E120000}"/>
    <cellStyle name="20% - uthevingsfarge 3 28 10 2 2" xfId="34895" xr:uid="{00000000-0005-0000-0000-00002F120000}"/>
    <cellStyle name="20% - uthevingsfarge 3 28 10 3" xfId="30888" xr:uid="{00000000-0005-0000-0000-000030120000}"/>
    <cellStyle name="20% - uthevingsfarge 3 28 11" xfId="10878" xr:uid="{00000000-0005-0000-0000-000031120000}"/>
    <cellStyle name="20% - uthevingsfarge 3 28 12" xfId="34276" xr:uid="{00000000-0005-0000-0000-000032120000}"/>
    <cellStyle name="20% - uthevingsfarge 3 28 2" xfId="3321" xr:uid="{00000000-0005-0000-0000-000033120000}"/>
    <cellStyle name="20% - uthevingsfarge 3 28 2 10" xfId="34170" xr:uid="{00000000-0005-0000-0000-000034120000}"/>
    <cellStyle name="20% - uthevingsfarge 3 28 2 2" xfId="3553" xr:uid="{00000000-0005-0000-0000-000035120000}"/>
    <cellStyle name="20% - uthevingsfarge 3 28 2 2 10" xfId="47152" xr:uid="{00000000-0005-0000-0000-000036120000}"/>
    <cellStyle name="20% - uthevingsfarge 3 28 2 2 2" xfId="3983" xr:uid="{00000000-0005-0000-0000-000037120000}"/>
    <cellStyle name="20% - uthevingsfarge 3 28 2 2 2 2" xfId="5871" xr:uid="{00000000-0005-0000-0000-000038120000}"/>
    <cellStyle name="20% - uthevingsfarge 3 28 2 2 2 2 2" xfId="9286" xr:uid="{00000000-0005-0000-0000-000039120000}"/>
    <cellStyle name="20% - uthevingsfarge 3 28 2 2 2 2 2 2" xfId="10466" xr:uid="{00000000-0005-0000-0000-00003A120000}"/>
    <cellStyle name="20% - uthevingsfarge 3 28 2 2 2 2 2 2 2" xfId="34378" xr:uid="{00000000-0005-0000-0000-00003B120000}"/>
    <cellStyle name="20% - uthevingsfarge 3 28 2 2 2 2 2 3" xfId="28512" xr:uid="{00000000-0005-0000-0000-00003C120000}"/>
    <cellStyle name="20% - uthevingsfarge 3 28 2 2 2 2 3" xfId="19432" xr:uid="{00000000-0005-0000-0000-00003D120000}"/>
    <cellStyle name="20% - uthevingsfarge 3 28 2 2 2 2 3 2" xfId="35546" xr:uid="{00000000-0005-0000-0000-00003E120000}"/>
    <cellStyle name="20% - uthevingsfarge 3 28 2 2 2 2 4" xfId="31903" xr:uid="{00000000-0005-0000-0000-00003F120000}"/>
    <cellStyle name="20% - uthevingsfarge 3 28 2 2 2 3" xfId="7589" xr:uid="{00000000-0005-0000-0000-000040120000}"/>
    <cellStyle name="20% - uthevingsfarge 3 28 2 2 2 3 2" xfId="22467" xr:uid="{00000000-0005-0000-0000-000041120000}"/>
    <cellStyle name="20% - uthevingsfarge 3 28 2 2 2 3 2 2" xfId="38539" xr:uid="{00000000-0005-0000-0000-000042120000}"/>
    <cellStyle name="20% - uthevingsfarge 3 28 2 2 2 3 3" xfId="30209" xr:uid="{00000000-0005-0000-0000-000043120000}"/>
    <cellStyle name="20% - uthevingsfarge 3 28 2 2 2 4" xfId="17967" xr:uid="{00000000-0005-0000-0000-000044120000}"/>
    <cellStyle name="20% - uthevingsfarge 3 28 2 2 2 5" xfId="11041" xr:uid="{00000000-0005-0000-0000-000045120000}"/>
    <cellStyle name="20% - uthevingsfarge 3 28 2 2 2 5 2" xfId="34749" xr:uid="{00000000-0005-0000-0000-000046120000}"/>
    <cellStyle name="20% - uthevingsfarge 3 28 2 2 2 6" xfId="33596" xr:uid="{00000000-0005-0000-0000-000047120000}"/>
    <cellStyle name="20% - uthevingsfarge 3 28 2 2 3" xfId="4923" xr:uid="{00000000-0005-0000-0000-000048120000}"/>
    <cellStyle name="20% - uthevingsfarge 3 28 2 2 3 10" xfId="47342" xr:uid="{00000000-0005-0000-0000-000049120000}"/>
    <cellStyle name="20% - uthevingsfarge 3 28 2 2 3 2" xfId="6642" xr:uid="{00000000-0005-0000-0000-00004A120000}"/>
    <cellStyle name="20% - uthevingsfarge 3 28 2 2 3 2 2" xfId="10048" xr:uid="{00000000-0005-0000-0000-00004B120000}"/>
    <cellStyle name="20% - uthevingsfarge 3 28 2 2 3 2 2 2" xfId="21585" xr:uid="{00000000-0005-0000-0000-00004C120000}"/>
    <cellStyle name="20% - uthevingsfarge 3 28 2 2 3 2 2 2 2" xfId="37665" xr:uid="{00000000-0005-0000-0000-00004D120000}"/>
    <cellStyle name="20% - uthevingsfarge 3 28 2 2 3 2 2 3" xfId="27751" xr:uid="{00000000-0005-0000-0000-00004E120000}"/>
    <cellStyle name="20% - uthevingsfarge 3 28 2 2 3 2 3" xfId="20530" xr:uid="{00000000-0005-0000-0000-00004F120000}"/>
    <cellStyle name="20% - uthevingsfarge 3 28 2 2 3 2 3 2" xfId="36629" xr:uid="{00000000-0005-0000-0000-000050120000}"/>
    <cellStyle name="20% - uthevingsfarge 3 28 2 2 3 2 4" xfId="31152" xr:uid="{00000000-0005-0000-0000-000051120000}"/>
    <cellStyle name="20% - uthevingsfarge 3 28 2 2 3 2 5" xfId="43036" xr:uid="{00000000-0005-0000-0000-000052120000}"/>
    <cellStyle name="20% - uthevingsfarge 3 28 2 2 3 2 6" xfId="43333" xr:uid="{00000000-0005-0000-0000-000053120000}"/>
    <cellStyle name="20% - uthevingsfarge 3 28 2 2 3 2 7" xfId="46181" xr:uid="{00000000-0005-0000-0000-000054120000}"/>
    <cellStyle name="20% - uthevingsfarge 3 28 2 2 3 2 8" xfId="46953" xr:uid="{00000000-0005-0000-0000-000055120000}"/>
    <cellStyle name="20% - uthevingsfarge 3 28 2 2 3 2 9" xfId="47538" xr:uid="{00000000-0005-0000-0000-000056120000}"/>
    <cellStyle name="20% - uthevingsfarge 3 28 2 2 3 3" xfId="8345" xr:uid="{00000000-0005-0000-0000-000057120000}"/>
    <cellStyle name="20% - uthevingsfarge 3 28 2 2 3 3 2" xfId="22579" xr:uid="{00000000-0005-0000-0000-000058120000}"/>
    <cellStyle name="20% - uthevingsfarge 3 28 2 2 3 3 2 2" xfId="38648" xr:uid="{00000000-0005-0000-0000-000059120000}"/>
    <cellStyle name="20% - uthevingsfarge 3 28 2 2 3 3 3" xfId="29453" xr:uid="{00000000-0005-0000-0000-00005A120000}"/>
    <cellStyle name="20% - uthevingsfarge 3 28 2 2 3 3 4" xfId="43893" xr:uid="{00000000-0005-0000-0000-00005B120000}"/>
    <cellStyle name="20% - uthevingsfarge 3 28 2 2 3 4" xfId="16481" xr:uid="{00000000-0005-0000-0000-00005C120000}"/>
    <cellStyle name="20% - uthevingsfarge 3 28 2 2 3 4 2" xfId="35428" xr:uid="{00000000-0005-0000-0000-00005D120000}"/>
    <cellStyle name="20% - uthevingsfarge 3 28 2 2 3 5" xfId="25090" xr:uid="{00000000-0005-0000-0000-00005E120000}"/>
    <cellStyle name="20% - uthevingsfarge 3 28 2 2 3 6" xfId="25258" xr:uid="{00000000-0005-0000-0000-00005F120000}"/>
    <cellStyle name="20% - uthevingsfarge 3 28 2 2 3 7" xfId="32844" xr:uid="{00000000-0005-0000-0000-000060120000}"/>
    <cellStyle name="20% - uthevingsfarge 3 28 2 2 3 8" xfId="43794" xr:uid="{00000000-0005-0000-0000-000061120000}"/>
    <cellStyle name="20% - uthevingsfarge 3 28 2 2 3 9" xfId="46719" xr:uid="{00000000-0005-0000-0000-000062120000}"/>
    <cellStyle name="20% - uthevingsfarge 3 28 2 2 4" xfId="5477" xr:uid="{00000000-0005-0000-0000-000063120000}"/>
    <cellStyle name="20% - uthevingsfarge 3 28 2 2 4 2" xfId="8892" xr:uid="{00000000-0005-0000-0000-000064120000}"/>
    <cellStyle name="20% - uthevingsfarge 3 28 2 2 4 2 2" xfId="21690" xr:uid="{00000000-0005-0000-0000-000065120000}"/>
    <cellStyle name="20% - uthevingsfarge 3 28 2 2 4 2 2 2" xfId="37769" xr:uid="{00000000-0005-0000-0000-000066120000}"/>
    <cellStyle name="20% - uthevingsfarge 3 28 2 2 4 2 3" xfId="28906" xr:uid="{00000000-0005-0000-0000-000067120000}"/>
    <cellStyle name="20% - uthevingsfarge 3 28 2 2 4 3" xfId="11997" xr:uid="{00000000-0005-0000-0000-000068120000}"/>
    <cellStyle name="20% - uthevingsfarge 3 28 2 2 4 3 2" xfId="35018" xr:uid="{00000000-0005-0000-0000-000069120000}"/>
    <cellStyle name="20% - uthevingsfarge 3 28 2 2 4 4" xfId="32297" xr:uid="{00000000-0005-0000-0000-00006A120000}"/>
    <cellStyle name="20% - uthevingsfarge 3 28 2 2 5" xfId="7195" xr:uid="{00000000-0005-0000-0000-00006B120000}"/>
    <cellStyle name="20% - uthevingsfarge 3 28 2 2 5 2" xfId="19441" xr:uid="{00000000-0005-0000-0000-00006C120000}"/>
    <cellStyle name="20% - uthevingsfarge 3 28 2 2 5 2 2" xfId="35555" xr:uid="{00000000-0005-0000-0000-00006D120000}"/>
    <cellStyle name="20% - uthevingsfarge 3 28 2 2 5 3" xfId="30603" xr:uid="{00000000-0005-0000-0000-00006E120000}"/>
    <cellStyle name="20% - uthevingsfarge 3 28 2 2 6" xfId="10880" xr:uid="{00000000-0005-0000-0000-00006F120000}"/>
    <cellStyle name="20% - uthevingsfarge 3 28 2 2 7" xfId="33990" xr:uid="{00000000-0005-0000-0000-000070120000}"/>
    <cellStyle name="20% - uthevingsfarge 3 28 2 2 8" xfId="43585" xr:uid="{00000000-0005-0000-0000-000071120000}"/>
    <cellStyle name="20% - uthevingsfarge 3 28 2 2 9" xfId="46491" xr:uid="{00000000-0005-0000-0000-000072120000}"/>
    <cellStyle name="20% - uthevingsfarge 3 28 2 2_Avviksanalyse løpende RNB15 (1)" xfId="16583" xr:uid="{00000000-0005-0000-0000-000073120000}"/>
    <cellStyle name="20% - uthevingsfarge 3 28 2 3" xfId="3803" xr:uid="{00000000-0005-0000-0000-000074120000}"/>
    <cellStyle name="20% - uthevingsfarge 3 28 2 3 2" xfId="5691" xr:uid="{00000000-0005-0000-0000-000075120000}"/>
    <cellStyle name="20% - uthevingsfarge 3 28 2 3 2 2" xfId="9106" xr:uid="{00000000-0005-0000-0000-000076120000}"/>
    <cellStyle name="20% - uthevingsfarge 3 28 2 3 2 2 2" xfId="21276" xr:uid="{00000000-0005-0000-0000-000077120000}"/>
    <cellStyle name="20% - uthevingsfarge 3 28 2 3 2 2 2 2" xfId="37356" xr:uid="{00000000-0005-0000-0000-000078120000}"/>
    <cellStyle name="20% - uthevingsfarge 3 28 2 3 2 2 3" xfId="28692" xr:uid="{00000000-0005-0000-0000-000079120000}"/>
    <cellStyle name="20% - uthevingsfarge 3 28 2 3 2 3" xfId="22086" xr:uid="{00000000-0005-0000-0000-00007A120000}"/>
    <cellStyle name="20% - uthevingsfarge 3 28 2 3 2 3 2" xfId="38160" xr:uid="{00000000-0005-0000-0000-00007B120000}"/>
    <cellStyle name="20% - uthevingsfarge 3 28 2 3 2 4" xfId="32083" xr:uid="{00000000-0005-0000-0000-00007C120000}"/>
    <cellStyle name="20% - uthevingsfarge 3 28 2 3 3" xfId="7409" xr:uid="{00000000-0005-0000-0000-00007D120000}"/>
    <cellStyle name="20% - uthevingsfarge 3 28 2 3 3 2" xfId="22701" xr:uid="{00000000-0005-0000-0000-00007E120000}"/>
    <cellStyle name="20% - uthevingsfarge 3 28 2 3 3 2 2" xfId="38770" xr:uid="{00000000-0005-0000-0000-00007F120000}"/>
    <cellStyle name="20% - uthevingsfarge 3 28 2 3 3 3" xfId="30389" xr:uid="{00000000-0005-0000-0000-000080120000}"/>
    <cellStyle name="20% - uthevingsfarge 3 28 2 3 4" xfId="12560" xr:uid="{00000000-0005-0000-0000-000081120000}"/>
    <cellStyle name="20% - uthevingsfarge 3 28 2 3 4 2" xfId="35278" xr:uid="{00000000-0005-0000-0000-000082120000}"/>
    <cellStyle name="20% - uthevingsfarge 3 28 2 3 5" xfId="33776" xr:uid="{00000000-0005-0000-0000-000083120000}"/>
    <cellStyle name="20% - uthevingsfarge 3 28 2 4" xfId="4288" xr:uid="{00000000-0005-0000-0000-000084120000}"/>
    <cellStyle name="20% - uthevingsfarge 3 28 2 4 2" xfId="6117" xr:uid="{00000000-0005-0000-0000-000085120000}"/>
    <cellStyle name="20% - uthevingsfarge 3 28 2 4 2 2" xfId="9531" xr:uid="{00000000-0005-0000-0000-000086120000}"/>
    <cellStyle name="20% - uthevingsfarge 3 28 2 4 2 2 2" xfId="11660" xr:uid="{00000000-0005-0000-0000-000087120000}"/>
    <cellStyle name="20% - uthevingsfarge 3 28 2 4 2 2 2 2" xfId="34827" xr:uid="{00000000-0005-0000-0000-000088120000}"/>
    <cellStyle name="20% - uthevingsfarge 3 28 2 4 2 2 3" xfId="28267" xr:uid="{00000000-0005-0000-0000-000089120000}"/>
    <cellStyle name="20% - uthevingsfarge 3 28 2 4 2 3" xfId="23981" xr:uid="{00000000-0005-0000-0000-00008A120000}"/>
    <cellStyle name="20% - uthevingsfarge 3 28 2 4 2 3 2" xfId="40035" xr:uid="{00000000-0005-0000-0000-00008B120000}"/>
    <cellStyle name="20% - uthevingsfarge 3 28 2 4 2 4" xfId="31662" xr:uid="{00000000-0005-0000-0000-00008C120000}"/>
    <cellStyle name="20% - uthevingsfarge 3 28 2 4 3" xfId="7850" xr:uid="{00000000-0005-0000-0000-00008D120000}"/>
    <cellStyle name="20% - uthevingsfarge 3 28 2 4 3 2" xfId="21859" xr:uid="{00000000-0005-0000-0000-00008E120000}"/>
    <cellStyle name="20% - uthevingsfarge 3 28 2 4 3 2 2" xfId="37935" xr:uid="{00000000-0005-0000-0000-00008F120000}"/>
    <cellStyle name="20% - uthevingsfarge 3 28 2 4 3 3" xfId="29949" xr:uid="{00000000-0005-0000-0000-000090120000}"/>
    <cellStyle name="20% - uthevingsfarge 3 28 2 4 4" xfId="22725" xr:uid="{00000000-0005-0000-0000-000091120000}"/>
    <cellStyle name="20% - uthevingsfarge 3 28 2 4 4 2" xfId="38794" xr:uid="{00000000-0005-0000-0000-000092120000}"/>
    <cellStyle name="20% - uthevingsfarge 3 28 2 4 5" xfId="33337" xr:uid="{00000000-0005-0000-0000-000093120000}"/>
    <cellStyle name="20% - uthevingsfarge 3 28 2 5" xfId="4743" xr:uid="{00000000-0005-0000-0000-000094120000}"/>
    <cellStyle name="20% - uthevingsfarge 3 28 2 5 2" xfId="6463" xr:uid="{00000000-0005-0000-0000-000095120000}"/>
    <cellStyle name="20% - uthevingsfarge 3 28 2 5 2 2" xfId="9869" xr:uid="{00000000-0005-0000-0000-000096120000}"/>
    <cellStyle name="20% - uthevingsfarge 3 28 2 5 2 2 2" xfId="23573" xr:uid="{00000000-0005-0000-0000-000097120000}"/>
    <cellStyle name="20% - uthevingsfarge 3 28 2 5 2 2 2 2" xfId="39629" xr:uid="{00000000-0005-0000-0000-000098120000}"/>
    <cellStyle name="20% - uthevingsfarge 3 28 2 5 2 2 3" xfId="27930" xr:uid="{00000000-0005-0000-0000-000099120000}"/>
    <cellStyle name="20% - uthevingsfarge 3 28 2 5 2 3" xfId="23044" xr:uid="{00000000-0005-0000-0000-00009A120000}"/>
    <cellStyle name="20% - uthevingsfarge 3 28 2 5 2 3 2" xfId="39113" xr:uid="{00000000-0005-0000-0000-00009B120000}"/>
    <cellStyle name="20% - uthevingsfarge 3 28 2 5 2 4" xfId="31331" xr:uid="{00000000-0005-0000-0000-00009C120000}"/>
    <cellStyle name="20% - uthevingsfarge 3 28 2 5 3" xfId="8165" xr:uid="{00000000-0005-0000-0000-00009D120000}"/>
    <cellStyle name="20% - uthevingsfarge 3 28 2 5 3 2" xfId="21019" xr:uid="{00000000-0005-0000-0000-00009E120000}"/>
    <cellStyle name="20% - uthevingsfarge 3 28 2 5 3 2 2" xfId="37113" xr:uid="{00000000-0005-0000-0000-00009F120000}"/>
    <cellStyle name="20% - uthevingsfarge 3 28 2 5 3 3" xfId="29632" xr:uid="{00000000-0005-0000-0000-0000A0120000}"/>
    <cellStyle name="20% - uthevingsfarge 3 28 2 5 4" xfId="22658" xr:uid="{00000000-0005-0000-0000-0000A1120000}"/>
    <cellStyle name="20% - uthevingsfarge 3 28 2 5 4 2" xfId="38727" xr:uid="{00000000-0005-0000-0000-0000A2120000}"/>
    <cellStyle name="20% - uthevingsfarge 3 28 2 5 5" xfId="33024" xr:uid="{00000000-0005-0000-0000-0000A3120000}"/>
    <cellStyle name="20% - uthevingsfarge 3 28 2 6" xfId="5103" xr:uid="{00000000-0005-0000-0000-0000A4120000}"/>
    <cellStyle name="20% - uthevingsfarge 3 28 2 6 2" xfId="6822" xr:uid="{00000000-0005-0000-0000-0000A5120000}"/>
    <cellStyle name="20% - uthevingsfarge 3 28 2 6 2 2" xfId="10228" xr:uid="{00000000-0005-0000-0000-0000A6120000}"/>
    <cellStyle name="20% - uthevingsfarge 3 28 2 6 2 2 2" xfId="24671" xr:uid="{00000000-0005-0000-0000-0000A7120000}"/>
    <cellStyle name="20% - uthevingsfarge 3 28 2 6 2 2 2 2" xfId="40714" xr:uid="{00000000-0005-0000-0000-0000A8120000}"/>
    <cellStyle name="20% - uthevingsfarge 3 28 2 6 2 2 3" xfId="27571" xr:uid="{00000000-0005-0000-0000-0000A9120000}"/>
    <cellStyle name="20% - uthevingsfarge 3 28 2 6 2 3" xfId="22154" xr:uid="{00000000-0005-0000-0000-0000AA120000}"/>
    <cellStyle name="20% - uthevingsfarge 3 28 2 6 2 3 2" xfId="38228" xr:uid="{00000000-0005-0000-0000-0000AB120000}"/>
    <cellStyle name="20% - uthevingsfarge 3 28 2 6 2 4" xfId="30972" xr:uid="{00000000-0005-0000-0000-0000AC120000}"/>
    <cellStyle name="20% - uthevingsfarge 3 28 2 6 3" xfId="8525" xr:uid="{00000000-0005-0000-0000-0000AD120000}"/>
    <cellStyle name="20% - uthevingsfarge 3 28 2 6 3 2" xfId="22582" xr:uid="{00000000-0005-0000-0000-0000AE120000}"/>
    <cellStyle name="20% - uthevingsfarge 3 28 2 6 3 2 2" xfId="38651" xr:uid="{00000000-0005-0000-0000-0000AF120000}"/>
    <cellStyle name="20% - uthevingsfarge 3 28 2 6 3 3" xfId="29273" xr:uid="{00000000-0005-0000-0000-0000B0120000}"/>
    <cellStyle name="20% - uthevingsfarge 3 28 2 6 4" xfId="12176" xr:uid="{00000000-0005-0000-0000-0000B1120000}"/>
    <cellStyle name="20% - uthevingsfarge 3 28 2 6 4 2" xfId="35109" xr:uid="{00000000-0005-0000-0000-0000B2120000}"/>
    <cellStyle name="20% - uthevingsfarge 3 28 2 6 5" xfId="32664" xr:uid="{00000000-0005-0000-0000-0000B3120000}"/>
    <cellStyle name="20% - uthevingsfarge 3 28 2 7" xfId="5282" xr:uid="{00000000-0005-0000-0000-0000B4120000}"/>
    <cellStyle name="20% - uthevingsfarge 3 28 2 7 2" xfId="8697" xr:uid="{00000000-0005-0000-0000-0000B5120000}"/>
    <cellStyle name="20% - uthevingsfarge 3 28 2 7 2 2" xfId="22737" xr:uid="{00000000-0005-0000-0000-0000B6120000}"/>
    <cellStyle name="20% - uthevingsfarge 3 28 2 7 2 2 2" xfId="38806" xr:uid="{00000000-0005-0000-0000-0000B7120000}"/>
    <cellStyle name="20% - uthevingsfarge 3 28 2 7 2 3" xfId="29101" xr:uid="{00000000-0005-0000-0000-0000B8120000}"/>
    <cellStyle name="20% - uthevingsfarge 3 28 2 7 3" xfId="10768" xr:uid="{00000000-0005-0000-0000-0000B9120000}"/>
    <cellStyle name="20% - uthevingsfarge 3 28 2 7 3 2" xfId="34591" xr:uid="{00000000-0005-0000-0000-0000BA120000}"/>
    <cellStyle name="20% - uthevingsfarge 3 28 2 7 4" xfId="32492" xr:uid="{00000000-0005-0000-0000-0000BB120000}"/>
    <cellStyle name="20% - uthevingsfarge 3 28 2 8" xfId="7015" xr:uid="{00000000-0005-0000-0000-0000BC120000}"/>
    <cellStyle name="20% - uthevingsfarge 3 28 2 8 2" xfId="23131" xr:uid="{00000000-0005-0000-0000-0000BD120000}"/>
    <cellStyle name="20% - uthevingsfarge 3 28 2 8 2 2" xfId="39200" xr:uid="{00000000-0005-0000-0000-0000BE120000}"/>
    <cellStyle name="20% - uthevingsfarge 3 28 2 8 3" xfId="30783" xr:uid="{00000000-0005-0000-0000-0000BF120000}"/>
    <cellStyle name="20% - uthevingsfarge 3 28 2 9" xfId="10879" xr:uid="{00000000-0005-0000-0000-0000C0120000}"/>
    <cellStyle name="20% - uthevingsfarge 3 28 3" xfId="3468" xr:uid="{00000000-0005-0000-0000-0000C1120000}"/>
    <cellStyle name="20% - uthevingsfarge 3 28 3 10" xfId="46423" xr:uid="{00000000-0005-0000-0000-0000C2120000}"/>
    <cellStyle name="20% - uthevingsfarge 3 28 3 11" xfId="47084" xr:uid="{00000000-0005-0000-0000-0000C3120000}"/>
    <cellStyle name="20% - uthevingsfarge 3 28 3 2" xfId="3904" xr:uid="{00000000-0005-0000-0000-0000C4120000}"/>
    <cellStyle name="20% - uthevingsfarge 3 28 3 2 2" xfId="5792" xr:uid="{00000000-0005-0000-0000-0000C5120000}"/>
    <cellStyle name="20% - uthevingsfarge 3 28 3 2 2 2" xfId="9207" xr:uid="{00000000-0005-0000-0000-0000C6120000}"/>
    <cellStyle name="20% - uthevingsfarge 3 28 3 2 2 2 2" xfId="21929" xr:uid="{00000000-0005-0000-0000-0000C7120000}"/>
    <cellStyle name="20% - uthevingsfarge 3 28 3 2 2 2 2 2" xfId="38004" xr:uid="{00000000-0005-0000-0000-0000C8120000}"/>
    <cellStyle name="20% - uthevingsfarge 3 28 3 2 2 2 3" xfId="28591" xr:uid="{00000000-0005-0000-0000-0000C9120000}"/>
    <cellStyle name="20% - uthevingsfarge 3 28 3 2 2 3" xfId="20205" xr:uid="{00000000-0005-0000-0000-0000CA120000}"/>
    <cellStyle name="20% - uthevingsfarge 3 28 3 2 2 3 2" xfId="36304" xr:uid="{00000000-0005-0000-0000-0000CB120000}"/>
    <cellStyle name="20% - uthevingsfarge 3 28 3 2 2 4" xfId="31982" xr:uid="{00000000-0005-0000-0000-0000CC120000}"/>
    <cellStyle name="20% - uthevingsfarge 3 28 3 2 3" xfId="7510" xr:uid="{00000000-0005-0000-0000-0000CD120000}"/>
    <cellStyle name="20% - uthevingsfarge 3 28 3 2 3 2" xfId="20808" xr:uid="{00000000-0005-0000-0000-0000CE120000}"/>
    <cellStyle name="20% - uthevingsfarge 3 28 3 2 3 2 2" xfId="36907" xr:uid="{00000000-0005-0000-0000-0000CF120000}"/>
    <cellStyle name="20% - uthevingsfarge 3 28 3 2 3 3" xfId="30288" xr:uid="{00000000-0005-0000-0000-0000D0120000}"/>
    <cellStyle name="20% - uthevingsfarge 3 28 3 2 4" xfId="17968" xr:uid="{00000000-0005-0000-0000-0000D1120000}"/>
    <cellStyle name="20% - uthevingsfarge 3 28 3 2 5" xfId="19556" xr:uid="{00000000-0005-0000-0000-0000D2120000}"/>
    <cellStyle name="20% - uthevingsfarge 3 28 3 2 5 2" xfId="35670" xr:uid="{00000000-0005-0000-0000-0000D3120000}"/>
    <cellStyle name="20% - uthevingsfarge 3 28 3 2 6" xfId="33675" xr:uid="{00000000-0005-0000-0000-0000D4120000}"/>
    <cellStyle name="20% - uthevingsfarge 3 28 3 3" xfId="4403" xr:uid="{00000000-0005-0000-0000-0000D5120000}"/>
    <cellStyle name="20% - uthevingsfarge 3 28 3 3 10" xfId="47274" xr:uid="{00000000-0005-0000-0000-0000D6120000}"/>
    <cellStyle name="20% - uthevingsfarge 3 28 3 3 2" xfId="6200" xr:uid="{00000000-0005-0000-0000-0000D7120000}"/>
    <cellStyle name="20% - uthevingsfarge 3 28 3 3 2 2" xfId="9614" xr:uid="{00000000-0005-0000-0000-0000D8120000}"/>
    <cellStyle name="20% - uthevingsfarge 3 28 3 3 2 2 2" xfId="10417" xr:uid="{00000000-0005-0000-0000-0000D9120000}"/>
    <cellStyle name="20% - uthevingsfarge 3 28 3 3 2 2 2 2" xfId="34353" xr:uid="{00000000-0005-0000-0000-0000DA120000}"/>
    <cellStyle name="20% - uthevingsfarge 3 28 3 3 2 2 3" xfId="28184" xr:uid="{00000000-0005-0000-0000-0000DB120000}"/>
    <cellStyle name="20% - uthevingsfarge 3 28 3 3 2 3" xfId="22994" xr:uid="{00000000-0005-0000-0000-0000DC120000}"/>
    <cellStyle name="20% - uthevingsfarge 3 28 3 3 2 3 2" xfId="39063" xr:uid="{00000000-0005-0000-0000-0000DD120000}"/>
    <cellStyle name="20% - uthevingsfarge 3 28 3 3 2 4" xfId="31585" xr:uid="{00000000-0005-0000-0000-0000DE120000}"/>
    <cellStyle name="20% - uthevingsfarge 3 28 3 3 2 5" xfId="42829" xr:uid="{00000000-0005-0000-0000-0000DF120000}"/>
    <cellStyle name="20% - uthevingsfarge 3 28 3 3 2 6" xfId="43267" xr:uid="{00000000-0005-0000-0000-0000E0120000}"/>
    <cellStyle name="20% - uthevingsfarge 3 28 3 3 2 7" xfId="46115" xr:uid="{00000000-0005-0000-0000-0000E1120000}"/>
    <cellStyle name="20% - uthevingsfarge 3 28 3 3 2 8" xfId="46884" xr:uid="{00000000-0005-0000-0000-0000E2120000}"/>
    <cellStyle name="20% - uthevingsfarge 3 28 3 3 2 9" xfId="47470" xr:uid="{00000000-0005-0000-0000-0000E3120000}"/>
    <cellStyle name="20% - uthevingsfarge 3 28 3 3 3" xfId="7934" xr:uid="{00000000-0005-0000-0000-0000E4120000}"/>
    <cellStyle name="20% - uthevingsfarge 3 28 3 3 3 2" xfId="20948" xr:uid="{00000000-0005-0000-0000-0000E5120000}"/>
    <cellStyle name="20% - uthevingsfarge 3 28 3 3 3 2 2" xfId="37044" xr:uid="{00000000-0005-0000-0000-0000E6120000}"/>
    <cellStyle name="20% - uthevingsfarge 3 28 3 3 3 3" xfId="29865" xr:uid="{00000000-0005-0000-0000-0000E7120000}"/>
    <cellStyle name="20% - uthevingsfarge 3 28 3 3 3 4" xfId="43894" xr:uid="{00000000-0005-0000-0000-0000E8120000}"/>
    <cellStyle name="20% - uthevingsfarge 3 28 3 3 4" xfId="16274" xr:uid="{00000000-0005-0000-0000-0000E9120000}"/>
    <cellStyle name="20% - uthevingsfarge 3 28 3 3 4 2" xfId="35362" xr:uid="{00000000-0005-0000-0000-0000EA120000}"/>
    <cellStyle name="20% - uthevingsfarge 3 28 3 3 5" xfId="25021" xr:uid="{00000000-0005-0000-0000-0000EB120000}"/>
    <cellStyle name="20% - uthevingsfarge 3 28 3 3 6" xfId="25259" xr:uid="{00000000-0005-0000-0000-0000EC120000}"/>
    <cellStyle name="20% - uthevingsfarge 3 28 3 3 7" xfId="33254" xr:uid="{00000000-0005-0000-0000-0000ED120000}"/>
    <cellStyle name="20% - uthevingsfarge 3 28 3 3 8" xfId="43727" xr:uid="{00000000-0005-0000-0000-0000EE120000}"/>
    <cellStyle name="20% - uthevingsfarge 3 28 3 3 9" xfId="46653" xr:uid="{00000000-0005-0000-0000-0000EF120000}"/>
    <cellStyle name="20% - uthevingsfarge 3 28 3 4" xfId="4844" xr:uid="{00000000-0005-0000-0000-0000F0120000}"/>
    <cellStyle name="20% - uthevingsfarge 3 28 3 4 2" xfId="6563" xr:uid="{00000000-0005-0000-0000-0000F1120000}"/>
    <cellStyle name="20% - uthevingsfarge 3 28 3 4 2 2" xfId="9969" xr:uid="{00000000-0005-0000-0000-0000F2120000}"/>
    <cellStyle name="20% - uthevingsfarge 3 28 3 4 2 2 2" xfId="21554" xr:uid="{00000000-0005-0000-0000-0000F3120000}"/>
    <cellStyle name="20% - uthevingsfarge 3 28 3 4 2 2 2 2" xfId="37634" xr:uid="{00000000-0005-0000-0000-0000F4120000}"/>
    <cellStyle name="20% - uthevingsfarge 3 28 3 4 2 2 3" xfId="27830" xr:uid="{00000000-0005-0000-0000-0000F5120000}"/>
    <cellStyle name="20% - uthevingsfarge 3 28 3 4 2 3" xfId="24065" xr:uid="{00000000-0005-0000-0000-0000F6120000}"/>
    <cellStyle name="20% - uthevingsfarge 3 28 3 4 2 3 2" xfId="40118" xr:uid="{00000000-0005-0000-0000-0000F7120000}"/>
    <cellStyle name="20% - uthevingsfarge 3 28 3 4 2 4" xfId="31231" xr:uid="{00000000-0005-0000-0000-0000F8120000}"/>
    <cellStyle name="20% - uthevingsfarge 3 28 3 4 3" xfId="8266" xr:uid="{00000000-0005-0000-0000-0000F9120000}"/>
    <cellStyle name="20% - uthevingsfarge 3 28 3 4 3 2" xfId="21664" xr:uid="{00000000-0005-0000-0000-0000FA120000}"/>
    <cellStyle name="20% - uthevingsfarge 3 28 3 4 3 2 2" xfId="37744" xr:uid="{00000000-0005-0000-0000-0000FB120000}"/>
    <cellStyle name="20% - uthevingsfarge 3 28 3 4 3 3" xfId="29531" xr:uid="{00000000-0005-0000-0000-0000FC120000}"/>
    <cellStyle name="20% - uthevingsfarge 3 28 3 4 4" xfId="22692" xr:uid="{00000000-0005-0000-0000-0000FD120000}"/>
    <cellStyle name="20% - uthevingsfarge 3 28 3 4 4 2" xfId="38761" xr:uid="{00000000-0005-0000-0000-0000FE120000}"/>
    <cellStyle name="20% - uthevingsfarge 3 28 3 4 5" xfId="32923" xr:uid="{00000000-0005-0000-0000-0000FF120000}"/>
    <cellStyle name="20% - uthevingsfarge 3 28 3 5" xfId="5236" xr:uid="{00000000-0005-0000-0000-000000130000}"/>
    <cellStyle name="20% - uthevingsfarge 3 28 3 5 2" xfId="8651" xr:uid="{00000000-0005-0000-0000-000001130000}"/>
    <cellStyle name="20% - uthevingsfarge 3 28 3 5 2 2" xfId="23391" xr:uid="{00000000-0005-0000-0000-000002130000}"/>
    <cellStyle name="20% - uthevingsfarge 3 28 3 5 2 2 2" xfId="39447" xr:uid="{00000000-0005-0000-0000-000003130000}"/>
    <cellStyle name="20% - uthevingsfarge 3 28 3 5 2 3" xfId="29147" xr:uid="{00000000-0005-0000-0000-000004130000}"/>
    <cellStyle name="20% - uthevingsfarge 3 28 3 5 3" xfId="22848" xr:uid="{00000000-0005-0000-0000-000005130000}"/>
    <cellStyle name="20% - uthevingsfarge 3 28 3 5 3 2" xfId="38917" xr:uid="{00000000-0005-0000-0000-000006130000}"/>
    <cellStyle name="20% - uthevingsfarge 3 28 3 5 4" xfId="32538" xr:uid="{00000000-0005-0000-0000-000007130000}"/>
    <cellStyle name="20% - uthevingsfarge 3 28 3 6" xfId="7116" xr:uid="{00000000-0005-0000-0000-000008130000}"/>
    <cellStyle name="20% - uthevingsfarge 3 28 3 6 2" xfId="20673" xr:uid="{00000000-0005-0000-0000-000009130000}"/>
    <cellStyle name="20% - uthevingsfarge 3 28 3 6 2 2" xfId="36772" xr:uid="{00000000-0005-0000-0000-00000A130000}"/>
    <cellStyle name="20% - uthevingsfarge 3 28 3 6 3" xfId="30682" xr:uid="{00000000-0005-0000-0000-00000B130000}"/>
    <cellStyle name="20% - uthevingsfarge 3 28 3 7" xfId="10881" xr:uid="{00000000-0005-0000-0000-00000C130000}"/>
    <cellStyle name="20% - uthevingsfarge 3 28 3 8" xfId="34069" xr:uid="{00000000-0005-0000-0000-00000D130000}"/>
    <cellStyle name="20% - uthevingsfarge 3 28 3 9" xfId="43519" xr:uid="{00000000-0005-0000-0000-00000E130000}"/>
    <cellStyle name="20% - uthevingsfarge 3 28 3_Avviksanalyse løpende RNB15 (1)" xfId="16584" xr:uid="{00000000-0005-0000-0000-00000F130000}"/>
    <cellStyle name="20% - uthevingsfarge 3 28 4" xfId="3725" xr:uid="{00000000-0005-0000-0000-000010130000}"/>
    <cellStyle name="20% - uthevingsfarge 3 28 4 2" xfId="5613" xr:uid="{00000000-0005-0000-0000-000011130000}"/>
    <cellStyle name="20% - uthevingsfarge 3 28 4 2 2" xfId="9028" xr:uid="{00000000-0005-0000-0000-000012130000}"/>
    <cellStyle name="20% - uthevingsfarge 3 28 4 2 2 2" xfId="21911" xr:uid="{00000000-0005-0000-0000-000013130000}"/>
    <cellStyle name="20% - uthevingsfarge 3 28 4 2 2 2 2" xfId="37986" xr:uid="{00000000-0005-0000-0000-000014130000}"/>
    <cellStyle name="20% - uthevingsfarge 3 28 4 2 2 3" xfId="28770" xr:uid="{00000000-0005-0000-0000-000015130000}"/>
    <cellStyle name="20% - uthevingsfarge 3 28 4 2 3" xfId="22261" xr:uid="{00000000-0005-0000-0000-000016130000}"/>
    <cellStyle name="20% - uthevingsfarge 3 28 4 2 3 2" xfId="38335" xr:uid="{00000000-0005-0000-0000-000017130000}"/>
    <cellStyle name="20% - uthevingsfarge 3 28 4 2 4" xfId="32161" xr:uid="{00000000-0005-0000-0000-000018130000}"/>
    <cellStyle name="20% - uthevingsfarge 3 28 4 3" xfId="7331" xr:uid="{00000000-0005-0000-0000-000019130000}"/>
    <cellStyle name="20% - uthevingsfarge 3 28 4 3 2" xfId="20742" xr:uid="{00000000-0005-0000-0000-00001A130000}"/>
    <cellStyle name="20% - uthevingsfarge 3 28 4 3 2 2" xfId="36841" xr:uid="{00000000-0005-0000-0000-00001B130000}"/>
    <cellStyle name="20% - uthevingsfarge 3 28 4 3 3" xfId="30467" xr:uid="{00000000-0005-0000-0000-00001C130000}"/>
    <cellStyle name="20% - uthevingsfarge 3 28 4 4" xfId="23648" xr:uid="{00000000-0005-0000-0000-00001D130000}"/>
    <cellStyle name="20% - uthevingsfarge 3 28 4 4 2" xfId="39704" xr:uid="{00000000-0005-0000-0000-00001E130000}"/>
    <cellStyle name="20% - uthevingsfarge 3 28 4 5" xfId="33854" xr:uid="{00000000-0005-0000-0000-00001F130000}"/>
    <cellStyle name="20% - uthevingsfarge 3 28 5" xfId="4236" xr:uid="{00000000-0005-0000-0000-000020130000}"/>
    <cellStyle name="20% - uthevingsfarge 3 28 5 2" xfId="6068" xr:uid="{00000000-0005-0000-0000-000021130000}"/>
    <cellStyle name="20% - uthevingsfarge 3 28 5 2 2" xfId="9483" xr:uid="{00000000-0005-0000-0000-000022130000}"/>
    <cellStyle name="20% - uthevingsfarge 3 28 5 2 2 2" xfId="21398" xr:uid="{00000000-0005-0000-0000-000023130000}"/>
    <cellStyle name="20% - uthevingsfarge 3 28 5 2 2 2 2" xfId="37478" xr:uid="{00000000-0005-0000-0000-000024130000}"/>
    <cellStyle name="20% - uthevingsfarge 3 28 5 2 2 3" xfId="28315" xr:uid="{00000000-0005-0000-0000-000025130000}"/>
    <cellStyle name="20% - uthevingsfarge 3 28 5 2 3" xfId="23972" xr:uid="{00000000-0005-0000-0000-000026130000}"/>
    <cellStyle name="20% - uthevingsfarge 3 28 5 2 3 2" xfId="40026" xr:uid="{00000000-0005-0000-0000-000027130000}"/>
    <cellStyle name="20% - uthevingsfarge 3 28 5 2 4" xfId="31710" xr:uid="{00000000-0005-0000-0000-000028130000}"/>
    <cellStyle name="20% - uthevingsfarge 3 28 5 3" xfId="7802" xr:uid="{00000000-0005-0000-0000-000029130000}"/>
    <cellStyle name="20% - uthevingsfarge 3 28 5 3 2" xfId="20908" xr:uid="{00000000-0005-0000-0000-00002A130000}"/>
    <cellStyle name="20% - uthevingsfarge 3 28 5 3 2 2" xfId="37007" xr:uid="{00000000-0005-0000-0000-00002B130000}"/>
    <cellStyle name="20% - uthevingsfarge 3 28 5 3 3" xfId="29997" xr:uid="{00000000-0005-0000-0000-00002C130000}"/>
    <cellStyle name="20% - uthevingsfarge 3 28 5 4" xfId="22523" xr:uid="{00000000-0005-0000-0000-00002D130000}"/>
    <cellStyle name="20% - uthevingsfarge 3 28 5 4 2" xfId="38593" xr:uid="{00000000-0005-0000-0000-00002E130000}"/>
    <cellStyle name="20% - uthevingsfarge 3 28 5 5" xfId="33385" xr:uid="{00000000-0005-0000-0000-00002F130000}"/>
    <cellStyle name="20% - uthevingsfarge 3 28 6" xfId="4386" xr:uid="{00000000-0005-0000-0000-000030130000}"/>
    <cellStyle name="20% - uthevingsfarge 3 28 6 2" xfId="6191" xr:uid="{00000000-0005-0000-0000-000031130000}"/>
    <cellStyle name="20% - uthevingsfarge 3 28 6 2 2" xfId="9605" xr:uid="{00000000-0005-0000-0000-000032130000}"/>
    <cellStyle name="20% - uthevingsfarge 3 28 6 2 2 2" xfId="24538" xr:uid="{00000000-0005-0000-0000-000033130000}"/>
    <cellStyle name="20% - uthevingsfarge 3 28 6 2 2 2 2" xfId="40582" xr:uid="{00000000-0005-0000-0000-000034130000}"/>
    <cellStyle name="20% - uthevingsfarge 3 28 6 2 2 3" xfId="28193" xr:uid="{00000000-0005-0000-0000-000035130000}"/>
    <cellStyle name="20% - uthevingsfarge 3 28 6 2 3" xfId="20357" xr:uid="{00000000-0005-0000-0000-000036130000}"/>
    <cellStyle name="20% - uthevingsfarge 3 28 6 2 3 2" xfId="36456" xr:uid="{00000000-0005-0000-0000-000037130000}"/>
    <cellStyle name="20% - uthevingsfarge 3 28 6 2 4" xfId="31592" xr:uid="{00000000-0005-0000-0000-000038130000}"/>
    <cellStyle name="20% - uthevingsfarge 3 28 6 3" xfId="7925" xr:uid="{00000000-0005-0000-0000-000039130000}"/>
    <cellStyle name="20% - uthevingsfarge 3 28 6 3 2" xfId="19454" xr:uid="{00000000-0005-0000-0000-00003A130000}"/>
    <cellStyle name="20% - uthevingsfarge 3 28 6 3 2 2" xfId="35568" xr:uid="{00000000-0005-0000-0000-00003B130000}"/>
    <cellStyle name="20% - uthevingsfarge 3 28 6 3 3" xfId="29874" xr:uid="{00000000-0005-0000-0000-00003C130000}"/>
    <cellStyle name="20% - uthevingsfarge 3 28 6 4" xfId="12355" xr:uid="{00000000-0005-0000-0000-00003D130000}"/>
    <cellStyle name="20% - uthevingsfarge 3 28 6 4 2" xfId="35204" xr:uid="{00000000-0005-0000-0000-00003E130000}"/>
    <cellStyle name="20% - uthevingsfarge 3 28 6 5" xfId="33262" xr:uid="{00000000-0005-0000-0000-00003F130000}"/>
    <cellStyle name="20% - uthevingsfarge 3 28 7" xfId="4660" xr:uid="{00000000-0005-0000-0000-000040130000}"/>
    <cellStyle name="20% - uthevingsfarge 3 28 7 2" xfId="6380" xr:uid="{00000000-0005-0000-0000-000041130000}"/>
    <cellStyle name="20% - uthevingsfarge 3 28 7 2 2" xfId="9790" xr:uid="{00000000-0005-0000-0000-000042130000}"/>
    <cellStyle name="20% - uthevingsfarge 3 28 7 2 2 2" xfId="21981" xr:uid="{00000000-0005-0000-0000-000043130000}"/>
    <cellStyle name="20% - uthevingsfarge 3 28 7 2 2 2 2" xfId="38056" xr:uid="{00000000-0005-0000-0000-000044130000}"/>
    <cellStyle name="20% - uthevingsfarge 3 28 7 2 2 3" xfId="28009" xr:uid="{00000000-0005-0000-0000-000045130000}"/>
    <cellStyle name="20% - uthevingsfarge 3 28 7 2 3" xfId="20428" xr:uid="{00000000-0005-0000-0000-000046130000}"/>
    <cellStyle name="20% - uthevingsfarge 3 28 7 2 3 2" xfId="36527" xr:uid="{00000000-0005-0000-0000-000047130000}"/>
    <cellStyle name="20% - uthevingsfarge 3 28 7 2 4" xfId="31410" xr:uid="{00000000-0005-0000-0000-000048130000}"/>
    <cellStyle name="20% - uthevingsfarge 3 28 7 3" xfId="8086" xr:uid="{00000000-0005-0000-0000-000049130000}"/>
    <cellStyle name="20% - uthevingsfarge 3 28 7 3 2" xfId="11895" xr:uid="{00000000-0005-0000-0000-00004A130000}"/>
    <cellStyle name="20% - uthevingsfarge 3 28 7 3 2 2" xfId="34931" xr:uid="{00000000-0005-0000-0000-00004B130000}"/>
    <cellStyle name="20% - uthevingsfarge 3 28 7 3 3" xfId="29712" xr:uid="{00000000-0005-0000-0000-00004C130000}"/>
    <cellStyle name="20% - uthevingsfarge 3 28 7 4" xfId="19677" xr:uid="{00000000-0005-0000-0000-00004D130000}"/>
    <cellStyle name="20% - uthevingsfarge 3 28 7 4 2" xfId="35791" xr:uid="{00000000-0005-0000-0000-00004E130000}"/>
    <cellStyle name="20% - uthevingsfarge 3 28 7 5" xfId="33103" xr:uid="{00000000-0005-0000-0000-00004F130000}"/>
    <cellStyle name="20% - uthevingsfarge 3 28 8" xfId="5024" xr:uid="{00000000-0005-0000-0000-000050130000}"/>
    <cellStyle name="20% - uthevingsfarge 3 28 8 2" xfId="6743" xr:uid="{00000000-0005-0000-0000-000051130000}"/>
    <cellStyle name="20% - uthevingsfarge 3 28 8 2 2" xfId="10149" xr:uid="{00000000-0005-0000-0000-000052130000}"/>
    <cellStyle name="20% - uthevingsfarge 3 28 8 2 2 2" xfId="21626" xr:uid="{00000000-0005-0000-0000-000053130000}"/>
    <cellStyle name="20% - uthevingsfarge 3 28 8 2 2 2 2" xfId="37706" xr:uid="{00000000-0005-0000-0000-000054130000}"/>
    <cellStyle name="20% - uthevingsfarge 3 28 8 2 2 3" xfId="27650" xr:uid="{00000000-0005-0000-0000-000055130000}"/>
    <cellStyle name="20% - uthevingsfarge 3 28 8 2 3" xfId="20552" xr:uid="{00000000-0005-0000-0000-000056130000}"/>
    <cellStyle name="20% - uthevingsfarge 3 28 8 2 3 2" xfId="36651" xr:uid="{00000000-0005-0000-0000-000057130000}"/>
    <cellStyle name="20% - uthevingsfarge 3 28 8 2 4" xfId="31051" xr:uid="{00000000-0005-0000-0000-000058130000}"/>
    <cellStyle name="20% - uthevingsfarge 3 28 8 3" xfId="8446" xr:uid="{00000000-0005-0000-0000-000059130000}"/>
    <cellStyle name="20% - uthevingsfarge 3 28 8 3 2" xfId="21872" xr:uid="{00000000-0005-0000-0000-00005A130000}"/>
    <cellStyle name="20% - uthevingsfarge 3 28 8 3 2 2" xfId="37948" xr:uid="{00000000-0005-0000-0000-00005B130000}"/>
    <cellStyle name="20% - uthevingsfarge 3 28 8 3 3" xfId="29352" xr:uid="{00000000-0005-0000-0000-00005C130000}"/>
    <cellStyle name="20% - uthevingsfarge 3 28 8 4" xfId="10856" xr:uid="{00000000-0005-0000-0000-00005D130000}"/>
    <cellStyle name="20% - uthevingsfarge 3 28 8 4 2" xfId="34654" xr:uid="{00000000-0005-0000-0000-00005E130000}"/>
    <cellStyle name="20% - uthevingsfarge 3 28 8 5" xfId="32743" xr:uid="{00000000-0005-0000-0000-00005F130000}"/>
    <cellStyle name="20% - uthevingsfarge 3 28 9" xfId="5223" xr:uid="{00000000-0005-0000-0000-000060130000}"/>
    <cellStyle name="20% - uthevingsfarge 3 28 9 2" xfId="8638" xr:uid="{00000000-0005-0000-0000-000061130000}"/>
    <cellStyle name="20% - uthevingsfarge 3 28 9 2 2" xfId="21146" xr:uid="{00000000-0005-0000-0000-000062130000}"/>
    <cellStyle name="20% - uthevingsfarge 3 28 9 2 2 2" xfId="37226" xr:uid="{00000000-0005-0000-0000-000063130000}"/>
    <cellStyle name="20% - uthevingsfarge 3 28 9 2 3" xfId="29160" xr:uid="{00000000-0005-0000-0000-000064130000}"/>
    <cellStyle name="20% - uthevingsfarge 3 28 9 3" xfId="12119" xr:uid="{00000000-0005-0000-0000-000065130000}"/>
    <cellStyle name="20% - uthevingsfarge 3 28 9 3 2" xfId="35081" xr:uid="{00000000-0005-0000-0000-000066130000}"/>
    <cellStyle name="20% - uthevingsfarge 3 28 9 4" xfId="32551" xr:uid="{00000000-0005-0000-0000-000067130000}"/>
    <cellStyle name="20% - uthevingsfarge 3 29" xfId="412" xr:uid="{00000000-0005-0000-0000-000068130000}"/>
    <cellStyle name="20% - uthevingsfarge 3 29 10" xfId="10882" xr:uid="{00000000-0005-0000-0000-000069130000}"/>
    <cellStyle name="20% - uthevingsfarge 3 29 11" xfId="34275" xr:uid="{00000000-0005-0000-0000-00006A130000}"/>
    <cellStyle name="20% - uthevingsfarge 3 29 2" xfId="3322" xr:uid="{00000000-0005-0000-0000-00006B130000}"/>
    <cellStyle name="20% - uthevingsfarge 3 29 2 10" xfId="34169" xr:uid="{00000000-0005-0000-0000-00006C130000}"/>
    <cellStyle name="20% - uthevingsfarge 3 29 2 2" xfId="3554" xr:uid="{00000000-0005-0000-0000-00006D130000}"/>
    <cellStyle name="20% - uthevingsfarge 3 29 2 2 10" xfId="47153" xr:uid="{00000000-0005-0000-0000-00006E130000}"/>
    <cellStyle name="20% - uthevingsfarge 3 29 2 2 2" xfId="3984" xr:uid="{00000000-0005-0000-0000-00006F130000}"/>
    <cellStyle name="20% - uthevingsfarge 3 29 2 2 2 2" xfId="5872" xr:uid="{00000000-0005-0000-0000-000070130000}"/>
    <cellStyle name="20% - uthevingsfarge 3 29 2 2 2 2 2" xfId="9287" xr:uid="{00000000-0005-0000-0000-000071130000}"/>
    <cellStyle name="20% - uthevingsfarge 3 29 2 2 2 2 2 2" xfId="19400" xr:uid="{00000000-0005-0000-0000-000072130000}"/>
    <cellStyle name="20% - uthevingsfarge 3 29 2 2 2 2 2 2 2" xfId="35514" xr:uid="{00000000-0005-0000-0000-000073130000}"/>
    <cellStyle name="20% - uthevingsfarge 3 29 2 2 2 2 2 3" xfId="28511" xr:uid="{00000000-0005-0000-0000-000074130000}"/>
    <cellStyle name="20% - uthevingsfarge 3 29 2 2 2 2 3" xfId="11978" xr:uid="{00000000-0005-0000-0000-000075130000}"/>
    <cellStyle name="20% - uthevingsfarge 3 29 2 2 2 2 3 2" xfId="35000" xr:uid="{00000000-0005-0000-0000-000076130000}"/>
    <cellStyle name="20% - uthevingsfarge 3 29 2 2 2 2 4" xfId="31902" xr:uid="{00000000-0005-0000-0000-000077130000}"/>
    <cellStyle name="20% - uthevingsfarge 3 29 2 2 2 3" xfId="7590" xr:uid="{00000000-0005-0000-0000-000078130000}"/>
    <cellStyle name="20% - uthevingsfarge 3 29 2 2 2 3 2" xfId="23229" xr:uid="{00000000-0005-0000-0000-000079130000}"/>
    <cellStyle name="20% - uthevingsfarge 3 29 2 2 2 3 2 2" xfId="39298" xr:uid="{00000000-0005-0000-0000-00007A130000}"/>
    <cellStyle name="20% - uthevingsfarge 3 29 2 2 2 3 3" xfId="30208" xr:uid="{00000000-0005-0000-0000-00007B130000}"/>
    <cellStyle name="20% - uthevingsfarge 3 29 2 2 2 4" xfId="17969" xr:uid="{00000000-0005-0000-0000-00007C130000}"/>
    <cellStyle name="20% - uthevingsfarge 3 29 2 2 2 5" xfId="19602" xr:uid="{00000000-0005-0000-0000-00007D130000}"/>
    <cellStyle name="20% - uthevingsfarge 3 29 2 2 2 5 2" xfId="35716" xr:uid="{00000000-0005-0000-0000-00007E130000}"/>
    <cellStyle name="20% - uthevingsfarge 3 29 2 2 2 6" xfId="33595" xr:uid="{00000000-0005-0000-0000-00007F130000}"/>
    <cellStyle name="20% - uthevingsfarge 3 29 2 2 3" xfId="4924" xr:uid="{00000000-0005-0000-0000-000080130000}"/>
    <cellStyle name="20% - uthevingsfarge 3 29 2 2 3 10" xfId="47343" xr:uid="{00000000-0005-0000-0000-000081130000}"/>
    <cellStyle name="20% - uthevingsfarge 3 29 2 2 3 2" xfId="6643" xr:uid="{00000000-0005-0000-0000-000082130000}"/>
    <cellStyle name="20% - uthevingsfarge 3 29 2 2 3 2 2" xfId="10049" xr:uid="{00000000-0005-0000-0000-000083130000}"/>
    <cellStyle name="20% - uthevingsfarge 3 29 2 2 3 2 2 2" xfId="21586" xr:uid="{00000000-0005-0000-0000-000084130000}"/>
    <cellStyle name="20% - uthevingsfarge 3 29 2 2 3 2 2 2 2" xfId="37666" xr:uid="{00000000-0005-0000-0000-000085130000}"/>
    <cellStyle name="20% - uthevingsfarge 3 29 2 2 3 2 2 3" xfId="27750" xr:uid="{00000000-0005-0000-0000-000086130000}"/>
    <cellStyle name="20% - uthevingsfarge 3 29 2 2 3 2 3" xfId="20531" xr:uid="{00000000-0005-0000-0000-000087130000}"/>
    <cellStyle name="20% - uthevingsfarge 3 29 2 2 3 2 3 2" xfId="36630" xr:uid="{00000000-0005-0000-0000-000088130000}"/>
    <cellStyle name="20% - uthevingsfarge 3 29 2 2 3 2 4" xfId="31151" xr:uid="{00000000-0005-0000-0000-000089130000}"/>
    <cellStyle name="20% - uthevingsfarge 3 29 2 2 3 2 5" xfId="43037" xr:uid="{00000000-0005-0000-0000-00008A130000}"/>
    <cellStyle name="20% - uthevingsfarge 3 29 2 2 3 2 6" xfId="43334" xr:uid="{00000000-0005-0000-0000-00008B130000}"/>
    <cellStyle name="20% - uthevingsfarge 3 29 2 2 3 2 7" xfId="46182" xr:uid="{00000000-0005-0000-0000-00008C130000}"/>
    <cellStyle name="20% - uthevingsfarge 3 29 2 2 3 2 8" xfId="46954" xr:uid="{00000000-0005-0000-0000-00008D130000}"/>
    <cellStyle name="20% - uthevingsfarge 3 29 2 2 3 2 9" xfId="47539" xr:uid="{00000000-0005-0000-0000-00008E130000}"/>
    <cellStyle name="20% - uthevingsfarge 3 29 2 2 3 3" xfId="8346" xr:uid="{00000000-0005-0000-0000-00008F130000}"/>
    <cellStyle name="20% - uthevingsfarge 3 29 2 2 3 3 2" xfId="23348" xr:uid="{00000000-0005-0000-0000-000090130000}"/>
    <cellStyle name="20% - uthevingsfarge 3 29 2 2 3 3 2 2" xfId="39409" xr:uid="{00000000-0005-0000-0000-000091130000}"/>
    <cellStyle name="20% - uthevingsfarge 3 29 2 2 3 3 3" xfId="29452" xr:uid="{00000000-0005-0000-0000-000092130000}"/>
    <cellStyle name="20% - uthevingsfarge 3 29 2 2 3 3 4" xfId="43895" xr:uid="{00000000-0005-0000-0000-000093130000}"/>
    <cellStyle name="20% - uthevingsfarge 3 29 2 2 3 4" xfId="16482" xr:uid="{00000000-0005-0000-0000-000094130000}"/>
    <cellStyle name="20% - uthevingsfarge 3 29 2 2 3 4 2" xfId="35429" xr:uid="{00000000-0005-0000-0000-000095130000}"/>
    <cellStyle name="20% - uthevingsfarge 3 29 2 2 3 5" xfId="25091" xr:uid="{00000000-0005-0000-0000-000096130000}"/>
    <cellStyle name="20% - uthevingsfarge 3 29 2 2 3 6" xfId="25260" xr:uid="{00000000-0005-0000-0000-000097130000}"/>
    <cellStyle name="20% - uthevingsfarge 3 29 2 2 3 7" xfId="32843" xr:uid="{00000000-0005-0000-0000-000098130000}"/>
    <cellStyle name="20% - uthevingsfarge 3 29 2 2 3 8" xfId="43795" xr:uid="{00000000-0005-0000-0000-000099130000}"/>
    <cellStyle name="20% - uthevingsfarge 3 29 2 2 3 9" xfId="46720" xr:uid="{00000000-0005-0000-0000-00009A130000}"/>
    <cellStyle name="20% - uthevingsfarge 3 29 2 2 4" xfId="5478" xr:uid="{00000000-0005-0000-0000-00009B130000}"/>
    <cellStyle name="20% - uthevingsfarge 3 29 2 2 4 2" xfId="8893" xr:uid="{00000000-0005-0000-0000-00009C130000}"/>
    <cellStyle name="20% - uthevingsfarge 3 29 2 2 4 2 2" xfId="21726" xr:uid="{00000000-0005-0000-0000-00009D130000}"/>
    <cellStyle name="20% - uthevingsfarge 3 29 2 2 4 2 2 2" xfId="37804" xr:uid="{00000000-0005-0000-0000-00009E130000}"/>
    <cellStyle name="20% - uthevingsfarge 3 29 2 2 4 2 3" xfId="28905" xr:uid="{00000000-0005-0000-0000-00009F130000}"/>
    <cellStyle name="20% - uthevingsfarge 3 29 2 2 4 3" xfId="10695" xr:uid="{00000000-0005-0000-0000-0000A0130000}"/>
    <cellStyle name="20% - uthevingsfarge 3 29 2 2 4 3 2" xfId="34543" xr:uid="{00000000-0005-0000-0000-0000A1130000}"/>
    <cellStyle name="20% - uthevingsfarge 3 29 2 2 4 4" xfId="32296" xr:uid="{00000000-0005-0000-0000-0000A2130000}"/>
    <cellStyle name="20% - uthevingsfarge 3 29 2 2 5" xfId="7196" xr:uid="{00000000-0005-0000-0000-0000A3130000}"/>
    <cellStyle name="20% - uthevingsfarge 3 29 2 2 5 2" xfId="22649" xr:uid="{00000000-0005-0000-0000-0000A4130000}"/>
    <cellStyle name="20% - uthevingsfarge 3 29 2 2 5 2 2" xfId="38718" xr:uid="{00000000-0005-0000-0000-0000A5130000}"/>
    <cellStyle name="20% - uthevingsfarge 3 29 2 2 5 3" xfId="30602" xr:uid="{00000000-0005-0000-0000-0000A6130000}"/>
    <cellStyle name="20% - uthevingsfarge 3 29 2 2 6" xfId="10884" xr:uid="{00000000-0005-0000-0000-0000A7130000}"/>
    <cellStyle name="20% - uthevingsfarge 3 29 2 2 7" xfId="33989" xr:uid="{00000000-0005-0000-0000-0000A8130000}"/>
    <cellStyle name="20% - uthevingsfarge 3 29 2 2 8" xfId="43586" xr:uid="{00000000-0005-0000-0000-0000A9130000}"/>
    <cellStyle name="20% - uthevingsfarge 3 29 2 2 9" xfId="46492" xr:uid="{00000000-0005-0000-0000-0000AA130000}"/>
    <cellStyle name="20% - uthevingsfarge 3 29 2 2_Avviksanalyse løpende RNB15 (1)" xfId="16585" xr:uid="{00000000-0005-0000-0000-0000AB130000}"/>
    <cellStyle name="20% - uthevingsfarge 3 29 2 3" xfId="3804" xr:uid="{00000000-0005-0000-0000-0000AC130000}"/>
    <cellStyle name="20% - uthevingsfarge 3 29 2 3 2" xfId="5692" xr:uid="{00000000-0005-0000-0000-0000AD130000}"/>
    <cellStyle name="20% - uthevingsfarge 3 29 2 3 2 2" xfId="9107" xr:uid="{00000000-0005-0000-0000-0000AE130000}"/>
    <cellStyle name="20% - uthevingsfarge 3 29 2 3 2 2 2" xfId="21277" xr:uid="{00000000-0005-0000-0000-0000AF130000}"/>
    <cellStyle name="20% - uthevingsfarge 3 29 2 3 2 2 2 2" xfId="37357" xr:uid="{00000000-0005-0000-0000-0000B0130000}"/>
    <cellStyle name="20% - uthevingsfarge 3 29 2 3 2 2 3" xfId="28691" xr:uid="{00000000-0005-0000-0000-0000B1130000}"/>
    <cellStyle name="20% - uthevingsfarge 3 29 2 3 2 3" xfId="22898" xr:uid="{00000000-0005-0000-0000-0000B2130000}"/>
    <cellStyle name="20% - uthevingsfarge 3 29 2 3 2 3 2" xfId="38967" xr:uid="{00000000-0005-0000-0000-0000B3130000}"/>
    <cellStyle name="20% - uthevingsfarge 3 29 2 3 2 4" xfId="32082" xr:uid="{00000000-0005-0000-0000-0000B4130000}"/>
    <cellStyle name="20% - uthevingsfarge 3 29 2 3 3" xfId="7410" xr:uid="{00000000-0005-0000-0000-0000B5130000}"/>
    <cellStyle name="20% - uthevingsfarge 3 29 2 3 3 2" xfId="22450" xr:uid="{00000000-0005-0000-0000-0000B6130000}"/>
    <cellStyle name="20% - uthevingsfarge 3 29 2 3 3 2 2" xfId="38522" xr:uid="{00000000-0005-0000-0000-0000B7130000}"/>
    <cellStyle name="20% - uthevingsfarge 3 29 2 3 3 3" xfId="30388" xr:uid="{00000000-0005-0000-0000-0000B8130000}"/>
    <cellStyle name="20% - uthevingsfarge 3 29 2 3 4" xfId="23779" xr:uid="{00000000-0005-0000-0000-0000B9130000}"/>
    <cellStyle name="20% - uthevingsfarge 3 29 2 3 4 2" xfId="39835" xr:uid="{00000000-0005-0000-0000-0000BA130000}"/>
    <cellStyle name="20% - uthevingsfarge 3 29 2 3 5" xfId="33775" xr:uid="{00000000-0005-0000-0000-0000BB130000}"/>
    <cellStyle name="20% - uthevingsfarge 3 29 2 4" xfId="4289" xr:uid="{00000000-0005-0000-0000-0000BC130000}"/>
    <cellStyle name="20% - uthevingsfarge 3 29 2 4 2" xfId="6118" xr:uid="{00000000-0005-0000-0000-0000BD130000}"/>
    <cellStyle name="20% - uthevingsfarge 3 29 2 4 2 2" xfId="9532" xr:uid="{00000000-0005-0000-0000-0000BE130000}"/>
    <cellStyle name="20% - uthevingsfarge 3 29 2 4 2 2 2" xfId="21958" xr:uid="{00000000-0005-0000-0000-0000BF130000}"/>
    <cellStyle name="20% - uthevingsfarge 3 29 2 4 2 2 2 2" xfId="38033" xr:uid="{00000000-0005-0000-0000-0000C0130000}"/>
    <cellStyle name="20% - uthevingsfarge 3 29 2 4 2 2 3" xfId="28266" xr:uid="{00000000-0005-0000-0000-0000C1130000}"/>
    <cellStyle name="20% - uthevingsfarge 3 29 2 4 2 3" xfId="22316" xr:uid="{00000000-0005-0000-0000-0000C2130000}"/>
    <cellStyle name="20% - uthevingsfarge 3 29 2 4 2 3 2" xfId="38388" xr:uid="{00000000-0005-0000-0000-0000C3130000}"/>
    <cellStyle name="20% - uthevingsfarge 3 29 2 4 2 4" xfId="31661" xr:uid="{00000000-0005-0000-0000-0000C4130000}"/>
    <cellStyle name="20% - uthevingsfarge 3 29 2 4 3" xfId="7851" xr:uid="{00000000-0005-0000-0000-0000C5130000}"/>
    <cellStyle name="20% - uthevingsfarge 3 29 2 4 3 2" xfId="23279" xr:uid="{00000000-0005-0000-0000-0000C6130000}"/>
    <cellStyle name="20% - uthevingsfarge 3 29 2 4 3 2 2" xfId="39347" xr:uid="{00000000-0005-0000-0000-0000C7130000}"/>
    <cellStyle name="20% - uthevingsfarge 3 29 2 4 3 3" xfId="29948" xr:uid="{00000000-0005-0000-0000-0000C8130000}"/>
    <cellStyle name="20% - uthevingsfarge 3 29 2 4 4" xfId="19625" xr:uid="{00000000-0005-0000-0000-0000C9130000}"/>
    <cellStyle name="20% - uthevingsfarge 3 29 2 4 4 2" xfId="35739" xr:uid="{00000000-0005-0000-0000-0000CA130000}"/>
    <cellStyle name="20% - uthevingsfarge 3 29 2 4 5" xfId="33336" xr:uid="{00000000-0005-0000-0000-0000CB130000}"/>
    <cellStyle name="20% - uthevingsfarge 3 29 2 5" xfId="4744" xr:uid="{00000000-0005-0000-0000-0000CC130000}"/>
    <cellStyle name="20% - uthevingsfarge 3 29 2 5 2" xfId="6464" xr:uid="{00000000-0005-0000-0000-0000CD130000}"/>
    <cellStyle name="20% - uthevingsfarge 3 29 2 5 2 2" xfId="9870" xr:uid="{00000000-0005-0000-0000-0000CE130000}"/>
    <cellStyle name="20% - uthevingsfarge 3 29 2 5 2 2 2" xfId="21515" xr:uid="{00000000-0005-0000-0000-0000CF130000}"/>
    <cellStyle name="20% - uthevingsfarge 3 29 2 5 2 2 2 2" xfId="37595" xr:uid="{00000000-0005-0000-0000-0000D0130000}"/>
    <cellStyle name="20% - uthevingsfarge 3 29 2 5 2 2 3" xfId="27929" xr:uid="{00000000-0005-0000-0000-0000D1130000}"/>
    <cellStyle name="20% - uthevingsfarge 3 29 2 5 2 3" xfId="20460" xr:uid="{00000000-0005-0000-0000-0000D2130000}"/>
    <cellStyle name="20% - uthevingsfarge 3 29 2 5 2 3 2" xfId="36559" xr:uid="{00000000-0005-0000-0000-0000D3130000}"/>
    <cellStyle name="20% - uthevingsfarge 3 29 2 5 2 4" xfId="31330" xr:uid="{00000000-0005-0000-0000-0000D4130000}"/>
    <cellStyle name="20% - uthevingsfarge 3 29 2 5 3" xfId="8166" xr:uid="{00000000-0005-0000-0000-0000D5130000}"/>
    <cellStyle name="20% - uthevingsfarge 3 29 2 5 3 2" xfId="24326" xr:uid="{00000000-0005-0000-0000-0000D6130000}"/>
    <cellStyle name="20% - uthevingsfarge 3 29 2 5 3 2 2" xfId="40376" xr:uid="{00000000-0005-0000-0000-0000D7130000}"/>
    <cellStyle name="20% - uthevingsfarge 3 29 2 5 3 3" xfId="29631" xr:uid="{00000000-0005-0000-0000-0000D8130000}"/>
    <cellStyle name="20% - uthevingsfarge 3 29 2 5 4" xfId="19707" xr:uid="{00000000-0005-0000-0000-0000D9130000}"/>
    <cellStyle name="20% - uthevingsfarge 3 29 2 5 4 2" xfId="35821" xr:uid="{00000000-0005-0000-0000-0000DA130000}"/>
    <cellStyle name="20% - uthevingsfarge 3 29 2 5 5" xfId="33023" xr:uid="{00000000-0005-0000-0000-0000DB130000}"/>
    <cellStyle name="20% - uthevingsfarge 3 29 2 6" xfId="5104" xr:uid="{00000000-0005-0000-0000-0000DC130000}"/>
    <cellStyle name="20% - uthevingsfarge 3 29 2 6 2" xfId="6823" xr:uid="{00000000-0005-0000-0000-0000DD130000}"/>
    <cellStyle name="20% - uthevingsfarge 3 29 2 6 2 2" xfId="10229" xr:uid="{00000000-0005-0000-0000-0000DE130000}"/>
    <cellStyle name="20% - uthevingsfarge 3 29 2 6 2 2 2" xfId="24672" xr:uid="{00000000-0005-0000-0000-0000DF130000}"/>
    <cellStyle name="20% - uthevingsfarge 3 29 2 6 2 2 2 2" xfId="40715" xr:uid="{00000000-0005-0000-0000-0000E0130000}"/>
    <cellStyle name="20% - uthevingsfarge 3 29 2 6 2 2 3" xfId="27570" xr:uid="{00000000-0005-0000-0000-0000E1130000}"/>
    <cellStyle name="20% - uthevingsfarge 3 29 2 6 2 3" xfId="10652" xr:uid="{00000000-0005-0000-0000-0000E2130000}"/>
    <cellStyle name="20% - uthevingsfarge 3 29 2 6 2 3 2" xfId="34500" xr:uid="{00000000-0005-0000-0000-0000E3130000}"/>
    <cellStyle name="20% - uthevingsfarge 3 29 2 6 2 4" xfId="30971" xr:uid="{00000000-0005-0000-0000-0000E4130000}"/>
    <cellStyle name="20% - uthevingsfarge 3 29 2 6 3" xfId="8526" xr:uid="{00000000-0005-0000-0000-0000E5130000}"/>
    <cellStyle name="20% - uthevingsfarge 3 29 2 6 3 2" xfId="23374" xr:uid="{00000000-0005-0000-0000-0000E6130000}"/>
    <cellStyle name="20% - uthevingsfarge 3 29 2 6 3 2 2" xfId="39431" xr:uid="{00000000-0005-0000-0000-0000E7130000}"/>
    <cellStyle name="20% - uthevingsfarge 3 29 2 6 3 3" xfId="29272" xr:uid="{00000000-0005-0000-0000-0000E8130000}"/>
    <cellStyle name="20% - uthevingsfarge 3 29 2 6 4" xfId="22841" xr:uid="{00000000-0005-0000-0000-0000E9130000}"/>
    <cellStyle name="20% - uthevingsfarge 3 29 2 6 4 2" xfId="38910" xr:uid="{00000000-0005-0000-0000-0000EA130000}"/>
    <cellStyle name="20% - uthevingsfarge 3 29 2 6 5" xfId="32663" xr:uid="{00000000-0005-0000-0000-0000EB130000}"/>
    <cellStyle name="20% - uthevingsfarge 3 29 2 7" xfId="5283" xr:uid="{00000000-0005-0000-0000-0000EC130000}"/>
    <cellStyle name="20% - uthevingsfarge 3 29 2 7 2" xfId="8698" xr:uid="{00000000-0005-0000-0000-0000ED130000}"/>
    <cellStyle name="20% - uthevingsfarge 3 29 2 7 2 2" xfId="22743" xr:uid="{00000000-0005-0000-0000-0000EE130000}"/>
    <cellStyle name="20% - uthevingsfarge 3 29 2 7 2 2 2" xfId="38812" xr:uid="{00000000-0005-0000-0000-0000EF130000}"/>
    <cellStyle name="20% - uthevingsfarge 3 29 2 7 2 3" xfId="29100" xr:uid="{00000000-0005-0000-0000-0000F0130000}"/>
    <cellStyle name="20% - uthevingsfarge 3 29 2 7 3" xfId="19794" xr:uid="{00000000-0005-0000-0000-0000F1130000}"/>
    <cellStyle name="20% - uthevingsfarge 3 29 2 7 3 2" xfId="35908" xr:uid="{00000000-0005-0000-0000-0000F2130000}"/>
    <cellStyle name="20% - uthevingsfarge 3 29 2 7 4" xfId="32491" xr:uid="{00000000-0005-0000-0000-0000F3130000}"/>
    <cellStyle name="20% - uthevingsfarge 3 29 2 8" xfId="7016" xr:uid="{00000000-0005-0000-0000-0000F4130000}"/>
    <cellStyle name="20% - uthevingsfarge 3 29 2 8 2" xfId="20633" xr:uid="{00000000-0005-0000-0000-0000F5130000}"/>
    <cellStyle name="20% - uthevingsfarge 3 29 2 8 2 2" xfId="36732" xr:uid="{00000000-0005-0000-0000-0000F6130000}"/>
    <cellStyle name="20% - uthevingsfarge 3 29 2 8 3" xfId="30782" xr:uid="{00000000-0005-0000-0000-0000F7130000}"/>
    <cellStyle name="20% - uthevingsfarge 3 29 2 9" xfId="10883" xr:uid="{00000000-0005-0000-0000-0000F8130000}"/>
    <cellStyle name="20% - uthevingsfarge 3 29 3" xfId="3469" xr:uid="{00000000-0005-0000-0000-0000F9130000}"/>
    <cellStyle name="20% - uthevingsfarge 3 29 3 10" xfId="47085" xr:uid="{00000000-0005-0000-0000-0000FA130000}"/>
    <cellStyle name="20% - uthevingsfarge 3 29 3 2" xfId="3905" xr:uid="{00000000-0005-0000-0000-0000FB130000}"/>
    <cellStyle name="20% - uthevingsfarge 3 29 3 2 2" xfId="5793" xr:uid="{00000000-0005-0000-0000-0000FC130000}"/>
    <cellStyle name="20% - uthevingsfarge 3 29 3 2 2 2" xfId="9208" xr:uid="{00000000-0005-0000-0000-0000FD130000}"/>
    <cellStyle name="20% - uthevingsfarge 3 29 3 2 2 2 2" xfId="23474" xr:uid="{00000000-0005-0000-0000-0000FE130000}"/>
    <cellStyle name="20% - uthevingsfarge 3 29 3 2 2 2 2 2" xfId="39530" xr:uid="{00000000-0005-0000-0000-0000FF130000}"/>
    <cellStyle name="20% - uthevingsfarge 3 29 3 2 2 2 3" xfId="28590" xr:uid="{00000000-0005-0000-0000-000000140000}"/>
    <cellStyle name="20% - uthevingsfarge 3 29 3 2 2 3" xfId="20206" xr:uid="{00000000-0005-0000-0000-000001140000}"/>
    <cellStyle name="20% - uthevingsfarge 3 29 3 2 2 3 2" xfId="36305" xr:uid="{00000000-0005-0000-0000-000002140000}"/>
    <cellStyle name="20% - uthevingsfarge 3 29 3 2 2 4" xfId="31981" xr:uid="{00000000-0005-0000-0000-000003140000}"/>
    <cellStyle name="20% - uthevingsfarge 3 29 3 2 3" xfId="7511" xr:uid="{00000000-0005-0000-0000-000004140000}"/>
    <cellStyle name="20% - uthevingsfarge 3 29 3 2 3 2" xfId="20809" xr:uid="{00000000-0005-0000-0000-000005140000}"/>
    <cellStyle name="20% - uthevingsfarge 3 29 3 2 3 2 2" xfId="36908" xr:uid="{00000000-0005-0000-0000-000006140000}"/>
    <cellStyle name="20% - uthevingsfarge 3 29 3 2 3 3" xfId="30287" xr:uid="{00000000-0005-0000-0000-000007140000}"/>
    <cellStyle name="20% - uthevingsfarge 3 29 3 2 4" xfId="17970" xr:uid="{00000000-0005-0000-0000-000008140000}"/>
    <cellStyle name="20% - uthevingsfarge 3 29 3 2 5" xfId="12496" xr:uid="{00000000-0005-0000-0000-000009140000}"/>
    <cellStyle name="20% - uthevingsfarge 3 29 3 2 5 2" xfId="35258" xr:uid="{00000000-0005-0000-0000-00000A140000}"/>
    <cellStyle name="20% - uthevingsfarge 3 29 3 2 6" xfId="33674" xr:uid="{00000000-0005-0000-0000-00000B140000}"/>
    <cellStyle name="20% - uthevingsfarge 3 29 3 3" xfId="4845" xr:uid="{00000000-0005-0000-0000-00000C140000}"/>
    <cellStyle name="20% - uthevingsfarge 3 29 3 3 10" xfId="47275" xr:uid="{00000000-0005-0000-0000-00000D140000}"/>
    <cellStyle name="20% - uthevingsfarge 3 29 3 3 2" xfId="6564" xr:uid="{00000000-0005-0000-0000-00000E140000}"/>
    <cellStyle name="20% - uthevingsfarge 3 29 3 3 2 2" xfId="9970" xr:uid="{00000000-0005-0000-0000-00000F140000}"/>
    <cellStyle name="20% - uthevingsfarge 3 29 3 3 2 2 2" xfId="24598" xr:uid="{00000000-0005-0000-0000-000010140000}"/>
    <cellStyle name="20% - uthevingsfarge 3 29 3 3 2 2 2 2" xfId="40642" xr:uid="{00000000-0005-0000-0000-000011140000}"/>
    <cellStyle name="20% - uthevingsfarge 3 29 3 3 2 2 3" xfId="27829" xr:uid="{00000000-0005-0000-0000-000012140000}"/>
    <cellStyle name="20% - uthevingsfarge 3 29 3 3 2 3" xfId="22142" xr:uid="{00000000-0005-0000-0000-000013140000}"/>
    <cellStyle name="20% - uthevingsfarge 3 29 3 3 2 3 2" xfId="38216" xr:uid="{00000000-0005-0000-0000-000014140000}"/>
    <cellStyle name="20% - uthevingsfarge 3 29 3 3 2 4" xfId="31230" xr:uid="{00000000-0005-0000-0000-000015140000}"/>
    <cellStyle name="20% - uthevingsfarge 3 29 3 3 2 5" xfId="42830" xr:uid="{00000000-0005-0000-0000-000016140000}"/>
    <cellStyle name="20% - uthevingsfarge 3 29 3 3 2 6" xfId="43268" xr:uid="{00000000-0005-0000-0000-000017140000}"/>
    <cellStyle name="20% - uthevingsfarge 3 29 3 3 2 7" xfId="46116" xr:uid="{00000000-0005-0000-0000-000018140000}"/>
    <cellStyle name="20% - uthevingsfarge 3 29 3 3 2 8" xfId="46885" xr:uid="{00000000-0005-0000-0000-000019140000}"/>
    <cellStyle name="20% - uthevingsfarge 3 29 3 3 2 9" xfId="47471" xr:uid="{00000000-0005-0000-0000-00001A140000}"/>
    <cellStyle name="20% - uthevingsfarge 3 29 3 3 3" xfId="8267" xr:uid="{00000000-0005-0000-0000-00001B140000}"/>
    <cellStyle name="20% - uthevingsfarge 3 29 3 3 3 2" xfId="10590" xr:uid="{00000000-0005-0000-0000-00001C140000}"/>
    <cellStyle name="20% - uthevingsfarge 3 29 3 3 3 2 2" xfId="34439" xr:uid="{00000000-0005-0000-0000-00001D140000}"/>
    <cellStyle name="20% - uthevingsfarge 3 29 3 3 3 3" xfId="29530" xr:uid="{00000000-0005-0000-0000-00001E140000}"/>
    <cellStyle name="20% - uthevingsfarge 3 29 3 3 3 4" xfId="43896" xr:uid="{00000000-0005-0000-0000-00001F140000}"/>
    <cellStyle name="20% - uthevingsfarge 3 29 3 3 4" xfId="16275" xr:uid="{00000000-0005-0000-0000-000020140000}"/>
    <cellStyle name="20% - uthevingsfarge 3 29 3 3 4 2" xfId="35363" xr:uid="{00000000-0005-0000-0000-000021140000}"/>
    <cellStyle name="20% - uthevingsfarge 3 29 3 3 5" xfId="25022" xr:uid="{00000000-0005-0000-0000-000022140000}"/>
    <cellStyle name="20% - uthevingsfarge 3 29 3 3 6" xfId="25261" xr:uid="{00000000-0005-0000-0000-000023140000}"/>
    <cellStyle name="20% - uthevingsfarge 3 29 3 3 7" xfId="32922" xr:uid="{00000000-0005-0000-0000-000024140000}"/>
    <cellStyle name="20% - uthevingsfarge 3 29 3 3 8" xfId="43728" xr:uid="{00000000-0005-0000-0000-000025140000}"/>
    <cellStyle name="20% - uthevingsfarge 3 29 3 3 9" xfId="46654" xr:uid="{00000000-0005-0000-0000-000026140000}"/>
    <cellStyle name="20% - uthevingsfarge 3 29 3 4" xfId="5406" xr:uid="{00000000-0005-0000-0000-000027140000}"/>
    <cellStyle name="20% - uthevingsfarge 3 29 3 4 2" xfId="8821" xr:uid="{00000000-0005-0000-0000-000028140000}"/>
    <cellStyle name="20% - uthevingsfarge 3 29 3 4 2 2" xfId="22592" xr:uid="{00000000-0005-0000-0000-000029140000}"/>
    <cellStyle name="20% - uthevingsfarge 3 29 3 4 2 2 2" xfId="38661" xr:uid="{00000000-0005-0000-0000-00002A140000}"/>
    <cellStyle name="20% - uthevingsfarge 3 29 3 4 2 3" xfId="28977" xr:uid="{00000000-0005-0000-0000-00002B140000}"/>
    <cellStyle name="20% - uthevingsfarge 3 29 3 4 3" xfId="10713" xr:uid="{00000000-0005-0000-0000-00002C140000}"/>
    <cellStyle name="20% - uthevingsfarge 3 29 3 4 3 2" xfId="34561" xr:uid="{00000000-0005-0000-0000-00002D140000}"/>
    <cellStyle name="20% - uthevingsfarge 3 29 3 4 4" xfId="32368" xr:uid="{00000000-0005-0000-0000-00002E140000}"/>
    <cellStyle name="20% - uthevingsfarge 3 29 3 5" xfId="7117" xr:uid="{00000000-0005-0000-0000-00002F140000}"/>
    <cellStyle name="20% - uthevingsfarge 3 29 3 5 2" xfId="24153" xr:uid="{00000000-0005-0000-0000-000030140000}"/>
    <cellStyle name="20% - uthevingsfarge 3 29 3 5 2 2" xfId="40206" xr:uid="{00000000-0005-0000-0000-000031140000}"/>
    <cellStyle name="20% - uthevingsfarge 3 29 3 5 3" xfId="30681" xr:uid="{00000000-0005-0000-0000-000032140000}"/>
    <cellStyle name="20% - uthevingsfarge 3 29 3 6" xfId="10885" xr:uid="{00000000-0005-0000-0000-000033140000}"/>
    <cellStyle name="20% - uthevingsfarge 3 29 3 7" xfId="34068" xr:uid="{00000000-0005-0000-0000-000034140000}"/>
    <cellStyle name="20% - uthevingsfarge 3 29 3 8" xfId="43520" xr:uid="{00000000-0005-0000-0000-000035140000}"/>
    <cellStyle name="20% - uthevingsfarge 3 29 3 9" xfId="46424" xr:uid="{00000000-0005-0000-0000-000036140000}"/>
    <cellStyle name="20% - uthevingsfarge 3 29 3_Avviksanalyse løpende RNB15 (1)" xfId="16586" xr:uid="{00000000-0005-0000-0000-000037140000}"/>
    <cellStyle name="20% - uthevingsfarge 3 29 4" xfId="3726" xr:uid="{00000000-0005-0000-0000-000038140000}"/>
    <cellStyle name="20% - uthevingsfarge 3 29 4 2" xfId="5614" xr:uid="{00000000-0005-0000-0000-000039140000}"/>
    <cellStyle name="20% - uthevingsfarge 3 29 4 2 2" xfId="9029" xr:uid="{00000000-0005-0000-0000-00003A140000}"/>
    <cellStyle name="20% - uthevingsfarge 3 29 4 2 2 2" xfId="23445" xr:uid="{00000000-0005-0000-0000-00003B140000}"/>
    <cellStyle name="20% - uthevingsfarge 3 29 4 2 2 2 2" xfId="39501" xr:uid="{00000000-0005-0000-0000-00003C140000}"/>
    <cellStyle name="20% - uthevingsfarge 3 29 4 2 2 3" xfId="28769" xr:uid="{00000000-0005-0000-0000-00003D140000}"/>
    <cellStyle name="20% - uthevingsfarge 3 29 4 2 3" xfId="22884" xr:uid="{00000000-0005-0000-0000-00003E140000}"/>
    <cellStyle name="20% - uthevingsfarge 3 29 4 2 3 2" xfId="38953" xr:uid="{00000000-0005-0000-0000-00003F140000}"/>
    <cellStyle name="20% - uthevingsfarge 3 29 4 2 4" xfId="32160" xr:uid="{00000000-0005-0000-0000-000040140000}"/>
    <cellStyle name="20% - uthevingsfarge 3 29 4 3" xfId="7332" xr:uid="{00000000-0005-0000-0000-000041140000}"/>
    <cellStyle name="20% - uthevingsfarge 3 29 4 3 2" xfId="20743" xr:uid="{00000000-0005-0000-0000-000042140000}"/>
    <cellStyle name="20% - uthevingsfarge 3 29 4 3 2 2" xfId="36842" xr:uid="{00000000-0005-0000-0000-000043140000}"/>
    <cellStyle name="20% - uthevingsfarge 3 29 4 3 3" xfId="30466" xr:uid="{00000000-0005-0000-0000-000044140000}"/>
    <cellStyle name="20% - uthevingsfarge 3 29 4 4" xfId="19924" xr:uid="{00000000-0005-0000-0000-000045140000}"/>
    <cellStyle name="20% - uthevingsfarge 3 29 4 4 2" xfId="36028" xr:uid="{00000000-0005-0000-0000-000046140000}"/>
    <cellStyle name="20% - uthevingsfarge 3 29 4 5" xfId="33853" xr:uid="{00000000-0005-0000-0000-000047140000}"/>
    <cellStyle name="20% - uthevingsfarge 3 29 5" xfId="4237" xr:uid="{00000000-0005-0000-0000-000048140000}"/>
    <cellStyle name="20% - uthevingsfarge 3 29 5 2" xfId="6069" xr:uid="{00000000-0005-0000-0000-000049140000}"/>
    <cellStyle name="20% - uthevingsfarge 3 29 5 2 2" xfId="9484" xr:uid="{00000000-0005-0000-0000-00004A140000}"/>
    <cellStyle name="20% - uthevingsfarge 3 29 5 2 2 2" xfId="21399" xr:uid="{00000000-0005-0000-0000-00004B140000}"/>
    <cellStyle name="20% - uthevingsfarge 3 29 5 2 2 2 2" xfId="37479" xr:uid="{00000000-0005-0000-0000-00004C140000}"/>
    <cellStyle name="20% - uthevingsfarge 3 29 5 2 2 3" xfId="28314" xr:uid="{00000000-0005-0000-0000-00004D140000}"/>
    <cellStyle name="20% - uthevingsfarge 3 29 5 2 3" xfId="22104" xr:uid="{00000000-0005-0000-0000-00004E140000}"/>
    <cellStyle name="20% - uthevingsfarge 3 29 5 2 3 2" xfId="38178" xr:uid="{00000000-0005-0000-0000-00004F140000}"/>
    <cellStyle name="20% - uthevingsfarge 3 29 5 2 4" xfId="31709" xr:uid="{00000000-0005-0000-0000-000050140000}"/>
    <cellStyle name="20% - uthevingsfarge 3 29 5 3" xfId="7803" xr:uid="{00000000-0005-0000-0000-000051140000}"/>
    <cellStyle name="20% - uthevingsfarge 3 29 5 3 2" xfId="24274" xr:uid="{00000000-0005-0000-0000-000052140000}"/>
    <cellStyle name="20% - uthevingsfarge 3 29 5 3 2 2" xfId="40327" xr:uid="{00000000-0005-0000-0000-000053140000}"/>
    <cellStyle name="20% - uthevingsfarge 3 29 5 3 3" xfId="29996" xr:uid="{00000000-0005-0000-0000-000054140000}"/>
    <cellStyle name="20% - uthevingsfarge 3 29 5 4" xfId="21837" xr:uid="{00000000-0005-0000-0000-000055140000}"/>
    <cellStyle name="20% - uthevingsfarge 3 29 5 4 2" xfId="37913" xr:uid="{00000000-0005-0000-0000-000056140000}"/>
    <cellStyle name="20% - uthevingsfarge 3 29 5 5" xfId="33384" xr:uid="{00000000-0005-0000-0000-000057140000}"/>
    <cellStyle name="20% - uthevingsfarge 3 29 6" xfId="4661" xr:uid="{00000000-0005-0000-0000-000058140000}"/>
    <cellStyle name="20% - uthevingsfarge 3 29 6 2" xfId="6381" xr:uid="{00000000-0005-0000-0000-000059140000}"/>
    <cellStyle name="20% - uthevingsfarge 3 29 6 2 2" xfId="9791" xr:uid="{00000000-0005-0000-0000-00005A140000}"/>
    <cellStyle name="20% - uthevingsfarge 3 29 6 2 2 2" xfId="23558" xr:uid="{00000000-0005-0000-0000-00005B140000}"/>
    <cellStyle name="20% - uthevingsfarge 3 29 6 2 2 2 2" xfId="39614" xr:uid="{00000000-0005-0000-0000-00005C140000}"/>
    <cellStyle name="20% - uthevingsfarge 3 29 6 2 2 3" xfId="28008" xr:uid="{00000000-0005-0000-0000-00005D140000}"/>
    <cellStyle name="20% - uthevingsfarge 3 29 6 2 3" xfId="20429" xr:uid="{00000000-0005-0000-0000-00005E140000}"/>
    <cellStyle name="20% - uthevingsfarge 3 29 6 2 3 2" xfId="36528" xr:uid="{00000000-0005-0000-0000-00005F140000}"/>
    <cellStyle name="20% - uthevingsfarge 3 29 6 2 4" xfId="31409" xr:uid="{00000000-0005-0000-0000-000060140000}"/>
    <cellStyle name="20% - uthevingsfarge 3 29 6 3" xfId="8087" xr:uid="{00000000-0005-0000-0000-000061140000}"/>
    <cellStyle name="20% - uthevingsfarge 3 29 6 3 2" xfId="23311" xr:uid="{00000000-0005-0000-0000-000062140000}"/>
    <cellStyle name="20% - uthevingsfarge 3 29 6 3 2 2" xfId="39377" xr:uid="{00000000-0005-0000-0000-000063140000}"/>
    <cellStyle name="20% - uthevingsfarge 3 29 6 3 3" xfId="29711" xr:uid="{00000000-0005-0000-0000-000064140000}"/>
    <cellStyle name="20% - uthevingsfarge 3 29 6 4" xfId="12293" xr:uid="{00000000-0005-0000-0000-000065140000}"/>
    <cellStyle name="20% - uthevingsfarge 3 29 6 4 2" xfId="35169" xr:uid="{00000000-0005-0000-0000-000066140000}"/>
    <cellStyle name="20% - uthevingsfarge 3 29 6 5" xfId="33102" xr:uid="{00000000-0005-0000-0000-000067140000}"/>
    <cellStyle name="20% - uthevingsfarge 3 29 7" xfId="5025" xr:uid="{00000000-0005-0000-0000-000068140000}"/>
    <cellStyle name="20% - uthevingsfarge 3 29 7 2" xfId="6744" xr:uid="{00000000-0005-0000-0000-000069140000}"/>
    <cellStyle name="20% - uthevingsfarge 3 29 7 2 2" xfId="10150" xr:uid="{00000000-0005-0000-0000-00006A140000}"/>
    <cellStyle name="20% - uthevingsfarge 3 29 7 2 2 2" xfId="24634" xr:uid="{00000000-0005-0000-0000-00006B140000}"/>
    <cellStyle name="20% - uthevingsfarge 3 29 7 2 2 2 2" xfId="40678" xr:uid="{00000000-0005-0000-0000-00006C140000}"/>
    <cellStyle name="20% - uthevingsfarge 3 29 7 2 2 3" xfId="27649" xr:uid="{00000000-0005-0000-0000-00006D140000}"/>
    <cellStyle name="20% - uthevingsfarge 3 29 7 2 3" xfId="10655" xr:uid="{00000000-0005-0000-0000-00006E140000}"/>
    <cellStyle name="20% - uthevingsfarge 3 29 7 2 3 2" xfId="34503" xr:uid="{00000000-0005-0000-0000-00006F140000}"/>
    <cellStyle name="20% - uthevingsfarge 3 29 7 2 4" xfId="31050" xr:uid="{00000000-0005-0000-0000-000070140000}"/>
    <cellStyle name="20% - uthevingsfarge 3 29 7 3" xfId="8447" xr:uid="{00000000-0005-0000-0000-000071140000}"/>
    <cellStyle name="20% - uthevingsfarge 3 29 7 3 2" xfId="23363" xr:uid="{00000000-0005-0000-0000-000072140000}"/>
    <cellStyle name="20% - uthevingsfarge 3 29 7 3 2 2" xfId="39422" xr:uid="{00000000-0005-0000-0000-000073140000}"/>
    <cellStyle name="20% - uthevingsfarge 3 29 7 3 3" xfId="29351" xr:uid="{00000000-0005-0000-0000-000074140000}"/>
    <cellStyle name="20% - uthevingsfarge 3 29 7 4" xfId="19732" xr:uid="{00000000-0005-0000-0000-000075140000}"/>
    <cellStyle name="20% - uthevingsfarge 3 29 7 4 2" xfId="35846" xr:uid="{00000000-0005-0000-0000-000076140000}"/>
    <cellStyle name="20% - uthevingsfarge 3 29 7 5" xfId="32742" xr:uid="{00000000-0005-0000-0000-000077140000}"/>
    <cellStyle name="20% - uthevingsfarge 3 29 8" xfId="5237" xr:uid="{00000000-0005-0000-0000-000078140000}"/>
    <cellStyle name="20% - uthevingsfarge 3 29 8 2" xfId="8652" xr:uid="{00000000-0005-0000-0000-000079140000}"/>
    <cellStyle name="20% - uthevingsfarge 3 29 8 2 2" xfId="21151" xr:uid="{00000000-0005-0000-0000-00007A140000}"/>
    <cellStyle name="20% - uthevingsfarge 3 29 8 2 2 2" xfId="37231" xr:uid="{00000000-0005-0000-0000-00007B140000}"/>
    <cellStyle name="20% - uthevingsfarge 3 29 8 2 3" xfId="29146" xr:uid="{00000000-0005-0000-0000-00007C140000}"/>
    <cellStyle name="20% - uthevingsfarge 3 29 8 3" xfId="10782" xr:uid="{00000000-0005-0000-0000-00007D140000}"/>
    <cellStyle name="20% - uthevingsfarge 3 29 8 3 2" xfId="34605" xr:uid="{00000000-0005-0000-0000-00007E140000}"/>
    <cellStyle name="20% - uthevingsfarge 3 29 8 4" xfId="32537" xr:uid="{00000000-0005-0000-0000-00007F140000}"/>
    <cellStyle name="20% - uthevingsfarge 3 29 9" xfId="6911" xr:uid="{00000000-0005-0000-0000-000080140000}"/>
    <cellStyle name="20% - uthevingsfarge 3 29 9 2" xfId="11931" xr:uid="{00000000-0005-0000-0000-000081140000}"/>
    <cellStyle name="20% - uthevingsfarge 3 29 9 2 2" xfId="34954" xr:uid="{00000000-0005-0000-0000-000082140000}"/>
    <cellStyle name="20% - uthevingsfarge 3 29 9 3" xfId="30887" xr:uid="{00000000-0005-0000-0000-000083140000}"/>
    <cellStyle name="20% - uthevingsfarge 3 3" xfId="413" xr:uid="{00000000-0005-0000-0000-000084140000}"/>
    <cellStyle name="20% - uthevingsfarge 3 3 2" xfId="414" xr:uid="{00000000-0005-0000-0000-000085140000}"/>
    <cellStyle name="20% - uthevingsfarge 3 30" xfId="415" xr:uid="{00000000-0005-0000-0000-000086140000}"/>
    <cellStyle name="20% - uthevingsfarge 3 30 10" xfId="10886" xr:uid="{00000000-0005-0000-0000-000087140000}"/>
    <cellStyle name="20% - uthevingsfarge 3 30 11" xfId="34274" xr:uid="{00000000-0005-0000-0000-000088140000}"/>
    <cellStyle name="20% - uthevingsfarge 3 30 2" xfId="3323" xr:uid="{00000000-0005-0000-0000-000089140000}"/>
    <cellStyle name="20% - uthevingsfarge 3 30 2 10" xfId="34168" xr:uid="{00000000-0005-0000-0000-00008A140000}"/>
    <cellStyle name="20% - uthevingsfarge 3 30 2 2" xfId="3555" xr:uid="{00000000-0005-0000-0000-00008B140000}"/>
    <cellStyle name="20% - uthevingsfarge 3 30 2 2 10" xfId="47154" xr:uid="{00000000-0005-0000-0000-00008C140000}"/>
    <cellStyle name="20% - uthevingsfarge 3 30 2 2 2" xfId="3985" xr:uid="{00000000-0005-0000-0000-00008D140000}"/>
    <cellStyle name="20% - uthevingsfarge 3 30 2 2 2 2" xfId="5873" xr:uid="{00000000-0005-0000-0000-00008E140000}"/>
    <cellStyle name="20% - uthevingsfarge 3 30 2 2 2 2 2" xfId="9288" xr:uid="{00000000-0005-0000-0000-00008F140000}"/>
    <cellStyle name="20% - uthevingsfarge 3 30 2 2 2 2 2 2" xfId="22655" xr:uid="{00000000-0005-0000-0000-000090140000}"/>
    <cellStyle name="20% - uthevingsfarge 3 30 2 2 2 2 2 2 2" xfId="38724" xr:uid="{00000000-0005-0000-0000-000091140000}"/>
    <cellStyle name="20% - uthevingsfarge 3 30 2 2 2 2 2 3" xfId="28510" xr:uid="{00000000-0005-0000-0000-000092140000}"/>
    <cellStyle name="20% - uthevingsfarge 3 30 2 2 2 2 3" xfId="22097" xr:uid="{00000000-0005-0000-0000-000093140000}"/>
    <cellStyle name="20% - uthevingsfarge 3 30 2 2 2 2 3 2" xfId="38171" xr:uid="{00000000-0005-0000-0000-000094140000}"/>
    <cellStyle name="20% - uthevingsfarge 3 30 2 2 2 2 4" xfId="31901" xr:uid="{00000000-0005-0000-0000-000095140000}"/>
    <cellStyle name="20% - uthevingsfarge 3 30 2 2 2 3" xfId="7591" xr:uid="{00000000-0005-0000-0000-000096140000}"/>
    <cellStyle name="20% - uthevingsfarge 3 30 2 2 2 3 2" xfId="20828" xr:uid="{00000000-0005-0000-0000-000097140000}"/>
    <cellStyle name="20% - uthevingsfarge 3 30 2 2 2 3 2 2" xfId="36927" xr:uid="{00000000-0005-0000-0000-000098140000}"/>
    <cellStyle name="20% - uthevingsfarge 3 30 2 2 2 3 3" xfId="30207" xr:uid="{00000000-0005-0000-0000-000099140000}"/>
    <cellStyle name="20% - uthevingsfarge 3 30 2 2 2 4" xfId="17971" xr:uid="{00000000-0005-0000-0000-00009A140000}"/>
    <cellStyle name="20% - uthevingsfarge 3 30 2 2 2 5" xfId="12456" xr:uid="{00000000-0005-0000-0000-00009B140000}"/>
    <cellStyle name="20% - uthevingsfarge 3 30 2 2 2 5 2" xfId="35242" xr:uid="{00000000-0005-0000-0000-00009C140000}"/>
    <cellStyle name="20% - uthevingsfarge 3 30 2 2 2 6" xfId="33594" xr:uid="{00000000-0005-0000-0000-00009D140000}"/>
    <cellStyle name="20% - uthevingsfarge 3 30 2 2 3" xfId="4925" xr:uid="{00000000-0005-0000-0000-00009E140000}"/>
    <cellStyle name="20% - uthevingsfarge 3 30 2 2 3 10" xfId="47344" xr:uid="{00000000-0005-0000-0000-00009F140000}"/>
    <cellStyle name="20% - uthevingsfarge 3 30 2 2 3 2" xfId="6644" xr:uid="{00000000-0005-0000-0000-0000A0140000}"/>
    <cellStyle name="20% - uthevingsfarge 3 30 2 2 3 2 2" xfId="10050" xr:uid="{00000000-0005-0000-0000-0000A1140000}"/>
    <cellStyle name="20% - uthevingsfarge 3 30 2 2 3 2 2 2" xfId="24614" xr:uid="{00000000-0005-0000-0000-0000A2140000}"/>
    <cellStyle name="20% - uthevingsfarge 3 30 2 2 3 2 2 2 2" xfId="40658" xr:uid="{00000000-0005-0000-0000-0000A3140000}"/>
    <cellStyle name="20% - uthevingsfarge 3 30 2 2 3 2 2 3" xfId="27749" xr:uid="{00000000-0005-0000-0000-0000A4140000}"/>
    <cellStyle name="20% - uthevingsfarge 3 30 2 2 3 2 3" xfId="24081" xr:uid="{00000000-0005-0000-0000-0000A5140000}"/>
    <cellStyle name="20% - uthevingsfarge 3 30 2 2 3 2 3 2" xfId="40134" xr:uid="{00000000-0005-0000-0000-0000A6140000}"/>
    <cellStyle name="20% - uthevingsfarge 3 30 2 2 3 2 4" xfId="31150" xr:uid="{00000000-0005-0000-0000-0000A7140000}"/>
    <cellStyle name="20% - uthevingsfarge 3 30 2 2 3 2 5" xfId="43038" xr:uid="{00000000-0005-0000-0000-0000A8140000}"/>
    <cellStyle name="20% - uthevingsfarge 3 30 2 2 3 2 6" xfId="43335" xr:uid="{00000000-0005-0000-0000-0000A9140000}"/>
    <cellStyle name="20% - uthevingsfarge 3 30 2 2 3 2 7" xfId="46183" xr:uid="{00000000-0005-0000-0000-0000AA140000}"/>
    <cellStyle name="20% - uthevingsfarge 3 30 2 2 3 2 8" xfId="46955" xr:uid="{00000000-0005-0000-0000-0000AB140000}"/>
    <cellStyle name="20% - uthevingsfarge 3 30 2 2 3 2 9" xfId="47540" xr:uid="{00000000-0005-0000-0000-0000AC140000}"/>
    <cellStyle name="20% - uthevingsfarge 3 30 2 2 3 3" xfId="8347" xr:uid="{00000000-0005-0000-0000-0000AD140000}"/>
    <cellStyle name="20% - uthevingsfarge 3 30 2 2 3 3 2" xfId="21067" xr:uid="{00000000-0005-0000-0000-0000AE140000}"/>
    <cellStyle name="20% - uthevingsfarge 3 30 2 2 3 3 2 2" xfId="37154" xr:uid="{00000000-0005-0000-0000-0000AF140000}"/>
    <cellStyle name="20% - uthevingsfarge 3 30 2 2 3 3 3" xfId="29451" xr:uid="{00000000-0005-0000-0000-0000B0140000}"/>
    <cellStyle name="20% - uthevingsfarge 3 30 2 2 3 3 4" xfId="43897" xr:uid="{00000000-0005-0000-0000-0000B1140000}"/>
    <cellStyle name="20% - uthevingsfarge 3 30 2 2 3 4" xfId="16483" xr:uid="{00000000-0005-0000-0000-0000B2140000}"/>
    <cellStyle name="20% - uthevingsfarge 3 30 2 2 3 4 2" xfId="35430" xr:uid="{00000000-0005-0000-0000-0000B3140000}"/>
    <cellStyle name="20% - uthevingsfarge 3 30 2 2 3 5" xfId="25092" xr:uid="{00000000-0005-0000-0000-0000B4140000}"/>
    <cellStyle name="20% - uthevingsfarge 3 30 2 2 3 6" xfId="25262" xr:uid="{00000000-0005-0000-0000-0000B5140000}"/>
    <cellStyle name="20% - uthevingsfarge 3 30 2 2 3 7" xfId="32842" xr:uid="{00000000-0005-0000-0000-0000B6140000}"/>
    <cellStyle name="20% - uthevingsfarge 3 30 2 2 3 8" xfId="43796" xr:uid="{00000000-0005-0000-0000-0000B7140000}"/>
    <cellStyle name="20% - uthevingsfarge 3 30 2 2 3 9" xfId="46721" xr:uid="{00000000-0005-0000-0000-0000B8140000}"/>
    <cellStyle name="20% - uthevingsfarge 3 30 2 2 4" xfId="5479" xr:uid="{00000000-0005-0000-0000-0000B9140000}"/>
    <cellStyle name="20% - uthevingsfarge 3 30 2 2 4 2" xfId="8894" xr:uid="{00000000-0005-0000-0000-0000BA140000}"/>
    <cellStyle name="20% - uthevingsfarge 3 30 2 2 4 2 2" xfId="24660" xr:uid="{00000000-0005-0000-0000-0000BB140000}"/>
    <cellStyle name="20% - uthevingsfarge 3 30 2 2 4 2 2 2" xfId="40703" xr:uid="{00000000-0005-0000-0000-0000BC140000}"/>
    <cellStyle name="20% - uthevingsfarge 3 30 2 2 4 2 3" xfId="28904" xr:uid="{00000000-0005-0000-0000-0000BD140000}"/>
    <cellStyle name="20% - uthevingsfarge 3 30 2 2 4 3" xfId="19839" xr:uid="{00000000-0005-0000-0000-0000BE140000}"/>
    <cellStyle name="20% - uthevingsfarge 3 30 2 2 4 3 2" xfId="35952" xr:uid="{00000000-0005-0000-0000-0000BF140000}"/>
    <cellStyle name="20% - uthevingsfarge 3 30 2 2 4 4" xfId="32295" xr:uid="{00000000-0005-0000-0000-0000C0140000}"/>
    <cellStyle name="20% - uthevingsfarge 3 30 2 2 5" xfId="7197" xr:uid="{00000000-0005-0000-0000-0000C1140000}"/>
    <cellStyle name="20% - uthevingsfarge 3 30 2 2 5 2" xfId="20692" xr:uid="{00000000-0005-0000-0000-0000C2140000}"/>
    <cellStyle name="20% - uthevingsfarge 3 30 2 2 5 2 2" xfId="36791" xr:uid="{00000000-0005-0000-0000-0000C3140000}"/>
    <cellStyle name="20% - uthevingsfarge 3 30 2 2 5 3" xfId="30601" xr:uid="{00000000-0005-0000-0000-0000C4140000}"/>
    <cellStyle name="20% - uthevingsfarge 3 30 2 2 6" xfId="10888" xr:uid="{00000000-0005-0000-0000-0000C5140000}"/>
    <cellStyle name="20% - uthevingsfarge 3 30 2 2 7" xfId="33988" xr:uid="{00000000-0005-0000-0000-0000C6140000}"/>
    <cellStyle name="20% - uthevingsfarge 3 30 2 2 8" xfId="43587" xr:uid="{00000000-0005-0000-0000-0000C7140000}"/>
    <cellStyle name="20% - uthevingsfarge 3 30 2 2 9" xfId="46493" xr:uid="{00000000-0005-0000-0000-0000C8140000}"/>
    <cellStyle name="20% - uthevingsfarge 3 30 2 2_Avviksanalyse løpende RNB15 (1)" xfId="16587" xr:uid="{00000000-0005-0000-0000-0000C9140000}"/>
    <cellStyle name="20% - uthevingsfarge 3 30 2 3" xfId="3805" xr:uid="{00000000-0005-0000-0000-0000CA140000}"/>
    <cellStyle name="20% - uthevingsfarge 3 30 2 3 2" xfId="5693" xr:uid="{00000000-0005-0000-0000-0000CB140000}"/>
    <cellStyle name="20% - uthevingsfarge 3 30 2 3 2 2" xfId="9108" xr:uid="{00000000-0005-0000-0000-0000CC140000}"/>
    <cellStyle name="20% - uthevingsfarge 3 30 2 3 2 2 2" xfId="24459" xr:uid="{00000000-0005-0000-0000-0000CD140000}"/>
    <cellStyle name="20% - uthevingsfarge 3 30 2 3 2 2 2 2" xfId="40503" xr:uid="{00000000-0005-0000-0000-0000CE140000}"/>
    <cellStyle name="20% - uthevingsfarge 3 30 2 3 2 2 3" xfId="28690" xr:uid="{00000000-0005-0000-0000-0000CF140000}"/>
    <cellStyle name="20% - uthevingsfarge 3 30 2 3 2 3" xfId="20171" xr:uid="{00000000-0005-0000-0000-0000D0140000}"/>
    <cellStyle name="20% - uthevingsfarge 3 30 2 3 2 3 2" xfId="36271" xr:uid="{00000000-0005-0000-0000-0000D1140000}"/>
    <cellStyle name="20% - uthevingsfarge 3 30 2 3 2 4" xfId="32081" xr:uid="{00000000-0005-0000-0000-0000D2140000}"/>
    <cellStyle name="20% - uthevingsfarge 3 30 2 3 3" xfId="7411" xr:uid="{00000000-0005-0000-0000-0000D3140000}"/>
    <cellStyle name="20% - uthevingsfarge 3 30 2 3 3 2" xfId="23201" xr:uid="{00000000-0005-0000-0000-0000D4140000}"/>
    <cellStyle name="20% - uthevingsfarge 3 30 2 3 3 2 2" xfId="39270" xr:uid="{00000000-0005-0000-0000-0000D5140000}"/>
    <cellStyle name="20% - uthevingsfarge 3 30 2 3 3 3" xfId="30387" xr:uid="{00000000-0005-0000-0000-0000D6140000}"/>
    <cellStyle name="20% - uthevingsfarge 3 30 2 3 4" xfId="21723" xr:uid="{00000000-0005-0000-0000-0000D7140000}"/>
    <cellStyle name="20% - uthevingsfarge 3 30 2 3 4 2" xfId="37801" xr:uid="{00000000-0005-0000-0000-0000D8140000}"/>
    <cellStyle name="20% - uthevingsfarge 3 30 2 3 5" xfId="33774" xr:uid="{00000000-0005-0000-0000-0000D9140000}"/>
    <cellStyle name="20% - uthevingsfarge 3 30 2 4" xfId="4290" xr:uid="{00000000-0005-0000-0000-0000DA140000}"/>
    <cellStyle name="20% - uthevingsfarge 3 30 2 4 2" xfId="6119" xr:uid="{00000000-0005-0000-0000-0000DB140000}"/>
    <cellStyle name="20% - uthevingsfarge 3 30 2 4 2 2" xfId="9533" xr:uid="{00000000-0005-0000-0000-0000DC140000}"/>
    <cellStyle name="20% - uthevingsfarge 3 30 2 4 2 2 2" xfId="23523" xr:uid="{00000000-0005-0000-0000-0000DD140000}"/>
    <cellStyle name="20% - uthevingsfarge 3 30 2 4 2 2 2 2" xfId="39579" xr:uid="{00000000-0005-0000-0000-0000DE140000}"/>
    <cellStyle name="20% - uthevingsfarge 3 30 2 4 2 2 3" xfId="28265" xr:uid="{00000000-0005-0000-0000-0000DF140000}"/>
    <cellStyle name="20% - uthevingsfarge 3 30 2 4 2 3" xfId="19856" xr:uid="{00000000-0005-0000-0000-0000E0140000}"/>
    <cellStyle name="20% - uthevingsfarge 3 30 2 4 2 3 2" xfId="35969" xr:uid="{00000000-0005-0000-0000-0000E1140000}"/>
    <cellStyle name="20% - uthevingsfarge 3 30 2 4 2 4" xfId="31660" xr:uid="{00000000-0005-0000-0000-0000E2140000}"/>
    <cellStyle name="20% - uthevingsfarge 3 30 2 4 3" xfId="7852" xr:uid="{00000000-0005-0000-0000-0000E3140000}"/>
    <cellStyle name="20% - uthevingsfarge 3 30 2 4 3 2" xfId="20926" xr:uid="{00000000-0005-0000-0000-0000E4140000}"/>
    <cellStyle name="20% - uthevingsfarge 3 30 2 4 3 2 2" xfId="37025" xr:uid="{00000000-0005-0000-0000-0000E5140000}"/>
    <cellStyle name="20% - uthevingsfarge 3 30 2 4 3 3" xfId="29947" xr:uid="{00000000-0005-0000-0000-0000E6140000}"/>
    <cellStyle name="20% - uthevingsfarge 3 30 2 4 4" xfId="12382" xr:uid="{00000000-0005-0000-0000-0000E7140000}"/>
    <cellStyle name="20% - uthevingsfarge 3 30 2 4 4 2" xfId="35215" xr:uid="{00000000-0005-0000-0000-0000E8140000}"/>
    <cellStyle name="20% - uthevingsfarge 3 30 2 4 5" xfId="33335" xr:uid="{00000000-0005-0000-0000-0000E9140000}"/>
    <cellStyle name="20% - uthevingsfarge 3 30 2 5" xfId="4745" xr:uid="{00000000-0005-0000-0000-0000EA140000}"/>
    <cellStyle name="20% - uthevingsfarge 3 30 2 5 2" xfId="6465" xr:uid="{00000000-0005-0000-0000-0000EB140000}"/>
    <cellStyle name="20% - uthevingsfarge 3 30 2 5 2 2" xfId="9871" xr:uid="{00000000-0005-0000-0000-0000EC140000}"/>
    <cellStyle name="20% - uthevingsfarge 3 30 2 5 2 2 2" xfId="21516" xr:uid="{00000000-0005-0000-0000-0000ED140000}"/>
    <cellStyle name="20% - uthevingsfarge 3 30 2 5 2 2 2 2" xfId="37596" xr:uid="{00000000-0005-0000-0000-0000EE140000}"/>
    <cellStyle name="20% - uthevingsfarge 3 30 2 5 2 2 3" xfId="27928" xr:uid="{00000000-0005-0000-0000-0000EF140000}"/>
    <cellStyle name="20% - uthevingsfarge 3 30 2 5 2 3" xfId="20461" xr:uid="{00000000-0005-0000-0000-0000F0140000}"/>
    <cellStyle name="20% - uthevingsfarge 3 30 2 5 2 3 2" xfId="36560" xr:uid="{00000000-0005-0000-0000-0000F1140000}"/>
    <cellStyle name="20% - uthevingsfarge 3 30 2 5 2 4" xfId="31329" xr:uid="{00000000-0005-0000-0000-0000F2140000}"/>
    <cellStyle name="20% - uthevingsfarge 3 30 2 5 3" xfId="8167" xr:uid="{00000000-0005-0000-0000-0000F3140000}"/>
    <cellStyle name="20% - uthevingsfarge 3 30 2 5 3 2" xfId="21770" xr:uid="{00000000-0005-0000-0000-0000F4140000}"/>
    <cellStyle name="20% - uthevingsfarge 3 30 2 5 3 2 2" xfId="37847" xr:uid="{00000000-0005-0000-0000-0000F5140000}"/>
    <cellStyle name="20% - uthevingsfarge 3 30 2 5 3 3" xfId="29630" xr:uid="{00000000-0005-0000-0000-0000F6140000}"/>
    <cellStyle name="20% - uthevingsfarge 3 30 2 5 4" xfId="12263" xr:uid="{00000000-0005-0000-0000-0000F7140000}"/>
    <cellStyle name="20% - uthevingsfarge 3 30 2 5 4 2" xfId="35139" xr:uid="{00000000-0005-0000-0000-0000F8140000}"/>
    <cellStyle name="20% - uthevingsfarge 3 30 2 5 5" xfId="33022" xr:uid="{00000000-0005-0000-0000-0000F9140000}"/>
    <cellStyle name="20% - uthevingsfarge 3 30 2 6" xfId="5105" xr:uid="{00000000-0005-0000-0000-0000FA140000}"/>
    <cellStyle name="20% - uthevingsfarge 3 30 2 6 2" xfId="6824" xr:uid="{00000000-0005-0000-0000-0000FB140000}"/>
    <cellStyle name="20% - uthevingsfarge 3 30 2 6 2 2" xfId="10230" xr:uid="{00000000-0005-0000-0000-0000FC140000}"/>
    <cellStyle name="20% - uthevingsfarge 3 30 2 6 2 2 2" xfId="24673" xr:uid="{00000000-0005-0000-0000-0000FD140000}"/>
    <cellStyle name="20% - uthevingsfarge 3 30 2 6 2 2 2 2" xfId="40716" xr:uid="{00000000-0005-0000-0000-0000FE140000}"/>
    <cellStyle name="20% - uthevingsfarge 3 30 2 6 2 2 3" xfId="27569" xr:uid="{00000000-0005-0000-0000-0000FF140000}"/>
    <cellStyle name="20% - uthevingsfarge 3 30 2 6 2 3" xfId="10339" xr:uid="{00000000-0005-0000-0000-000000150000}"/>
    <cellStyle name="20% - uthevingsfarge 3 30 2 6 2 3 2" xfId="34316" xr:uid="{00000000-0005-0000-0000-000001150000}"/>
    <cellStyle name="20% - uthevingsfarge 3 30 2 6 2 4" xfId="30970" xr:uid="{00000000-0005-0000-0000-000002150000}"/>
    <cellStyle name="20% - uthevingsfarge 3 30 2 6 3" xfId="8527" xr:uid="{00000000-0005-0000-0000-000003150000}"/>
    <cellStyle name="20% - uthevingsfarge 3 30 2 6 3 2" xfId="21120" xr:uid="{00000000-0005-0000-0000-000004150000}"/>
    <cellStyle name="20% - uthevingsfarge 3 30 2 6 3 2 2" xfId="37201" xr:uid="{00000000-0005-0000-0000-000005150000}"/>
    <cellStyle name="20% - uthevingsfarge 3 30 2 6 3 3" xfId="29271" xr:uid="{00000000-0005-0000-0000-000006150000}"/>
    <cellStyle name="20% - uthevingsfarge 3 30 2 6 4" xfId="20059" xr:uid="{00000000-0005-0000-0000-000007150000}"/>
    <cellStyle name="20% - uthevingsfarge 3 30 2 6 4 2" xfId="36163" xr:uid="{00000000-0005-0000-0000-000008150000}"/>
    <cellStyle name="20% - uthevingsfarge 3 30 2 6 5" xfId="32662" xr:uid="{00000000-0005-0000-0000-000009150000}"/>
    <cellStyle name="20% - uthevingsfarge 3 30 2 7" xfId="5284" xr:uid="{00000000-0005-0000-0000-00000A150000}"/>
    <cellStyle name="20% - uthevingsfarge 3 30 2 7 2" xfId="8699" xr:uid="{00000000-0005-0000-0000-00000B150000}"/>
    <cellStyle name="20% - uthevingsfarge 3 30 2 7 2 2" xfId="11793" xr:uid="{00000000-0005-0000-0000-00000C150000}"/>
    <cellStyle name="20% - uthevingsfarge 3 30 2 7 2 2 2" xfId="34867" xr:uid="{00000000-0005-0000-0000-00000D150000}"/>
    <cellStyle name="20% - uthevingsfarge 3 30 2 7 2 3" xfId="29099" xr:uid="{00000000-0005-0000-0000-00000E150000}"/>
    <cellStyle name="20% - uthevingsfarge 3 30 2 7 3" xfId="12090" xr:uid="{00000000-0005-0000-0000-00000F150000}"/>
    <cellStyle name="20% - uthevingsfarge 3 30 2 7 3 2" xfId="35065" xr:uid="{00000000-0005-0000-0000-000010150000}"/>
    <cellStyle name="20% - uthevingsfarge 3 30 2 7 4" xfId="32490" xr:uid="{00000000-0005-0000-0000-000011150000}"/>
    <cellStyle name="20% - uthevingsfarge 3 30 2 8" xfId="7017" xr:uid="{00000000-0005-0000-0000-000012150000}"/>
    <cellStyle name="20% - uthevingsfarge 3 30 2 8 2" xfId="20634" xr:uid="{00000000-0005-0000-0000-000013150000}"/>
    <cellStyle name="20% - uthevingsfarge 3 30 2 8 2 2" xfId="36733" xr:uid="{00000000-0005-0000-0000-000014150000}"/>
    <cellStyle name="20% - uthevingsfarge 3 30 2 8 3" xfId="30781" xr:uid="{00000000-0005-0000-0000-000015150000}"/>
    <cellStyle name="20% - uthevingsfarge 3 30 2 9" xfId="10887" xr:uid="{00000000-0005-0000-0000-000016150000}"/>
    <cellStyle name="20% - uthevingsfarge 3 30 3" xfId="3470" xr:uid="{00000000-0005-0000-0000-000017150000}"/>
    <cellStyle name="20% - uthevingsfarge 3 30 3 10" xfId="47086" xr:uid="{00000000-0005-0000-0000-000018150000}"/>
    <cellStyle name="20% - uthevingsfarge 3 30 3 2" xfId="3906" xr:uid="{00000000-0005-0000-0000-000019150000}"/>
    <cellStyle name="20% - uthevingsfarge 3 30 3 2 2" xfId="5794" xr:uid="{00000000-0005-0000-0000-00001A150000}"/>
    <cellStyle name="20% - uthevingsfarge 3 30 3 2 2 2" xfId="9209" xr:uid="{00000000-0005-0000-0000-00001B150000}"/>
    <cellStyle name="20% - uthevingsfarge 3 30 3 2 2 2 2" xfId="21315" xr:uid="{00000000-0005-0000-0000-00001C150000}"/>
    <cellStyle name="20% - uthevingsfarge 3 30 3 2 2 2 2 2" xfId="37395" xr:uid="{00000000-0005-0000-0000-00001D150000}"/>
    <cellStyle name="20% - uthevingsfarge 3 30 3 2 2 2 3" xfId="28589" xr:uid="{00000000-0005-0000-0000-00001E150000}"/>
    <cellStyle name="20% - uthevingsfarge 3 30 3 2 2 3" xfId="23919" xr:uid="{00000000-0005-0000-0000-00001F150000}"/>
    <cellStyle name="20% - uthevingsfarge 3 30 3 2 2 3 2" xfId="39973" xr:uid="{00000000-0005-0000-0000-000020150000}"/>
    <cellStyle name="20% - uthevingsfarge 3 30 3 2 2 4" xfId="31980" xr:uid="{00000000-0005-0000-0000-000021150000}"/>
    <cellStyle name="20% - uthevingsfarge 3 30 3 2 3" xfId="7512" xr:uid="{00000000-0005-0000-0000-000022150000}"/>
    <cellStyle name="20% - uthevingsfarge 3 30 3 2 3 2" xfId="22713" xr:uid="{00000000-0005-0000-0000-000023150000}"/>
    <cellStyle name="20% - uthevingsfarge 3 30 3 2 3 2 2" xfId="38782" xr:uid="{00000000-0005-0000-0000-000024150000}"/>
    <cellStyle name="20% - uthevingsfarge 3 30 3 2 3 3" xfId="30286" xr:uid="{00000000-0005-0000-0000-000025150000}"/>
    <cellStyle name="20% - uthevingsfarge 3 30 3 2 4" xfId="17972" xr:uid="{00000000-0005-0000-0000-000026150000}"/>
    <cellStyle name="20% - uthevingsfarge 3 30 3 2 5" xfId="19945" xr:uid="{00000000-0005-0000-0000-000027150000}"/>
    <cellStyle name="20% - uthevingsfarge 3 30 3 2 5 2" xfId="36049" xr:uid="{00000000-0005-0000-0000-000028150000}"/>
    <cellStyle name="20% - uthevingsfarge 3 30 3 2 6" xfId="33673" xr:uid="{00000000-0005-0000-0000-000029150000}"/>
    <cellStyle name="20% - uthevingsfarge 3 30 3 3" xfId="4846" xr:uid="{00000000-0005-0000-0000-00002A150000}"/>
    <cellStyle name="20% - uthevingsfarge 3 30 3 3 10" xfId="47276" xr:uid="{00000000-0005-0000-0000-00002B150000}"/>
    <cellStyle name="20% - uthevingsfarge 3 30 3 3 2" xfId="6565" xr:uid="{00000000-0005-0000-0000-00002C150000}"/>
    <cellStyle name="20% - uthevingsfarge 3 30 3 3 2 2" xfId="9971" xr:uid="{00000000-0005-0000-0000-00002D150000}"/>
    <cellStyle name="20% - uthevingsfarge 3 30 3 3 2 2 2" xfId="22004" xr:uid="{00000000-0005-0000-0000-00002E150000}"/>
    <cellStyle name="20% - uthevingsfarge 3 30 3 3 2 2 2 2" xfId="38079" xr:uid="{00000000-0005-0000-0000-00002F150000}"/>
    <cellStyle name="20% - uthevingsfarge 3 30 3 3 2 2 3" xfId="27828" xr:uid="{00000000-0005-0000-0000-000030150000}"/>
    <cellStyle name="20% - uthevingsfarge 3 30 3 3 2 3" xfId="23063" xr:uid="{00000000-0005-0000-0000-000031150000}"/>
    <cellStyle name="20% - uthevingsfarge 3 30 3 3 2 3 2" xfId="39132" xr:uid="{00000000-0005-0000-0000-000032150000}"/>
    <cellStyle name="20% - uthevingsfarge 3 30 3 3 2 4" xfId="31229" xr:uid="{00000000-0005-0000-0000-000033150000}"/>
    <cellStyle name="20% - uthevingsfarge 3 30 3 3 2 5" xfId="42831" xr:uid="{00000000-0005-0000-0000-000034150000}"/>
    <cellStyle name="20% - uthevingsfarge 3 30 3 3 2 6" xfId="43269" xr:uid="{00000000-0005-0000-0000-000035150000}"/>
    <cellStyle name="20% - uthevingsfarge 3 30 3 3 2 7" xfId="46117" xr:uid="{00000000-0005-0000-0000-000036150000}"/>
    <cellStyle name="20% - uthevingsfarge 3 30 3 3 2 8" xfId="46886" xr:uid="{00000000-0005-0000-0000-000037150000}"/>
    <cellStyle name="20% - uthevingsfarge 3 30 3 3 2 9" xfId="47472" xr:uid="{00000000-0005-0000-0000-000038150000}"/>
    <cellStyle name="20% - uthevingsfarge 3 30 3 3 3" xfId="8268" xr:uid="{00000000-0005-0000-0000-000039150000}"/>
    <cellStyle name="20% - uthevingsfarge 3 30 3 3 3 2" xfId="19476" xr:uid="{00000000-0005-0000-0000-00003A150000}"/>
    <cellStyle name="20% - uthevingsfarge 3 30 3 3 3 2 2" xfId="35590" xr:uid="{00000000-0005-0000-0000-00003B150000}"/>
    <cellStyle name="20% - uthevingsfarge 3 30 3 3 3 3" xfId="29529" xr:uid="{00000000-0005-0000-0000-00003C150000}"/>
    <cellStyle name="20% - uthevingsfarge 3 30 3 3 3 4" xfId="43898" xr:uid="{00000000-0005-0000-0000-00003D150000}"/>
    <cellStyle name="20% - uthevingsfarge 3 30 3 3 4" xfId="16276" xr:uid="{00000000-0005-0000-0000-00003E150000}"/>
    <cellStyle name="20% - uthevingsfarge 3 30 3 3 4 2" xfId="35364" xr:uid="{00000000-0005-0000-0000-00003F150000}"/>
    <cellStyle name="20% - uthevingsfarge 3 30 3 3 5" xfId="25023" xr:uid="{00000000-0005-0000-0000-000040150000}"/>
    <cellStyle name="20% - uthevingsfarge 3 30 3 3 6" xfId="25263" xr:uid="{00000000-0005-0000-0000-000041150000}"/>
    <cellStyle name="20% - uthevingsfarge 3 30 3 3 7" xfId="32921" xr:uid="{00000000-0005-0000-0000-000042150000}"/>
    <cellStyle name="20% - uthevingsfarge 3 30 3 3 8" xfId="43729" xr:uid="{00000000-0005-0000-0000-000043150000}"/>
    <cellStyle name="20% - uthevingsfarge 3 30 3 3 9" xfId="46655" xr:uid="{00000000-0005-0000-0000-000044150000}"/>
    <cellStyle name="20% - uthevingsfarge 3 30 3 4" xfId="5407" xr:uid="{00000000-0005-0000-0000-000045150000}"/>
    <cellStyle name="20% - uthevingsfarge 3 30 3 4 2" xfId="8822" xr:uid="{00000000-0005-0000-0000-000046150000}"/>
    <cellStyle name="20% - uthevingsfarge 3 30 3 4 2 2" xfId="23412" xr:uid="{00000000-0005-0000-0000-000047150000}"/>
    <cellStyle name="20% - uthevingsfarge 3 30 3 4 2 2 2" xfId="39468" xr:uid="{00000000-0005-0000-0000-000048150000}"/>
    <cellStyle name="20% - uthevingsfarge 3 30 3 4 2 3" xfId="28976" xr:uid="{00000000-0005-0000-0000-000049150000}"/>
    <cellStyle name="20% - uthevingsfarge 3 30 3 4 3" xfId="19821" xr:uid="{00000000-0005-0000-0000-00004A150000}"/>
    <cellStyle name="20% - uthevingsfarge 3 30 3 4 3 2" xfId="35934" xr:uid="{00000000-0005-0000-0000-00004B150000}"/>
    <cellStyle name="20% - uthevingsfarge 3 30 3 4 4" xfId="32367" xr:uid="{00000000-0005-0000-0000-00004C150000}"/>
    <cellStyle name="20% - uthevingsfarge 3 30 3 5" xfId="7118" xr:uid="{00000000-0005-0000-0000-00004D150000}"/>
    <cellStyle name="20% - uthevingsfarge 3 30 3 5 2" xfId="22421" xr:uid="{00000000-0005-0000-0000-00004E150000}"/>
    <cellStyle name="20% - uthevingsfarge 3 30 3 5 2 2" xfId="38493" xr:uid="{00000000-0005-0000-0000-00004F150000}"/>
    <cellStyle name="20% - uthevingsfarge 3 30 3 5 3" xfId="30680" xr:uid="{00000000-0005-0000-0000-000050150000}"/>
    <cellStyle name="20% - uthevingsfarge 3 30 3 6" xfId="10889" xr:uid="{00000000-0005-0000-0000-000051150000}"/>
    <cellStyle name="20% - uthevingsfarge 3 30 3 7" xfId="34067" xr:uid="{00000000-0005-0000-0000-000052150000}"/>
    <cellStyle name="20% - uthevingsfarge 3 30 3 8" xfId="43521" xr:uid="{00000000-0005-0000-0000-000053150000}"/>
    <cellStyle name="20% - uthevingsfarge 3 30 3 9" xfId="46425" xr:uid="{00000000-0005-0000-0000-000054150000}"/>
    <cellStyle name="20% - uthevingsfarge 3 30 3_Avviksanalyse løpende RNB15 (1)" xfId="16588" xr:uid="{00000000-0005-0000-0000-000055150000}"/>
    <cellStyle name="20% - uthevingsfarge 3 30 4" xfId="3727" xr:uid="{00000000-0005-0000-0000-000056150000}"/>
    <cellStyle name="20% - uthevingsfarge 3 30 4 2" xfId="5615" xr:uid="{00000000-0005-0000-0000-000057150000}"/>
    <cellStyle name="20% - uthevingsfarge 3 30 4 2 2" xfId="9030" xr:uid="{00000000-0005-0000-0000-000058150000}"/>
    <cellStyle name="20% - uthevingsfarge 3 30 4 2 2 2" xfId="21257" xr:uid="{00000000-0005-0000-0000-000059150000}"/>
    <cellStyle name="20% - uthevingsfarge 3 30 4 2 2 2 2" xfId="37337" xr:uid="{00000000-0005-0000-0000-00005A150000}"/>
    <cellStyle name="20% - uthevingsfarge 3 30 4 2 2 3" xfId="28768" xr:uid="{00000000-0005-0000-0000-00005B150000}"/>
    <cellStyle name="20% - uthevingsfarge 3 30 4 2 3" xfId="20141" xr:uid="{00000000-0005-0000-0000-00005C150000}"/>
    <cellStyle name="20% - uthevingsfarge 3 30 4 2 3 2" xfId="36244" xr:uid="{00000000-0005-0000-0000-00005D150000}"/>
    <cellStyle name="20% - uthevingsfarge 3 30 4 2 4" xfId="32159" xr:uid="{00000000-0005-0000-0000-00005E150000}"/>
    <cellStyle name="20% - uthevingsfarge 3 30 4 3" xfId="7333" xr:uid="{00000000-0005-0000-0000-00005F150000}"/>
    <cellStyle name="20% - uthevingsfarge 3 30 4 3 2" xfId="20744" xr:uid="{00000000-0005-0000-0000-000060150000}"/>
    <cellStyle name="20% - uthevingsfarge 3 30 4 3 2 2" xfId="36843" xr:uid="{00000000-0005-0000-0000-000061150000}"/>
    <cellStyle name="20% - uthevingsfarge 3 30 4 3 3" xfId="30465" xr:uid="{00000000-0005-0000-0000-000062150000}"/>
    <cellStyle name="20% - uthevingsfarge 3 30 4 4" xfId="19925" xr:uid="{00000000-0005-0000-0000-000063150000}"/>
    <cellStyle name="20% - uthevingsfarge 3 30 4 4 2" xfId="36029" xr:uid="{00000000-0005-0000-0000-000064150000}"/>
    <cellStyle name="20% - uthevingsfarge 3 30 4 5" xfId="33852" xr:uid="{00000000-0005-0000-0000-000065150000}"/>
    <cellStyle name="20% - uthevingsfarge 3 30 5" xfId="4238" xr:uid="{00000000-0005-0000-0000-000066150000}"/>
    <cellStyle name="20% - uthevingsfarge 3 30 5 2" xfId="6070" xr:uid="{00000000-0005-0000-0000-000067150000}"/>
    <cellStyle name="20% - uthevingsfarge 3 30 5 2 2" xfId="9485" xr:uid="{00000000-0005-0000-0000-000068150000}"/>
    <cellStyle name="20% - uthevingsfarge 3 30 5 2 2 2" xfId="24520" xr:uid="{00000000-0005-0000-0000-000069150000}"/>
    <cellStyle name="20% - uthevingsfarge 3 30 5 2 2 2 2" xfId="40564" xr:uid="{00000000-0005-0000-0000-00006A150000}"/>
    <cellStyle name="20% - uthevingsfarge 3 30 5 2 2 3" xfId="28313" xr:uid="{00000000-0005-0000-0000-00006B150000}"/>
    <cellStyle name="20% - uthevingsfarge 3 30 5 2 3" xfId="22969" xr:uid="{00000000-0005-0000-0000-00006C150000}"/>
    <cellStyle name="20% - uthevingsfarge 3 30 5 2 3 2" xfId="39038" xr:uid="{00000000-0005-0000-0000-00006D150000}"/>
    <cellStyle name="20% - uthevingsfarge 3 30 5 2 4" xfId="31708" xr:uid="{00000000-0005-0000-0000-00006E150000}"/>
    <cellStyle name="20% - uthevingsfarge 3 30 5 3" xfId="7804" xr:uid="{00000000-0005-0000-0000-00006F150000}"/>
    <cellStyle name="20% - uthevingsfarge 3 30 5 3 2" xfId="21855" xr:uid="{00000000-0005-0000-0000-000070150000}"/>
    <cellStyle name="20% - uthevingsfarge 3 30 5 3 2 2" xfId="37931" xr:uid="{00000000-0005-0000-0000-000071150000}"/>
    <cellStyle name="20% - uthevingsfarge 3 30 5 3 3" xfId="29995" xr:uid="{00000000-0005-0000-0000-000072150000}"/>
    <cellStyle name="20% - uthevingsfarge 3 30 5 4" xfId="22808" xr:uid="{00000000-0005-0000-0000-000073150000}"/>
    <cellStyle name="20% - uthevingsfarge 3 30 5 4 2" xfId="38877" xr:uid="{00000000-0005-0000-0000-000074150000}"/>
    <cellStyle name="20% - uthevingsfarge 3 30 5 5" xfId="33383" xr:uid="{00000000-0005-0000-0000-000075150000}"/>
    <cellStyle name="20% - uthevingsfarge 3 30 6" xfId="4662" xr:uid="{00000000-0005-0000-0000-000076150000}"/>
    <cellStyle name="20% - uthevingsfarge 3 30 6 2" xfId="6382" xr:uid="{00000000-0005-0000-0000-000077150000}"/>
    <cellStyle name="20% - uthevingsfarge 3 30 6 2 2" xfId="9792" xr:uid="{00000000-0005-0000-0000-000078150000}"/>
    <cellStyle name="20% - uthevingsfarge 3 30 6 2 2 2" xfId="21485" xr:uid="{00000000-0005-0000-0000-000079150000}"/>
    <cellStyle name="20% - uthevingsfarge 3 30 6 2 2 2 2" xfId="37565" xr:uid="{00000000-0005-0000-0000-00007A150000}"/>
    <cellStyle name="20% - uthevingsfarge 3 30 6 2 2 3" xfId="28007" xr:uid="{00000000-0005-0000-0000-00007B150000}"/>
    <cellStyle name="20% - uthevingsfarge 3 30 6 2 3" xfId="20430" xr:uid="{00000000-0005-0000-0000-00007C150000}"/>
    <cellStyle name="20% - uthevingsfarge 3 30 6 2 3 2" xfId="36529" xr:uid="{00000000-0005-0000-0000-00007D150000}"/>
    <cellStyle name="20% - uthevingsfarge 3 30 6 2 4" xfId="31408" xr:uid="{00000000-0005-0000-0000-00007E150000}"/>
    <cellStyle name="20% - uthevingsfarge 3 30 6 3" xfId="8088" xr:uid="{00000000-0005-0000-0000-00007F150000}"/>
    <cellStyle name="20% - uthevingsfarge 3 30 6 3 2" xfId="20997" xr:uid="{00000000-0005-0000-0000-000080150000}"/>
    <cellStyle name="20% - uthevingsfarge 3 30 6 3 2 2" xfId="37092" xr:uid="{00000000-0005-0000-0000-000081150000}"/>
    <cellStyle name="20% - uthevingsfarge 3 30 6 3 3" xfId="29710" xr:uid="{00000000-0005-0000-0000-000082150000}"/>
    <cellStyle name="20% - uthevingsfarge 3 30 6 4" xfId="23706" xr:uid="{00000000-0005-0000-0000-000083150000}"/>
    <cellStyle name="20% - uthevingsfarge 3 30 6 4 2" xfId="39762" xr:uid="{00000000-0005-0000-0000-000084150000}"/>
    <cellStyle name="20% - uthevingsfarge 3 30 6 5" xfId="33101" xr:uid="{00000000-0005-0000-0000-000085150000}"/>
    <cellStyle name="20% - uthevingsfarge 3 30 7" xfId="5026" xr:uid="{00000000-0005-0000-0000-000086150000}"/>
    <cellStyle name="20% - uthevingsfarge 3 30 7 2" xfId="6745" xr:uid="{00000000-0005-0000-0000-000087150000}"/>
    <cellStyle name="20% - uthevingsfarge 3 30 7 2 2" xfId="10151" xr:uid="{00000000-0005-0000-0000-000088150000}"/>
    <cellStyle name="20% - uthevingsfarge 3 30 7 2 2 2" xfId="21815" xr:uid="{00000000-0005-0000-0000-000089150000}"/>
    <cellStyle name="20% - uthevingsfarge 3 30 7 2 2 2 2" xfId="37891" xr:uid="{00000000-0005-0000-0000-00008A150000}"/>
    <cellStyle name="20% - uthevingsfarge 3 30 7 2 2 3" xfId="27648" xr:uid="{00000000-0005-0000-0000-00008B150000}"/>
    <cellStyle name="20% - uthevingsfarge 3 30 7 2 3" xfId="19653" xr:uid="{00000000-0005-0000-0000-00008C150000}"/>
    <cellStyle name="20% - uthevingsfarge 3 30 7 2 3 2" xfId="35767" xr:uid="{00000000-0005-0000-0000-00008D150000}"/>
    <cellStyle name="20% - uthevingsfarge 3 30 7 2 4" xfId="31049" xr:uid="{00000000-0005-0000-0000-00008E150000}"/>
    <cellStyle name="20% - uthevingsfarge 3 30 7 3" xfId="8448" xr:uid="{00000000-0005-0000-0000-00008F150000}"/>
    <cellStyle name="20% - uthevingsfarge 3 30 7 3 2" xfId="21096" xr:uid="{00000000-0005-0000-0000-000090150000}"/>
    <cellStyle name="20% - uthevingsfarge 3 30 7 3 2 2" xfId="37181" xr:uid="{00000000-0005-0000-0000-000091150000}"/>
    <cellStyle name="20% - uthevingsfarge 3 30 7 3 3" xfId="29350" xr:uid="{00000000-0005-0000-0000-000092150000}"/>
    <cellStyle name="20% - uthevingsfarge 3 30 7 4" xfId="12206" xr:uid="{00000000-0005-0000-0000-000093150000}"/>
    <cellStyle name="20% - uthevingsfarge 3 30 7 4 2" xfId="35124" xr:uid="{00000000-0005-0000-0000-000094150000}"/>
    <cellStyle name="20% - uthevingsfarge 3 30 7 5" xfId="32741" xr:uid="{00000000-0005-0000-0000-000095150000}"/>
    <cellStyle name="20% - uthevingsfarge 3 30 8" xfId="5238" xr:uid="{00000000-0005-0000-0000-000096150000}"/>
    <cellStyle name="20% - uthevingsfarge 3 30 8 2" xfId="8653" xr:uid="{00000000-0005-0000-0000-000097150000}"/>
    <cellStyle name="20% - uthevingsfarge 3 30 8 2 2" xfId="21152" xr:uid="{00000000-0005-0000-0000-000098150000}"/>
    <cellStyle name="20% - uthevingsfarge 3 30 8 2 2 2" xfId="37232" xr:uid="{00000000-0005-0000-0000-000099150000}"/>
    <cellStyle name="20% - uthevingsfarge 3 30 8 2 3" xfId="29145" xr:uid="{00000000-0005-0000-0000-00009A150000}"/>
    <cellStyle name="20% - uthevingsfarge 3 30 8 3" xfId="19780" xr:uid="{00000000-0005-0000-0000-00009B150000}"/>
    <cellStyle name="20% - uthevingsfarge 3 30 8 3 2" xfId="35894" xr:uid="{00000000-0005-0000-0000-00009C150000}"/>
    <cellStyle name="20% - uthevingsfarge 3 30 8 4" xfId="32536" xr:uid="{00000000-0005-0000-0000-00009D150000}"/>
    <cellStyle name="20% - uthevingsfarge 3 30 9" xfId="6912" xr:uid="{00000000-0005-0000-0000-00009E150000}"/>
    <cellStyle name="20% - uthevingsfarge 3 30 9 2" xfId="23672" xr:uid="{00000000-0005-0000-0000-00009F150000}"/>
    <cellStyle name="20% - uthevingsfarge 3 30 9 2 2" xfId="39728" xr:uid="{00000000-0005-0000-0000-0000A0150000}"/>
    <cellStyle name="20% - uthevingsfarge 3 30 9 3" xfId="30886" xr:uid="{00000000-0005-0000-0000-0000A1150000}"/>
    <cellStyle name="20% - uthevingsfarge 3 31" xfId="3442" xr:uid="{00000000-0005-0000-0000-0000A2150000}"/>
    <cellStyle name="20% - uthevingsfarge 3 31 2" xfId="3636" xr:uid="{00000000-0005-0000-0000-0000A3150000}"/>
    <cellStyle name="20% - uthevingsfarge 3 31 2 2" xfId="4064" xr:uid="{00000000-0005-0000-0000-0000A4150000}"/>
    <cellStyle name="20% - uthevingsfarge 3 31 2 2 2" xfId="5952" xr:uid="{00000000-0005-0000-0000-0000A5150000}"/>
    <cellStyle name="20% - uthevingsfarge 3 31 2 2 2 2" xfId="9367" xr:uid="{00000000-0005-0000-0000-0000A6150000}"/>
    <cellStyle name="20% - uthevingsfarge 3 31 2 2 2 2 2" xfId="21363" xr:uid="{00000000-0005-0000-0000-0000A7150000}"/>
    <cellStyle name="20% - uthevingsfarge 3 31 2 2 2 2 2 2" xfId="37443" xr:uid="{00000000-0005-0000-0000-0000A8150000}"/>
    <cellStyle name="20% - uthevingsfarge 3 31 2 2 2 2 3" xfId="28431" xr:uid="{00000000-0005-0000-0000-0000A9150000}"/>
    <cellStyle name="20% - uthevingsfarge 3 31 2 2 2 3" xfId="20263" xr:uid="{00000000-0005-0000-0000-0000AA150000}"/>
    <cellStyle name="20% - uthevingsfarge 3 31 2 2 2 3 2" xfId="36362" xr:uid="{00000000-0005-0000-0000-0000AB150000}"/>
    <cellStyle name="20% - uthevingsfarge 3 31 2 2 2 4" xfId="31826" xr:uid="{00000000-0005-0000-0000-0000AC150000}"/>
    <cellStyle name="20% - uthevingsfarge 3 31 2 2 3" xfId="7670" xr:uid="{00000000-0005-0000-0000-0000AD150000}"/>
    <cellStyle name="20% - uthevingsfarge 3 31 2 2 3 2" xfId="20858" xr:uid="{00000000-0005-0000-0000-0000AE150000}"/>
    <cellStyle name="20% - uthevingsfarge 3 31 2 2 3 2 2" xfId="36957" xr:uid="{00000000-0005-0000-0000-0000AF150000}"/>
    <cellStyle name="20% - uthevingsfarge 3 31 2 2 3 3" xfId="30128" xr:uid="{00000000-0005-0000-0000-0000B0150000}"/>
    <cellStyle name="20% - uthevingsfarge 3 31 2 2 4" xfId="22638" xr:uid="{00000000-0005-0000-0000-0000B1150000}"/>
    <cellStyle name="20% - uthevingsfarge 3 31 2 2 4 2" xfId="38707" xr:uid="{00000000-0005-0000-0000-0000B2150000}"/>
    <cellStyle name="20% - uthevingsfarge 3 31 2 2 5" xfId="33515" xr:uid="{00000000-0005-0000-0000-0000B3150000}"/>
    <cellStyle name="20% - uthevingsfarge 3 31 2 3" xfId="5004" xr:uid="{00000000-0005-0000-0000-0000B4150000}"/>
    <cellStyle name="20% - uthevingsfarge 3 31 2 3 2" xfId="6723" xr:uid="{00000000-0005-0000-0000-0000B5150000}"/>
    <cellStyle name="20% - uthevingsfarge 3 31 2 3 2 2" xfId="10129" xr:uid="{00000000-0005-0000-0000-0000B6150000}"/>
    <cellStyle name="20% - uthevingsfarge 3 31 2 3 2 2 2" xfId="21618" xr:uid="{00000000-0005-0000-0000-0000B7150000}"/>
    <cellStyle name="20% - uthevingsfarge 3 31 2 3 2 2 2 2" xfId="37698" xr:uid="{00000000-0005-0000-0000-0000B8150000}"/>
    <cellStyle name="20% - uthevingsfarge 3 31 2 3 2 2 3" xfId="27670" xr:uid="{00000000-0005-0000-0000-0000B9150000}"/>
    <cellStyle name="20% - uthevingsfarge 3 31 2 3 2 3" xfId="10659" xr:uid="{00000000-0005-0000-0000-0000BA150000}"/>
    <cellStyle name="20% - uthevingsfarge 3 31 2 3 2 3 2" xfId="34507" xr:uid="{00000000-0005-0000-0000-0000BB150000}"/>
    <cellStyle name="20% - uthevingsfarge 3 31 2 3 2 4" xfId="31071" xr:uid="{00000000-0005-0000-0000-0000BC150000}"/>
    <cellStyle name="20% - uthevingsfarge 3 31 2 3 3" xfId="8426" xr:uid="{00000000-0005-0000-0000-0000BD150000}"/>
    <cellStyle name="20% - uthevingsfarge 3 31 2 3 3 2" xfId="21088" xr:uid="{00000000-0005-0000-0000-0000BE150000}"/>
    <cellStyle name="20% - uthevingsfarge 3 31 2 3 3 2 2" xfId="37173" xr:uid="{00000000-0005-0000-0000-0000BF150000}"/>
    <cellStyle name="20% - uthevingsfarge 3 31 2 3 3 3" xfId="29372" xr:uid="{00000000-0005-0000-0000-0000C0150000}"/>
    <cellStyle name="20% - uthevingsfarge 3 31 2 3 4" xfId="19725" xr:uid="{00000000-0005-0000-0000-0000C1150000}"/>
    <cellStyle name="20% - uthevingsfarge 3 31 2 3 4 2" xfId="35839" xr:uid="{00000000-0005-0000-0000-0000C2150000}"/>
    <cellStyle name="20% - uthevingsfarge 3 31 2 3 5" xfId="32763" xr:uid="{00000000-0005-0000-0000-0000C3150000}"/>
    <cellStyle name="20% - uthevingsfarge 3 31 2 4" xfId="5558" xr:uid="{00000000-0005-0000-0000-0000C4150000}"/>
    <cellStyle name="20% - uthevingsfarge 3 31 2 4 2" xfId="8973" xr:uid="{00000000-0005-0000-0000-0000C5150000}"/>
    <cellStyle name="20% - uthevingsfarge 3 31 2 4 2 2" xfId="22598" xr:uid="{00000000-0005-0000-0000-0000C6150000}"/>
    <cellStyle name="20% - uthevingsfarge 3 31 2 4 2 2 2" xfId="38667" xr:uid="{00000000-0005-0000-0000-0000C7150000}"/>
    <cellStyle name="20% - uthevingsfarge 3 31 2 4 2 3" xfId="28825" xr:uid="{00000000-0005-0000-0000-0000C8150000}"/>
    <cellStyle name="20% - uthevingsfarge 3 31 2 4 3" xfId="22253" xr:uid="{00000000-0005-0000-0000-0000C9150000}"/>
    <cellStyle name="20% - uthevingsfarge 3 31 2 4 3 2" xfId="38327" xr:uid="{00000000-0005-0000-0000-0000CA150000}"/>
    <cellStyle name="20% - uthevingsfarge 3 31 2 4 4" xfId="32216" xr:uid="{00000000-0005-0000-0000-0000CB150000}"/>
    <cellStyle name="20% - uthevingsfarge 3 31 2 5" xfId="7276" xr:uid="{00000000-0005-0000-0000-0000CC150000}"/>
    <cellStyle name="20% - uthevingsfarge 3 31 2 5 2" xfId="20720" xr:uid="{00000000-0005-0000-0000-0000CD150000}"/>
    <cellStyle name="20% - uthevingsfarge 3 31 2 5 2 2" xfId="36819" xr:uid="{00000000-0005-0000-0000-0000CE150000}"/>
    <cellStyle name="20% - uthevingsfarge 3 31 2 5 3" xfId="30522" xr:uid="{00000000-0005-0000-0000-0000CF150000}"/>
    <cellStyle name="20% - uthevingsfarge 3 31 2 6" xfId="11088" xr:uid="{00000000-0005-0000-0000-0000D0150000}"/>
    <cellStyle name="20% - uthevingsfarge 3 31 2 6 2" xfId="34791" xr:uid="{00000000-0005-0000-0000-0000D1150000}"/>
    <cellStyle name="20% - uthevingsfarge 3 31 2 7" xfId="33909" xr:uid="{00000000-0005-0000-0000-0000D2150000}"/>
    <cellStyle name="20% - uthevingsfarge 3 31 3" xfId="3884" xr:uid="{00000000-0005-0000-0000-0000D3150000}"/>
    <cellStyle name="20% - uthevingsfarge 3 31 3 2" xfId="5772" xr:uid="{00000000-0005-0000-0000-0000D4150000}"/>
    <cellStyle name="20% - uthevingsfarge 3 31 3 2 2" xfId="9187" xr:uid="{00000000-0005-0000-0000-0000D5150000}"/>
    <cellStyle name="20% - uthevingsfarge 3 31 3 2 2 2" xfId="23470" xr:uid="{00000000-0005-0000-0000-0000D6150000}"/>
    <cellStyle name="20% - uthevingsfarge 3 31 3 2 2 2 2" xfId="39526" xr:uid="{00000000-0005-0000-0000-0000D7150000}"/>
    <cellStyle name="20% - uthevingsfarge 3 31 3 2 2 3" xfId="28611" xr:uid="{00000000-0005-0000-0000-0000D8150000}"/>
    <cellStyle name="20% - uthevingsfarge 3 31 3 2 3" xfId="11981" xr:uid="{00000000-0005-0000-0000-0000D9150000}"/>
    <cellStyle name="20% - uthevingsfarge 3 31 3 2 3 2" xfId="35003" xr:uid="{00000000-0005-0000-0000-0000DA150000}"/>
    <cellStyle name="20% - uthevingsfarge 3 31 3 2 4" xfId="32002" xr:uid="{00000000-0005-0000-0000-0000DB150000}"/>
    <cellStyle name="20% - uthevingsfarge 3 31 3 3" xfId="7490" xr:uid="{00000000-0005-0000-0000-0000DC150000}"/>
    <cellStyle name="20% - uthevingsfarge 3 31 3 3 2" xfId="22459" xr:uid="{00000000-0005-0000-0000-0000DD150000}"/>
    <cellStyle name="20% - uthevingsfarge 3 31 3 3 2 2" xfId="38531" xr:uid="{00000000-0005-0000-0000-0000DE150000}"/>
    <cellStyle name="20% - uthevingsfarge 3 31 3 3 3" xfId="30308" xr:uid="{00000000-0005-0000-0000-0000DF150000}"/>
    <cellStyle name="20% - uthevingsfarge 3 31 3 4" xfId="19554" xr:uid="{00000000-0005-0000-0000-0000E0150000}"/>
    <cellStyle name="20% - uthevingsfarge 3 31 3 4 2" xfId="35668" xr:uid="{00000000-0005-0000-0000-0000E1150000}"/>
    <cellStyle name="20% - uthevingsfarge 3 31 3 5" xfId="33695" xr:uid="{00000000-0005-0000-0000-0000E2150000}"/>
    <cellStyle name="20% - uthevingsfarge 3 31 4" xfId="4824" xr:uid="{00000000-0005-0000-0000-0000E3150000}"/>
    <cellStyle name="20% - uthevingsfarge 3 31 4 2" xfId="6543" xr:uid="{00000000-0005-0000-0000-0000E4150000}"/>
    <cellStyle name="20% - uthevingsfarge 3 31 4 2 2" xfId="9949" xr:uid="{00000000-0005-0000-0000-0000E5150000}"/>
    <cellStyle name="20% - uthevingsfarge 3 31 4 2 2 2" xfId="21546" xr:uid="{00000000-0005-0000-0000-0000E6150000}"/>
    <cellStyle name="20% - uthevingsfarge 3 31 4 2 2 2 2" xfId="37626" xr:uid="{00000000-0005-0000-0000-0000E7150000}"/>
    <cellStyle name="20% - uthevingsfarge 3 31 4 2 2 3" xfId="27850" xr:uid="{00000000-0005-0000-0000-0000E8150000}"/>
    <cellStyle name="20% - uthevingsfarge 3 31 4 2 3" xfId="20491" xr:uid="{00000000-0005-0000-0000-0000E9150000}"/>
    <cellStyle name="20% - uthevingsfarge 3 31 4 2 3 2" xfId="36590" xr:uid="{00000000-0005-0000-0000-0000EA150000}"/>
    <cellStyle name="20% - uthevingsfarge 3 31 4 2 4" xfId="31251" xr:uid="{00000000-0005-0000-0000-0000EB150000}"/>
    <cellStyle name="20% - uthevingsfarge 3 31 4 3" xfId="8246" xr:uid="{00000000-0005-0000-0000-0000EC150000}"/>
    <cellStyle name="20% - uthevingsfarge 3 31 4 3 2" xfId="23335" xr:uid="{00000000-0005-0000-0000-0000ED150000}"/>
    <cellStyle name="20% - uthevingsfarge 3 31 4 3 2 2" xfId="39397" xr:uid="{00000000-0005-0000-0000-0000EE150000}"/>
    <cellStyle name="20% - uthevingsfarge 3 31 4 3 3" xfId="29551" xr:uid="{00000000-0005-0000-0000-0000EF150000}"/>
    <cellStyle name="20% - uthevingsfarge 3 31 4 4" xfId="20045" xr:uid="{00000000-0005-0000-0000-0000F0150000}"/>
    <cellStyle name="20% - uthevingsfarge 3 31 4 4 2" xfId="36149" xr:uid="{00000000-0005-0000-0000-0000F1150000}"/>
    <cellStyle name="20% - uthevingsfarge 3 31 4 5" xfId="32943" xr:uid="{00000000-0005-0000-0000-0000F2150000}"/>
    <cellStyle name="20% - uthevingsfarge 3 31 5" xfId="5388" xr:uid="{00000000-0005-0000-0000-0000F3150000}"/>
    <cellStyle name="20% - uthevingsfarge 3 31 5 2" xfId="8803" xr:uid="{00000000-0005-0000-0000-0000F4150000}"/>
    <cellStyle name="20% - uthevingsfarge 3 31 5 2 2" xfId="21724" xr:uid="{00000000-0005-0000-0000-0000F5150000}"/>
    <cellStyle name="20% - uthevingsfarge 3 31 5 2 2 2" xfId="37802" xr:uid="{00000000-0005-0000-0000-0000F6150000}"/>
    <cellStyle name="20% - uthevingsfarge 3 31 5 2 3" xfId="28995" xr:uid="{00000000-0005-0000-0000-0000F7150000}"/>
    <cellStyle name="20% - uthevingsfarge 3 31 5 3" xfId="23859" xr:uid="{00000000-0005-0000-0000-0000F8150000}"/>
    <cellStyle name="20% - uthevingsfarge 3 31 5 3 2" xfId="39915" xr:uid="{00000000-0005-0000-0000-0000F9150000}"/>
    <cellStyle name="20% - uthevingsfarge 3 31 5 4" xfId="32386" xr:uid="{00000000-0005-0000-0000-0000FA150000}"/>
    <cellStyle name="20% - uthevingsfarge 3 31 6" xfId="7096" xr:uid="{00000000-0005-0000-0000-0000FB150000}"/>
    <cellStyle name="20% - uthevingsfarge 3 31 6 2" xfId="20665" xr:uid="{00000000-0005-0000-0000-0000FC150000}"/>
    <cellStyle name="20% - uthevingsfarge 3 31 6 2 2" xfId="36764" xr:uid="{00000000-0005-0000-0000-0000FD150000}"/>
    <cellStyle name="20% - uthevingsfarge 3 31 6 3" xfId="30702" xr:uid="{00000000-0005-0000-0000-0000FE150000}"/>
    <cellStyle name="20% - uthevingsfarge 3 31 7" xfId="19537" xr:uid="{00000000-0005-0000-0000-0000FF150000}"/>
    <cellStyle name="20% - uthevingsfarge 3 31 7 2" xfId="35651" xr:uid="{00000000-0005-0000-0000-000000160000}"/>
    <cellStyle name="20% - uthevingsfarge 3 31 8" xfId="34089" xr:uid="{00000000-0005-0000-0000-000001160000}"/>
    <cellStyle name="20% - uthevingsfarge 3 32" xfId="4448" xr:uid="{00000000-0005-0000-0000-000002160000}"/>
    <cellStyle name="20% - uthevingsfarge 3 32 2" xfId="6245" xr:uid="{00000000-0005-0000-0000-000003160000}"/>
    <cellStyle name="20% - uthevingsfarge 3 32 2 2" xfId="9655" xr:uid="{00000000-0005-0000-0000-000004160000}"/>
    <cellStyle name="20% - uthevingsfarge 3 32 2 2 2" xfId="22619" xr:uid="{00000000-0005-0000-0000-000005160000}"/>
    <cellStyle name="20% - uthevingsfarge 3 32 2 2 2 2" xfId="38688" xr:uid="{00000000-0005-0000-0000-000006160000}"/>
    <cellStyle name="20% - uthevingsfarge 3 32 2 2 3" xfId="28144" xr:uid="{00000000-0005-0000-0000-000007160000}"/>
    <cellStyle name="20% - uthevingsfarge 3 32 2 3" xfId="20377" xr:uid="{00000000-0005-0000-0000-000008160000}"/>
    <cellStyle name="20% - uthevingsfarge 3 32 2 3 2" xfId="36476" xr:uid="{00000000-0005-0000-0000-000009160000}"/>
    <cellStyle name="20% - uthevingsfarge 3 32 2 4" xfId="31545" xr:uid="{00000000-0005-0000-0000-00000A160000}"/>
    <cellStyle name="20% - uthevingsfarge 3 32 3" xfId="7951" xr:uid="{00000000-0005-0000-0000-00000B160000}"/>
    <cellStyle name="20% - uthevingsfarge 3 32 3 2" xfId="22497" xr:uid="{00000000-0005-0000-0000-00000C160000}"/>
    <cellStyle name="20% - uthevingsfarge 3 32 3 2 2" xfId="38569" xr:uid="{00000000-0005-0000-0000-00000D160000}"/>
    <cellStyle name="20% - uthevingsfarge 3 32 3 3" xfId="29848" xr:uid="{00000000-0005-0000-0000-00000E160000}"/>
    <cellStyle name="20% - uthevingsfarge 3 32 4" xfId="20013" xr:uid="{00000000-0005-0000-0000-00000F160000}"/>
    <cellStyle name="20% - uthevingsfarge 3 32 4 2" xfId="36117" xr:uid="{00000000-0005-0000-0000-000010160000}"/>
    <cellStyle name="20% - uthevingsfarge 3 32 5" xfId="33237" xr:uid="{00000000-0005-0000-0000-000011160000}"/>
    <cellStyle name="20% - uthevingsfarge 3 33" xfId="5353" xr:uid="{00000000-0005-0000-0000-000012160000}"/>
    <cellStyle name="20% - uthevingsfarge 3 33 2" xfId="8768" xr:uid="{00000000-0005-0000-0000-000013160000}"/>
    <cellStyle name="20% - uthevingsfarge 3 33 2 2" xfId="21186" xr:uid="{00000000-0005-0000-0000-000014160000}"/>
    <cellStyle name="20% - uthevingsfarge 3 33 2 2 2" xfId="37266" xr:uid="{00000000-0005-0000-0000-000015160000}"/>
    <cellStyle name="20% - uthevingsfarge 3 33 2 3" xfId="29030" xr:uid="{00000000-0005-0000-0000-000016160000}"/>
    <cellStyle name="20% - uthevingsfarge 3 33 3" xfId="19806" xr:uid="{00000000-0005-0000-0000-000017160000}"/>
    <cellStyle name="20% - uthevingsfarge 3 33 3 2" xfId="35919" xr:uid="{00000000-0005-0000-0000-000018160000}"/>
    <cellStyle name="20% - uthevingsfarge 3 33 4" xfId="32421" xr:uid="{00000000-0005-0000-0000-000019160000}"/>
    <cellStyle name="20% - uthevingsfarge 3 34" xfId="40950" xr:uid="{00000000-0005-0000-0000-00001A160000}"/>
    <cellStyle name="20% - uthevingsfarge 3 35" xfId="43149" xr:uid="{00000000-0005-0000-0000-00001B160000}"/>
    <cellStyle name="20% - uthevingsfarge 3 36" xfId="40903" xr:uid="{00000000-0005-0000-0000-00001C160000}"/>
    <cellStyle name="20% - uthevingsfarge 3 37" xfId="40928" xr:uid="{00000000-0005-0000-0000-00001D160000}"/>
    <cellStyle name="20% - uthevingsfarge 3 38" xfId="40792" xr:uid="{00000000-0005-0000-0000-00001E160000}"/>
    <cellStyle name="20% - uthevingsfarge 3 39" xfId="40886" xr:uid="{00000000-0005-0000-0000-00001F160000}"/>
    <cellStyle name="20% - uthevingsfarge 3 4" xfId="416" xr:uid="{00000000-0005-0000-0000-000020160000}"/>
    <cellStyle name="20% - uthevingsfarge 3 4 2" xfId="417" xr:uid="{00000000-0005-0000-0000-000021160000}"/>
    <cellStyle name="20% - uthevingsfarge 3 40" xfId="40929" xr:uid="{00000000-0005-0000-0000-000022160000}"/>
    <cellStyle name="20% - uthevingsfarge 3 41" xfId="43211" xr:uid="{00000000-0005-0000-0000-000023160000}"/>
    <cellStyle name="20% - uthevingsfarge 3 42" xfId="43425" xr:uid="{00000000-0005-0000-0000-000024160000}"/>
    <cellStyle name="20% - uthevingsfarge 3 43" xfId="43459" xr:uid="{00000000-0005-0000-0000-000025160000}"/>
    <cellStyle name="20% - uthevingsfarge 3 44" xfId="46283" xr:uid="{00000000-0005-0000-0000-000026160000}"/>
    <cellStyle name="20% - uthevingsfarge 3 45" xfId="43466" xr:uid="{00000000-0005-0000-0000-000027160000}"/>
    <cellStyle name="20% - uthevingsfarge 3 46" xfId="46313" xr:uid="{00000000-0005-0000-0000-000028160000}"/>
    <cellStyle name="20% - uthevingsfarge 3 47" xfId="46841" xr:uid="{00000000-0005-0000-0000-000029160000}"/>
    <cellStyle name="20% - uthevingsfarge 3 48" xfId="46352" xr:uid="{00000000-0005-0000-0000-00002A160000}"/>
    <cellStyle name="20% - uthevingsfarge 3 49" xfId="46811" xr:uid="{00000000-0005-0000-0000-00002B160000}"/>
    <cellStyle name="20% - uthevingsfarge 3 5" xfId="418" xr:uid="{00000000-0005-0000-0000-00002C160000}"/>
    <cellStyle name="20% - uthevingsfarge 3 5 2" xfId="419" xr:uid="{00000000-0005-0000-0000-00002D160000}"/>
    <cellStyle name="20% - uthevingsfarge 3 50" xfId="46464" xr:uid="{00000000-0005-0000-0000-00002E160000}"/>
    <cellStyle name="20% - uthevingsfarge 3 51" xfId="46592" xr:uid="{00000000-0005-0000-0000-00002F160000}"/>
    <cellStyle name="20% - uthevingsfarge 3 6" xfId="420" xr:uid="{00000000-0005-0000-0000-000030160000}"/>
    <cellStyle name="20% - uthevingsfarge 3 6 2" xfId="421" xr:uid="{00000000-0005-0000-0000-000031160000}"/>
    <cellStyle name="20% - uthevingsfarge 3 7" xfId="422" xr:uid="{00000000-0005-0000-0000-000032160000}"/>
    <cellStyle name="20% - uthevingsfarge 3 7 2" xfId="423" xr:uid="{00000000-0005-0000-0000-000033160000}"/>
    <cellStyle name="20% - uthevingsfarge 3 8" xfId="424" xr:uid="{00000000-0005-0000-0000-000034160000}"/>
    <cellStyle name="20% - uthevingsfarge 3 8 2" xfId="425" xr:uid="{00000000-0005-0000-0000-000035160000}"/>
    <cellStyle name="20% - uthevingsfarge 3 9" xfId="426" xr:uid="{00000000-0005-0000-0000-000036160000}"/>
    <cellStyle name="20% - uthevingsfarge 3 9 2" xfId="427" xr:uid="{00000000-0005-0000-0000-000037160000}"/>
    <cellStyle name="20% - uthevingsfarge 4" xfId="4567" xr:uid="{00000000-0005-0000-0000-000038160000}"/>
    <cellStyle name="20% - uthevingsfarge 4 10" xfId="428" xr:uid="{00000000-0005-0000-0000-000039160000}"/>
    <cellStyle name="20% - uthevingsfarge 4 10 2" xfId="429" xr:uid="{00000000-0005-0000-0000-00003A160000}"/>
    <cellStyle name="20% - uthevingsfarge 4 11" xfId="430" xr:uid="{00000000-0005-0000-0000-00003B160000}"/>
    <cellStyle name="20% - uthevingsfarge 4 11 2" xfId="431" xr:uid="{00000000-0005-0000-0000-00003C160000}"/>
    <cellStyle name="20% - uthevingsfarge 4 12" xfId="432" xr:uid="{00000000-0005-0000-0000-00003D160000}"/>
    <cellStyle name="20% - uthevingsfarge 4 12 2" xfId="433" xr:uid="{00000000-0005-0000-0000-00003E160000}"/>
    <cellStyle name="20% - uthevingsfarge 4 13" xfId="434" xr:uid="{00000000-0005-0000-0000-00003F160000}"/>
    <cellStyle name="20% - uthevingsfarge 4 13 2" xfId="435" xr:uid="{00000000-0005-0000-0000-000040160000}"/>
    <cellStyle name="20% - uthevingsfarge 4 14" xfId="436" xr:uid="{00000000-0005-0000-0000-000041160000}"/>
    <cellStyle name="20% - uthevingsfarge 4 14 2" xfId="437" xr:uid="{00000000-0005-0000-0000-000042160000}"/>
    <cellStyle name="20% - uthevingsfarge 4 15" xfId="438" xr:uid="{00000000-0005-0000-0000-000043160000}"/>
    <cellStyle name="20% - uthevingsfarge 4 15 2" xfId="439" xr:uid="{00000000-0005-0000-0000-000044160000}"/>
    <cellStyle name="20% - uthevingsfarge 4 16" xfId="440" xr:uid="{00000000-0005-0000-0000-000045160000}"/>
    <cellStyle name="20% - uthevingsfarge 4 16 2" xfId="441" xr:uid="{00000000-0005-0000-0000-000046160000}"/>
    <cellStyle name="20% - uthevingsfarge 4 17" xfId="442" xr:uid="{00000000-0005-0000-0000-000047160000}"/>
    <cellStyle name="20% - uthevingsfarge 4 17 2" xfId="443" xr:uid="{00000000-0005-0000-0000-000048160000}"/>
    <cellStyle name="20% - uthevingsfarge 4 18" xfId="444" xr:uid="{00000000-0005-0000-0000-000049160000}"/>
    <cellStyle name="20% - uthevingsfarge 4 18 2" xfId="445" xr:uid="{00000000-0005-0000-0000-00004A160000}"/>
    <cellStyle name="20% - uthevingsfarge 4 19" xfId="446" xr:uid="{00000000-0005-0000-0000-00004B160000}"/>
    <cellStyle name="20% - uthevingsfarge 4 19 2" xfId="447" xr:uid="{00000000-0005-0000-0000-00004C160000}"/>
    <cellStyle name="20% - uthevingsfarge 4 2" xfId="448" xr:uid="{00000000-0005-0000-0000-00004D160000}"/>
    <cellStyle name="20% - uthevingsfarge 4 2 2" xfId="449" xr:uid="{00000000-0005-0000-0000-00004E160000}"/>
    <cellStyle name="20% - uthevingsfarge 4 2 3" xfId="450" xr:uid="{00000000-0005-0000-0000-00004F160000}"/>
    <cellStyle name="20% - uthevingsfarge 4 2 4" xfId="451" xr:uid="{00000000-0005-0000-0000-000050160000}"/>
    <cellStyle name="20% - uthevingsfarge 4 2 5" xfId="10907" xr:uid="{00000000-0005-0000-0000-000051160000}"/>
    <cellStyle name="20% - uthevingsfarge 4 2 6" xfId="10908" xr:uid="{00000000-0005-0000-0000-000052160000}"/>
    <cellStyle name="20% - uthevingsfarge 4 2 7" xfId="10909" xr:uid="{00000000-0005-0000-0000-000053160000}"/>
    <cellStyle name="20% - uthevingsfarge 4 2 8" xfId="10910" xr:uid="{00000000-0005-0000-0000-000054160000}"/>
    <cellStyle name="20% - uthevingsfarge 4 2 9" xfId="10911" xr:uid="{00000000-0005-0000-0000-000055160000}"/>
    <cellStyle name="20% - uthevingsfarge 4 20" xfId="452" xr:uid="{00000000-0005-0000-0000-000056160000}"/>
    <cellStyle name="20% - uthevingsfarge 4 20 2" xfId="453" xr:uid="{00000000-0005-0000-0000-000057160000}"/>
    <cellStyle name="20% - uthevingsfarge 4 21" xfId="454" xr:uid="{00000000-0005-0000-0000-000058160000}"/>
    <cellStyle name="20% - uthevingsfarge 4 22" xfId="455" xr:uid="{00000000-0005-0000-0000-000059160000}"/>
    <cellStyle name="20% - uthevingsfarge 4 23" xfId="456" xr:uid="{00000000-0005-0000-0000-00005A160000}"/>
    <cellStyle name="20% - uthevingsfarge 4 24" xfId="457" xr:uid="{00000000-0005-0000-0000-00005B160000}"/>
    <cellStyle name="20% - uthevingsfarge 4 25" xfId="458" xr:uid="{00000000-0005-0000-0000-00005C160000}"/>
    <cellStyle name="20% - uthevingsfarge 4 26" xfId="459" xr:uid="{00000000-0005-0000-0000-00005D160000}"/>
    <cellStyle name="20% - uthevingsfarge 4 26 10" xfId="6913" xr:uid="{00000000-0005-0000-0000-00005E160000}"/>
    <cellStyle name="20% - uthevingsfarge 4 26 10 2" xfId="20601" xr:uid="{00000000-0005-0000-0000-00005F160000}"/>
    <cellStyle name="20% - uthevingsfarge 4 26 10 2 2" xfId="36700" xr:uid="{00000000-0005-0000-0000-000060160000}"/>
    <cellStyle name="20% - uthevingsfarge 4 26 10 3" xfId="30885" xr:uid="{00000000-0005-0000-0000-000061160000}"/>
    <cellStyle name="20% - uthevingsfarge 4 26 11" xfId="10919" xr:uid="{00000000-0005-0000-0000-000062160000}"/>
    <cellStyle name="20% - uthevingsfarge 4 26 12" xfId="34273" xr:uid="{00000000-0005-0000-0000-000063160000}"/>
    <cellStyle name="20% - uthevingsfarge 4 26 2" xfId="460" xr:uid="{00000000-0005-0000-0000-000064160000}"/>
    <cellStyle name="20% - uthevingsfarge 4 26 3" xfId="3324" xr:uid="{00000000-0005-0000-0000-000065160000}"/>
    <cellStyle name="20% - uthevingsfarge 4 26 3 10" xfId="34167" xr:uid="{00000000-0005-0000-0000-000066160000}"/>
    <cellStyle name="20% - uthevingsfarge 4 26 3 2" xfId="3556" xr:uid="{00000000-0005-0000-0000-000067160000}"/>
    <cellStyle name="20% - uthevingsfarge 4 26 3 2 10" xfId="47155" xr:uid="{00000000-0005-0000-0000-000068160000}"/>
    <cellStyle name="20% - uthevingsfarge 4 26 3 2 2" xfId="3986" xr:uid="{00000000-0005-0000-0000-000069160000}"/>
    <cellStyle name="20% - uthevingsfarge 4 26 3 2 2 2" xfId="5874" xr:uid="{00000000-0005-0000-0000-00006A160000}"/>
    <cellStyle name="20% - uthevingsfarge 4 26 3 2 2 2 2" xfId="9289" xr:uid="{00000000-0005-0000-0000-00006B160000}"/>
    <cellStyle name="20% - uthevingsfarge 4 26 3 2 2 2 2 2" xfId="22607" xr:uid="{00000000-0005-0000-0000-00006C160000}"/>
    <cellStyle name="20% - uthevingsfarge 4 26 3 2 2 2 2 2 2" xfId="38676" xr:uid="{00000000-0005-0000-0000-00006D160000}"/>
    <cellStyle name="20% - uthevingsfarge 4 26 3 2 2 2 2 3" xfId="28509" xr:uid="{00000000-0005-0000-0000-00006E160000}"/>
    <cellStyle name="20% - uthevingsfarge 4 26 3 2 2 2 3" xfId="10676" xr:uid="{00000000-0005-0000-0000-00006F160000}"/>
    <cellStyle name="20% - uthevingsfarge 4 26 3 2 2 2 3 2" xfId="34524" xr:uid="{00000000-0005-0000-0000-000070160000}"/>
    <cellStyle name="20% - uthevingsfarge 4 26 3 2 2 2 4" xfId="34298" xr:uid="{00000000-0005-0000-0000-000071160000}"/>
    <cellStyle name="20% - uthevingsfarge 4 26 3 2 2 3" xfId="7592" xr:uid="{00000000-0005-0000-0000-000072160000}"/>
    <cellStyle name="20% - uthevingsfarge 4 26 3 2 2 3 2" xfId="20829" xr:uid="{00000000-0005-0000-0000-000073160000}"/>
    <cellStyle name="20% - uthevingsfarge 4 26 3 2 2 3 2 2" xfId="36928" xr:uid="{00000000-0005-0000-0000-000074160000}"/>
    <cellStyle name="20% - uthevingsfarge 4 26 3 2 2 3 3" xfId="30206" xr:uid="{00000000-0005-0000-0000-000075160000}"/>
    <cellStyle name="20% - uthevingsfarge 4 26 3 2 2 4" xfId="17973" xr:uid="{00000000-0005-0000-0000-000076160000}"/>
    <cellStyle name="20% - uthevingsfarge 4 26 3 2 2 5" xfId="23792" xr:uid="{00000000-0005-0000-0000-000077160000}"/>
    <cellStyle name="20% - uthevingsfarge 4 26 3 2 2 5 2" xfId="39848" xr:uid="{00000000-0005-0000-0000-000078160000}"/>
    <cellStyle name="20% - uthevingsfarge 4 26 3 2 2 6" xfId="33593" xr:uid="{00000000-0005-0000-0000-000079160000}"/>
    <cellStyle name="20% - uthevingsfarge 4 26 3 2 3" xfId="4926" xr:uid="{00000000-0005-0000-0000-00007A160000}"/>
    <cellStyle name="20% - uthevingsfarge 4 26 3 2 3 10" xfId="47345" xr:uid="{00000000-0005-0000-0000-00007B160000}"/>
    <cellStyle name="20% - uthevingsfarge 4 26 3 2 3 2" xfId="6645" xr:uid="{00000000-0005-0000-0000-00007C160000}"/>
    <cellStyle name="20% - uthevingsfarge 4 26 3 2 3 2 2" xfId="10051" xr:uid="{00000000-0005-0000-0000-00007D160000}"/>
    <cellStyle name="20% - uthevingsfarge 4 26 3 2 3 2 2 2" xfId="22016" xr:uid="{00000000-0005-0000-0000-00007E160000}"/>
    <cellStyle name="20% - uthevingsfarge 4 26 3 2 3 2 2 2 2" xfId="38091" xr:uid="{00000000-0005-0000-0000-00007F160000}"/>
    <cellStyle name="20% - uthevingsfarge 4 26 3 2 3 2 2 3" xfId="27748" xr:uid="{00000000-0005-0000-0000-000080160000}"/>
    <cellStyle name="20% - uthevingsfarge 4 26 3 2 3 2 3" xfId="22376" xr:uid="{00000000-0005-0000-0000-000081160000}"/>
    <cellStyle name="20% - uthevingsfarge 4 26 3 2 3 2 3 2" xfId="38448" xr:uid="{00000000-0005-0000-0000-000082160000}"/>
    <cellStyle name="20% - uthevingsfarge 4 26 3 2 3 2 4" xfId="31149" xr:uid="{00000000-0005-0000-0000-000083160000}"/>
    <cellStyle name="20% - uthevingsfarge 4 26 3 2 3 2 5" xfId="43039" xr:uid="{00000000-0005-0000-0000-000084160000}"/>
    <cellStyle name="20% - uthevingsfarge 4 26 3 2 3 2 6" xfId="43336" xr:uid="{00000000-0005-0000-0000-000085160000}"/>
    <cellStyle name="20% - uthevingsfarge 4 26 3 2 3 2 7" xfId="46184" xr:uid="{00000000-0005-0000-0000-000086160000}"/>
    <cellStyle name="20% - uthevingsfarge 4 26 3 2 3 2 8" xfId="46956" xr:uid="{00000000-0005-0000-0000-000087160000}"/>
    <cellStyle name="20% - uthevingsfarge 4 26 3 2 3 2 9" xfId="47541" xr:uid="{00000000-0005-0000-0000-000088160000}"/>
    <cellStyle name="20% - uthevingsfarge 4 26 3 2 3 3" xfId="8348" xr:uid="{00000000-0005-0000-0000-000089160000}"/>
    <cellStyle name="20% - uthevingsfarge 4 26 3 2 3 3 2" xfId="21068" xr:uid="{00000000-0005-0000-0000-00008A160000}"/>
    <cellStyle name="20% - uthevingsfarge 4 26 3 2 3 3 2 2" xfId="37155" xr:uid="{00000000-0005-0000-0000-00008B160000}"/>
    <cellStyle name="20% - uthevingsfarge 4 26 3 2 3 3 3" xfId="29450" xr:uid="{00000000-0005-0000-0000-00008C160000}"/>
    <cellStyle name="20% - uthevingsfarge 4 26 3 2 3 3 4" xfId="43899" xr:uid="{00000000-0005-0000-0000-00008D160000}"/>
    <cellStyle name="20% - uthevingsfarge 4 26 3 2 3 4" xfId="16484" xr:uid="{00000000-0005-0000-0000-00008E160000}"/>
    <cellStyle name="20% - uthevingsfarge 4 26 3 2 3 4 2" xfId="35431" xr:uid="{00000000-0005-0000-0000-00008F160000}"/>
    <cellStyle name="20% - uthevingsfarge 4 26 3 2 3 5" xfId="25093" xr:uid="{00000000-0005-0000-0000-000090160000}"/>
    <cellStyle name="20% - uthevingsfarge 4 26 3 2 3 6" xfId="25264" xr:uid="{00000000-0005-0000-0000-000091160000}"/>
    <cellStyle name="20% - uthevingsfarge 4 26 3 2 3 7" xfId="32841" xr:uid="{00000000-0005-0000-0000-000092160000}"/>
    <cellStyle name="20% - uthevingsfarge 4 26 3 2 3 8" xfId="43797" xr:uid="{00000000-0005-0000-0000-000093160000}"/>
    <cellStyle name="20% - uthevingsfarge 4 26 3 2 3 9" xfId="46722" xr:uid="{00000000-0005-0000-0000-000094160000}"/>
    <cellStyle name="20% - uthevingsfarge 4 26 3 2 4" xfId="5480" xr:uid="{00000000-0005-0000-0000-000095160000}"/>
    <cellStyle name="20% - uthevingsfarge 4 26 3 2 4 2" xfId="8895" xr:uid="{00000000-0005-0000-0000-000096160000}"/>
    <cellStyle name="20% - uthevingsfarge 4 26 3 2 4 2 2" xfId="10477" xr:uid="{00000000-0005-0000-0000-000097160000}"/>
    <cellStyle name="20% - uthevingsfarge 4 26 3 2 4 2 2 2" xfId="34383" xr:uid="{00000000-0005-0000-0000-000098160000}"/>
    <cellStyle name="20% - uthevingsfarge 4 26 3 2 4 2 3" xfId="28903" xr:uid="{00000000-0005-0000-0000-000099160000}"/>
    <cellStyle name="20% - uthevingsfarge 4 26 3 2 4 3" xfId="11998" xr:uid="{00000000-0005-0000-0000-00009A160000}"/>
    <cellStyle name="20% - uthevingsfarge 4 26 3 2 4 3 2" xfId="35019" xr:uid="{00000000-0005-0000-0000-00009B160000}"/>
    <cellStyle name="20% - uthevingsfarge 4 26 3 2 4 4" xfId="32294" xr:uid="{00000000-0005-0000-0000-00009C160000}"/>
    <cellStyle name="20% - uthevingsfarge 4 26 3 2 5" xfId="7198" xr:uid="{00000000-0005-0000-0000-00009D160000}"/>
    <cellStyle name="20% - uthevingsfarge 4 26 3 2 5 2" xfId="10636" xr:uid="{00000000-0005-0000-0000-00009E160000}"/>
    <cellStyle name="20% - uthevingsfarge 4 26 3 2 5 2 2" xfId="34484" xr:uid="{00000000-0005-0000-0000-00009F160000}"/>
    <cellStyle name="20% - uthevingsfarge 4 26 3 2 5 3" xfId="30600" xr:uid="{00000000-0005-0000-0000-0000A0160000}"/>
    <cellStyle name="20% - uthevingsfarge 4 26 3 2 6" xfId="10922" xr:uid="{00000000-0005-0000-0000-0000A1160000}"/>
    <cellStyle name="20% - uthevingsfarge 4 26 3 2 7" xfId="33987" xr:uid="{00000000-0005-0000-0000-0000A2160000}"/>
    <cellStyle name="20% - uthevingsfarge 4 26 3 2 8" xfId="43588" xr:uid="{00000000-0005-0000-0000-0000A3160000}"/>
    <cellStyle name="20% - uthevingsfarge 4 26 3 2 9" xfId="46494" xr:uid="{00000000-0005-0000-0000-0000A4160000}"/>
    <cellStyle name="20% - uthevingsfarge 4 26 3 2_Avviksanalyse løpende RNB15 (1)" xfId="16589" xr:uid="{00000000-0005-0000-0000-0000A5160000}"/>
    <cellStyle name="20% - uthevingsfarge 4 26 3 3" xfId="3806" xr:uid="{00000000-0005-0000-0000-0000A6160000}"/>
    <cellStyle name="20% - uthevingsfarge 4 26 3 3 2" xfId="5694" xr:uid="{00000000-0005-0000-0000-0000A7160000}"/>
    <cellStyle name="20% - uthevingsfarge 4 26 3 3 2 2" xfId="9109" xr:uid="{00000000-0005-0000-0000-0000A8160000}"/>
    <cellStyle name="20% - uthevingsfarge 4 26 3 3 2 2 2" xfId="22600" xr:uid="{00000000-0005-0000-0000-0000A9160000}"/>
    <cellStyle name="20% - uthevingsfarge 4 26 3 3 2 2 2 2" xfId="38669" xr:uid="{00000000-0005-0000-0000-0000AA160000}"/>
    <cellStyle name="20% - uthevingsfarge 4 26 3 3 2 2 3" xfId="28689" xr:uid="{00000000-0005-0000-0000-0000AB160000}"/>
    <cellStyle name="20% - uthevingsfarge 4 26 3 3 2 3" xfId="20172" xr:uid="{00000000-0005-0000-0000-0000AC160000}"/>
    <cellStyle name="20% - uthevingsfarge 4 26 3 3 2 3 2" xfId="36272" xr:uid="{00000000-0005-0000-0000-0000AD160000}"/>
    <cellStyle name="20% - uthevingsfarge 4 26 3 3 2 4" xfId="32080" xr:uid="{00000000-0005-0000-0000-0000AE160000}"/>
    <cellStyle name="20% - uthevingsfarge 4 26 3 3 3" xfId="7412" xr:uid="{00000000-0005-0000-0000-0000AF160000}"/>
    <cellStyle name="20% - uthevingsfarge 4 26 3 3 3 2" xfId="10632" xr:uid="{00000000-0005-0000-0000-0000B0160000}"/>
    <cellStyle name="20% - uthevingsfarge 4 26 3 3 3 2 2" xfId="34480" xr:uid="{00000000-0005-0000-0000-0000B1160000}"/>
    <cellStyle name="20% - uthevingsfarge 4 26 3 3 3 3" xfId="30386" xr:uid="{00000000-0005-0000-0000-0000B2160000}"/>
    <cellStyle name="20% - uthevingsfarge 4 26 3 3 4" xfId="22782" xr:uid="{00000000-0005-0000-0000-0000B3160000}"/>
    <cellStyle name="20% - uthevingsfarge 4 26 3 3 4 2" xfId="38851" xr:uid="{00000000-0005-0000-0000-0000B4160000}"/>
    <cellStyle name="20% - uthevingsfarge 4 26 3 3 5" xfId="33773" xr:uid="{00000000-0005-0000-0000-0000B5160000}"/>
    <cellStyle name="20% - uthevingsfarge 4 26 3 4" xfId="4291" xr:uid="{00000000-0005-0000-0000-0000B6160000}"/>
    <cellStyle name="20% - uthevingsfarge 4 26 3 4 2" xfId="6120" xr:uid="{00000000-0005-0000-0000-0000B7160000}"/>
    <cellStyle name="20% - uthevingsfarge 4 26 3 4 2 2" xfId="9534" xr:uid="{00000000-0005-0000-0000-0000B8160000}"/>
    <cellStyle name="20% - uthevingsfarge 4 26 3 4 2 2 2" xfId="21413" xr:uid="{00000000-0005-0000-0000-0000B9160000}"/>
    <cellStyle name="20% - uthevingsfarge 4 26 3 4 2 2 2 2" xfId="37493" xr:uid="{00000000-0005-0000-0000-0000BA160000}"/>
    <cellStyle name="20% - uthevingsfarge 4 26 3 4 2 2 3" xfId="28264" xr:uid="{00000000-0005-0000-0000-0000BB160000}"/>
    <cellStyle name="20% - uthevingsfarge 4 26 3 4 2 3" xfId="10675" xr:uid="{00000000-0005-0000-0000-0000BC160000}"/>
    <cellStyle name="20% - uthevingsfarge 4 26 3 4 2 3 2" xfId="34523" xr:uid="{00000000-0005-0000-0000-0000BD160000}"/>
    <cellStyle name="20% - uthevingsfarge 4 26 3 4 2 4" xfId="31659" xr:uid="{00000000-0005-0000-0000-0000BE160000}"/>
    <cellStyle name="20% - uthevingsfarge 4 26 3 4 3" xfId="7853" xr:uid="{00000000-0005-0000-0000-0000BF160000}"/>
    <cellStyle name="20% - uthevingsfarge 4 26 3 4 3 2" xfId="20927" xr:uid="{00000000-0005-0000-0000-0000C0160000}"/>
    <cellStyle name="20% - uthevingsfarge 4 26 3 4 3 2 2" xfId="37026" xr:uid="{00000000-0005-0000-0000-0000C1160000}"/>
    <cellStyle name="20% - uthevingsfarge 4 26 3 4 3 3" xfId="29946" xr:uid="{00000000-0005-0000-0000-0000C2160000}"/>
    <cellStyle name="20% - uthevingsfarge 4 26 3 4 4" xfId="19998" xr:uid="{00000000-0005-0000-0000-0000C3160000}"/>
    <cellStyle name="20% - uthevingsfarge 4 26 3 4 4 2" xfId="36102" xr:uid="{00000000-0005-0000-0000-0000C4160000}"/>
    <cellStyle name="20% - uthevingsfarge 4 26 3 4 5" xfId="33334" xr:uid="{00000000-0005-0000-0000-0000C5160000}"/>
    <cellStyle name="20% - uthevingsfarge 4 26 3 5" xfId="4746" xr:uid="{00000000-0005-0000-0000-0000C6160000}"/>
    <cellStyle name="20% - uthevingsfarge 4 26 3 5 2" xfId="6466" xr:uid="{00000000-0005-0000-0000-0000C7160000}"/>
    <cellStyle name="20% - uthevingsfarge 4 26 3 5 2 2" xfId="9872" xr:uid="{00000000-0005-0000-0000-0000C8160000}"/>
    <cellStyle name="20% - uthevingsfarge 4 26 3 5 2 2 2" xfId="24579" xr:uid="{00000000-0005-0000-0000-0000C9160000}"/>
    <cellStyle name="20% - uthevingsfarge 4 26 3 5 2 2 2 2" xfId="40623" xr:uid="{00000000-0005-0000-0000-0000CA160000}"/>
    <cellStyle name="20% - uthevingsfarge 4 26 3 5 2 2 3" xfId="27927" xr:uid="{00000000-0005-0000-0000-0000CB160000}"/>
    <cellStyle name="20% - uthevingsfarge 4 26 3 5 2 3" xfId="24047" xr:uid="{00000000-0005-0000-0000-0000CC160000}"/>
    <cellStyle name="20% - uthevingsfarge 4 26 3 5 2 3 2" xfId="40100" xr:uid="{00000000-0005-0000-0000-0000CD160000}"/>
    <cellStyle name="20% - uthevingsfarge 4 26 3 5 2 4" xfId="31328" xr:uid="{00000000-0005-0000-0000-0000CE160000}"/>
    <cellStyle name="20% - uthevingsfarge 4 26 3 5 3" xfId="8168" xr:uid="{00000000-0005-0000-0000-0000CF160000}"/>
    <cellStyle name="20% - uthevingsfarge 4 26 3 5 3 2" xfId="23324" xr:uid="{00000000-0005-0000-0000-0000D0160000}"/>
    <cellStyle name="20% - uthevingsfarge 4 26 3 5 3 2 2" xfId="39389" xr:uid="{00000000-0005-0000-0000-0000D1160000}"/>
    <cellStyle name="20% - uthevingsfarge 4 26 3 5 3 3" xfId="29629" xr:uid="{00000000-0005-0000-0000-0000D2160000}"/>
    <cellStyle name="20% - uthevingsfarge 4 26 3 5 4" xfId="22554" xr:uid="{00000000-0005-0000-0000-0000D3160000}"/>
    <cellStyle name="20% - uthevingsfarge 4 26 3 5 4 2" xfId="38623" xr:uid="{00000000-0005-0000-0000-0000D4160000}"/>
    <cellStyle name="20% - uthevingsfarge 4 26 3 5 5" xfId="33021" xr:uid="{00000000-0005-0000-0000-0000D5160000}"/>
    <cellStyle name="20% - uthevingsfarge 4 26 3 6" xfId="5106" xr:uid="{00000000-0005-0000-0000-0000D6160000}"/>
    <cellStyle name="20% - uthevingsfarge 4 26 3 6 2" xfId="6825" xr:uid="{00000000-0005-0000-0000-0000D7160000}"/>
    <cellStyle name="20% - uthevingsfarge 4 26 3 6 2 2" xfId="10231" xr:uid="{00000000-0005-0000-0000-0000D8160000}"/>
    <cellStyle name="20% - uthevingsfarge 4 26 3 6 2 2 2" xfId="24674" xr:uid="{00000000-0005-0000-0000-0000D9160000}"/>
    <cellStyle name="20% - uthevingsfarge 4 26 3 6 2 2 2 2" xfId="40717" xr:uid="{00000000-0005-0000-0000-0000DA160000}"/>
    <cellStyle name="20% - uthevingsfarge 4 26 3 6 2 2 3" xfId="27568" xr:uid="{00000000-0005-0000-0000-0000DB160000}"/>
    <cellStyle name="20% - uthevingsfarge 4 26 3 6 2 3" xfId="22694" xr:uid="{00000000-0005-0000-0000-0000DC160000}"/>
    <cellStyle name="20% - uthevingsfarge 4 26 3 6 2 3 2" xfId="38763" xr:uid="{00000000-0005-0000-0000-0000DD160000}"/>
    <cellStyle name="20% - uthevingsfarge 4 26 3 6 2 4" xfId="30969" xr:uid="{00000000-0005-0000-0000-0000DE160000}"/>
    <cellStyle name="20% - uthevingsfarge 4 26 3 6 3" xfId="8528" xr:uid="{00000000-0005-0000-0000-0000DF160000}"/>
    <cellStyle name="20% - uthevingsfarge 4 26 3 6 3 2" xfId="24378" xr:uid="{00000000-0005-0000-0000-0000E0160000}"/>
    <cellStyle name="20% - uthevingsfarge 4 26 3 6 3 2 2" xfId="40423" xr:uid="{00000000-0005-0000-0000-0000E1160000}"/>
    <cellStyle name="20% - uthevingsfarge 4 26 3 6 3 3" xfId="29270" xr:uid="{00000000-0005-0000-0000-0000E2160000}"/>
    <cellStyle name="20% - uthevingsfarge 4 26 3 6 4" xfId="10838" xr:uid="{00000000-0005-0000-0000-0000E3160000}"/>
    <cellStyle name="20% - uthevingsfarge 4 26 3 6 4 2" xfId="34636" xr:uid="{00000000-0005-0000-0000-0000E4160000}"/>
    <cellStyle name="20% - uthevingsfarge 4 26 3 6 5" xfId="32661" xr:uid="{00000000-0005-0000-0000-0000E5160000}"/>
    <cellStyle name="20% - uthevingsfarge 4 26 3 7" xfId="5285" xr:uid="{00000000-0005-0000-0000-0000E6160000}"/>
    <cellStyle name="20% - uthevingsfarge 4 26 3 7 2" xfId="8700" xr:uid="{00000000-0005-0000-0000-0000E7160000}"/>
    <cellStyle name="20% - uthevingsfarge 4 26 3 7 2 2" xfId="21163" xr:uid="{00000000-0005-0000-0000-0000E8160000}"/>
    <cellStyle name="20% - uthevingsfarge 4 26 3 7 2 2 2" xfId="37243" xr:uid="{00000000-0005-0000-0000-0000E9160000}"/>
    <cellStyle name="20% - uthevingsfarge 4 26 3 7 2 3" xfId="29098" xr:uid="{00000000-0005-0000-0000-0000EA160000}"/>
    <cellStyle name="20% - uthevingsfarge 4 26 3 7 3" xfId="10769" xr:uid="{00000000-0005-0000-0000-0000EB160000}"/>
    <cellStyle name="20% - uthevingsfarge 4 26 3 7 3 2" xfId="34592" xr:uid="{00000000-0005-0000-0000-0000EC160000}"/>
    <cellStyle name="20% - uthevingsfarge 4 26 3 7 4" xfId="32489" xr:uid="{00000000-0005-0000-0000-0000ED160000}"/>
    <cellStyle name="20% - uthevingsfarge 4 26 3 8" xfId="7018" xr:uid="{00000000-0005-0000-0000-0000EE160000}"/>
    <cellStyle name="20% - uthevingsfarge 4 26 3 8 2" xfId="20635" xr:uid="{00000000-0005-0000-0000-0000EF160000}"/>
    <cellStyle name="20% - uthevingsfarge 4 26 3 8 2 2" xfId="36734" xr:uid="{00000000-0005-0000-0000-0000F0160000}"/>
    <cellStyle name="20% - uthevingsfarge 4 26 3 8 3" xfId="30780" xr:uid="{00000000-0005-0000-0000-0000F1160000}"/>
    <cellStyle name="20% - uthevingsfarge 4 26 3 9" xfId="10921" xr:uid="{00000000-0005-0000-0000-0000F2160000}"/>
    <cellStyle name="20% - uthevingsfarge 4 26 4" xfId="3471" xr:uid="{00000000-0005-0000-0000-0000F3160000}"/>
    <cellStyle name="20% - uthevingsfarge 4 26 4 10" xfId="47087" xr:uid="{00000000-0005-0000-0000-0000F4160000}"/>
    <cellStyle name="20% - uthevingsfarge 4 26 4 2" xfId="3907" xr:uid="{00000000-0005-0000-0000-0000F5160000}"/>
    <cellStyle name="20% - uthevingsfarge 4 26 4 2 2" xfId="5795" xr:uid="{00000000-0005-0000-0000-0000F6160000}"/>
    <cellStyle name="20% - uthevingsfarge 4 26 4 2 2 2" xfId="9210" xr:uid="{00000000-0005-0000-0000-0000F7160000}"/>
    <cellStyle name="20% - uthevingsfarge 4 26 4 2 2 2 2" xfId="21316" xr:uid="{00000000-0005-0000-0000-0000F8160000}"/>
    <cellStyle name="20% - uthevingsfarge 4 26 4 2 2 2 2 2" xfId="37396" xr:uid="{00000000-0005-0000-0000-0000F9160000}"/>
    <cellStyle name="20% - uthevingsfarge 4 26 4 2 2 2 3" xfId="28588" xr:uid="{00000000-0005-0000-0000-0000FA160000}"/>
    <cellStyle name="20% - uthevingsfarge 4 26 4 2 2 3" xfId="22280" xr:uid="{00000000-0005-0000-0000-0000FB160000}"/>
    <cellStyle name="20% - uthevingsfarge 4 26 4 2 2 3 2" xfId="38352" xr:uid="{00000000-0005-0000-0000-0000FC160000}"/>
    <cellStyle name="20% - uthevingsfarge 4 26 4 2 2 4" xfId="31979" xr:uid="{00000000-0005-0000-0000-0000FD160000}"/>
    <cellStyle name="20% - uthevingsfarge 4 26 4 2 3" xfId="7513" xr:uid="{00000000-0005-0000-0000-0000FE160000}"/>
    <cellStyle name="20% - uthevingsfarge 4 26 4 2 3 2" xfId="11948" xr:uid="{00000000-0005-0000-0000-0000FF160000}"/>
    <cellStyle name="20% - uthevingsfarge 4 26 4 2 3 2 2" xfId="34970" xr:uid="{00000000-0005-0000-0000-000000170000}"/>
    <cellStyle name="20% - uthevingsfarge 4 26 4 2 3 3" xfId="30285" xr:uid="{00000000-0005-0000-0000-000001170000}"/>
    <cellStyle name="20% - uthevingsfarge 4 26 4 2 4" xfId="17974" xr:uid="{00000000-0005-0000-0000-000002170000}"/>
    <cellStyle name="20% - uthevingsfarge 4 26 4 2 5" xfId="11055" xr:uid="{00000000-0005-0000-0000-000003170000}"/>
    <cellStyle name="20% - uthevingsfarge 4 26 4 2 5 2" xfId="34763" xr:uid="{00000000-0005-0000-0000-000004170000}"/>
    <cellStyle name="20% - uthevingsfarge 4 26 4 2 6" xfId="33672" xr:uid="{00000000-0005-0000-0000-000005170000}"/>
    <cellStyle name="20% - uthevingsfarge 4 26 4 3" xfId="4847" xr:uid="{00000000-0005-0000-0000-000006170000}"/>
    <cellStyle name="20% - uthevingsfarge 4 26 4 3 10" xfId="47277" xr:uid="{00000000-0005-0000-0000-000007170000}"/>
    <cellStyle name="20% - uthevingsfarge 4 26 4 3 2" xfId="6566" xr:uid="{00000000-0005-0000-0000-000008170000}"/>
    <cellStyle name="20% - uthevingsfarge 4 26 4 3 2 2" xfId="9972" xr:uid="{00000000-0005-0000-0000-000009170000}"/>
    <cellStyle name="20% - uthevingsfarge 4 26 4 3 2 2 2" xfId="23593" xr:uid="{00000000-0005-0000-0000-00000A170000}"/>
    <cellStyle name="20% - uthevingsfarge 4 26 4 3 2 2 2 2" xfId="39649" xr:uid="{00000000-0005-0000-0000-00000B170000}"/>
    <cellStyle name="20% - uthevingsfarge 4 26 4 3 2 2 3" xfId="27827" xr:uid="{00000000-0005-0000-0000-00000C170000}"/>
    <cellStyle name="20% - uthevingsfarge 4 26 4 3 2 3" xfId="20499" xr:uid="{00000000-0005-0000-0000-00000D170000}"/>
    <cellStyle name="20% - uthevingsfarge 4 26 4 3 2 3 2" xfId="36598" xr:uid="{00000000-0005-0000-0000-00000E170000}"/>
    <cellStyle name="20% - uthevingsfarge 4 26 4 3 2 4" xfId="31228" xr:uid="{00000000-0005-0000-0000-00000F170000}"/>
    <cellStyle name="20% - uthevingsfarge 4 26 4 3 2 5" xfId="42832" xr:uid="{00000000-0005-0000-0000-000010170000}"/>
    <cellStyle name="20% - uthevingsfarge 4 26 4 3 2 6" xfId="43270" xr:uid="{00000000-0005-0000-0000-000011170000}"/>
    <cellStyle name="20% - uthevingsfarge 4 26 4 3 2 7" xfId="46118" xr:uid="{00000000-0005-0000-0000-000012170000}"/>
    <cellStyle name="20% - uthevingsfarge 4 26 4 3 2 8" xfId="46887" xr:uid="{00000000-0005-0000-0000-000013170000}"/>
    <cellStyle name="20% - uthevingsfarge 4 26 4 3 2 9" xfId="47473" xr:uid="{00000000-0005-0000-0000-000014170000}"/>
    <cellStyle name="20% - uthevingsfarge 4 26 4 3 3" xfId="8269" xr:uid="{00000000-0005-0000-0000-000015170000}"/>
    <cellStyle name="20% - uthevingsfarge 4 26 4 3 3 2" xfId="11877" xr:uid="{00000000-0005-0000-0000-000016170000}"/>
    <cellStyle name="20% - uthevingsfarge 4 26 4 3 3 2 2" xfId="34914" xr:uid="{00000000-0005-0000-0000-000017170000}"/>
    <cellStyle name="20% - uthevingsfarge 4 26 4 3 3 3" xfId="29528" xr:uid="{00000000-0005-0000-0000-000018170000}"/>
    <cellStyle name="20% - uthevingsfarge 4 26 4 3 3 4" xfId="43900" xr:uid="{00000000-0005-0000-0000-000019170000}"/>
    <cellStyle name="20% - uthevingsfarge 4 26 4 3 4" xfId="16277" xr:uid="{00000000-0005-0000-0000-00001A170000}"/>
    <cellStyle name="20% - uthevingsfarge 4 26 4 3 4 2" xfId="35365" xr:uid="{00000000-0005-0000-0000-00001B170000}"/>
    <cellStyle name="20% - uthevingsfarge 4 26 4 3 5" xfId="25024" xr:uid="{00000000-0005-0000-0000-00001C170000}"/>
    <cellStyle name="20% - uthevingsfarge 4 26 4 3 6" xfId="25265" xr:uid="{00000000-0005-0000-0000-00001D170000}"/>
    <cellStyle name="20% - uthevingsfarge 4 26 4 3 7" xfId="32920" xr:uid="{00000000-0005-0000-0000-00001E170000}"/>
    <cellStyle name="20% - uthevingsfarge 4 26 4 3 8" xfId="43730" xr:uid="{00000000-0005-0000-0000-00001F170000}"/>
    <cellStyle name="20% - uthevingsfarge 4 26 4 3 9" xfId="46656" xr:uid="{00000000-0005-0000-0000-000020170000}"/>
    <cellStyle name="20% - uthevingsfarge 4 26 4 4" xfId="5408" xr:uid="{00000000-0005-0000-0000-000021170000}"/>
    <cellStyle name="20% - uthevingsfarge 4 26 4 4 2" xfId="8823" xr:uid="{00000000-0005-0000-0000-000022170000}"/>
    <cellStyle name="20% - uthevingsfarge 4 26 4 4 2 2" xfId="21194" xr:uid="{00000000-0005-0000-0000-000023170000}"/>
    <cellStyle name="20% - uthevingsfarge 4 26 4 4 2 2 2" xfId="37274" xr:uid="{00000000-0005-0000-0000-000024170000}"/>
    <cellStyle name="20% - uthevingsfarge 4 26 4 4 2 3" xfId="28975" xr:uid="{00000000-0005-0000-0000-000025170000}"/>
    <cellStyle name="20% - uthevingsfarge 4 26 4 4 3" xfId="12032" xr:uid="{00000000-0005-0000-0000-000026170000}"/>
    <cellStyle name="20% - uthevingsfarge 4 26 4 4 3 2" xfId="35036" xr:uid="{00000000-0005-0000-0000-000027170000}"/>
    <cellStyle name="20% - uthevingsfarge 4 26 4 4 4" xfId="32366" xr:uid="{00000000-0005-0000-0000-000028170000}"/>
    <cellStyle name="20% - uthevingsfarge 4 26 4 5" xfId="7119" xr:uid="{00000000-0005-0000-0000-000029170000}"/>
    <cellStyle name="20% - uthevingsfarge 4 26 4 5 2" xfId="23152" xr:uid="{00000000-0005-0000-0000-00002A170000}"/>
    <cellStyle name="20% - uthevingsfarge 4 26 4 5 2 2" xfId="39221" xr:uid="{00000000-0005-0000-0000-00002B170000}"/>
    <cellStyle name="20% - uthevingsfarge 4 26 4 5 3" xfId="30679" xr:uid="{00000000-0005-0000-0000-00002C170000}"/>
    <cellStyle name="20% - uthevingsfarge 4 26 4 6" xfId="10923" xr:uid="{00000000-0005-0000-0000-00002D170000}"/>
    <cellStyle name="20% - uthevingsfarge 4 26 4 7" xfId="34066" xr:uid="{00000000-0005-0000-0000-00002E170000}"/>
    <cellStyle name="20% - uthevingsfarge 4 26 4 8" xfId="43522" xr:uid="{00000000-0005-0000-0000-00002F170000}"/>
    <cellStyle name="20% - uthevingsfarge 4 26 4 9" xfId="46426" xr:uid="{00000000-0005-0000-0000-000030170000}"/>
    <cellStyle name="20% - uthevingsfarge 4 26 4_Avviksanalyse løpende RNB15 (1)" xfId="16590" xr:uid="{00000000-0005-0000-0000-000031170000}"/>
    <cellStyle name="20% - uthevingsfarge 4 26 5" xfId="3728" xr:uid="{00000000-0005-0000-0000-000032170000}"/>
    <cellStyle name="20% - uthevingsfarge 4 26 5 2" xfId="5616" xr:uid="{00000000-0005-0000-0000-000033170000}"/>
    <cellStyle name="20% - uthevingsfarge 4 26 5 2 2" xfId="9031" xr:uid="{00000000-0005-0000-0000-000034170000}"/>
    <cellStyle name="20% - uthevingsfarge 4 26 5 2 2 2" xfId="21258" xr:uid="{00000000-0005-0000-0000-000035170000}"/>
    <cellStyle name="20% - uthevingsfarge 4 26 5 2 2 2 2" xfId="37338" xr:uid="{00000000-0005-0000-0000-000036170000}"/>
    <cellStyle name="20% - uthevingsfarge 4 26 5 2 2 3" xfId="28767" xr:uid="{00000000-0005-0000-0000-000037170000}"/>
    <cellStyle name="20% - uthevingsfarge 4 26 5 2 3" xfId="23888" xr:uid="{00000000-0005-0000-0000-000038170000}"/>
    <cellStyle name="20% - uthevingsfarge 4 26 5 2 3 2" xfId="39944" xr:uid="{00000000-0005-0000-0000-000039170000}"/>
    <cellStyle name="20% - uthevingsfarge 4 26 5 2 4" xfId="32158" xr:uid="{00000000-0005-0000-0000-00003A170000}"/>
    <cellStyle name="20% - uthevingsfarge 4 26 5 3" xfId="7334" xr:uid="{00000000-0005-0000-0000-00003B170000}"/>
    <cellStyle name="20% - uthevingsfarge 4 26 5 3 2" xfId="24188" xr:uid="{00000000-0005-0000-0000-00003C170000}"/>
    <cellStyle name="20% - uthevingsfarge 4 26 5 3 2 2" xfId="40241" xr:uid="{00000000-0005-0000-0000-00003D170000}"/>
    <cellStyle name="20% - uthevingsfarge 4 26 5 3 3" xfId="30464" xr:uid="{00000000-0005-0000-0000-00003E170000}"/>
    <cellStyle name="20% - uthevingsfarge 4 26 5 4" xfId="23772" xr:uid="{00000000-0005-0000-0000-00003F170000}"/>
    <cellStyle name="20% - uthevingsfarge 4 26 5 4 2" xfId="39828" xr:uid="{00000000-0005-0000-0000-000040170000}"/>
    <cellStyle name="20% - uthevingsfarge 4 26 5 5" xfId="33851" xr:uid="{00000000-0005-0000-0000-000041170000}"/>
    <cellStyle name="20% - uthevingsfarge 4 26 6" xfId="4204" xr:uid="{00000000-0005-0000-0000-000042170000}"/>
    <cellStyle name="20% - uthevingsfarge 4 26 6 2" xfId="6041" xr:uid="{00000000-0005-0000-0000-000043170000}"/>
    <cellStyle name="20% - uthevingsfarge 4 26 6 2 2" xfId="9456" xr:uid="{00000000-0005-0000-0000-000044170000}"/>
    <cellStyle name="20% - uthevingsfarge 4 26 6 2 2 2" xfId="22715" xr:uid="{00000000-0005-0000-0000-000045170000}"/>
    <cellStyle name="20% - uthevingsfarge 4 26 6 2 2 2 2" xfId="38784" xr:uid="{00000000-0005-0000-0000-000046170000}"/>
    <cellStyle name="20% - uthevingsfarge 4 26 6 2 2 3" xfId="28342" xr:uid="{00000000-0005-0000-0000-000047170000}"/>
    <cellStyle name="20% - uthevingsfarge 4 26 6 2 3" xfId="22963" xr:uid="{00000000-0005-0000-0000-000048170000}"/>
    <cellStyle name="20% - uthevingsfarge 4 26 6 2 3 2" xfId="39032" xr:uid="{00000000-0005-0000-0000-000049170000}"/>
    <cellStyle name="20% - uthevingsfarge 4 26 6 2 4" xfId="31737" xr:uid="{00000000-0005-0000-0000-00004A170000}"/>
    <cellStyle name="20% - uthevingsfarge 4 26 6 3" xfId="7774" xr:uid="{00000000-0005-0000-0000-00004B170000}"/>
    <cellStyle name="20% - uthevingsfarge 4 26 6 3 2" xfId="20898" xr:uid="{00000000-0005-0000-0000-00004C170000}"/>
    <cellStyle name="20% - uthevingsfarge 4 26 6 3 2 2" xfId="36997" xr:uid="{00000000-0005-0000-0000-00004D170000}"/>
    <cellStyle name="20% - uthevingsfarge 4 26 6 3 3" xfId="30025" xr:uid="{00000000-0005-0000-0000-00004E170000}"/>
    <cellStyle name="20% - uthevingsfarge 4 26 6 4" xfId="12407" xr:uid="{00000000-0005-0000-0000-00004F170000}"/>
    <cellStyle name="20% - uthevingsfarge 4 26 6 4 2" xfId="35222" xr:uid="{00000000-0005-0000-0000-000050170000}"/>
    <cellStyle name="20% - uthevingsfarge 4 26 6 5" xfId="33413" xr:uid="{00000000-0005-0000-0000-000051170000}"/>
    <cellStyle name="20% - uthevingsfarge 4 26 7" xfId="4663" xr:uid="{00000000-0005-0000-0000-000052170000}"/>
    <cellStyle name="20% - uthevingsfarge 4 26 7 2" xfId="6383" xr:uid="{00000000-0005-0000-0000-000053170000}"/>
    <cellStyle name="20% - uthevingsfarge 4 26 7 2 2" xfId="9793" xr:uid="{00000000-0005-0000-0000-000054170000}"/>
    <cellStyle name="20% - uthevingsfarge 4 26 7 2 2 2" xfId="21486" xr:uid="{00000000-0005-0000-0000-000055170000}"/>
    <cellStyle name="20% - uthevingsfarge 4 26 7 2 2 2 2" xfId="37566" xr:uid="{00000000-0005-0000-0000-000056170000}"/>
    <cellStyle name="20% - uthevingsfarge 4 26 7 2 2 3" xfId="28006" xr:uid="{00000000-0005-0000-0000-000057170000}"/>
    <cellStyle name="20% - uthevingsfarge 4 26 7 2 3" xfId="24031" xr:uid="{00000000-0005-0000-0000-000058170000}"/>
    <cellStyle name="20% - uthevingsfarge 4 26 7 2 3 2" xfId="40084" xr:uid="{00000000-0005-0000-0000-000059170000}"/>
    <cellStyle name="20% - uthevingsfarge 4 26 7 2 4" xfId="31407" xr:uid="{00000000-0005-0000-0000-00005A170000}"/>
    <cellStyle name="20% - uthevingsfarge 4 26 7 3" xfId="8089" xr:uid="{00000000-0005-0000-0000-00005B170000}"/>
    <cellStyle name="20% - uthevingsfarge 4 26 7 3 2" xfId="22045" xr:uid="{00000000-0005-0000-0000-00005C170000}"/>
    <cellStyle name="20% - uthevingsfarge 4 26 7 3 2 2" xfId="38120" xr:uid="{00000000-0005-0000-0000-00005D170000}"/>
    <cellStyle name="20% - uthevingsfarge 4 26 7 3 3" xfId="29709" xr:uid="{00000000-0005-0000-0000-00005E170000}"/>
    <cellStyle name="20% - uthevingsfarge 4 26 7 4" xfId="19676" xr:uid="{00000000-0005-0000-0000-00005F170000}"/>
    <cellStyle name="20% - uthevingsfarge 4 26 7 4 2" xfId="35790" xr:uid="{00000000-0005-0000-0000-000060170000}"/>
    <cellStyle name="20% - uthevingsfarge 4 26 7 5" xfId="33100" xr:uid="{00000000-0005-0000-0000-000061170000}"/>
    <cellStyle name="20% - uthevingsfarge 4 26 8" xfId="5027" xr:uid="{00000000-0005-0000-0000-000062170000}"/>
    <cellStyle name="20% - uthevingsfarge 4 26 8 2" xfId="6746" xr:uid="{00000000-0005-0000-0000-000063170000}"/>
    <cellStyle name="20% - uthevingsfarge 4 26 8 2 2" xfId="10152" xr:uid="{00000000-0005-0000-0000-000064170000}"/>
    <cellStyle name="20% - uthevingsfarge 4 26 8 2 2 2" xfId="23629" xr:uid="{00000000-0005-0000-0000-000065170000}"/>
    <cellStyle name="20% - uthevingsfarge 4 26 8 2 2 2 2" xfId="39685" xr:uid="{00000000-0005-0000-0000-000066170000}"/>
    <cellStyle name="20% - uthevingsfarge 4 26 8 2 2 3" xfId="27647" xr:uid="{00000000-0005-0000-0000-000067170000}"/>
    <cellStyle name="20% - uthevingsfarge 4 26 8 2 3" xfId="11954" xr:uid="{00000000-0005-0000-0000-000068170000}"/>
    <cellStyle name="20% - uthevingsfarge 4 26 8 2 3 2" xfId="34976" xr:uid="{00000000-0005-0000-0000-000069170000}"/>
    <cellStyle name="20% - uthevingsfarge 4 26 8 2 4" xfId="31048" xr:uid="{00000000-0005-0000-0000-00006A170000}"/>
    <cellStyle name="20% - uthevingsfarge 4 26 8 3" xfId="8449" xr:uid="{00000000-0005-0000-0000-00006B170000}"/>
    <cellStyle name="20% - uthevingsfarge 4 26 8 3 2" xfId="21097" xr:uid="{00000000-0005-0000-0000-00006C170000}"/>
    <cellStyle name="20% - uthevingsfarge 4 26 8 3 2 2" xfId="37182" xr:uid="{00000000-0005-0000-0000-00006D170000}"/>
    <cellStyle name="20% - uthevingsfarge 4 26 8 3 3" xfId="29349" xr:uid="{00000000-0005-0000-0000-00006E170000}"/>
    <cellStyle name="20% - uthevingsfarge 4 26 8 4" xfId="10857" xr:uid="{00000000-0005-0000-0000-00006F170000}"/>
    <cellStyle name="20% - uthevingsfarge 4 26 8 4 2" xfId="34655" xr:uid="{00000000-0005-0000-0000-000070170000}"/>
    <cellStyle name="20% - uthevingsfarge 4 26 8 5" xfId="32740" xr:uid="{00000000-0005-0000-0000-000071170000}"/>
    <cellStyle name="20% - uthevingsfarge 4 26 9" xfId="5194" xr:uid="{00000000-0005-0000-0000-000072170000}"/>
    <cellStyle name="20% - uthevingsfarge 4 26 9 2" xfId="8613" xr:uid="{00000000-0005-0000-0000-000073170000}"/>
    <cellStyle name="20% - uthevingsfarge 4 26 9 2 2" xfId="19508" xr:uid="{00000000-0005-0000-0000-000074170000}"/>
    <cellStyle name="20% - uthevingsfarge 4 26 9 2 2 2" xfId="35622" xr:uid="{00000000-0005-0000-0000-000075170000}"/>
    <cellStyle name="20% - uthevingsfarge 4 26 9 2 3" xfId="29185" xr:uid="{00000000-0005-0000-0000-000076170000}"/>
    <cellStyle name="20% - uthevingsfarge 4 26 9 3" xfId="12106" xr:uid="{00000000-0005-0000-0000-000077170000}"/>
    <cellStyle name="20% - uthevingsfarge 4 26 9 3 2" xfId="35073" xr:uid="{00000000-0005-0000-0000-000078170000}"/>
    <cellStyle name="20% - uthevingsfarge 4 26 9 4" xfId="32576" xr:uid="{00000000-0005-0000-0000-000079170000}"/>
    <cellStyle name="20% - uthevingsfarge 4 27" xfId="461" xr:uid="{00000000-0005-0000-0000-00007A170000}"/>
    <cellStyle name="20% - uthevingsfarge 4 27 10" xfId="10924" xr:uid="{00000000-0005-0000-0000-00007B170000}"/>
    <cellStyle name="20% - uthevingsfarge 4 27 11" xfId="34272" xr:uid="{00000000-0005-0000-0000-00007C170000}"/>
    <cellStyle name="20% - uthevingsfarge 4 27 2" xfId="3325" xr:uid="{00000000-0005-0000-0000-00007D170000}"/>
    <cellStyle name="20% - uthevingsfarge 4 27 2 10" xfId="34166" xr:uid="{00000000-0005-0000-0000-00007E170000}"/>
    <cellStyle name="20% - uthevingsfarge 4 27 2 2" xfId="3557" xr:uid="{00000000-0005-0000-0000-00007F170000}"/>
    <cellStyle name="20% - uthevingsfarge 4 27 2 2 10" xfId="47156" xr:uid="{00000000-0005-0000-0000-000080170000}"/>
    <cellStyle name="20% - uthevingsfarge 4 27 2 2 2" xfId="3987" xr:uid="{00000000-0005-0000-0000-000081170000}"/>
    <cellStyle name="20% - uthevingsfarge 4 27 2 2 2 2" xfId="5875" xr:uid="{00000000-0005-0000-0000-000082170000}"/>
    <cellStyle name="20% - uthevingsfarge 4 27 2 2 2 2 2" xfId="9290" xr:uid="{00000000-0005-0000-0000-000083170000}"/>
    <cellStyle name="20% - uthevingsfarge 4 27 2 2 2 2 2 2" xfId="23485" xr:uid="{00000000-0005-0000-0000-000084170000}"/>
    <cellStyle name="20% - uthevingsfarge 4 27 2 2 2 2 2 2 2" xfId="39541" xr:uid="{00000000-0005-0000-0000-000085170000}"/>
    <cellStyle name="20% - uthevingsfarge 4 27 2 2 2 2 2 3" xfId="28508" xr:uid="{00000000-0005-0000-0000-000086170000}"/>
    <cellStyle name="20% - uthevingsfarge 4 27 2 2 2 2 3" xfId="10362" xr:uid="{00000000-0005-0000-0000-000087170000}"/>
    <cellStyle name="20% - uthevingsfarge 4 27 2 2 2 2 3 2" xfId="34328" xr:uid="{00000000-0005-0000-0000-000088170000}"/>
    <cellStyle name="20% - uthevingsfarge 4 27 2 2 2 2 4" xfId="31900" xr:uid="{00000000-0005-0000-0000-000089170000}"/>
    <cellStyle name="20% - uthevingsfarge 4 27 2 2 2 3" xfId="7593" xr:uid="{00000000-0005-0000-0000-00008A170000}"/>
    <cellStyle name="20% - uthevingsfarge 4 27 2 2 2 3 2" xfId="20830" xr:uid="{00000000-0005-0000-0000-00008B170000}"/>
    <cellStyle name="20% - uthevingsfarge 4 27 2 2 2 3 2 2" xfId="36929" xr:uid="{00000000-0005-0000-0000-00008C170000}"/>
    <cellStyle name="20% - uthevingsfarge 4 27 2 2 2 3 3" xfId="30205" xr:uid="{00000000-0005-0000-0000-00008D170000}"/>
    <cellStyle name="20% - uthevingsfarge 4 27 2 2 2 4" xfId="17975" xr:uid="{00000000-0005-0000-0000-00008E170000}"/>
    <cellStyle name="20% - uthevingsfarge 4 27 2 2 2 5" xfId="11040" xr:uid="{00000000-0005-0000-0000-00008F170000}"/>
    <cellStyle name="20% - uthevingsfarge 4 27 2 2 2 5 2" xfId="34748" xr:uid="{00000000-0005-0000-0000-000090170000}"/>
    <cellStyle name="20% - uthevingsfarge 4 27 2 2 2 6" xfId="33592" xr:uid="{00000000-0005-0000-0000-000091170000}"/>
    <cellStyle name="20% - uthevingsfarge 4 27 2 2 3" xfId="4927" xr:uid="{00000000-0005-0000-0000-000092170000}"/>
    <cellStyle name="20% - uthevingsfarge 4 27 2 2 3 10" xfId="47346" xr:uid="{00000000-0005-0000-0000-000093170000}"/>
    <cellStyle name="20% - uthevingsfarge 4 27 2 2 3 2" xfId="6646" xr:uid="{00000000-0005-0000-0000-000094170000}"/>
    <cellStyle name="20% - uthevingsfarge 4 27 2 2 3 2 2" xfId="10052" xr:uid="{00000000-0005-0000-0000-000095170000}"/>
    <cellStyle name="20% - uthevingsfarge 4 27 2 2 3 2 2 2" xfId="23609" xr:uid="{00000000-0005-0000-0000-000096170000}"/>
    <cellStyle name="20% - uthevingsfarge 4 27 2 2 3 2 2 2 2" xfId="39665" xr:uid="{00000000-0005-0000-0000-000097170000}"/>
    <cellStyle name="20% - uthevingsfarge 4 27 2 2 3 2 2 3" xfId="27747" xr:uid="{00000000-0005-0000-0000-000098170000}"/>
    <cellStyle name="20% - uthevingsfarge 4 27 2 2 3 2 3" xfId="23079" xr:uid="{00000000-0005-0000-0000-000099170000}"/>
    <cellStyle name="20% - uthevingsfarge 4 27 2 2 3 2 3 2" xfId="39148" xr:uid="{00000000-0005-0000-0000-00009A170000}"/>
    <cellStyle name="20% - uthevingsfarge 4 27 2 2 3 2 4" xfId="31148" xr:uid="{00000000-0005-0000-0000-00009B170000}"/>
    <cellStyle name="20% - uthevingsfarge 4 27 2 2 3 2 5" xfId="43040" xr:uid="{00000000-0005-0000-0000-00009C170000}"/>
    <cellStyle name="20% - uthevingsfarge 4 27 2 2 3 2 6" xfId="43337" xr:uid="{00000000-0005-0000-0000-00009D170000}"/>
    <cellStyle name="20% - uthevingsfarge 4 27 2 2 3 2 7" xfId="46185" xr:uid="{00000000-0005-0000-0000-00009E170000}"/>
    <cellStyle name="20% - uthevingsfarge 4 27 2 2 3 2 8" xfId="46957" xr:uid="{00000000-0005-0000-0000-00009F170000}"/>
    <cellStyle name="20% - uthevingsfarge 4 27 2 2 3 2 9" xfId="47542" xr:uid="{00000000-0005-0000-0000-0000A0170000}"/>
    <cellStyle name="20% - uthevingsfarge 4 27 2 2 3 3" xfId="8349" xr:uid="{00000000-0005-0000-0000-0000A1170000}"/>
    <cellStyle name="20% - uthevingsfarge 4 27 2 2 3 3 2" xfId="24351" xr:uid="{00000000-0005-0000-0000-0000A2170000}"/>
    <cellStyle name="20% - uthevingsfarge 4 27 2 2 3 3 2 2" xfId="40398" xr:uid="{00000000-0005-0000-0000-0000A3170000}"/>
    <cellStyle name="20% - uthevingsfarge 4 27 2 2 3 3 3" xfId="29449" xr:uid="{00000000-0005-0000-0000-0000A4170000}"/>
    <cellStyle name="20% - uthevingsfarge 4 27 2 2 3 3 4" xfId="43901" xr:uid="{00000000-0005-0000-0000-0000A5170000}"/>
    <cellStyle name="20% - uthevingsfarge 4 27 2 2 3 4" xfId="16485" xr:uid="{00000000-0005-0000-0000-0000A6170000}"/>
    <cellStyle name="20% - uthevingsfarge 4 27 2 2 3 4 2" xfId="35432" xr:uid="{00000000-0005-0000-0000-0000A7170000}"/>
    <cellStyle name="20% - uthevingsfarge 4 27 2 2 3 5" xfId="25094" xr:uid="{00000000-0005-0000-0000-0000A8170000}"/>
    <cellStyle name="20% - uthevingsfarge 4 27 2 2 3 6" xfId="25266" xr:uid="{00000000-0005-0000-0000-0000A9170000}"/>
    <cellStyle name="20% - uthevingsfarge 4 27 2 2 3 7" xfId="32840" xr:uid="{00000000-0005-0000-0000-0000AA170000}"/>
    <cellStyle name="20% - uthevingsfarge 4 27 2 2 3 8" xfId="43798" xr:uid="{00000000-0005-0000-0000-0000AB170000}"/>
    <cellStyle name="20% - uthevingsfarge 4 27 2 2 3 9" xfId="46723" xr:uid="{00000000-0005-0000-0000-0000AC170000}"/>
    <cellStyle name="20% - uthevingsfarge 4 27 2 2 4" xfId="5481" xr:uid="{00000000-0005-0000-0000-0000AD170000}"/>
    <cellStyle name="20% - uthevingsfarge 4 27 2 2 4 2" xfId="8896" xr:uid="{00000000-0005-0000-0000-0000AE170000}"/>
    <cellStyle name="20% - uthevingsfarge 4 27 2 2 4 2 2" xfId="22559" xr:uid="{00000000-0005-0000-0000-0000AF170000}"/>
    <cellStyle name="20% - uthevingsfarge 4 27 2 2 4 2 2 2" xfId="38628" xr:uid="{00000000-0005-0000-0000-0000B0170000}"/>
    <cellStyle name="20% - uthevingsfarge 4 27 2 2 4 2 3" xfId="28902" xr:uid="{00000000-0005-0000-0000-0000B1170000}"/>
    <cellStyle name="20% - uthevingsfarge 4 27 2 2 4 3" xfId="20096" xr:uid="{00000000-0005-0000-0000-0000B2170000}"/>
    <cellStyle name="20% - uthevingsfarge 4 27 2 2 4 3 2" xfId="36200" xr:uid="{00000000-0005-0000-0000-0000B3170000}"/>
    <cellStyle name="20% - uthevingsfarge 4 27 2 2 4 4" xfId="32293" xr:uid="{00000000-0005-0000-0000-0000B4170000}"/>
    <cellStyle name="20% - uthevingsfarge 4 27 2 2 5" xfId="7199" xr:uid="{00000000-0005-0000-0000-0000B5170000}"/>
    <cellStyle name="20% - uthevingsfarge 4 27 2 2 5 2" xfId="10325" xr:uid="{00000000-0005-0000-0000-0000B6170000}"/>
    <cellStyle name="20% - uthevingsfarge 4 27 2 2 5 2 2" xfId="27488" xr:uid="{00000000-0005-0000-0000-0000B7170000}"/>
    <cellStyle name="20% - uthevingsfarge 4 27 2 2 5 3" xfId="30599" xr:uid="{00000000-0005-0000-0000-0000B8170000}"/>
    <cellStyle name="20% - uthevingsfarge 4 27 2 2 6" xfId="10926" xr:uid="{00000000-0005-0000-0000-0000B9170000}"/>
    <cellStyle name="20% - uthevingsfarge 4 27 2 2 7" xfId="33986" xr:uid="{00000000-0005-0000-0000-0000BA170000}"/>
    <cellStyle name="20% - uthevingsfarge 4 27 2 2 8" xfId="43589" xr:uid="{00000000-0005-0000-0000-0000BB170000}"/>
    <cellStyle name="20% - uthevingsfarge 4 27 2 2 9" xfId="46495" xr:uid="{00000000-0005-0000-0000-0000BC170000}"/>
    <cellStyle name="20% - uthevingsfarge 4 27 2 2_Avviksanalyse løpende RNB15 (1)" xfId="16591" xr:uid="{00000000-0005-0000-0000-0000BD170000}"/>
    <cellStyle name="20% - uthevingsfarge 4 27 2 3" xfId="3807" xr:uid="{00000000-0005-0000-0000-0000BE170000}"/>
    <cellStyle name="20% - uthevingsfarge 4 27 2 3 2" xfId="5695" xr:uid="{00000000-0005-0000-0000-0000BF170000}"/>
    <cellStyle name="20% - uthevingsfarge 4 27 2 3 2 2" xfId="9110" xr:uid="{00000000-0005-0000-0000-0000C0170000}"/>
    <cellStyle name="20% - uthevingsfarge 4 27 2 3 2 2 2" xfId="23455" xr:uid="{00000000-0005-0000-0000-0000C1170000}"/>
    <cellStyle name="20% - uthevingsfarge 4 27 2 3 2 2 2 2" xfId="39511" xr:uid="{00000000-0005-0000-0000-0000C2170000}"/>
    <cellStyle name="20% - uthevingsfarge 4 27 2 3 2 2 3" xfId="28688" xr:uid="{00000000-0005-0000-0000-0000C3170000}"/>
    <cellStyle name="20% - uthevingsfarge 4 27 2 3 2 3" xfId="20173" xr:uid="{00000000-0005-0000-0000-0000C4170000}"/>
    <cellStyle name="20% - uthevingsfarge 4 27 2 3 2 3 2" xfId="36273" xr:uid="{00000000-0005-0000-0000-0000C5170000}"/>
    <cellStyle name="20% - uthevingsfarge 4 27 2 3 2 4" xfId="32079" xr:uid="{00000000-0005-0000-0000-0000C6170000}"/>
    <cellStyle name="20% - uthevingsfarge 4 27 2 3 3" xfId="7413" xr:uid="{00000000-0005-0000-0000-0000C7170000}"/>
    <cellStyle name="20% - uthevingsfarge 4 27 2 3 3 2" xfId="10321" xr:uid="{00000000-0005-0000-0000-0000C8170000}"/>
    <cellStyle name="20% - uthevingsfarge 4 27 2 3 3 2 2" xfId="27490" xr:uid="{00000000-0005-0000-0000-0000C9170000}"/>
    <cellStyle name="20% - uthevingsfarge 4 27 2 3 3 3" xfId="30385" xr:uid="{00000000-0005-0000-0000-0000CA170000}"/>
    <cellStyle name="20% - uthevingsfarge 4 27 2 3 4" xfId="22718" xr:uid="{00000000-0005-0000-0000-0000CB170000}"/>
    <cellStyle name="20% - uthevingsfarge 4 27 2 3 4 2" xfId="38787" xr:uid="{00000000-0005-0000-0000-0000CC170000}"/>
    <cellStyle name="20% - uthevingsfarge 4 27 2 3 5" xfId="33772" xr:uid="{00000000-0005-0000-0000-0000CD170000}"/>
    <cellStyle name="20% - uthevingsfarge 4 27 2 4" xfId="4292" xr:uid="{00000000-0005-0000-0000-0000CE170000}"/>
    <cellStyle name="20% - uthevingsfarge 4 27 2 4 2" xfId="6121" xr:uid="{00000000-0005-0000-0000-0000CF170000}"/>
    <cellStyle name="20% - uthevingsfarge 4 27 2 4 2 2" xfId="9535" xr:uid="{00000000-0005-0000-0000-0000D0170000}"/>
    <cellStyle name="20% - uthevingsfarge 4 27 2 4 2 2 2" xfId="10429" xr:uid="{00000000-0005-0000-0000-0000D1170000}"/>
    <cellStyle name="20% - uthevingsfarge 4 27 2 4 2 2 2 2" xfId="34359" xr:uid="{00000000-0005-0000-0000-0000D2170000}"/>
    <cellStyle name="20% - uthevingsfarge 4 27 2 4 2 2 3" xfId="28263" xr:uid="{00000000-0005-0000-0000-0000D3170000}"/>
    <cellStyle name="20% - uthevingsfarge 4 27 2 4 2 3" xfId="19433" xr:uid="{00000000-0005-0000-0000-0000D4170000}"/>
    <cellStyle name="20% - uthevingsfarge 4 27 2 4 2 3 2" xfId="35547" xr:uid="{00000000-0005-0000-0000-0000D5170000}"/>
    <cellStyle name="20% - uthevingsfarge 4 27 2 4 2 4" xfId="31658" xr:uid="{00000000-0005-0000-0000-0000D6170000}"/>
    <cellStyle name="20% - uthevingsfarge 4 27 2 4 3" xfId="7854" xr:uid="{00000000-0005-0000-0000-0000D7170000}"/>
    <cellStyle name="20% - uthevingsfarge 4 27 2 4 3 2" xfId="24282" xr:uid="{00000000-0005-0000-0000-0000D8170000}"/>
    <cellStyle name="20% - uthevingsfarge 4 27 2 4 3 2 2" xfId="40335" xr:uid="{00000000-0005-0000-0000-0000D9170000}"/>
    <cellStyle name="20% - uthevingsfarge 4 27 2 4 3 3" xfId="29945" xr:uid="{00000000-0005-0000-0000-0000DA170000}"/>
    <cellStyle name="20% - uthevingsfarge 4 27 2 4 4" xfId="19999" xr:uid="{00000000-0005-0000-0000-0000DB170000}"/>
    <cellStyle name="20% - uthevingsfarge 4 27 2 4 4 2" xfId="36103" xr:uid="{00000000-0005-0000-0000-0000DC170000}"/>
    <cellStyle name="20% - uthevingsfarge 4 27 2 4 5" xfId="33333" xr:uid="{00000000-0005-0000-0000-0000DD170000}"/>
    <cellStyle name="20% - uthevingsfarge 4 27 2 5" xfId="4747" xr:uid="{00000000-0005-0000-0000-0000DE170000}"/>
    <cellStyle name="20% - uthevingsfarge 4 27 2 5 2" xfId="6467" xr:uid="{00000000-0005-0000-0000-0000DF170000}"/>
    <cellStyle name="20% - uthevingsfarge 4 27 2 5 2 2" xfId="9873" xr:uid="{00000000-0005-0000-0000-0000E0170000}"/>
    <cellStyle name="20% - uthevingsfarge 4 27 2 5 2 2 2" xfId="21993" xr:uid="{00000000-0005-0000-0000-0000E1170000}"/>
    <cellStyle name="20% - uthevingsfarge 4 27 2 5 2 2 2 2" xfId="38068" xr:uid="{00000000-0005-0000-0000-0000E2170000}"/>
    <cellStyle name="20% - uthevingsfarge 4 27 2 5 2 2 3" xfId="27926" xr:uid="{00000000-0005-0000-0000-0000E3170000}"/>
    <cellStyle name="20% - uthevingsfarge 4 27 2 5 2 3" xfId="22042" xr:uid="{00000000-0005-0000-0000-0000E4170000}"/>
    <cellStyle name="20% - uthevingsfarge 4 27 2 5 2 3 2" xfId="38117" xr:uid="{00000000-0005-0000-0000-0000E5170000}"/>
    <cellStyle name="20% - uthevingsfarge 4 27 2 5 2 4" xfId="31327" xr:uid="{00000000-0005-0000-0000-0000E6170000}"/>
    <cellStyle name="20% - uthevingsfarge 4 27 2 5 3" xfId="8169" xr:uid="{00000000-0005-0000-0000-0000E7170000}"/>
    <cellStyle name="20% - uthevingsfarge 4 27 2 5 3 2" xfId="21020" xr:uid="{00000000-0005-0000-0000-0000E8170000}"/>
    <cellStyle name="20% - uthevingsfarge 4 27 2 5 3 2 2" xfId="37114" xr:uid="{00000000-0005-0000-0000-0000E9170000}"/>
    <cellStyle name="20% - uthevingsfarge 4 27 2 5 3 3" xfId="29628" xr:uid="{00000000-0005-0000-0000-0000EA170000}"/>
    <cellStyle name="20% - uthevingsfarge 4 27 2 5 4" xfId="19697" xr:uid="{00000000-0005-0000-0000-0000EB170000}"/>
    <cellStyle name="20% - uthevingsfarge 4 27 2 5 4 2" xfId="35811" xr:uid="{00000000-0005-0000-0000-0000EC170000}"/>
    <cellStyle name="20% - uthevingsfarge 4 27 2 5 5" xfId="33020" xr:uid="{00000000-0005-0000-0000-0000ED170000}"/>
    <cellStyle name="20% - uthevingsfarge 4 27 2 6" xfId="5107" xr:uid="{00000000-0005-0000-0000-0000EE170000}"/>
    <cellStyle name="20% - uthevingsfarge 4 27 2 6 2" xfId="6826" xr:uid="{00000000-0005-0000-0000-0000EF170000}"/>
    <cellStyle name="20% - uthevingsfarge 4 27 2 6 2 2" xfId="10232" xr:uid="{00000000-0005-0000-0000-0000F0170000}"/>
    <cellStyle name="20% - uthevingsfarge 4 27 2 6 2 2 2" xfId="24675" xr:uid="{00000000-0005-0000-0000-0000F1170000}"/>
    <cellStyle name="20% - uthevingsfarge 4 27 2 6 2 2 2 2" xfId="40718" xr:uid="{00000000-0005-0000-0000-0000F2170000}"/>
    <cellStyle name="20% - uthevingsfarge 4 27 2 6 2 2 3" xfId="27567" xr:uid="{00000000-0005-0000-0000-0000F3170000}"/>
    <cellStyle name="20% - uthevingsfarge 4 27 2 6 2 3" xfId="23101" xr:uid="{00000000-0005-0000-0000-0000F4170000}"/>
    <cellStyle name="20% - uthevingsfarge 4 27 2 6 2 3 2" xfId="39170" xr:uid="{00000000-0005-0000-0000-0000F5170000}"/>
    <cellStyle name="20% - uthevingsfarge 4 27 2 6 2 4" xfId="30968" xr:uid="{00000000-0005-0000-0000-0000F6170000}"/>
    <cellStyle name="20% - uthevingsfarge 4 27 2 6 3" xfId="8529" xr:uid="{00000000-0005-0000-0000-0000F7170000}"/>
    <cellStyle name="20% - uthevingsfarge 4 27 2 6 3 2" xfId="21879" xr:uid="{00000000-0005-0000-0000-0000F8170000}"/>
    <cellStyle name="20% - uthevingsfarge 4 27 2 6 3 2 2" xfId="37954" xr:uid="{00000000-0005-0000-0000-0000F9170000}"/>
    <cellStyle name="20% - uthevingsfarge 4 27 2 6 3 3" xfId="29269" xr:uid="{00000000-0005-0000-0000-0000FA170000}"/>
    <cellStyle name="20% - uthevingsfarge 4 27 2 6 4" xfId="19750" xr:uid="{00000000-0005-0000-0000-0000FB170000}"/>
    <cellStyle name="20% - uthevingsfarge 4 27 2 6 4 2" xfId="35864" xr:uid="{00000000-0005-0000-0000-0000FC170000}"/>
    <cellStyle name="20% - uthevingsfarge 4 27 2 6 5" xfId="32660" xr:uid="{00000000-0005-0000-0000-0000FD170000}"/>
    <cellStyle name="20% - uthevingsfarge 4 27 2 7" xfId="5286" xr:uid="{00000000-0005-0000-0000-0000FE170000}"/>
    <cellStyle name="20% - uthevingsfarge 4 27 2 7 2" xfId="8701" xr:uid="{00000000-0005-0000-0000-0000FF170000}"/>
    <cellStyle name="20% - uthevingsfarge 4 27 2 7 2 2" xfId="21164" xr:uid="{00000000-0005-0000-0000-000000180000}"/>
    <cellStyle name="20% - uthevingsfarge 4 27 2 7 2 2 2" xfId="37244" xr:uid="{00000000-0005-0000-0000-000001180000}"/>
    <cellStyle name="20% - uthevingsfarge 4 27 2 7 2 3" xfId="29097" xr:uid="{00000000-0005-0000-0000-000002180000}"/>
    <cellStyle name="20% - uthevingsfarge 4 27 2 7 3" xfId="19793" xr:uid="{00000000-0005-0000-0000-000003180000}"/>
    <cellStyle name="20% - uthevingsfarge 4 27 2 7 3 2" xfId="35907" xr:uid="{00000000-0005-0000-0000-000004180000}"/>
    <cellStyle name="20% - uthevingsfarge 4 27 2 7 4" xfId="32488" xr:uid="{00000000-0005-0000-0000-000005180000}"/>
    <cellStyle name="20% - uthevingsfarge 4 27 2 8" xfId="7019" xr:uid="{00000000-0005-0000-0000-000006180000}"/>
    <cellStyle name="20% - uthevingsfarge 4 27 2 8 2" xfId="24133" xr:uid="{00000000-0005-0000-0000-000007180000}"/>
    <cellStyle name="20% - uthevingsfarge 4 27 2 8 2 2" xfId="40186" xr:uid="{00000000-0005-0000-0000-000008180000}"/>
    <cellStyle name="20% - uthevingsfarge 4 27 2 8 3" xfId="30779" xr:uid="{00000000-0005-0000-0000-000009180000}"/>
    <cellStyle name="20% - uthevingsfarge 4 27 2 9" xfId="10925" xr:uid="{00000000-0005-0000-0000-00000A180000}"/>
    <cellStyle name="20% - uthevingsfarge 4 27 3" xfId="3472" xr:uid="{00000000-0005-0000-0000-00000B180000}"/>
    <cellStyle name="20% - uthevingsfarge 4 27 3 10" xfId="47088" xr:uid="{00000000-0005-0000-0000-00000C180000}"/>
    <cellStyle name="20% - uthevingsfarge 4 27 3 2" xfId="3908" xr:uid="{00000000-0005-0000-0000-00000D180000}"/>
    <cellStyle name="20% - uthevingsfarge 4 27 3 2 2" xfId="5796" xr:uid="{00000000-0005-0000-0000-00000E180000}"/>
    <cellStyle name="20% - uthevingsfarge 4 27 3 2 2 2" xfId="9211" xr:uid="{00000000-0005-0000-0000-00000F180000}"/>
    <cellStyle name="20% - uthevingsfarge 4 27 3 2 2 2 2" xfId="24479" xr:uid="{00000000-0005-0000-0000-000010180000}"/>
    <cellStyle name="20% - uthevingsfarge 4 27 3 2 2 2 2 2" xfId="40523" xr:uid="{00000000-0005-0000-0000-000011180000}"/>
    <cellStyle name="20% - uthevingsfarge 4 27 3 2 2 2 3" xfId="28587" xr:uid="{00000000-0005-0000-0000-000012180000}"/>
    <cellStyle name="20% - uthevingsfarge 4 27 3 2 2 3" xfId="22916" xr:uid="{00000000-0005-0000-0000-000013180000}"/>
    <cellStyle name="20% - uthevingsfarge 4 27 3 2 2 3 2" xfId="38985" xr:uid="{00000000-0005-0000-0000-000014180000}"/>
    <cellStyle name="20% - uthevingsfarge 4 27 3 2 2 4" xfId="31978" xr:uid="{00000000-0005-0000-0000-000015180000}"/>
    <cellStyle name="20% - uthevingsfarge 4 27 3 2 3" xfId="7514" xr:uid="{00000000-0005-0000-0000-000016180000}"/>
    <cellStyle name="20% - uthevingsfarge 4 27 3 2 3 2" xfId="22536" xr:uid="{00000000-0005-0000-0000-000017180000}"/>
    <cellStyle name="20% - uthevingsfarge 4 27 3 2 3 2 2" xfId="38606" xr:uid="{00000000-0005-0000-0000-000018180000}"/>
    <cellStyle name="20% - uthevingsfarge 4 27 3 2 3 3" xfId="30284" xr:uid="{00000000-0005-0000-0000-000019180000}"/>
    <cellStyle name="20% - uthevingsfarge 4 27 3 2 4" xfId="17976" xr:uid="{00000000-0005-0000-0000-00001A180000}"/>
    <cellStyle name="20% - uthevingsfarge 4 27 3 2 5" xfId="19555" xr:uid="{00000000-0005-0000-0000-00001B180000}"/>
    <cellStyle name="20% - uthevingsfarge 4 27 3 2 5 2" xfId="35669" xr:uid="{00000000-0005-0000-0000-00001C180000}"/>
    <cellStyle name="20% - uthevingsfarge 4 27 3 2 6" xfId="33671" xr:uid="{00000000-0005-0000-0000-00001D180000}"/>
    <cellStyle name="20% - uthevingsfarge 4 27 3 3" xfId="4848" xr:uid="{00000000-0005-0000-0000-00001E180000}"/>
    <cellStyle name="20% - uthevingsfarge 4 27 3 3 10" xfId="47278" xr:uid="{00000000-0005-0000-0000-00001F180000}"/>
    <cellStyle name="20% - uthevingsfarge 4 27 3 3 2" xfId="6567" xr:uid="{00000000-0005-0000-0000-000020180000}"/>
    <cellStyle name="20% - uthevingsfarge 4 27 3 3 2 2" xfId="9973" xr:uid="{00000000-0005-0000-0000-000021180000}"/>
    <cellStyle name="20% - uthevingsfarge 4 27 3 3 2 2 2" xfId="21555" xr:uid="{00000000-0005-0000-0000-000022180000}"/>
    <cellStyle name="20% - uthevingsfarge 4 27 3 3 2 2 2 2" xfId="37635" xr:uid="{00000000-0005-0000-0000-000023180000}"/>
    <cellStyle name="20% - uthevingsfarge 4 27 3 3 2 2 3" xfId="27826" xr:uid="{00000000-0005-0000-0000-000024180000}"/>
    <cellStyle name="20% - uthevingsfarge 4 27 3 3 2 3" xfId="24066" xr:uid="{00000000-0005-0000-0000-000025180000}"/>
    <cellStyle name="20% - uthevingsfarge 4 27 3 3 2 3 2" xfId="40119" xr:uid="{00000000-0005-0000-0000-000026180000}"/>
    <cellStyle name="20% - uthevingsfarge 4 27 3 3 2 4" xfId="31227" xr:uid="{00000000-0005-0000-0000-000027180000}"/>
    <cellStyle name="20% - uthevingsfarge 4 27 3 3 2 5" xfId="42833" xr:uid="{00000000-0005-0000-0000-000028180000}"/>
    <cellStyle name="20% - uthevingsfarge 4 27 3 3 2 6" xfId="43271" xr:uid="{00000000-0005-0000-0000-000029180000}"/>
    <cellStyle name="20% - uthevingsfarge 4 27 3 3 2 7" xfId="46119" xr:uid="{00000000-0005-0000-0000-00002A180000}"/>
    <cellStyle name="20% - uthevingsfarge 4 27 3 3 2 8" xfId="46888" xr:uid="{00000000-0005-0000-0000-00002B180000}"/>
    <cellStyle name="20% - uthevingsfarge 4 27 3 3 2 9" xfId="47474" xr:uid="{00000000-0005-0000-0000-00002C180000}"/>
    <cellStyle name="20% - uthevingsfarge 4 27 3 3 3" xfId="8270" xr:uid="{00000000-0005-0000-0000-00002D180000}"/>
    <cellStyle name="20% - uthevingsfarge 4 27 3 3 3 2" xfId="23340" xr:uid="{00000000-0005-0000-0000-00002E180000}"/>
    <cellStyle name="20% - uthevingsfarge 4 27 3 3 3 2 2" xfId="39402" xr:uid="{00000000-0005-0000-0000-00002F180000}"/>
    <cellStyle name="20% - uthevingsfarge 4 27 3 3 3 3" xfId="29527" xr:uid="{00000000-0005-0000-0000-000030180000}"/>
    <cellStyle name="20% - uthevingsfarge 4 27 3 3 3 4" xfId="43902" xr:uid="{00000000-0005-0000-0000-000031180000}"/>
    <cellStyle name="20% - uthevingsfarge 4 27 3 3 4" xfId="16278" xr:uid="{00000000-0005-0000-0000-000032180000}"/>
    <cellStyle name="20% - uthevingsfarge 4 27 3 3 4 2" xfId="35366" xr:uid="{00000000-0005-0000-0000-000033180000}"/>
    <cellStyle name="20% - uthevingsfarge 4 27 3 3 5" xfId="25025" xr:uid="{00000000-0005-0000-0000-000034180000}"/>
    <cellStyle name="20% - uthevingsfarge 4 27 3 3 6" xfId="25267" xr:uid="{00000000-0005-0000-0000-000035180000}"/>
    <cellStyle name="20% - uthevingsfarge 4 27 3 3 7" xfId="32919" xr:uid="{00000000-0005-0000-0000-000036180000}"/>
    <cellStyle name="20% - uthevingsfarge 4 27 3 3 8" xfId="43731" xr:uid="{00000000-0005-0000-0000-000037180000}"/>
    <cellStyle name="20% - uthevingsfarge 4 27 3 3 9" xfId="46657" xr:uid="{00000000-0005-0000-0000-000038180000}"/>
    <cellStyle name="20% - uthevingsfarge 4 27 3 4" xfId="5409" xr:uid="{00000000-0005-0000-0000-000039180000}"/>
    <cellStyle name="20% - uthevingsfarge 4 27 3 4 2" xfId="8824" xr:uid="{00000000-0005-0000-0000-00003A180000}"/>
    <cellStyle name="20% - uthevingsfarge 4 27 3 4 2 2" xfId="21195" xr:uid="{00000000-0005-0000-0000-00003B180000}"/>
    <cellStyle name="20% - uthevingsfarge 4 27 3 4 2 2 2" xfId="37275" xr:uid="{00000000-0005-0000-0000-00003C180000}"/>
    <cellStyle name="20% - uthevingsfarge 4 27 3 4 2 3" xfId="28974" xr:uid="{00000000-0005-0000-0000-00003D180000}"/>
    <cellStyle name="20% - uthevingsfarge 4 27 3 4 3" xfId="22857" xr:uid="{00000000-0005-0000-0000-00003E180000}"/>
    <cellStyle name="20% - uthevingsfarge 4 27 3 4 3 2" xfId="38926" xr:uid="{00000000-0005-0000-0000-00003F180000}"/>
    <cellStyle name="20% - uthevingsfarge 4 27 3 4 4" xfId="32365" xr:uid="{00000000-0005-0000-0000-000040180000}"/>
    <cellStyle name="20% - uthevingsfarge 4 27 3 5" xfId="7120" xr:uid="{00000000-0005-0000-0000-000041180000}"/>
    <cellStyle name="20% - uthevingsfarge 4 27 3 5 2" xfId="20674" xr:uid="{00000000-0005-0000-0000-000042180000}"/>
    <cellStyle name="20% - uthevingsfarge 4 27 3 5 2 2" xfId="36773" xr:uid="{00000000-0005-0000-0000-000043180000}"/>
    <cellStyle name="20% - uthevingsfarge 4 27 3 5 3" xfId="30678" xr:uid="{00000000-0005-0000-0000-000044180000}"/>
    <cellStyle name="20% - uthevingsfarge 4 27 3 6" xfId="10927" xr:uid="{00000000-0005-0000-0000-000045180000}"/>
    <cellStyle name="20% - uthevingsfarge 4 27 3 7" xfId="34065" xr:uid="{00000000-0005-0000-0000-000046180000}"/>
    <cellStyle name="20% - uthevingsfarge 4 27 3 8" xfId="43523" xr:uid="{00000000-0005-0000-0000-000047180000}"/>
    <cellStyle name="20% - uthevingsfarge 4 27 3 9" xfId="46427" xr:uid="{00000000-0005-0000-0000-000048180000}"/>
    <cellStyle name="20% - uthevingsfarge 4 27 3_Avviksanalyse løpende RNB15 (1)" xfId="16592" xr:uid="{00000000-0005-0000-0000-000049180000}"/>
    <cellStyle name="20% - uthevingsfarge 4 27 4" xfId="3729" xr:uid="{00000000-0005-0000-0000-00004A180000}"/>
    <cellStyle name="20% - uthevingsfarge 4 27 4 2" xfId="5617" xr:uid="{00000000-0005-0000-0000-00004B180000}"/>
    <cellStyle name="20% - uthevingsfarge 4 27 4 2 2" xfId="9032" xr:uid="{00000000-0005-0000-0000-00004C180000}"/>
    <cellStyle name="20% - uthevingsfarge 4 27 4 2 2 2" xfId="24450" xr:uid="{00000000-0005-0000-0000-00004D180000}"/>
    <cellStyle name="20% - uthevingsfarge 4 27 4 2 2 2 2" xfId="40494" xr:uid="{00000000-0005-0000-0000-00004E180000}"/>
    <cellStyle name="20% - uthevingsfarge 4 27 4 2 2 3" xfId="28766" xr:uid="{00000000-0005-0000-0000-00004F180000}"/>
    <cellStyle name="20% - uthevingsfarge 4 27 4 2 3" xfId="10688" xr:uid="{00000000-0005-0000-0000-000050180000}"/>
    <cellStyle name="20% - uthevingsfarge 4 27 4 2 3 2" xfId="34536" xr:uid="{00000000-0005-0000-0000-000051180000}"/>
    <cellStyle name="20% - uthevingsfarge 4 27 4 2 4" xfId="32157" xr:uid="{00000000-0005-0000-0000-000052180000}"/>
    <cellStyle name="20% - uthevingsfarge 4 27 4 3" xfId="7335" xr:uid="{00000000-0005-0000-0000-000053180000}"/>
    <cellStyle name="20% - uthevingsfarge 4 27 4 3 2" xfId="22195" xr:uid="{00000000-0005-0000-0000-000054180000}"/>
    <cellStyle name="20% - uthevingsfarge 4 27 4 3 2 2" xfId="38269" xr:uid="{00000000-0005-0000-0000-000055180000}"/>
    <cellStyle name="20% - uthevingsfarge 4 27 4 3 3" xfId="30463" xr:uid="{00000000-0005-0000-0000-000056180000}"/>
    <cellStyle name="20% - uthevingsfarge 4 27 4 4" xfId="11076" xr:uid="{00000000-0005-0000-0000-000057180000}"/>
    <cellStyle name="20% - uthevingsfarge 4 27 4 4 2" xfId="34780" xr:uid="{00000000-0005-0000-0000-000058180000}"/>
    <cellStyle name="20% - uthevingsfarge 4 27 4 5" xfId="33850" xr:uid="{00000000-0005-0000-0000-000059180000}"/>
    <cellStyle name="20% - uthevingsfarge 4 27 5" xfId="4205" xr:uid="{00000000-0005-0000-0000-00005A180000}"/>
    <cellStyle name="20% - uthevingsfarge 4 27 5 2" xfId="6042" xr:uid="{00000000-0005-0000-0000-00005B180000}"/>
    <cellStyle name="20% - uthevingsfarge 4 27 5 2 2" xfId="9457" xr:uid="{00000000-0005-0000-0000-00005C180000}"/>
    <cellStyle name="20% - uthevingsfarge 4 27 5 2 2 2" xfId="21950" xr:uid="{00000000-0005-0000-0000-00005D180000}"/>
    <cellStyle name="20% - uthevingsfarge 4 27 5 2 2 2 2" xfId="38025" xr:uid="{00000000-0005-0000-0000-00005E180000}"/>
    <cellStyle name="20% - uthevingsfarge 4 27 5 2 2 3" xfId="28341" xr:uid="{00000000-0005-0000-0000-00005F180000}"/>
    <cellStyle name="20% - uthevingsfarge 4 27 5 2 3" xfId="20299" xr:uid="{00000000-0005-0000-0000-000060180000}"/>
    <cellStyle name="20% - uthevingsfarge 4 27 5 2 3 2" xfId="36398" xr:uid="{00000000-0005-0000-0000-000061180000}"/>
    <cellStyle name="20% - uthevingsfarge 4 27 5 2 4" xfId="31736" xr:uid="{00000000-0005-0000-0000-000062180000}"/>
    <cellStyle name="20% - uthevingsfarge 4 27 5 3" xfId="7775" xr:uid="{00000000-0005-0000-0000-000063180000}"/>
    <cellStyle name="20% - uthevingsfarge 4 27 5 3 2" xfId="24268" xr:uid="{00000000-0005-0000-0000-000064180000}"/>
    <cellStyle name="20% - uthevingsfarge 4 27 5 3 2 2" xfId="40321" xr:uid="{00000000-0005-0000-0000-000065180000}"/>
    <cellStyle name="20% - uthevingsfarge 4 27 5 3 3" xfId="30024" xr:uid="{00000000-0005-0000-0000-000066180000}"/>
    <cellStyle name="20% - uthevingsfarge 4 27 5 4" xfId="22806" xr:uid="{00000000-0005-0000-0000-000067180000}"/>
    <cellStyle name="20% - uthevingsfarge 4 27 5 4 2" xfId="38875" xr:uid="{00000000-0005-0000-0000-000068180000}"/>
    <cellStyle name="20% - uthevingsfarge 4 27 5 5" xfId="33412" xr:uid="{00000000-0005-0000-0000-000069180000}"/>
    <cellStyle name="20% - uthevingsfarge 4 27 6" xfId="4664" xr:uid="{00000000-0005-0000-0000-00006A180000}"/>
    <cellStyle name="20% - uthevingsfarge 4 27 6 2" xfId="6384" xr:uid="{00000000-0005-0000-0000-00006B180000}"/>
    <cellStyle name="20% - uthevingsfarge 4 27 6 2 2" xfId="9794" xr:uid="{00000000-0005-0000-0000-00006C180000}"/>
    <cellStyle name="20% - uthevingsfarge 4 27 6 2 2 2" xfId="24564" xr:uid="{00000000-0005-0000-0000-00006D180000}"/>
    <cellStyle name="20% - uthevingsfarge 4 27 6 2 2 2 2" xfId="40608" xr:uid="{00000000-0005-0000-0000-00006E180000}"/>
    <cellStyle name="20% - uthevingsfarge 4 27 6 2 2 3" xfId="28005" xr:uid="{00000000-0005-0000-0000-00006F180000}"/>
    <cellStyle name="20% - uthevingsfarge 4 27 6 2 3" xfId="22130" xr:uid="{00000000-0005-0000-0000-000070180000}"/>
    <cellStyle name="20% - uthevingsfarge 4 27 6 2 3 2" xfId="38204" xr:uid="{00000000-0005-0000-0000-000071180000}"/>
    <cellStyle name="20% - uthevingsfarge 4 27 6 2 4" xfId="31406" xr:uid="{00000000-0005-0000-0000-000072180000}"/>
    <cellStyle name="20% - uthevingsfarge 4 27 6 3" xfId="8090" xr:uid="{00000000-0005-0000-0000-000073180000}"/>
    <cellStyle name="20% - uthevingsfarge 4 27 6 3 2" xfId="23312" xr:uid="{00000000-0005-0000-0000-000074180000}"/>
    <cellStyle name="20% - uthevingsfarge 4 27 6 3 2 2" xfId="39378" xr:uid="{00000000-0005-0000-0000-000075180000}"/>
    <cellStyle name="20% - uthevingsfarge 4 27 6 3 3" xfId="29708" xr:uid="{00000000-0005-0000-0000-000076180000}"/>
    <cellStyle name="20% - uthevingsfarge 4 27 6 4" xfId="12294" xr:uid="{00000000-0005-0000-0000-000077180000}"/>
    <cellStyle name="20% - uthevingsfarge 4 27 6 4 2" xfId="35170" xr:uid="{00000000-0005-0000-0000-000078180000}"/>
    <cellStyle name="20% - uthevingsfarge 4 27 6 5" xfId="33099" xr:uid="{00000000-0005-0000-0000-000079180000}"/>
    <cellStyle name="20% - uthevingsfarge 4 27 7" xfId="5028" xr:uid="{00000000-0005-0000-0000-00007A180000}"/>
    <cellStyle name="20% - uthevingsfarge 4 27 7 2" xfId="6747" xr:uid="{00000000-0005-0000-0000-00007B180000}"/>
    <cellStyle name="20% - uthevingsfarge 4 27 7 2 2" xfId="10153" xr:uid="{00000000-0005-0000-0000-00007C180000}"/>
    <cellStyle name="20% - uthevingsfarge 4 27 7 2 2 2" xfId="21627" xr:uid="{00000000-0005-0000-0000-00007D180000}"/>
    <cellStyle name="20% - uthevingsfarge 4 27 7 2 2 2 2" xfId="37707" xr:uid="{00000000-0005-0000-0000-00007E180000}"/>
    <cellStyle name="20% - uthevingsfarge 4 27 7 2 2 3" xfId="27646" xr:uid="{00000000-0005-0000-0000-00007F180000}"/>
    <cellStyle name="20% - uthevingsfarge 4 27 7 2 3" xfId="24092" xr:uid="{00000000-0005-0000-0000-000080180000}"/>
    <cellStyle name="20% - uthevingsfarge 4 27 7 2 3 2" xfId="40145" xr:uid="{00000000-0005-0000-0000-000081180000}"/>
    <cellStyle name="20% - uthevingsfarge 4 27 7 2 4" xfId="31047" xr:uid="{00000000-0005-0000-0000-000082180000}"/>
    <cellStyle name="20% - uthevingsfarge 4 27 7 3" xfId="8450" xr:uid="{00000000-0005-0000-0000-000083180000}"/>
    <cellStyle name="20% - uthevingsfarge 4 27 7 3 2" xfId="24367" xr:uid="{00000000-0005-0000-0000-000084180000}"/>
    <cellStyle name="20% - uthevingsfarge 4 27 7 3 2 2" xfId="40413" xr:uid="{00000000-0005-0000-0000-000085180000}"/>
    <cellStyle name="20% - uthevingsfarge 4 27 7 3 3" xfId="29348" xr:uid="{00000000-0005-0000-0000-000086180000}"/>
    <cellStyle name="20% - uthevingsfarge 4 27 7 4" xfId="19731" xr:uid="{00000000-0005-0000-0000-000087180000}"/>
    <cellStyle name="20% - uthevingsfarge 4 27 7 4 2" xfId="35845" xr:uid="{00000000-0005-0000-0000-000088180000}"/>
    <cellStyle name="20% - uthevingsfarge 4 27 7 5" xfId="32739" xr:uid="{00000000-0005-0000-0000-000089180000}"/>
    <cellStyle name="20% - uthevingsfarge 4 27 8" xfId="5195" xr:uid="{00000000-0005-0000-0000-00008A180000}"/>
    <cellStyle name="20% - uthevingsfarge 4 27 8 2" xfId="8614" xr:uid="{00000000-0005-0000-0000-00008B180000}"/>
    <cellStyle name="20% - uthevingsfarge 4 27 8 2 2" xfId="11814" xr:uid="{00000000-0005-0000-0000-00008C180000}"/>
    <cellStyle name="20% - uthevingsfarge 4 27 8 2 2 2" xfId="34878" xr:uid="{00000000-0005-0000-0000-00008D180000}"/>
    <cellStyle name="20% - uthevingsfarge 4 27 8 2 3" xfId="29184" xr:uid="{00000000-0005-0000-0000-00008E180000}"/>
    <cellStyle name="20% - uthevingsfarge 4 27 8 3" xfId="10780" xr:uid="{00000000-0005-0000-0000-00008F180000}"/>
    <cellStyle name="20% - uthevingsfarge 4 27 8 3 2" xfId="34603" xr:uid="{00000000-0005-0000-0000-000090180000}"/>
    <cellStyle name="20% - uthevingsfarge 4 27 8 4" xfId="32575" xr:uid="{00000000-0005-0000-0000-000091180000}"/>
    <cellStyle name="20% - uthevingsfarge 4 27 9" xfId="6914" xr:uid="{00000000-0005-0000-0000-000092180000}"/>
    <cellStyle name="20% - uthevingsfarge 4 27 9 2" xfId="10647" xr:uid="{00000000-0005-0000-0000-000093180000}"/>
    <cellStyle name="20% - uthevingsfarge 4 27 9 2 2" xfId="34495" xr:uid="{00000000-0005-0000-0000-000094180000}"/>
    <cellStyle name="20% - uthevingsfarge 4 27 9 3" xfId="30884" xr:uid="{00000000-0005-0000-0000-000095180000}"/>
    <cellStyle name="20% - uthevingsfarge 4 28" xfId="462" xr:uid="{00000000-0005-0000-0000-000096180000}"/>
    <cellStyle name="20% - uthevingsfarge 4 28 10" xfId="6915" xr:uid="{00000000-0005-0000-0000-000097180000}"/>
    <cellStyle name="20% - uthevingsfarge 4 28 10 2" xfId="19436" xr:uid="{00000000-0005-0000-0000-000098180000}"/>
    <cellStyle name="20% - uthevingsfarge 4 28 10 2 2" xfId="35550" xr:uid="{00000000-0005-0000-0000-000099180000}"/>
    <cellStyle name="20% - uthevingsfarge 4 28 10 3" xfId="30883" xr:uid="{00000000-0005-0000-0000-00009A180000}"/>
    <cellStyle name="20% - uthevingsfarge 4 28 11" xfId="10928" xr:uid="{00000000-0005-0000-0000-00009B180000}"/>
    <cellStyle name="20% - uthevingsfarge 4 28 12" xfId="34271" xr:uid="{00000000-0005-0000-0000-00009C180000}"/>
    <cellStyle name="20% - uthevingsfarge 4 28 2" xfId="3326" xr:uid="{00000000-0005-0000-0000-00009D180000}"/>
    <cellStyle name="20% - uthevingsfarge 4 28 2 10" xfId="34165" xr:uid="{00000000-0005-0000-0000-00009E180000}"/>
    <cellStyle name="20% - uthevingsfarge 4 28 2 2" xfId="3558" xr:uid="{00000000-0005-0000-0000-00009F180000}"/>
    <cellStyle name="20% - uthevingsfarge 4 28 2 2 10" xfId="47157" xr:uid="{00000000-0005-0000-0000-0000A0180000}"/>
    <cellStyle name="20% - uthevingsfarge 4 28 2 2 2" xfId="3988" xr:uid="{00000000-0005-0000-0000-0000A1180000}"/>
    <cellStyle name="20% - uthevingsfarge 4 28 2 2 2 2" xfId="5876" xr:uid="{00000000-0005-0000-0000-0000A2180000}"/>
    <cellStyle name="20% - uthevingsfarge 4 28 2 2 2 2 2" xfId="9291" xr:uid="{00000000-0005-0000-0000-0000A3180000}"/>
    <cellStyle name="20% - uthevingsfarge 4 28 2 2 2 2 2 2" xfId="21338" xr:uid="{00000000-0005-0000-0000-0000A4180000}"/>
    <cellStyle name="20% - uthevingsfarge 4 28 2 2 2 2 2 2 2" xfId="37418" xr:uid="{00000000-0005-0000-0000-0000A5180000}"/>
    <cellStyle name="20% - uthevingsfarge 4 28 2 2 2 2 2 3" xfId="28507" xr:uid="{00000000-0005-0000-0000-0000A6180000}"/>
    <cellStyle name="20% - uthevingsfarge 4 28 2 2 2 2 3" xfId="11977" xr:uid="{00000000-0005-0000-0000-0000A7180000}"/>
    <cellStyle name="20% - uthevingsfarge 4 28 2 2 2 2 3 2" xfId="34999" xr:uid="{00000000-0005-0000-0000-0000A8180000}"/>
    <cellStyle name="20% - uthevingsfarge 4 28 2 2 2 2 4" xfId="31899" xr:uid="{00000000-0005-0000-0000-0000A9180000}"/>
    <cellStyle name="20% - uthevingsfarge 4 28 2 2 2 3" xfId="7594" xr:uid="{00000000-0005-0000-0000-0000AA180000}"/>
    <cellStyle name="20% - uthevingsfarge 4 28 2 2 2 3 2" xfId="24232" xr:uid="{00000000-0005-0000-0000-0000AB180000}"/>
    <cellStyle name="20% - uthevingsfarge 4 28 2 2 2 3 2 2" xfId="40285" xr:uid="{00000000-0005-0000-0000-0000AC180000}"/>
    <cellStyle name="20% - uthevingsfarge 4 28 2 2 2 3 3" xfId="30204" xr:uid="{00000000-0005-0000-0000-0000AD180000}"/>
    <cellStyle name="20% - uthevingsfarge 4 28 2 2 2 4" xfId="17977" xr:uid="{00000000-0005-0000-0000-0000AE180000}"/>
    <cellStyle name="20% - uthevingsfarge 4 28 2 2 2 5" xfId="19568" xr:uid="{00000000-0005-0000-0000-0000AF180000}"/>
    <cellStyle name="20% - uthevingsfarge 4 28 2 2 2 5 2" xfId="35682" xr:uid="{00000000-0005-0000-0000-0000B0180000}"/>
    <cellStyle name="20% - uthevingsfarge 4 28 2 2 2 6" xfId="33591" xr:uid="{00000000-0005-0000-0000-0000B1180000}"/>
    <cellStyle name="20% - uthevingsfarge 4 28 2 2 3" xfId="4928" xr:uid="{00000000-0005-0000-0000-0000B2180000}"/>
    <cellStyle name="20% - uthevingsfarge 4 28 2 2 3 10" xfId="47347" xr:uid="{00000000-0005-0000-0000-0000B3180000}"/>
    <cellStyle name="20% - uthevingsfarge 4 28 2 2 3 2" xfId="6647" xr:uid="{00000000-0005-0000-0000-0000B4180000}"/>
    <cellStyle name="20% - uthevingsfarge 4 28 2 2 3 2 2" xfId="10053" xr:uid="{00000000-0005-0000-0000-0000B5180000}"/>
    <cellStyle name="20% - uthevingsfarge 4 28 2 2 3 2 2 2" xfId="21587" xr:uid="{00000000-0005-0000-0000-0000B6180000}"/>
    <cellStyle name="20% - uthevingsfarge 4 28 2 2 3 2 2 2 2" xfId="37667" xr:uid="{00000000-0005-0000-0000-0000B7180000}"/>
    <cellStyle name="20% - uthevingsfarge 4 28 2 2 3 2 2 3" xfId="27746" xr:uid="{00000000-0005-0000-0000-0000B8180000}"/>
    <cellStyle name="20% - uthevingsfarge 4 28 2 2 3 2 3" xfId="20532" xr:uid="{00000000-0005-0000-0000-0000B9180000}"/>
    <cellStyle name="20% - uthevingsfarge 4 28 2 2 3 2 3 2" xfId="36631" xr:uid="{00000000-0005-0000-0000-0000BA180000}"/>
    <cellStyle name="20% - uthevingsfarge 4 28 2 2 3 2 4" xfId="31147" xr:uid="{00000000-0005-0000-0000-0000BB180000}"/>
    <cellStyle name="20% - uthevingsfarge 4 28 2 2 3 2 5" xfId="43041" xr:uid="{00000000-0005-0000-0000-0000BC180000}"/>
    <cellStyle name="20% - uthevingsfarge 4 28 2 2 3 2 6" xfId="43338" xr:uid="{00000000-0005-0000-0000-0000BD180000}"/>
    <cellStyle name="20% - uthevingsfarge 4 28 2 2 3 2 7" xfId="46186" xr:uid="{00000000-0005-0000-0000-0000BE180000}"/>
    <cellStyle name="20% - uthevingsfarge 4 28 2 2 3 2 8" xfId="46958" xr:uid="{00000000-0005-0000-0000-0000BF180000}"/>
    <cellStyle name="20% - uthevingsfarge 4 28 2 2 3 2 9" xfId="47543" xr:uid="{00000000-0005-0000-0000-0000C0180000}"/>
    <cellStyle name="20% - uthevingsfarge 4 28 2 2 3 3" xfId="8350" xr:uid="{00000000-0005-0000-0000-0000C1180000}"/>
    <cellStyle name="20% - uthevingsfarge 4 28 2 2 3 3 2" xfId="22578" xr:uid="{00000000-0005-0000-0000-0000C2180000}"/>
    <cellStyle name="20% - uthevingsfarge 4 28 2 2 3 3 2 2" xfId="38647" xr:uid="{00000000-0005-0000-0000-0000C3180000}"/>
    <cellStyle name="20% - uthevingsfarge 4 28 2 2 3 3 3" xfId="29448" xr:uid="{00000000-0005-0000-0000-0000C4180000}"/>
    <cellStyle name="20% - uthevingsfarge 4 28 2 2 3 3 4" xfId="43903" xr:uid="{00000000-0005-0000-0000-0000C5180000}"/>
    <cellStyle name="20% - uthevingsfarge 4 28 2 2 3 4" xfId="16486" xr:uid="{00000000-0005-0000-0000-0000C6180000}"/>
    <cellStyle name="20% - uthevingsfarge 4 28 2 2 3 4 2" xfId="35433" xr:uid="{00000000-0005-0000-0000-0000C7180000}"/>
    <cellStyle name="20% - uthevingsfarge 4 28 2 2 3 5" xfId="25095" xr:uid="{00000000-0005-0000-0000-0000C8180000}"/>
    <cellStyle name="20% - uthevingsfarge 4 28 2 2 3 6" xfId="25268" xr:uid="{00000000-0005-0000-0000-0000C9180000}"/>
    <cellStyle name="20% - uthevingsfarge 4 28 2 2 3 7" xfId="32839" xr:uid="{00000000-0005-0000-0000-0000CA180000}"/>
    <cellStyle name="20% - uthevingsfarge 4 28 2 2 3 8" xfId="43799" xr:uid="{00000000-0005-0000-0000-0000CB180000}"/>
    <cellStyle name="20% - uthevingsfarge 4 28 2 2 3 9" xfId="46724" xr:uid="{00000000-0005-0000-0000-0000CC180000}"/>
    <cellStyle name="20% - uthevingsfarge 4 28 2 2 4" xfId="5482" xr:uid="{00000000-0005-0000-0000-0000CD180000}"/>
    <cellStyle name="20% - uthevingsfarge 4 28 2 2 4 2" xfId="8897" xr:uid="{00000000-0005-0000-0000-0000CE180000}"/>
    <cellStyle name="20% - uthevingsfarge 4 28 2 2 4 2 2" xfId="22706" xr:uid="{00000000-0005-0000-0000-0000CF180000}"/>
    <cellStyle name="20% - uthevingsfarge 4 28 2 2 4 2 2 2" xfId="38775" xr:uid="{00000000-0005-0000-0000-0000D0180000}"/>
    <cellStyle name="20% - uthevingsfarge 4 28 2 2 4 2 3" xfId="28901" xr:uid="{00000000-0005-0000-0000-0000D1180000}"/>
    <cellStyle name="20% - uthevingsfarge 4 28 2 2 4 3" xfId="20097" xr:uid="{00000000-0005-0000-0000-0000D2180000}"/>
    <cellStyle name="20% - uthevingsfarge 4 28 2 2 4 3 2" xfId="36201" xr:uid="{00000000-0005-0000-0000-0000D3180000}"/>
    <cellStyle name="20% - uthevingsfarge 4 28 2 2 4 4" xfId="32292" xr:uid="{00000000-0005-0000-0000-0000D4180000}"/>
    <cellStyle name="20% - uthevingsfarge 4 28 2 2 5" xfId="7200" xr:uid="{00000000-0005-0000-0000-0000D5180000}"/>
    <cellStyle name="20% - uthevingsfarge 4 28 2 2 5 2" xfId="22700" xr:uid="{00000000-0005-0000-0000-0000D6180000}"/>
    <cellStyle name="20% - uthevingsfarge 4 28 2 2 5 2 2" xfId="38769" xr:uid="{00000000-0005-0000-0000-0000D7180000}"/>
    <cellStyle name="20% - uthevingsfarge 4 28 2 2 5 3" xfId="30598" xr:uid="{00000000-0005-0000-0000-0000D8180000}"/>
    <cellStyle name="20% - uthevingsfarge 4 28 2 2 6" xfId="10930" xr:uid="{00000000-0005-0000-0000-0000D9180000}"/>
    <cellStyle name="20% - uthevingsfarge 4 28 2 2 7" xfId="33985" xr:uid="{00000000-0005-0000-0000-0000DA180000}"/>
    <cellStyle name="20% - uthevingsfarge 4 28 2 2 8" xfId="43590" xr:uid="{00000000-0005-0000-0000-0000DB180000}"/>
    <cellStyle name="20% - uthevingsfarge 4 28 2 2 9" xfId="46496" xr:uid="{00000000-0005-0000-0000-0000DC180000}"/>
    <cellStyle name="20% - uthevingsfarge 4 28 2 2_Avviksanalyse løpende RNB15 (1)" xfId="16593" xr:uid="{00000000-0005-0000-0000-0000DD180000}"/>
    <cellStyle name="20% - uthevingsfarge 4 28 2 3" xfId="3808" xr:uid="{00000000-0005-0000-0000-0000DE180000}"/>
    <cellStyle name="20% - uthevingsfarge 4 28 2 3 2" xfId="5696" xr:uid="{00000000-0005-0000-0000-0000DF180000}"/>
    <cellStyle name="20% - uthevingsfarge 4 28 2 3 2 2" xfId="9111" xr:uid="{00000000-0005-0000-0000-0000E0180000}"/>
    <cellStyle name="20% - uthevingsfarge 4 28 2 3 2 2 2" xfId="21278" xr:uid="{00000000-0005-0000-0000-0000E1180000}"/>
    <cellStyle name="20% - uthevingsfarge 4 28 2 3 2 2 2 2" xfId="37358" xr:uid="{00000000-0005-0000-0000-0000E2180000}"/>
    <cellStyle name="20% - uthevingsfarge 4 28 2 3 2 2 3" xfId="28687" xr:uid="{00000000-0005-0000-0000-0000E3180000}"/>
    <cellStyle name="20% - uthevingsfarge 4 28 2 3 2 3" xfId="23902" xr:uid="{00000000-0005-0000-0000-0000E4180000}"/>
    <cellStyle name="20% - uthevingsfarge 4 28 2 3 2 3 2" xfId="39958" xr:uid="{00000000-0005-0000-0000-0000E5180000}"/>
    <cellStyle name="20% - uthevingsfarge 4 28 2 3 2 4" xfId="32078" xr:uid="{00000000-0005-0000-0000-0000E6180000}"/>
    <cellStyle name="20% - uthevingsfarge 4 28 2 3 3" xfId="7414" xr:uid="{00000000-0005-0000-0000-0000E7180000}"/>
    <cellStyle name="20% - uthevingsfarge 4 28 2 3 3 2" xfId="11939" xr:uid="{00000000-0005-0000-0000-0000E8180000}"/>
    <cellStyle name="20% - uthevingsfarge 4 28 2 3 3 2 2" xfId="34962" xr:uid="{00000000-0005-0000-0000-0000E9180000}"/>
    <cellStyle name="20% - uthevingsfarge 4 28 2 3 3 3" xfId="30384" xr:uid="{00000000-0005-0000-0000-0000EA180000}"/>
    <cellStyle name="20% - uthevingsfarge 4 28 2 3 4" xfId="19593" xr:uid="{00000000-0005-0000-0000-0000EB180000}"/>
    <cellStyle name="20% - uthevingsfarge 4 28 2 3 4 2" xfId="35707" xr:uid="{00000000-0005-0000-0000-0000EC180000}"/>
    <cellStyle name="20% - uthevingsfarge 4 28 2 3 5" xfId="33771" xr:uid="{00000000-0005-0000-0000-0000ED180000}"/>
    <cellStyle name="20% - uthevingsfarge 4 28 2 4" xfId="4293" xr:uid="{00000000-0005-0000-0000-0000EE180000}"/>
    <cellStyle name="20% - uthevingsfarge 4 28 2 4 2" xfId="6122" xr:uid="{00000000-0005-0000-0000-0000EF180000}"/>
    <cellStyle name="20% - uthevingsfarge 4 28 2 4 2 2" xfId="9536" xr:uid="{00000000-0005-0000-0000-0000F0180000}"/>
    <cellStyle name="20% - uthevingsfarge 4 28 2 4 2 2 2" xfId="19531" xr:uid="{00000000-0005-0000-0000-0000F1180000}"/>
    <cellStyle name="20% - uthevingsfarge 4 28 2 4 2 2 2 2" xfId="35645" xr:uid="{00000000-0005-0000-0000-0000F2180000}"/>
    <cellStyle name="20% - uthevingsfarge 4 28 2 4 2 2 3" xfId="28262" xr:uid="{00000000-0005-0000-0000-0000F3180000}"/>
    <cellStyle name="20% - uthevingsfarge 4 28 2 4 2 3" xfId="11976" xr:uid="{00000000-0005-0000-0000-0000F4180000}"/>
    <cellStyle name="20% - uthevingsfarge 4 28 2 4 2 3 2" xfId="34998" xr:uid="{00000000-0005-0000-0000-0000F5180000}"/>
    <cellStyle name="20% - uthevingsfarge 4 28 2 4 2 4" xfId="31657" xr:uid="{00000000-0005-0000-0000-0000F6180000}"/>
    <cellStyle name="20% - uthevingsfarge 4 28 2 4 3" xfId="7855" xr:uid="{00000000-0005-0000-0000-0000F7180000}"/>
    <cellStyle name="20% - uthevingsfarge 4 28 2 4 3 2" xfId="21858" xr:uid="{00000000-0005-0000-0000-0000F8180000}"/>
    <cellStyle name="20% - uthevingsfarge 4 28 2 4 3 2 2" xfId="37934" xr:uid="{00000000-0005-0000-0000-0000F9180000}"/>
    <cellStyle name="20% - uthevingsfarge 4 28 2 4 3 3" xfId="29944" xr:uid="{00000000-0005-0000-0000-0000FA180000}"/>
    <cellStyle name="20% - uthevingsfarge 4 28 2 4 4" xfId="10985" xr:uid="{00000000-0005-0000-0000-0000FB180000}"/>
    <cellStyle name="20% - uthevingsfarge 4 28 2 4 4 2" xfId="34719" xr:uid="{00000000-0005-0000-0000-0000FC180000}"/>
    <cellStyle name="20% - uthevingsfarge 4 28 2 4 5" xfId="33332" xr:uid="{00000000-0005-0000-0000-0000FD180000}"/>
    <cellStyle name="20% - uthevingsfarge 4 28 2 5" xfId="4748" xr:uid="{00000000-0005-0000-0000-0000FE180000}"/>
    <cellStyle name="20% - uthevingsfarge 4 28 2 5 2" xfId="6468" xr:uid="{00000000-0005-0000-0000-0000FF180000}"/>
    <cellStyle name="20% - uthevingsfarge 4 28 2 5 2 2" xfId="9874" xr:uid="{00000000-0005-0000-0000-000000190000}"/>
    <cellStyle name="20% - uthevingsfarge 4 28 2 5 2 2 2" xfId="23574" xr:uid="{00000000-0005-0000-0000-000001190000}"/>
    <cellStyle name="20% - uthevingsfarge 4 28 2 5 2 2 2 2" xfId="39630" xr:uid="{00000000-0005-0000-0000-000002190000}"/>
    <cellStyle name="20% - uthevingsfarge 4 28 2 5 2 2 3" xfId="27925" xr:uid="{00000000-0005-0000-0000-000003190000}"/>
    <cellStyle name="20% - uthevingsfarge 4 28 2 5 2 3" xfId="23045" xr:uid="{00000000-0005-0000-0000-000004190000}"/>
    <cellStyle name="20% - uthevingsfarge 4 28 2 5 2 3 2" xfId="39114" xr:uid="{00000000-0005-0000-0000-000005190000}"/>
    <cellStyle name="20% - uthevingsfarge 4 28 2 5 2 4" xfId="31326" xr:uid="{00000000-0005-0000-0000-000006190000}"/>
    <cellStyle name="20% - uthevingsfarge 4 28 2 5 3" xfId="8170" xr:uid="{00000000-0005-0000-0000-000007190000}"/>
    <cellStyle name="20% - uthevingsfarge 4 28 2 5 3 2" xfId="21021" xr:uid="{00000000-0005-0000-0000-000008190000}"/>
    <cellStyle name="20% - uthevingsfarge 4 28 2 5 3 2 2" xfId="37115" xr:uid="{00000000-0005-0000-0000-000009190000}"/>
    <cellStyle name="20% - uthevingsfarge 4 28 2 5 3 3" xfId="29627" xr:uid="{00000000-0005-0000-0000-00000A190000}"/>
    <cellStyle name="20% - uthevingsfarge 4 28 2 5 4" xfId="12273" xr:uid="{00000000-0005-0000-0000-00000B190000}"/>
    <cellStyle name="20% - uthevingsfarge 4 28 2 5 4 2" xfId="35149" xr:uid="{00000000-0005-0000-0000-00000C190000}"/>
    <cellStyle name="20% - uthevingsfarge 4 28 2 5 5" xfId="33019" xr:uid="{00000000-0005-0000-0000-00000D190000}"/>
    <cellStyle name="20% - uthevingsfarge 4 28 2 6" xfId="5108" xr:uid="{00000000-0005-0000-0000-00000E190000}"/>
    <cellStyle name="20% - uthevingsfarge 4 28 2 6 2" xfId="6827" xr:uid="{00000000-0005-0000-0000-00000F190000}"/>
    <cellStyle name="20% - uthevingsfarge 4 28 2 6 2 2" xfId="10233" xr:uid="{00000000-0005-0000-0000-000010190000}"/>
    <cellStyle name="20% - uthevingsfarge 4 28 2 6 2 2 2" xfId="24676" xr:uid="{00000000-0005-0000-0000-000011190000}"/>
    <cellStyle name="20% - uthevingsfarge 4 28 2 6 2 2 2 2" xfId="40719" xr:uid="{00000000-0005-0000-0000-000012190000}"/>
    <cellStyle name="20% - uthevingsfarge 4 28 2 6 2 2 3" xfId="27566" xr:uid="{00000000-0005-0000-0000-000013190000}"/>
    <cellStyle name="20% - uthevingsfarge 4 28 2 6 2 3" xfId="20574" xr:uid="{00000000-0005-0000-0000-000014190000}"/>
    <cellStyle name="20% - uthevingsfarge 4 28 2 6 2 3 2" xfId="36673" xr:uid="{00000000-0005-0000-0000-000015190000}"/>
    <cellStyle name="20% - uthevingsfarge 4 28 2 6 2 4" xfId="30967" xr:uid="{00000000-0005-0000-0000-000016190000}"/>
    <cellStyle name="20% - uthevingsfarge 4 28 2 6 3" xfId="8530" xr:uid="{00000000-0005-0000-0000-000017190000}"/>
    <cellStyle name="20% - uthevingsfarge 4 28 2 6 3 2" xfId="23375" xr:uid="{00000000-0005-0000-0000-000018190000}"/>
    <cellStyle name="20% - uthevingsfarge 4 28 2 6 3 2 2" xfId="39432" xr:uid="{00000000-0005-0000-0000-000019190000}"/>
    <cellStyle name="20% - uthevingsfarge 4 28 2 6 3 3" xfId="29268" xr:uid="{00000000-0005-0000-0000-00001A190000}"/>
    <cellStyle name="20% - uthevingsfarge 4 28 2 6 4" xfId="12172" xr:uid="{00000000-0005-0000-0000-00001B190000}"/>
    <cellStyle name="20% - uthevingsfarge 4 28 2 6 4 2" xfId="35107" xr:uid="{00000000-0005-0000-0000-00001C190000}"/>
    <cellStyle name="20% - uthevingsfarge 4 28 2 6 5" xfId="32659" xr:uid="{00000000-0005-0000-0000-00001D190000}"/>
    <cellStyle name="20% - uthevingsfarge 4 28 2 7" xfId="5287" xr:uid="{00000000-0005-0000-0000-00001E190000}"/>
    <cellStyle name="20% - uthevingsfarge 4 28 2 7 2" xfId="8702" xr:uid="{00000000-0005-0000-0000-00001F190000}"/>
    <cellStyle name="20% - uthevingsfarge 4 28 2 7 2 2" xfId="24401" xr:uid="{00000000-0005-0000-0000-000020190000}"/>
    <cellStyle name="20% - uthevingsfarge 4 28 2 7 2 2 2" xfId="40445" xr:uid="{00000000-0005-0000-0000-000021190000}"/>
    <cellStyle name="20% - uthevingsfarge 4 28 2 7 2 3" xfId="29096" xr:uid="{00000000-0005-0000-0000-000022190000}"/>
    <cellStyle name="20% - uthevingsfarge 4 28 2 7 3" xfId="12091" xr:uid="{00000000-0005-0000-0000-000023190000}"/>
    <cellStyle name="20% - uthevingsfarge 4 28 2 7 3 2" xfId="35066" xr:uid="{00000000-0005-0000-0000-000024190000}"/>
    <cellStyle name="20% - uthevingsfarge 4 28 2 7 4" xfId="32487" xr:uid="{00000000-0005-0000-0000-000025190000}"/>
    <cellStyle name="20% - uthevingsfarge 4 28 2 8" xfId="7020" xr:uid="{00000000-0005-0000-0000-000026190000}"/>
    <cellStyle name="20% - uthevingsfarge 4 28 2 8 2" xfId="22408" xr:uid="{00000000-0005-0000-0000-000027190000}"/>
    <cellStyle name="20% - uthevingsfarge 4 28 2 8 2 2" xfId="38480" xr:uid="{00000000-0005-0000-0000-000028190000}"/>
    <cellStyle name="20% - uthevingsfarge 4 28 2 8 3" xfId="30778" xr:uid="{00000000-0005-0000-0000-000029190000}"/>
    <cellStyle name="20% - uthevingsfarge 4 28 2 9" xfId="10929" xr:uid="{00000000-0005-0000-0000-00002A190000}"/>
    <cellStyle name="20% - uthevingsfarge 4 28 3" xfId="3473" xr:uid="{00000000-0005-0000-0000-00002B190000}"/>
    <cellStyle name="20% - uthevingsfarge 4 28 3 10" xfId="46428" xr:uid="{00000000-0005-0000-0000-00002C190000}"/>
    <cellStyle name="20% - uthevingsfarge 4 28 3 11" xfId="47089" xr:uid="{00000000-0005-0000-0000-00002D190000}"/>
    <cellStyle name="20% - uthevingsfarge 4 28 3 2" xfId="3909" xr:uid="{00000000-0005-0000-0000-00002E190000}"/>
    <cellStyle name="20% - uthevingsfarge 4 28 3 2 2" xfId="5797" xr:uid="{00000000-0005-0000-0000-00002F190000}"/>
    <cellStyle name="20% - uthevingsfarge 4 28 3 2 2 2" xfId="9212" xr:uid="{00000000-0005-0000-0000-000030190000}"/>
    <cellStyle name="20% - uthevingsfarge 4 28 3 2 2 2 2" xfId="21791" xr:uid="{00000000-0005-0000-0000-000031190000}"/>
    <cellStyle name="20% - uthevingsfarge 4 28 3 2 2 2 2 2" xfId="37867" xr:uid="{00000000-0005-0000-0000-000032190000}"/>
    <cellStyle name="20% - uthevingsfarge 4 28 3 2 2 2 3" xfId="28586" xr:uid="{00000000-0005-0000-0000-000033190000}"/>
    <cellStyle name="20% - uthevingsfarge 4 28 3 2 2 3" xfId="20207" xr:uid="{00000000-0005-0000-0000-000034190000}"/>
    <cellStyle name="20% - uthevingsfarge 4 28 3 2 2 3 2" xfId="36306" xr:uid="{00000000-0005-0000-0000-000035190000}"/>
    <cellStyle name="20% - uthevingsfarge 4 28 3 2 2 4" xfId="31977" xr:uid="{00000000-0005-0000-0000-000036190000}"/>
    <cellStyle name="20% - uthevingsfarge 4 28 3 2 3" xfId="7515" xr:uid="{00000000-0005-0000-0000-000037190000}"/>
    <cellStyle name="20% - uthevingsfarge 4 28 3 2 3 2" xfId="11947" xr:uid="{00000000-0005-0000-0000-000038190000}"/>
    <cellStyle name="20% - uthevingsfarge 4 28 3 2 3 2 2" xfId="34969" xr:uid="{00000000-0005-0000-0000-000039190000}"/>
    <cellStyle name="20% - uthevingsfarge 4 28 3 2 3 3" xfId="30283" xr:uid="{00000000-0005-0000-0000-00003A190000}"/>
    <cellStyle name="20% - uthevingsfarge 4 28 3 2 4" xfId="17978" xr:uid="{00000000-0005-0000-0000-00003B190000}"/>
    <cellStyle name="20% - uthevingsfarge 4 28 3 2 5" xfId="12493" xr:uid="{00000000-0005-0000-0000-00003C190000}"/>
    <cellStyle name="20% - uthevingsfarge 4 28 3 2 5 2" xfId="35257" xr:uid="{00000000-0005-0000-0000-00003D190000}"/>
    <cellStyle name="20% - uthevingsfarge 4 28 3 2 6" xfId="33670" xr:uid="{00000000-0005-0000-0000-00003E190000}"/>
    <cellStyle name="20% - uthevingsfarge 4 28 3 3" xfId="4404" xr:uid="{00000000-0005-0000-0000-00003F190000}"/>
    <cellStyle name="20% - uthevingsfarge 4 28 3 3 10" xfId="47279" xr:uid="{00000000-0005-0000-0000-000040190000}"/>
    <cellStyle name="20% - uthevingsfarge 4 28 3 3 2" xfId="6201" xr:uid="{00000000-0005-0000-0000-000041190000}"/>
    <cellStyle name="20% - uthevingsfarge 4 28 3 3 2 2" xfId="9615" xr:uid="{00000000-0005-0000-0000-000042190000}"/>
    <cellStyle name="20% - uthevingsfarge 4 28 3 3 2 2 2" xfId="19534" xr:uid="{00000000-0005-0000-0000-000043190000}"/>
    <cellStyle name="20% - uthevingsfarge 4 28 3 3 2 2 2 2" xfId="35648" xr:uid="{00000000-0005-0000-0000-000044190000}"/>
    <cellStyle name="20% - uthevingsfarge 4 28 3 3 2 2 3" xfId="28183" xr:uid="{00000000-0005-0000-0000-000045190000}"/>
    <cellStyle name="20% - uthevingsfarge 4 28 3 3 2 3" xfId="20361" xr:uid="{00000000-0005-0000-0000-000046190000}"/>
    <cellStyle name="20% - uthevingsfarge 4 28 3 3 2 3 2" xfId="36460" xr:uid="{00000000-0005-0000-0000-000047190000}"/>
    <cellStyle name="20% - uthevingsfarge 4 28 3 3 2 4" xfId="31584" xr:uid="{00000000-0005-0000-0000-000048190000}"/>
    <cellStyle name="20% - uthevingsfarge 4 28 3 3 2 5" xfId="42834" xr:uid="{00000000-0005-0000-0000-000049190000}"/>
    <cellStyle name="20% - uthevingsfarge 4 28 3 3 2 6" xfId="43272" xr:uid="{00000000-0005-0000-0000-00004A190000}"/>
    <cellStyle name="20% - uthevingsfarge 4 28 3 3 2 7" xfId="46120" xr:uid="{00000000-0005-0000-0000-00004B190000}"/>
    <cellStyle name="20% - uthevingsfarge 4 28 3 3 2 8" xfId="46889" xr:uid="{00000000-0005-0000-0000-00004C190000}"/>
    <cellStyle name="20% - uthevingsfarge 4 28 3 3 2 9" xfId="47475" xr:uid="{00000000-0005-0000-0000-00004D190000}"/>
    <cellStyle name="20% - uthevingsfarge 4 28 3 3 3" xfId="7935" xr:uid="{00000000-0005-0000-0000-00004E190000}"/>
    <cellStyle name="20% - uthevingsfarge 4 28 3 3 3 2" xfId="20949" xr:uid="{00000000-0005-0000-0000-00004F190000}"/>
    <cellStyle name="20% - uthevingsfarge 4 28 3 3 3 2 2" xfId="37045" xr:uid="{00000000-0005-0000-0000-000050190000}"/>
    <cellStyle name="20% - uthevingsfarge 4 28 3 3 3 3" xfId="29864" xr:uid="{00000000-0005-0000-0000-000051190000}"/>
    <cellStyle name="20% - uthevingsfarge 4 28 3 3 3 4" xfId="43904" xr:uid="{00000000-0005-0000-0000-000052190000}"/>
    <cellStyle name="20% - uthevingsfarge 4 28 3 3 4" xfId="16279" xr:uid="{00000000-0005-0000-0000-000053190000}"/>
    <cellStyle name="20% - uthevingsfarge 4 28 3 3 4 2" xfId="35367" xr:uid="{00000000-0005-0000-0000-000054190000}"/>
    <cellStyle name="20% - uthevingsfarge 4 28 3 3 5" xfId="25026" xr:uid="{00000000-0005-0000-0000-000055190000}"/>
    <cellStyle name="20% - uthevingsfarge 4 28 3 3 6" xfId="25269" xr:uid="{00000000-0005-0000-0000-000056190000}"/>
    <cellStyle name="20% - uthevingsfarge 4 28 3 3 7" xfId="33253" xr:uid="{00000000-0005-0000-0000-000057190000}"/>
    <cellStyle name="20% - uthevingsfarge 4 28 3 3 8" xfId="43732" xr:uid="{00000000-0005-0000-0000-000058190000}"/>
    <cellStyle name="20% - uthevingsfarge 4 28 3 3 9" xfId="46658" xr:uid="{00000000-0005-0000-0000-000059190000}"/>
    <cellStyle name="20% - uthevingsfarge 4 28 3 4" xfId="4849" xr:uid="{00000000-0005-0000-0000-00005A190000}"/>
    <cellStyle name="20% - uthevingsfarge 4 28 3 4 2" xfId="6568" xr:uid="{00000000-0005-0000-0000-00005B190000}"/>
    <cellStyle name="20% - uthevingsfarge 4 28 3 4 2 2" xfId="9974" xr:uid="{00000000-0005-0000-0000-00005C190000}"/>
    <cellStyle name="20% - uthevingsfarge 4 28 3 4 2 2 2" xfId="21556" xr:uid="{00000000-0005-0000-0000-00005D190000}"/>
    <cellStyle name="20% - uthevingsfarge 4 28 3 4 2 2 2 2" xfId="37636" xr:uid="{00000000-0005-0000-0000-00005E190000}"/>
    <cellStyle name="20% - uthevingsfarge 4 28 3 4 2 2 3" xfId="27825" xr:uid="{00000000-0005-0000-0000-00005F190000}"/>
    <cellStyle name="20% - uthevingsfarge 4 28 3 4 2 3" xfId="22141" xr:uid="{00000000-0005-0000-0000-000060190000}"/>
    <cellStyle name="20% - uthevingsfarge 4 28 3 4 2 3 2" xfId="38215" xr:uid="{00000000-0005-0000-0000-000061190000}"/>
    <cellStyle name="20% - uthevingsfarge 4 28 3 4 2 4" xfId="31226" xr:uid="{00000000-0005-0000-0000-000062190000}"/>
    <cellStyle name="20% - uthevingsfarge 4 28 3 4 3" xfId="8271" xr:uid="{00000000-0005-0000-0000-000063190000}"/>
    <cellStyle name="20% - uthevingsfarge 4 28 3 4 3 2" xfId="21048" xr:uid="{00000000-0005-0000-0000-000064190000}"/>
    <cellStyle name="20% - uthevingsfarge 4 28 3 4 3 2 2" xfId="37139" xr:uid="{00000000-0005-0000-0000-000065190000}"/>
    <cellStyle name="20% - uthevingsfarge 4 28 3 4 3 3" xfId="29526" xr:uid="{00000000-0005-0000-0000-000066190000}"/>
    <cellStyle name="20% - uthevingsfarge 4 28 3 4 4" xfId="23839" xr:uid="{00000000-0005-0000-0000-000067190000}"/>
    <cellStyle name="20% - uthevingsfarge 4 28 3 4 4 2" xfId="39895" xr:uid="{00000000-0005-0000-0000-000068190000}"/>
    <cellStyle name="20% - uthevingsfarge 4 28 3 4 5" xfId="32918" xr:uid="{00000000-0005-0000-0000-000069190000}"/>
    <cellStyle name="20% - uthevingsfarge 4 28 3 5" xfId="5239" xr:uid="{00000000-0005-0000-0000-00006A190000}"/>
    <cellStyle name="20% - uthevingsfarge 4 28 3 5 2" xfId="8654" xr:uid="{00000000-0005-0000-0000-00006B190000}"/>
    <cellStyle name="20% - uthevingsfarge 4 28 3 5 2 2" xfId="24395" xr:uid="{00000000-0005-0000-0000-00006C190000}"/>
    <cellStyle name="20% - uthevingsfarge 4 28 3 5 2 2 2" xfId="40439" xr:uid="{00000000-0005-0000-0000-00006D190000}"/>
    <cellStyle name="20% - uthevingsfarge 4 28 3 5 2 3" xfId="29144" xr:uid="{00000000-0005-0000-0000-00006E190000}"/>
    <cellStyle name="20% - uthevingsfarge 4 28 3 5 3" xfId="12114" xr:uid="{00000000-0005-0000-0000-00006F190000}"/>
    <cellStyle name="20% - uthevingsfarge 4 28 3 5 3 2" xfId="35078" xr:uid="{00000000-0005-0000-0000-000070190000}"/>
    <cellStyle name="20% - uthevingsfarge 4 28 3 5 4" xfId="32535" xr:uid="{00000000-0005-0000-0000-000071190000}"/>
    <cellStyle name="20% - uthevingsfarge 4 28 3 6" xfId="7121" xr:uid="{00000000-0005-0000-0000-000072190000}"/>
    <cellStyle name="20% - uthevingsfarge 4 28 3 6 2" xfId="24154" xr:uid="{00000000-0005-0000-0000-000073190000}"/>
    <cellStyle name="20% - uthevingsfarge 4 28 3 6 2 2" xfId="40207" xr:uid="{00000000-0005-0000-0000-000074190000}"/>
    <cellStyle name="20% - uthevingsfarge 4 28 3 6 3" xfId="30677" xr:uid="{00000000-0005-0000-0000-000075190000}"/>
    <cellStyle name="20% - uthevingsfarge 4 28 3 7" xfId="10931" xr:uid="{00000000-0005-0000-0000-000076190000}"/>
    <cellStyle name="20% - uthevingsfarge 4 28 3 8" xfId="34064" xr:uid="{00000000-0005-0000-0000-000077190000}"/>
    <cellStyle name="20% - uthevingsfarge 4 28 3 9" xfId="43524" xr:uid="{00000000-0005-0000-0000-000078190000}"/>
    <cellStyle name="20% - uthevingsfarge 4 28 3_Avviksanalyse løpende RNB15 (1)" xfId="16594" xr:uid="{00000000-0005-0000-0000-000079190000}"/>
    <cellStyle name="20% - uthevingsfarge 4 28 4" xfId="3730" xr:uid="{00000000-0005-0000-0000-00007A190000}"/>
    <cellStyle name="20% - uthevingsfarge 4 28 4 2" xfId="5618" xr:uid="{00000000-0005-0000-0000-00007B190000}"/>
    <cellStyle name="20% - uthevingsfarge 4 28 4 2 2" xfId="9033" xr:uid="{00000000-0005-0000-0000-00007C190000}"/>
    <cellStyle name="20% - uthevingsfarge 4 28 4 2 2 2" xfId="21912" xr:uid="{00000000-0005-0000-0000-00007D190000}"/>
    <cellStyle name="20% - uthevingsfarge 4 28 4 2 2 2 2" xfId="37987" xr:uid="{00000000-0005-0000-0000-00007E190000}"/>
    <cellStyle name="20% - uthevingsfarge 4 28 4 2 2 3" xfId="28765" xr:uid="{00000000-0005-0000-0000-00007F190000}"/>
    <cellStyle name="20% - uthevingsfarge 4 28 4 2 3" xfId="10373" xr:uid="{00000000-0005-0000-0000-000080190000}"/>
    <cellStyle name="20% - uthevingsfarge 4 28 4 2 3 2" xfId="34333" xr:uid="{00000000-0005-0000-0000-000081190000}"/>
    <cellStyle name="20% - uthevingsfarge 4 28 4 2 4" xfId="32156" xr:uid="{00000000-0005-0000-0000-000082190000}"/>
    <cellStyle name="20% - uthevingsfarge 4 28 4 3" xfId="7336" xr:uid="{00000000-0005-0000-0000-000083190000}"/>
    <cellStyle name="20% - uthevingsfarge 4 28 4 3 2" xfId="23187" xr:uid="{00000000-0005-0000-0000-000084190000}"/>
    <cellStyle name="20% - uthevingsfarge 4 28 4 3 2 2" xfId="39256" xr:uid="{00000000-0005-0000-0000-000085190000}"/>
    <cellStyle name="20% - uthevingsfarge 4 28 4 3 3" xfId="30462" xr:uid="{00000000-0005-0000-0000-000086190000}"/>
    <cellStyle name="20% - uthevingsfarge 4 28 4 4" xfId="19597" xr:uid="{00000000-0005-0000-0000-000087190000}"/>
    <cellStyle name="20% - uthevingsfarge 4 28 4 4 2" xfId="35711" xr:uid="{00000000-0005-0000-0000-000088190000}"/>
    <cellStyle name="20% - uthevingsfarge 4 28 4 5" xfId="33849" xr:uid="{00000000-0005-0000-0000-000089190000}"/>
    <cellStyle name="20% - uthevingsfarge 4 28 5" xfId="4239" xr:uid="{00000000-0005-0000-0000-00008A190000}"/>
    <cellStyle name="20% - uthevingsfarge 4 28 5 2" xfId="6071" xr:uid="{00000000-0005-0000-0000-00008B190000}"/>
    <cellStyle name="20% - uthevingsfarge 4 28 5 2 2" xfId="9486" xr:uid="{00000000-0005-0000-0000-00008C190000}"/>
    <cellStyle name="20% - uthevingsfarge 4 28 5 2 2 2" xfId="22615" xr:uid="{00000000-0005-0000-0000-00008D190000}"/>
    <cellStyle name="20% - uthevingsfarge 4 28 5 2 2 2 2" xfId="38684" xr:uid="{00000000-0005-0000-0000-00008E190000}"/>
    <cellStyle name="20% - uthevingsfarge 4 28 5 2 2 3" xfId="28312" xr:uid="{00000000-0005-0000-0000-00008F190000}"/>
    <cellStyle name="20% - uthevingsfarge 4 28 5 2 3" xfId="20310" xr:uid="{00000000-0005-0000-0000-000090190000}"/>
    <cellStyle name="20% - uthevingsfarge 4 28 5 2 3 2" xfId="36409" xr:uid="{00000000-0005-0000-0000-000091190000}"/>
    <cellStyle name="20% - uthevingsfarge 4 28 5 2 4" xfId="31707" xr:uid="{00000000-0005-0000-0000-000092190000}"/>
    <cellStyle name="20% - uthevingsfarge 4 28 5 3" xfId="7805" xr:uid="{00000000-0005-0000-0000-000093190000}"/>
    <cellStyle name="20% - uthevingsfarge 4 28 5 3 2" xfId="23272" xr:uid="{00000000-0005-0000-0000-000094190000}"/>
    <cellStyle name="20% - uthevingsfarge 4 28 5 3 2 2" xfId="39340" xr:uid="{00000000-0005-0000-0000-000095190000}"/>
    <cellStyle name="20% - uthevingsfarge 4 28 5 3 3" xfId="29994" xr:uid="{00000000-0005-0000-0000-000096190000}"/>
    <cellStyle name="20% - uthevingsfarge 4 28 5 4" xfId="19989" xr:uid="{00000000-0005-0000-0000-000097190000}"/>
    <cellStyle name="20% - uthevingsfarge 4 28 5 4 2" xfId="36093" xr:uid="{00000000-0005-0000-0000-000098190000}"/>
    <cellStyle name="20% - uthevingsfarge 4 28 5 5" xfId="33382" xr:uid="{00000000-0005-0000-0000-000099190000}"/>
    <cellStyle name="20% - uthevingsfarge 4 28 6" xfId="4390" xr:uid="{00000000-0005-0000-0000-00009A190000}"/>
    <cellStyle name="20% - uthevingsfarge 4 28 6 2" xfId="6193" xr:uid="{00000000-0005-0000-0000-00009B190000}"/>
    <cellStyle name="20% - uthevingsfarge 4 28 6 2 2" xfId="9607" xr:uid="{00000000-0005-0000-0000-00009C190000}"/>
    <cellStyle name="20% - uthevingsfarge 4 28 6 2 2 2" xfId="23534" xr:uid="{00000000-0005-0000-0000-00009D190000}"/>
    <cellStyle name="20% - uthevingsfarge 4 28 6 2 2 2 2" xfId="39590" xr:uid="{00000000-0005-0000-0000-00009E190000}"/>
    <cellStyle name="20% - uthevingsfarge 4 28 6 2 2 3" xfId="28191" xr:uid="{00000000-0005-0000-0000-00009F190000}"/>
    <cellStyle name="20% - uthevingsfarge 4 28 6 2 3" xfId="20359" xr:uid="{00000000-0005-0000-0000-0000A0190000}"/>
    <cellStyle name="20% - uthevingsfarge 4 28 6 2 3 2" xfId="36458" xr:uid="{00000000-0005-0000-0000-0000A1190000}"/>
    <cellStyle name="20% - uthevingsfarge 4 28 6 2 4" xfId="31591" xr:uid="{00000000-0005-0000-0000-0000A2190000}"/>
    <cellStyle name="20% - uthevingsfarge 4 28 6 3" xfId="7927" xr:uid="{00000000-0005-0000-0000-0000A3190000}"/>
    <cellStyle name="20% - uthevingsfarge 4 28 6 3 2" xfId="22492" xr:uid="{00000000-0005-0000-0000-0000A4190000}"/>
    <cellStyle name="20% - uthevingsfarge 4 28 6 3 2 2" xfId="38564" xr:uid="{00000000-0005-0000-0000-0000A5190000}"/>
    <cellStyle name="20% - uthevingsfarge 4 28 6 3 3" xfId="29872" xr:uid="{00000000-0005-0000-0000-0000A6190000}"/>
    <cellStyle name="20% - uthevingsfarge 4 28 6 4" xfId="19637" xr:uid="{00000000-0005-0000-0000-0000A7190000}"/>
    <cellStyle name="20% - uthevingsfarge 4 28 6 4 2" xfId="35751" xr:uid="{00000000-0005-0000-0000-0000A8190000}"/>
    <cellStyle name="20% - uthevingsfarge 4 28 6 5" xfId="33260" xr:uid="{00000000-0005-0000-0000-0000A9190000}"/>
    <cellStyle name="20% - uthevingsfarge 4 28 7" xfId="4665" xr:uid="{00000000-0005-0000-0000-0000AA190000}"/>
    <cellStyle name="20% - uthevingsfarge 4 28 7 2" xfId="6385" xr:uid="{00000000-0005-0000-0000-0000AB190000}"/>
    <cellStyle name="20% - uthevingsfarge 4 28 7 2 2" xfId="9795" xr:uid="{00000000-0005-0000-0000-0000AC190000}"/>
    <cellStyle name="20% - uthevingsfarge 4 28 7 2 2 2" xfId="21982" xr:uid="{00000000-0005-0000-0000-0000AD190000}"/>
    <cellStyle name="20% - uthevingsfarge 4 28 7 2 2 2 2" xfId="38057" xr:uid="{00000000-0005-0000-0000-0000AE190000}"/>
    <cellStyle name="20% - uthevingsfarge 4 28 7 2 2 3" xfId="28004" xr:uid="{00000000-0005-0000-0000-0000AF190000}"/>
    <cellStyle name="20% - uthevingsfarge 4 28 7 2 3" xfId="23029" xr:uid="{00000000-0005-0000-0000-0000B0190000}"/>
    <cellStyle name="20% - uthevingsfarge 4 28 7 2 3 2" xfId="39098" xr:uid="{00000000-0005-0000-0000-0000B1190000}"/>
    <cellStyle name="20% - uthevingsfarge 4 28 7 2 4" xfId="31405" xr:uid="{00000000-0005-0000-0000-0000B2190000}"/>
    <cellStyle name="20% - uthevingsfarge 4 28 7 3" xfId="8091" xr:uid="{00000000-0005-0000-0000-0000B3190000}"/>
    <cellStyle name="20% - uthevingsfarge 4 28 7 3 2" xfId="19891" xr:uid="{00000000-0005-0000-0000-0000B4190000}"/>
    <cellStyle name="20% - uthevingsfarge 4 28 7 3 2 2" xfId="36004" xr:uid="{00000000-0005-0000-0000-0000B5190000}"/>
    <cellStyle name="20% - uthevingsfarge 4 28 7 3 3" xfId="29707" xr:uid="{00000000-0005-0000-0000-0000B6190000}"/>
    <cellStyle name="20% - uthevingsfarge 4 28 7 4" xfId="20030" xr:uid="{00000000-0005-0000-0000-0000B7190000}"/>
    <cellStyle name="20% - uthevingsfarge 4 28 7 4 2" xfId="36134" xr:uid="{00000000-0005-0000-0000-0000B8190000}"/>
    <cellStyle name="20% - uthevingsfarge 4 28 7 5" xfId="33098" xr:uid="{00000000-0005-0000-0000-0000B9190000}"/>
    <cellStyle name="20% - uthevingsfarge 4 28 8" xfId="5029" xr:uid="{00000000-0005-0000-0000-0000BA190000}"/>
    <cellStyle name="20% - uthevingsfarge 4 28 8 2" xfId="6748" xr:uid="{00000000-0005-0000-0000-0000BB190000}"/>
    <cellStyle name="20% - uthevingsfarge 4 28 8 2 2" xfId="10154" xr:uid="{00000000-0005-0000-0000-0000BC190000}"/>
    <cellStyle name="20% - uthevingsfarge 4 28 8 2 2 2" xfId="21628" xr:uid="{00000000-0005-0000-0000-0000BD190000}"/>
    <cellStyle name="20% - uthevingsfarge 4 28 8 2 2 2 2" xfId="37708" xr:uid="{00000000-0005-0000-0000-0000BE190000}"/>
    <cellStyle name="20% - uthevingsfarge 4 28 8 2 2 3" xfId="27645" xr:uid="{00000000-0005-0000-0000-0000BF190000}"/>
    <cellStyle name="20% - uthevingsfarge 4 28 8 2 3" xfId="10654" xr:uid="{00000000-0005-0000-0000-0000C0190000}"/>
    <cellStyle name="20% - uthevingsfarge 4 28 8 2 3 2" xfId="34502" xr:uid="{00000000-0005-0000-0000-0000C1190000}"/>
    <cellStyle name="20% - uthevingsfarge 4 28 8 2 4" xfId="31046" xr:uid="{00000000-0005-0000-0000-0000C2190000}"/>
    <cellStyle name="20% - uthevingsfarge 4 28 8 3" xfId="8451" xr:uid="{00000000-0005-0000-0000-0000C3190000}"/>
    <cellStyle name="20% - uthevingsfarge 4 28 8 3 2" xfId="10547" xr:uid="{00000000-0005-0000-0000-0000C4190000}"/>
    <cellStyle name="20% - uthevingsfarge 4 28 8 3 2 2" xfId="34418" xr:uid="{00000000-0005-0000-0000-0000C5190000}"/>
    <cellStyle name="20% - uthevingsfarge 4 28 8 3 3" xfId="29347" xr:uid="{00000000-0005-0000-0000-0000C6190000}"/>
    <cellStyle name="20% - uthevingsfarge 4 28 8 4" xfId="12207" xr:uid="{00000000-0005-0000-0000-0000C7190000}"/>
    <cellStyle name="20% - uthevingsfarge 4 28 8 4 2" xfId="35125" xr:uid="{00000000-0005-0000-0000-0000C8190000}"/>
    <cellStyle name="20% - uthevingsfarge 4 28 8 5" xfId="32738" xr:uid="{00000000-0005-0000-0000-0000C9190000}"/>
    <cellStyle name="20% - uthevingsfarge 4 28 9" xfId="5225" xr:uid="{00000000-0005-0000-0000-0000CA190000}"/>
    <cellStyle name="20% - uthevingsfarge 4 28 9 2" xfId="8640" xr:uid="{00000000-0005-0000-0000-0000CB190000}"/>
    <cellStyle name="20% - uthevingsfarge 4 28 9 2 2" xfId="21884" xr:uid="{00000000-0005-0000-0000-0000CC190000}"/>
    <cellStyle name="20% - uthevingsfarge 4 28 9 2 2 2" xfId="37959" xr:uid="{00000000-0005-0000-0000-0000CD190000}"/>
    <cellStyle name="20% - uthevingsfarge 4 28 9 2 3" xfId="29158" xr:uid="{00000000-0005-0000-0000-0000CE190000}"/>
    <cellStyle name="20% - uthevingsfarge 4 28 9 3" xfId="19776" xr:uid="{00000000-0005-0000-0000-0000CF190000}"/>
    <cellStyle name="20% - uthevingsfarge 4 28 9 3 2" xfId="35890" xr:uid="{00000000-0005-0000-0000-0000D0190000}"/>
    <cellStyle name="20% - uthevingsfarge 4 28 9 4" xfId="32549" xr:uid="{00000000-0005-0000-0000-0000D1190000}"/>
    <cellStyle name="20% - uthevingsfarge 4 29" xfId="463" xr:uid="{00000000-0005-0000-0000-0000D2190000}"/>
    <cellStyle name="20% - uthevingsfarge 4 29 10" xfId="10932" xr:uid="{00000000-0005-0000-0000-0000D3190000}"/>
    <cellStyle name="20% - uthevingsfarge 4 29 11" xfId="34270" xr:uid="{00000000-0005-0000-0000-0000D4190000}"/>
    <cellStyle name="20% - uthevingsfarge 4 29 2" xfId="3327" xr:uid="{00000000-0005-0000-0000-0000D5190000}"/>
    <cellStyle name="20% - uthevingsfarge 4 29 2 10" xfId="34164" xr:uid="{00000000-0005-0000-0000-0000D6190000}"/>
    <cellStyle name="20% - uthevingsfarge 4 29 2 2" xfId="3559" xr:uid="{00000000-0005-0000-0000-0000D7190000}"/>
    <cellStyle name="20% - uthevingsfarge 4 29 2 2 10" xfId="47158" xr:uid="{00000000-0005-0000-0000-0000D8190000}"/>
    <cellStyle name="20% - uthevingsfarge 4 29 2 2 2" xfId="3989" xr:uid="{00000000-0005-0000-0000-0000D9190000}"/>
    <cellStyle name="20% - uthevingsfarge 4 29 2 2 2 2" xfId="5877" xr:uid="{00000000-0005-0000-0000-0000DA190000}"/>
    <cellStyle name="20% - uthevingsfarge 4 29 2 2 2 2 2" xfId="9292" xr:uid="{00000000-0005-0000-0000-0000DB190000}"/>
    <cellStyle name="20% - uthevingsfarge 4 29 2 2 2 2 2 2" xfId="10465" xr:uid="{00000000-0005-0000-0000-0000DC190000}"/>
    <cellStyle name="20% - uthevingsfarge 4 29 2 2 2 2 2 2 2" xfId="34377" xr:uid="{00000000-0005-0000-0000-0000DD190000}"/>
    <cellStyle name="20% - uthevingsfarge 4 29 2 2 2 2 2 3" xfId="28506" xr:uid="{00000000-0005-0000-0000-0000DE190000}"/>
    <cellStyle name="20% - uthevingsfarge 4 29 2 2 2 2 3" xfId="22930" xr:uid="{00000000-0005-0000-0000-0000DF190000}"/>
    <cellStyle name="20% - uthevingsfarge 4 29 2 2 2 2 3 2" xfId="38999" xr:uid="{00000000-0005-0000-0000-0000E0190000}"/>
    <cellStyle name="20% - uthevingsfarge 4 29 2 2 2 2 4" xfId="31898" xr:uid="{00000000-0005-0000-0000-0000E1190000}"/>
    <cellStyle name="20% - uthevingsfarge 4 29 2 2 2 3" xfId="7595" xr:uid="{00000000-0005-0000-0000-0000E2190000}"/>
    <cellStyle name="20% - uthevingsfarge 4 29 2 2 2 3 2" xfId="22470" xr:uid="{00000000-0005-0000-0000-0000E3190000}"/>
    <cellStyle name="20% - uthevingsfarge 4 29 2 2 2 3 2 2" xfId="38542" xr:uid="{00000000-0005-0000-0000-0000E4190000}"/>
    <cellStyle name="20% - uthevingsfarge 4 29 2 2 2 3 3" xfId="30203" xr:uid="{00000000-0005-0000-0000-0000E5190000}"/>
    <cellStyle name="20% - uthevingsfarge 4 29 2 2 2 4" xfId="17979" xr:uid="{00000000-0005-0000-0000-0000E6190000}"/>
    <cellStyle name="20% - uthevingsfarge 4 29 2 2 2 5" xfId="12449" xr:uid="{00000000-0005-0000-0000-0000E7190000}"/>
    <cellStyle name="20% - uthevingsfarge 4 29 2 2 2 5 2" xfId="35241" xr:uid="{00000000-0005-0000-0000-0000E8190000}"/>
    <cellStyle name="20% - uthevingsfarge 4 29 2 2 2 6" xfId="33590" xr:uid="{00000000-0005-0000-0000-0000E9190000}"/>
    <cellStyle name="20% - uthevingsfarge 4 29 2 2 3" xfId="4929" xr:uid="{00000000-0005-0000-0000-0000EA190000}"/>
    <cellStyle name="20% - uthevingsfarge 4 29 2 2 3 10" xfId="47348" xr:uid="{00000000-0005-0000-0000-0000EB190000}"/>
    <cellStyle name="20% - uthevingsfarge 4 29 2 2 3 2" xfId="6648" xr:uid="{00000000-0005-0000-0000-0000EC190000}"/>
    <cellStyle name="20% - uthevingsfarge 4 29 2 2 3 2 2" xfId="10054" xr:uid="{00000000-0005-0000-0000-0000ED190000}"/>
    <cellStyle name="20% - uthevingsfarge 4 29 2 2 3 2 2 2" xfId="21588" xr:uid="{00000000-0005-0000-0000-0000EE190000}"/>
    <cellStyle name="20% - uthevingsfarge 4 29 2 2 3 2 2 2 2" xfId="37668" xr:uid="{00000000-0005-0000-0000-0000EF190000}"/>
    <cellStyle name="20% - uthevingsfarge 4 29 2 2 3 2 2 3" xfId="27745" xr:uid="{00000000-0005-0000-0000-0000F0190000}"/>
    <cellStyle name="20% - uthevingsfarge 4 29 2 2 3 2 3" xfId="24082" xr:uid="{00000000-0005-0000-0000-0000F1190000}"/>
    <cellStyle name="20% - uthevingsfarge 4 29 2 2 3 2 3 2" xfId="40135" xr:uid="{00000000-0005-0000-0000-0000F2190000}"/>
    <cellStyle name="20% - uthevingsfarge 4 29 2 2 3 2 4" xfId="31146" xr:uid="{00000000-0005-0000-0000-0000F3190000}"/>
    <cellStyle name="20% - uthevingsfarge 4 29 2 2 3 2 5" xfId="43042" xr:uid="{00000000-0005-0000-0000-0000F4190000}"/>
    <cellStyle name="20% - uthevingsfarge 4 29 2 2 3 2 6" xfId="43339" xr:uid="{00000000-0005-0000-0000-0000F5190000}"/>
    <cellStyle name="20% - uthevingsfarge 4 29 2 2 3 2 7" xfId="46187" xr:uid="{00000000-0005-0000-0000-0000F6190000}"/>
    <cellStyle name="20% - uthevingsfarge 4 29 2 2 3 2 8" xfId="46959" xr:uid="{00000000-0005-0000-0000-0000F7190000}"/>
    <cellStyle name="20% - uthevingsfarge 4 29 2 2 3 2 9" xfId="47544" xr:uid="{00000000-0005-0000-0000-0000F8190000}"/>
    <cellStyle name="20% - uthevingsfarge 4 29 2 2 3 3" xfId="8351" xr:uid="{00000000-0005-0000-0000-0000F9190000}"/>
    <cellStyle name="20% - uthevingsfarge 4 29 2 2 3 3 2" xfId="23349" xr:uid="{00000000-0005-0000-0000-0000FA190000}"/>
    <cellStyle name="20% - uthevingsfarge 4 29 2 2 3 3 2 2" xfId="39410" xr:uid="{00000000-0005-0000-0000-0000FB190000}"/>
    <cellStyle name="20% - uthevingsfarge 4 29 2 2 3 3 3" xfId="29447" xr:uid="{00000000-0005-0000-0000-0000FC190000}"/>
    <cellStyle name="20% - uthevingsfarge 4 29 2 2 3 3 4" xfId="43905" xr:uid="{00000000-0005-0000-0000-0000FD190000}"/>
    <cellStyle name="20% - uthevingsfarge 4 29 2 2 3 4" xfId="16487" xr:uid="{00000000-0005-0000-0000-0000FE190000}"/>
    <cellStyle name="20% - uthevingsfarge 4 29 2 2 3 4 2" xfId="35434" xr:uid="{00000000-0005-0000-0000-0000FF190000}"/>
    <cellStyle name="20% - uthevingsfarge 4 29 2 2 3 5" xfId="25096" xr:uid="{00000000-0005-0000-0000-0000001A0000}"/>
    <cellStyle name="20% - uthevingsfarge 4 29 2 2 3 6" xfId="25270" xr:uid="{00000000-0005-0000-0000-0000011A0000}"/>
    <cellStyle name="20% - uthevingsfarge 4 29 2 2 3 7" xfId="32838" xr:uid="{00000000-0005-0000-0000-0000021A0000}"/>
    <cellStyle name="20% - uthevingsfarge 4 29 2 2 3 8" xfId="43800" xr:uid="{00000000-0005-0000-0000-0000031A0000}"/>
    <cellStyle name="20% - uthevingsfarge 4 29 2 2 3 9" xfId="46725" xr:uid="{00000000-0005-0000-0000-0000041A0000}"/>
    <cellStyle name="20% - uthevingsfarge 4 29 2 2 4" xfId="5483" xr:uid="{00000000-0005-0000-0000-0000051A0000}"/>
    <cellStyle name="20% - uthevingsfarge 4 29 2 2 4 2" xfId="8898" xr:uid="{00000000-0005-0000-0000-0000061A0000}"/>
    <cellStyle name="20% - uthevingsfarge 4 29 2 2 4 2 2" xfId="21680" xr:uid="{00000000-0005-0000-0000-0000071A0000}"/>
    <cellStyle name="20% - uthevingsfarge 4 29 2 2 4 2 2 2" xfId="37760" xr:uid="{00000000-0005-0000-0000-0000081A0000}"/>
    <cellStyle name="20% - uthevingsfarge 4 29 2 2 4 2 3" xfId="28900" xr:uid="{00000000-0005-0000-0000-0000091A0000}"/>
    <cellStyle name="20% - uthevingsfarge 4 29 2 2 4 3" xfId="10692" xr:uid="{00000000-0005-0000-0000-00000A1A0000}"/>
    <cellStyle name="20% - uthevingsfarge 4 29 2 2 4 3 2" xfId="34540" xr:uid="{00000000-0005-0000-0000-00000B1A0000}"/>
    <cellStyle name="20% - uthevingsfarge 4 29 2 2 4 4" xfId="32291" xr:uid="{00000000-0005-0000-0000-00000C1A0000}"/>
    <cellStyle name="20% - uthevingsfarge 4 29 2 2 5" xfId="7201" xr:uid="{00000000-0005-0000-0000-00000D1A0000}"/>
    <cellStyle name="20% - uthevingsfarge 4 29 2 2 5 2" xfId="20693" xr:uid="{00000000-0005-0000-0000-00000E1A0000}"/>
    <cellStyle name="20% - uthevingsfarge 4 29 2 2 5 2 2" xfId="36792" xr:uid="{00000000-0005-0000-0000-00000F1A0000}"/>
    <cellStyle name="20% - uthevingsfarge 4 29 2 2 5 3" xfId="30597" xr:uid="{00000000-0005-0000-0000-0000101A0000}"/>
    <cellStyle name="20% - uthevingsfarge 4 29 2 2 6" xfId="10934" xr:uid="{00000000-0005-0000-0000-0000111A0000}"/>
    <cellStyle name="20% - uthevingsfarge 4 29 2 2 7" xfId="33984" xr:uid="{00000000-0005-0000-0000-0000121A0000}"/>
    <cellStyle name="20% - uthevingsfarge 4 29 2 2 8" xfId="43591" xr:uid="{00000000-0005-0000-0000-0000131A0000}"/>
    <cellStyle name="20% - uthevingsfarge 4 29 2 2 9" xfId="46497" xr:uid="{00000000-0005-0000-0000-0000141A0000}"/>
    <cellStyle name="20% - uthevingsfarge 4 29 2 2_Avviksanalyse løpende RNB15 (1)" xfId="16595" xr:uid="{00000000-0005-0000-0000-0000151A0000}"/>
    <cellStyle name="20% - uthevingsfarge 4 29 2 3" xfId="3809" xr:uid="{00000000-0005-0000-0000-0000161A0000}"/>
    <cellStyle name="20% - uthevingsfarge 4 29 2 3 2" xfId="5697" xr:uid="{00000000-0005-0000-0000-0000171A0000}"/>
    <cellStyle name="20% - uthevingsfarge 4 29 2 3 2 2" xfId="9112" xr:uid="{00000000-0005-0000-0000-0000181A0000}"/>
    <cellStyle name="20% - uthevingsfarge 4 29 2 3 2 2 2" xfId="21279" xr:uid="{00000000-0005-0000-0000-0000191A0000}"/>
    <cellStyle name="20% - uthevingsfarge 4 29 2 3 2 2 2 2" xfId="37359" xr:uid="{00000000-0005-0000-0000-00001A1A0000}"/>
    <cellStyle name="20% - uthevingsfarge 4 29 2 3 2 2 3" xfId="28686" xr:uid="{00000000-0005-0000-0000-00001B1A0000}"/>
    <cellStyle name="20% - uthevingsfarge 4 29 2 3 2 3" xfId="22268" xr:uid="{00000000-0005-0000-0000-00001C1A0000}"/>
    <cellStyle name="20% - uthevingsfarge 4 29 2 3 2 3 2" xfId="38342" xr:uid="{00000000-0005-0000-0000-00001D1A0000}"/>
    <cellStyle name="20% - uthevingsfarge 4 29 2 3 2 4" xfId="32077" xr:uid="{00000000-0005-0000-0000-00001E1A0000}"/>
    <cellStyle name="20% - uthevingsfarge 4 29 2 3 3" xfId="7415" xr:uid="{00000000-0005-0000-0000-00001F1A0000}"/>
    <cellStyle name="20% - uthevingsfarge 4 29 2 3 3 2" xfId="20774" xr:uid="{00000000-0005-0000-0000-0000201A0000}"/>
    <cellStyle name="20% - uthevingsfarge 4 29 2 3 3 2 2" xfId="36873" xr:uid="{00000000-0005-0000-0000-0000211A0000}"/>
    <cellStyle name="20% - uthevingsfarge 4 29 2 3 3 3" xfId="30383" xr:uid="{00000000-0005-0000-0000-0000221A0000}"/>
    <cellStyle name="20% - uthevingsfarge 4 29 2 3 4" xfId="12558" xr:uid="{00000000-0005-0000-0000-0000231A0000}"/>
    <cellStyle name="20% - uthevingsfarge 4 29 2 3 4 2" xfId="35277" xr:uid="{00000000-0005-0000-0000-0000241A0000}"/>
    <cellStyle name="20% - uthevingsfarge 4 29 2 3 5" xfId="33770" xr:uid="{00000000-0005-0000-0000-0000251A0000}"/>
    <cellStyle name="20% - uthevingsfarge 4 29 2 4" xfId="4294" xr:uid="{00000000-0005-0000-0000-0000261A0000}"/>
    <cellStyle name="20% - uthevingsfarge 4 29 2 4 2" xfId="6123" xr:uid="{00000000-0005-0000-0000-0000271A0000}"/>
    <cellStyle name="20% - uthevingsfarge 4 29 2 4 2 2" xfId="9537" xr:uid="{00000000-0005-0000-0000-0000281A0000}"/>
    <cellStyle name="20% - uthevingsfarge 4 29 2 4 2 2 2" xfId="11659" xr:uid="{00000000-0005-0000-0000-0000291A0000}"/>
    <cellStyle name="20% - uthevingsfarge 4 29 2 4 2 2 2 2" xfId="34826" xr:uid="{00000000-0005-0000-0000-00002A1A0000}"/>
    <cellStyle name="20% - uthevingsfarge 4 29 2 4 2 2 3" xfId="28261" xr:uid="{00000000-0005-0000-0000-00002B1A0000}"/>
    <cellStyle name="20% - uthevingsfarge 4 29 2 4 2 3" xfId="22978" xr:uid="{00000000-0005-0000-0000-00002C1A0000}"/>
    <cellStyle name="20% - uthevingsfarge 4 29 2 4 2 3 2" xfId="39047" xr:uid="{00000000-0005-0000-0000-00002D1A0000}"/>
    <cellStyle name="20% - uthevingsfarge 4 29 2 4 2 4" xfId="31656" xr:uid="{00000000-0005-0000-0000-00002E1A0000}"/>
    <cellStyle name="20% - uthevingsfarge 4 29 2 4 3" xfId="7856" xr:uid="{00000000-0005-0000-0000-00002F1A0000}"/>
    <cellStyle name="20% - uthevingsfarge 4 29 2 4 3 2" xfId="23280" xr:uid="{00000000-0005-0000-0000-0000301A0000}"/>
    <cellStyle name="20% - uthevingsfarge 4 29 2 4 3 2 2" xfId="39348" xr:uid="{00000000-0005-0000-0000-0000311A0000}"/>
    <cellStyle name="20% - uthevingsfarge 4 29 2 4 3 3" xfId="29943" xr:uid="{00000000-0005-0000-0000-0000321A0000}"/>
    <cellStyle name="20% - uthevingsfarge 4 29 2 4 4" xfId="19626" xr:uid="{00000000-0005-0000-0000-0000331A0000}"/>
    <cellStyle name="20% - uthevingsfarge 4 29 2 4 4 2" xfId="35740" xr:uid="{00000000-0005-0000-0000-0000341A0000}"/>
    <cellStyle name="20% - uthevingsfarge 4 29 2 4 5" xfId="33331" xr:uid="{00000000-0005-0000-0000-0000351A0000}"/>
    <cellStyle name="20% - uthevingsfarge 4 29 2 5" xfId="4749" xr:uid="{00000000-0005-0000-0000-0000361A0000}"/>
    <cellStyle name="20% - uthevingsfarge 4 29 2 5 2" xfId="6469" xr:uid="{00000000-0005-0000-0000-0000371A0000}"/>
    <cellStyle name="20% - uthevingsfarge 4 29 2 5 2 2" xfId="9875" xr:uid="{00000000-0005-0000-0000-0000381A0000}"/>
    <cellStyle name="20% - uthevingsfarge 4 29 2 5 2 2 2" xfId="21517" xr:uid="{00000000-0005-0000-0000-0000391A0000}"/>
    <cellStyle name="20% - uthevingsfarge 4 29 2 5 2 2 2 2" xfId="37597" xr:uid="{00000000-0005-0000-0000-00003A1A0000}"/>
    <cellStyle name="20% - uthevingsfarge 4 29 2 5 2 2 3" xfId="27924" xr:uid="{00000000-0005-0000-0000-00003B1A0000}"/>
    <cellStyle name="20% - uthevingsfarge 4 29 2 5 2 3" xfId="20462" xr:uid="{00000000-0005-0000-0000-00003C1A0000}"/>
    <cellStyle name="20% - uthevingsfarge 4 29 2 5 2 3 2" xfId="36561" xr:uid="{00000000-0005-0000-0000-00003D1A0000}"/>
    <cellStyle name="20% - uthevingsfarge 4 29 2 5 2 4" xfId="31325" xr:uid="{00000000-0005-0000-0000-00003E1A0000}"/>
    <cellStyle name="20% - uthevingsfarge 4 29 2 5 3" xfId="8171" xr:uid="{00000000-0005-0000-0000-00003F1A0000}"/>
    <cellStyle name="20% - uthevingsfarge 4 29 2 5 3 2" xfId="19886" xr:uid="{00000000-0005-0000-0000-0000401A0000}"/>
    <cellStyle name="20% - uthevingsfarge 4 29 2 5 3 2 2" xfId="35999" xr:uid="{00000000-0005-0000-0000-0000411A0000}"/>
    <cellStyle name="20% - uthevingsfarge 4 29 2 5 3 3" xfId="29626" xr:uid="{00000000-0005-0000-0000-0000421A0000}"/>
    <cellStyle name="20% - uthevingsfarge 4 29 2 5 4" xfId="23710" xr:uid="{00000000-0005-0000-0000-0000431A0000}"/>
    <cellStyle name="20% - uthevingsfarge 4 29 2 5 4 2" xfId="39766" xr:uid="{00000000-0005-0000-0000-0000441A0000}"/>
    <cellStyle name="20% - uthevingsfarge 4 29 2 5 5" xfId="33018" xr:uid="{00000000-0005-0000-0000-0000451A0000}"/>
    <cellStyle name="20% - uthevingsfarge 4 29 2 6" xfId="5109" xr:uid="{00000000-0005-0000-0000-0000461A0000}"/>
    <cellStyle name="20% - uthevingsfarge 4 29 2 6 2" xfId="6828" xr:uid="{00000000-0005-0000-0000-0000471A0000}"/>
    <cellStyle name="20% - uthevingsfarge 4 29 2 6 2 2" xfId="10234" xr:uid="{00000000-0005-0000-0000-0000481A0000}"/>
    <cellStyle name="20% - uthevingsfarge 4 29 2 6 2 2 2" xfId="24677" xr:uid="{00000000-0005-0000-0000-0000491A0000}"/>
    <cellStyle name="20% - uthevingsfarge 4 29 2 6 2 2 2 2" xfId="40720" xr:uid="{00000000-0005-0000-0000-00004A1A0000}"/>
    <cellStyle name="20% - uthevingsfarge 4 29 2 6 2 2 3" xfId="27565" xr:uid="{00000000-0005-0000-0000-00004B1A0000}"/>
    <cellStyle name="20% - uthevingsfarge 4 29 2 6 2 3" xfId="20575" xr:uid="{00000000-0005-0000-0000-00004C1A0000}"/>
    <cellStyle name="20% - uthevingsfarge 4 29 2 6 2 3 2" xfId="36674" xr:uid="{00000000-0005-0000-0000-00004D1A0000}"/>
    <cellStyle name="20% - uthevingsfarge 4 29 2 6 2 4" xfId="30966" xr:uid="{00000000-0005-0000-0000-00004E1A0000}"/>
    <cellStyle name="20% - uthevingsfarge 4 29 2 6 3" xfId="8531" xr:uid="{00000000-0005-0000-0000-00004F1A0000}"/>
    <cellStyle name="20% - uthevingsfarge 4 29 2 6 3 2" xfId="21121" xr:uid="{00000000-0005-0000-0000-0000501A0000}"/>
    <cellStyle name="20% - uthevingsfarge 4 29 2 6 3 2 2" xfId="37202" xr:uid="{00000000-0005-0000-0000-0000511A0000}"/>
    <cellStyle name="20% - uthevingsfarge 4 29 2 6 3 3" xfId="29267" xr:uid="{00000000-0005-0000-0000-0000521A0000}"/>
    <cellStyle name="20% - uthevingsfarge 4 29 2 6 4" xfId="23846" xr:uid="{00000000-0005-0000-0000-0000531A0000}"/>
    <cellStyle name="20% - uthevingsfarge 4 29 2 6 4 2" xfId="39902" xr:uid="{00000000-0005-0000-0000-0000541A0000}"/>
    <cellStyle name="20% - uthevingsfarge 4 29 2 6 5" xfId="32658" xr:uid="{00000000-0005-0000-0000-0000551A0000}"/>
    <cellStyle name="20% - uthevingsfarge 4 29 2 7" xfId="5288" xr:uid="{00000000-0005-0000-0000-0000561A0000}"/>
    <cellStyle name="20% - uthevingsfarge 4 29 2 7 2" xfId="8703" xr:uid="{00000000-0005-0000-0000-0000571A0000}"/>
    <cellStyle name="20% - uthevingsfarge 4 29 2 7 2 2" xfId="10494" xr:uid="{00000000-0005-0000-0000-0000581A0000}"/>
    <cellStyle name="20% - uthevingsfarge 4 29 2 7 2 2 2" xfId="34392" xr:uid="{00000000-0005-0000-0000-0000591A0000}"/>
    <cellStyle name="20% - uthevingsfarge 4 29 2 7 2 3" xfId="29095" xr:uid="{00000000-0005-0000-0000-00005A1A0000}"/>
    <cellStyle name="20% - uthevingsfarge 4 29 2 7 3" xfId="22068" xr:uid="{00000000-0005-0000-0000-00005B1A0000}"/>
    <cellStyle name="20% - uthevingsfarge 4 29 2 7 3 2" xfId="38142" xr:uid="{00000000-0005-0000-0000-00005C1A0000}"/>
    <cellStyle name="20% - uthevingsfarge 4 29 2 7 4" xfId="32486" xr:uid="{00000000-0005-0000-0000-00005D1A0000}"/>
    <cellStyle name="20% - uthevingsfarge 4 29 2 8" xfId="7021" xr:uid="{00000000-0005-0000-0000-00005E1A0000}"/>
    <cellStyle name="20% - uthevingsfarge 4 29 2 8 2" xfId="23132" xr:uid="{00000000-0005-0000-0000-00005F1A0000}"/>
    <cellStyle name="20% - uthevingsfarge 4 29 2 8 2 2" xfId="39201" xr:uid="{00000000-0005-0000-0000-0000601A0000}"/>
    <cellStyle name="20% - uthevingsfarge 4 29 2 8 3" xfId="30777" xr:uid="{00000000-0005-0000-0000-0000611A0000}"/>
    <cellStyle name="20% - uthevingsfarge 4 29 2 9" xfId="10933" xr:uid="{00000000-0005-0000-0000-0000621A0000}"/>
    <cellStyle name="20% - uthevingsfarge 4 29 3" xfId="3474" xr:uid="{00000000-0005-0000-0000-0000631A0000}"/>
    <cellStyle name="20% - uthevingsfarge 4 29 3 10" xfId="47090" xr:uid="{00000000-0005-0000-0000-0000641A0000}"/>
    <cellStyle name="20% - uthevingsfarge 4 29 3 2" xfId="3910" xr:uid="{00000000-0005-0000-0000-0000651A0000}"/>
    <cellStyle name="20% - uthevingsfarge 4 29 3 2 2" xfId="5798" xr:uid="{00000000-0005-0000-0000-0000661A0000}"/>
    <cellStyle name="20% - uthevingsfarge 4 29 3 2 2 2" xfId="9213" xr:uid="{00000000-0005-0000-0000-0000671A0000}"/>
    <cellStyle name="20% - uthevingsfarge 4 29 3 2 2 2 2" xfId="23475" xr:uid="{00000000-0005-0000-0000-0000681A0000}"/>
    <cellStyle name="20% - uthevingsfarge 4 29 3 2 2 2 2 2" xfId="39531" xr:uid="{00000000-0005-0000-0000-0000691A0000}"/>
    <cellStyle name="20% - uthevingsfarge 4 29 3 2 2 2 3" xfId="28585" xr:uid="{00000000-0005-0000-0000-00006A1A0000}"/>
    <cellStyle name="20% - uthevingsfarge 4 29 3 2 2 3" xfId="23920" xr:uid="{00000000-0005-0000-0000-00006B1A0000}"/>
    <cellStyle name="20% - uthevingsfarge 4 29 3 2 2 3 2" xfId="39974" xr:uid="{00000000-0005-0000-0000-00006C1A0000}"/>
    <cellStyle name="20% - uthevingsfarge 4 29 3 2 2 4" xfId="31976" xr:uid="{00000000-0005-0000-0000-00006D1A0000}"/>
    <cellStyle name="20% - uthevingsfarge 4 29 3 2 3" xfId="7516" xr:uid="{00000000-0005-0000-0000-00006E1A0000}"/>
    <cellStyle name="20% - uthevingsfarge 4 29 3 2 3 2" xfId="23688" xr:uid="{00000000-0005-0000-0000-00006F1A0000}"/>
    <cellStyle name="20% - uthevingsfarge 4 29 3 2 3 2 2" xfId="39744" xr:uid="{00000000-0005-0000-0000-0000701A0000}"/>
    <cellStyle name="20% - uthevingsfarge 4 29 3 2 3 3" xfId="30282" xr:uid="{00000000-0005-0000-0000-0000711A0000}"/>
    <cellStyle name="20% - uthevingsfarge 4 29 3 2 4" xfId="17980" xr:uid="{00000000-0005-0000-0000-0000721A0000}"/>
    <cellStyle name="20% - uthevingsfarge 4 29 3 2 5" xfId="19946" xr:uid="{00000000-0005-0000-0000-0000731A0000}"/>
    <cellStyle name="20% - uthevingsfarge 4 29 3 2 5 2" xfId="36050" xr:uid="{00000000-0005-0000-0000-0000741A0000}"/>
    <cellStyle name="20% - uthevingsfarge 4 29 3 2 6" xfId="33669" xr:uid="{00000000-0005-0000-0000-0000751A0000}"/>
    <cellStyle name="20% - uthevingsfarge 4 29 3 3" xfId="4850" xr:uid="{00000000-0005-0000-0000-0000761A0000}"/>
    <cellStyle name="20% - uthevingsfarge 4 29 3 3 10" xfId="47280" xr:uid="{00000000-0005-0000-0000-0000771A0000}"/>
    <cellStyle name="20% - uthevingsfarge 4 29 3 3 2" xfId="6569" xr:uid="{00000000-0005-0000-0000-0000781A0000}"/>
    <cellStyle name="20% - uthevingsfarge 4 29 3 3 2 2" xfId="9975" xr:uid="{00000000-0005-0000-0000-0000791A0000}"/>
    <cellStyle name="20% - uthevingsfarge 4 29 3 3 2 2 2" xfId="24599" xr:uid="{00000000-0005-0000-0000-00007A1A0000}"/>
    <cellStyle name="20% - uthevingsfarge 4 29 3 3 2 2 2 2" xfId="40643" xr:uid="{00000000-0005-0000-0000-00007B1A0000}"/>
    <cellStyle name="20% - uthevingsfarge 4 29 3 3 2 2 3" xfId="27824" xr:uid="{00000000-0005-0000-0000-00007C1A0000}"/>
    <cellStyle name="20% - uthevingsfarge 4 29 3 3 2 3" xfId="23064" xr:uid="{00000000-0005-0000-0000-00007D1A0000}"/>
    <cellStyle name="20% - uthevingsfarge 4 29 3 3 2 3 2" xfId="39133" xr:uid="{00000000-0005-0000-0000-00007E1A0000}"/>
    <cellStyle name="20% - uthevingsfarge 4 29 3 3 2 4" xfId="31225" xr:uid="{00000000-0005-0000-0000-00007F1A0000}"/>
    <cellStyle name="20% - uthevingsfarge 4 29 3 3 2 5" xfId="42835" xr:uid="{00000000-0005-0000-0000-0000801A0000}"/>
    <cellStyle name="20% - uthevingsfarge 4 29 3 3 2 6" xfId="43273" xr:uid="{00000000-0005-0000-0000-0000811A0000}"/>
    <cellStyle name="20% - uthevingsfarge 4 29 3 3 2 7" xfId="46121" xr:uid="{00000000-0005-0000-0000-0000821A0000}"/>
    <cellStyle name="20% - uthevingsfarge 4 29 3 3 2 8" xfId="46890" xr:uid="{00000000-0005-0000-0000-0000831A0000}"/>
    <cellStyle name="20% - uthevingsfarge 4 29 3 3 2 9" xfId="47476" xr:uid="{00000000-0005-0000-0000-0000841A0000}"/>
    <cellStyle name="20% - uthevingsfarge 4 29 3 3 3" xfId="8272" xr:uid="{00000000-0005-0000-0000-0000851A0000}"/>
    <cellStyle name="20% - uthevingsfarge 4 29 3 3 3 2" xfId="10587" xr:uid="{00000000-0005-0000-0000-0000861A0000}"/>
    <cellStyle name="20% - uthevingsfarge 4 29 3 3 3 2 2" xfId="34438" xr:uid="{00000000-0005-0000-0000-0000871A0000}"/>
    <cellStyle name="20% - uthevingsfarge 4 29 3 3 3 3" xfId="29525" xr:uid="{00000000-0005-0000-0000-0000881A0000}"/>
    <cellStyle name="20% - uthevingsfarge 4 29 3 3 3 4" xfId="43906" xr:uid="{00000000-0005-0000-0000-0000891A0000}"/>
    <cellStyle name="20% - uthevingsfarge 4 29 3 3 4" xfId="16280" xr:uid="{00000000-0005-0000-0000-00008A1A0000}"/>
    <cellStyle name="20% - uthevingsfarge 4 29 3 3 4 2" xfId="35368" xr:uid="{00000000-0005-0000-0000-00008B1A0000}"/>
    <cellStyle name="20% - uthevingsfarge 4 29 3 3 5" xfId="25027" xr:uid="{00000000-0005-0000-0000-00008C1A0000}"/>
    <cellStyle name="20% - uthevingsfarge 4 29 3 3 6" xfId="25271" xr:uid="{00000000-0005-0000-0000-00008D1A0000}"/>
    <cellStyle name="20% - uthevingsfarge 4 29 3 3 7" xfId="32917" xr:uid="{00000000-0005-0000-0000-00008E1A0000}"/>
    <cellStyle name="20% - uthevingsfarge 4 29 3 3 8" xfId="43733" xr:uid="{00000000-0005-0000-0000-00008F1A0000}"/>
    <cellStyle name="20% - uthevingsfarge 4 29 3 3 9" xfId="46659" xr:uid="{00000000-0005-0000-0000-0000901A0000}"/>
    <cellStyle name="20% - uthevingsfarge 4 29 3 4" xfId="5410" xr:uid="{00000000-0005-0000-0000-0000911A0000}"/>
    <cellStyle name="20% - uthevingsfarge 4 29 3 4 2" xfId="8825" xr:uid="{00000000-0005-0000-0000-0000921A0000}"/>
    <cellStyle name="20% - uthevingsfarge 4 29 3 4 2 2" xfId="24417" xr:uid="{00000000-0005-0000-0000-0000931A0000}"/>
    <cellStyle name="20% - uthevingsfarge 4 29 3 4 2 2 2" xfId="40461" xr:uid="{00000000-0005-0000-0000-0000941A0000}"/>
    <cellStyle name="20% - uthevingsfarge 4 29 3 4 2 3" xfId="28973" xr:uid="{00000000-0005-0000-0000-0000951A0000}"/>
    <cellStyle name="20% - uthevingsfarge 4 29 3 4 3" xfId="20088" xr:uid="{00000000-0005-0000-0000-0000961A0000}"/>
    <cellStyle name="20% - uthevingsfarge 4 29 3 4 3 2" xfId="36192" xr:uid="{00000000-0005-0000-0000-0000971A0000}"/>
    <cellStyle name="20% - uthevingsfarge 4 29 3 4 4" xfId="32364" xr:uid="{00000000-0005-0000-0000-0000981A0000}"/>
    <cellStyle name="20% - uthevingsfarge 4 29 3 5" xfId="7122" xr:uid="{00000000-0005-0000-0000-0000991A0000}"/>
    <cellStyle name="20% - uthevingsfarge 4 29 3 5 2" xfId="22172" xr:uid="{00000000-0005-0000-0000-00009A1A0000}"/>
    <cellStyle name="20% - uthevingsfarge 4 29 3 5 2 2" xfId="38246" xr:uid="{00000000-0005-0000-0000-00009B1A0000}"/>
    <cellStyle name="20% - uthevingsfarge 4 29 3 5 3" xfId="30676" xr:uid="{00000000-0005-0000-0000-00009C1A0000}"/>
    <cellStyle name="20% - uthevingsfarge 4 29 3 6" xfId="10935" xr:uid="{00000000-0005-0000-0000-00009D1A0000}"/>
    <cellStyle name="20% - uthevingsfarge 4 29 3 7" xfId="34063" xr:uid="{00000000-0005-0000-0000-00009E1A0000}"/>
    <cellStyle name="20% - uthevingsfarge 4 29 3 8" xfId="43525" xr:uid="{00000000-0005-0000-0000-00009F1A0000}"/>
    <cellStyle name="20% - uthevingsfarge 4 29 3 9" xfId="46429" xr:uid="{00000000-0005-0000-0000-0000A01A0000}"/>
    <cellStyle name="20% - uthevingsfarge 4 29 3_Avviksanalyse løpende RNB15 (1)" xfId="16596" xr:uid="{00000000-0005-0000-0000-0000A11A0000}"/>
    <cellStyle name="20% - uthevingsfarge 4 29 4" xfId="3731" xr:uid="{00000000-0005-0000-0000-0000A21A0000}"/>
    <cellStyle name="20% - uthevingsfarge 4 29 4 2" xfId="5619" xr:uid="{00000000-0005-0000-0000-0000A31A0000}"/>
    <cellStyle name="20% - uthevingsfarge 4 29 4 2 2" xfId="9034" xr:uid="{00000000-0005-0000-0000-0000A41A0000}"/>
    <cellStyle name="20% - uthevingsfarge 4 29 4 2 2 2" xfId="23446" xr:uid="{00000000-0005-0000-0000-0000A51A0000}"/>
    <cellStyle name="20% - uthevingsfarge 4 29 4 2 2 2 2" xfId="39502" xr:uid="{00000000-0005-0000-0000-0000A61A0000}"/>
    <cellStyle name="20% - uthevingsfarge 4 29 4 2 2 3" xfId="28764" xr:uid="{00000000-0005-0000-0000-0000A71A0000}"/>
    <cellStyle name="20% - uthevingsfarge 4 29 4 2 3" xfId="11989" xr:uid="{00000000-0005-0000-0000-0000A81A0000}"/>
    <cellStyle name="20% - uthevingsfarge 4 29 4 2 3 2" xfId="35011" xr:uid="{00000000-0005-0000-0000-0000A91A0000}"/>
    <cellStyle name="20% - uthevingsfarge 4 29 4 2 4" xfId="32155" xr:uid="{00000000-0005-0000-0000-0000AA1A0000}"/>
    <cellStyle name="20% - uthevingsfarge 4 29 4 3" xfId="7337" xr:uid="{00000000-0005-0000-0000-0000AB1A0000}"/>
    <cellStyle name="20% - uthevingsfarge 4 29 4 3 2" xfId="20745" xr:uid="{00000000-0005-0000-0000-0000AC1A0000}"/>
    <cellStyle name="20% - uthevingsfarge 4 29 4 3 2 2" xfId="36844" xr:uid="{00000000-0005-0000-0000-0000AD1A0000}"/>
    <cellStyle name="20% - uthevingsfarge 4 29 4 3 3" xfId="30461" xr:uid="{00000000-0005-0000-0000-0000AE1A0000}"/>
    <cellStyle name="20% - uthevingsfarge 4 29 4 4" xfId="22520" xr:uid="{00000000-0005-0000-0000-0000AF1A0000}"/>
    <cellStyle name="20% - uthevingsfarge 4 29 4 4 2" xfId="38590" xr:uid="{00000000-0005-0000-0000-0000B01A0000}"/>
    <cellStyle name="20% - uthevingsfarge 4 29 4 5" xfId="33848" xr:uid="{00000000-0005-0000-0000-0000B11A0000}"/>
    <cellStyle name="20% - uthevingsfarge 4 29 5" xfId="4240" xr:uid="{00000000-0005-0000-0000-0000B21A0000}"/>
    <cellStyle name="20% - uthevingsfarge 4 29 5 2" xfId="6072" xr:uid="{00000000-0005-0000-0000-0000B31A0000}"/>
    <cellStyle name="20% - uthevingsfarge 4 29 5 2 2" xfId="9487" xr:uid="{00000000-0005-0000-0000-0000B41A0000}"/>
    <cellStyle name="20% - uthevingsfarge 4 29 5 2 2 2" xfId="23516" xr:uid="{00000000-0005-0000-0000-0000B51A0000}"/>
    <cellStyle name="20% - uthevingsfarge 4 29 5 2 2 2 2" xfId="39572" xr:uid="{00000000-0005-0000-0000-0000B61A0000}"/>
    <cellStyle name="20% - uthevingsfarge 4 29 5 2 2 3" xfId="28311" xr:uid="{00000000-0005-0000-0000-0000B71A0000}"/>
    <cellStyle name="20% - uthevingsfarge 4 29 5 2 3" xfId="20311" xr:uid="{00000000-0005-0000-0000-0000B81A0000}"/>
    <cellStyle name="20% - uthevingsfarge 4 29 5 2 3 2" xfId="36410" xr:uid="{00000000-0005-0000-0000-0000B91A0000}"/>
    <cellStyle name="20% - uthevingsfarge 4 29 5 2 4" xfId="31706" xr:uid="{00000000-0005-0000-0000-0000BA1A0000}"/>
    <cellStyle name="20% - uthevingsfarge 4 29 5 3" xfId="7806" xr:uid="{00000000-0005-0000-0000-0000BB1A0000}"/>
    <cellStyle name="20% - uthevingsfarge 4 29 5 3 2" xfId="20909" xr:uid="{00000000-0005-0000-0000-0000BC1A0000}"/>
    <cellStyle name="20% - uthevingsfarge 4 29 5 3 2 2" xfId="37008" xr:uid="{00000000-0005-0000-0000-0000BD1A0000}"/>
    <cellStyle name="20% - uthevingsfarge 4 29 5 3 3" xfId="29993" xr:uid="{00000000-0005-0000-0000-0000BE1A0000}"/>
    <cellStyle name="20% - uthevingsfarge 4 29 5 4" xfId="10988" xr:uid="{00000000-0005-0000-0000-0000BF1A0000}"/>
    <cellStyle name="20% - uthevingsfarge 4 29 5 4 2" xfId="34722" xr:uid="{00000000-0005-0000-0000-0000C01A0000}"/>
    <cellStyle name="20% - uthevingsfarge 4 29 5 5" xfId="33381" xr:uid="{00000000-0005-0000-0000-0000C11A0000}"/>
    <cellStyle name="20% - uthevingsfarge 4 29 6" xfId="4666" xr:uid="{00000000-0005-0000-0000-0000C21A0000}"/>
    <cellStyle name="20% - uthevingsfarge 4 29 6 2" xfId="6386" xr:uid="{00000000-0005-0000-0000-0000C31A0000}"/>
    <cellStyle name="20% - uthevingsfarge 4 29 6 2 2" xfId="9796" xr:uid="{00000000-0005-0000-0000-0000C41A0000}"/>
    <cellStyle name="20% - uthevingsfarge 4 29 6 2 2 2" xfId="23559" xr:uid="{00000000-0005-0000-0000-0000C51A0000}"/>
    <cellStyle name="20% - uthevingsfarge 4 29 6 2 2 2 2" xfId="39615" xr:uid="{00000000-0005-0000-0000-0000C61A0000}"/>
    <cellStyle name="20% - uthevingsfarge 4 29 6 2 2 3" xfId="28003" xr:uid="{00000000-0005-0000-0000-0000C71A0000}"/>
    <cellStyle name="20% - uthevingsfarge 4 29 6 2 3" xfId="20431" xr:uid="{00000000-0005-0000-0000-0000C81A0000}"/>
    <cellStyle name="20% - uthevingsfarge 4 29 6 2 3 2" xfId="36530" xr:uid="{00000000-0005-0000-0000-0000C91A0000}"/>
    <cellStyle name="20% - uthevingsfarge 4 29 6 2 4" xfId="31404" xr:uid="{00000000-0005-0000-0000-0000CA1A0000}"/>
    <cellStyle name="20% - uthevingsfarge 4 29 6 3" xfId="8092" xr:uid="{00000000-0005-0000-0000-0000CB1A0000}"/>
    <cellStyle name="20% - uthevingsfarge 4 29 6 3 2" xfId="19892" xr:uid="{00000000-0005-0000-0000-0000CC1A0000}"/>
    <cellStyle name="20% - uthevingsfarge 4 29 6 3 2 2" xfId="36005" xr:uid="{00000000-0005-0000-0000-0000CD1A0000}"/>
    <cellStyle name="20% - uthevingsfarge 4 29 6 3 3" xfId="29706" xr:uid="{00000000-0005-0000-0000-0000CE1A0000}"/>
    <cellStyle name="20% - uthevingsfarge 4 29 6 4" xfId="20031" xr:uid="{00000000-0005-0000-0000-0000CF1A0000}"/>
    <cellStyle name="20% - uthevingsfarge 4 29 6 4 2" xfId="36135" xr:uid="{00000000-0005-0000-0000-0000D01A0000}"/>
    <cellStyle name="20% - uthevingsfarge 4 29 6 5" xfId="33097" xr:uid="{00000000-0005-0000-0000-0000D11A0000}"/>
    <cellStyle name="20% - uthevingsfarge 4 29 7" xfId="5030" xr:uid="{00000000-0005-0000-0000-0000D21A0000}"/>
    <cellStyle name="20% - uthevingsfarge 4 29 7 2" xfId="6749" xr:uid="{00000000-0005-0000-0000-0000D31A0000}"/>
    <cellStyle name="20% - uthevingsfarge 4 29 7 2 2" xfId="10155" xr:uid="{00000000-0005-0000-0000-0000D41A0000}"/>
    <cellStyle name="20% - uthevingsfarge 4 29 7 2 2 2" xfId="24635" xr:uid="{00000000-0005-0000-0000-0000D51A0000}"/>
    <cellStyle name="20% - uthevingsfarge 4 29 7 2 2 2 2" xfId="40679" xr:uid="{00000000-0005-0000-0000-0000D61A0000}"/>
    <cellStyle name="20% - uthevingsfarge 4 29 7 2 2 3" xfId="27644" xr:uid="{00000000-0005-0000-0000-0000D71A0000}"/>
    <cellStyle name="20% - uthevingsfarge 4 29 7 2 3" xfId="10343" xr:uid="{00000000-0005-0000-0000-0000D81A0000}"/>
    <cellStyle name="20% - uthevingsfarge 4 29 7 2 3 2" xfId="34318" xr:uid="{00000000-0005-0000-0000-0000D91A0000}"/>
    <cellStyle name="20% - uthevingsfarge 4 29 7 2 4" xfId="31045" xr:uid="{00000000-0005-0000-0000-0000DA1A0000}"/>
    <cellStyle name="20% - uthevingsfarge 4 29 7 3" xfId="8452" xr:uid="{00000000-0005-0000-0000-0000DB1A0000}"/>
    <cellStyle name="20% - uthevingsfarge 4 29 7 3 2" xfId="19497" xr:uid="{00000000-0005-0000-0000-0000DC1A0000}"/>
    <cellStyle name="20% - uthevingsfarge 4 29 7 3 2 2" xfId="35611" xr:uid="{00000000-0005-0000-0000-0000DD1A0000}"/>
    <cellStyle name="20% - uthevingsfarge 4 29 7 3 3" xfId="29346" xr:uid="{00000000-0005-0000-0000-0000DE1A0000}"/>
    <cellStyle name="20% - uthevingsfarge 4 29 7 4" xfId="20053" xr:uid="{00000000-0005-0000-0000-0000DF1A0000}"/>
    <cellStyle name="20% - uthevingsfarge 4 29 7 4 2" xfId="36157" xr:uid="{00000000-0005-0000-0000-0000E01A0000}"/>
    <cellStyle name="20% - uthevingsfarge 4 29 7 5" xfId="32737" xr:uid="{00000000-0005-0000-0000-0000E11A0000}"/>
    <cellStyle name="20% - uthevingsfarge 4 29 8" xfId="5240" xr:uid="{00000000-0005-0000-0000-0000E21A0000}"/>
    <cellStyle name="20% - uthevingsfarge 4 29 8 2" xfId="8655" xr:uid="{00000000-0005-0000-0000-0000E31A0000}"/>
    <cellStyle name="20% - uthevingsfarge 4 29 8 2 2" xfId="21886" xr:uid="{00000000-0005-0000-0000-0000E41A0000}"/>
    <cellStyle name="20% - uthevingsfarge 4 29 8 2 2 2" xfId="37961" xr:uid="{00000000-0005-0000-0000-0000E51A0000}"/>
    <cellStyle name="20% - uthevingsfarge 4 29 8 2 3" xfId="29143" xr:uid="{00000000-0005-0000-0000-0000E61A0000}"/>
    <cellStyle name="20% - uthevingsfarge 4 29 8 3" xfId="20070" xr:uid="{00000000-0005-0000-0000-0000E71A0000}"/>
    <cellStyle name="20% - uthevingsfarge 4 29 8 3 2" xfId="36174" xr:uid="{00000000-0005-0000-0000-0000E81A0000}"/>
    <cellStyle name="20% - uthevingsfarge 4 29 8 4" xfId="32534" xr:uid="{00000000-0005-0000-0000-0000E91A0000}"/>
    <cellStyle name="20% - uthevingsfarge 4 29 9" xfId="6916" xr:uid="{00000000-0005-0000-0000-0000EA1A0000}"/>
    <cellStyle name="20% - uthevingsfarge 4 29 9 2" xfId="11951" xr:uid="{00000000-0005-0000-0000-0000EB1A0000}"/>
    <cellStyle name="20% - uthevingsfarge 4 29 9 2 2" xfId="34973" xr:uid="{00000000-0005-0000-0000-0000EC1A0000}"/>
    <cellStyle name="20% - uthevingsfarge 4 29 9 3" xfId="30882" xr:uid="{00000000-0005-0000-0000-0000ED1A0000}"/>
    <cellStyle name="20% - uthevingsfarge 4 3" xfId="464" xr:uid="{00000000-0005-0000-0000-0000EE1A0000}"/>
    <cellStyle name="20% - uthevingsfarge 4 3 2" xfId="465" xr:uid="{00000000-0005-0000-0000-0000EF1A0000}"/>
    <cellStyle name="20% - uthevingsfarge 4 30" xfId="466" xr:uid="{00000000-0005-0000-0000-0000F01A0000}"/>
    <cellStyle name="20% - uthevingsfarge 4 30 10" xfId="10936" xr:uid="{00000000-0005-0000-0000-0000F11A0000}"/>
    <cellStyle name="20% - uthevingsfarge 4 30 11" xfId="34269" xr:uid="{00000000-0005-0000-0000-0000F21A0000}"/>
    <cellStyle name="20% - uthevingsfarge 4 30 2" xfId="3328" xr:uid="{00000000-0005-0000-0000-0000F31A0000}"/>
    <cellStyle name="20% - uthevingsfarge 4 30 2 10" xfId="34163" xr:uid="{00000000-0005-0000-0000-0000F41A0000}"/>
    <cellStyle name="20% - uthevingsfarge 4 30 2 2" xfId="3560" xr:uid="{00000000-0005-0000-0000-0000F51A0000}"/>
    <cellStyle name="20% - uthevingsfarge 4 30 2 2 10" xfId="47159" xr:uid="{00000000-0005-0000-0000-0000F61A0000}"/>
    <cellStyle name="20% - uthevingsfarge 4 30 2 2 2" xfId="3990" xr:uid="{00000000-0005-0000-0000-0000F71A0000}"/>
    <cellStyle name="20% - uthevingsfarge 4 30 2 2 2 2" xfId="5878" xr:uid="{00000000-0005-0000-0000-0000F81A0000}"/>
    <cellStyle name="20% - uthevingsfarge 4 30 2 2 2 2 2" xfId="9293" xr:uid="{00000000-0005-0000-0000-0000F91A0000}"/>
    <cellStyle name="20% - uthevingsfarge 4 30 2 2 2 2 2 2" xfId="19522" xr:uid="{00000000-0005-0000-0000-0000FA1A0000}"/>
    <cellStyle name="20% - uthevingsfarge 4 30 2 2 2 2 2 2 2" xfId="35636" xr:uid="{00000000-0005-0000-0000-0000FB1A0000}"/>
    <cellStyle name="20% - uthevingsfarge 4 30 2 2 2 2 2 3" xfId="28505" xr:uid="{00000000-0005-0000-0000-0000FC1A0000}"/>
    <cellStyle name="20% - uthevingsfarge 4 30 2 2 2 2 3" xfId="20234" xr:uid="{00000000-0005-0000-0000-0000FD1A0000}"/>
    <cellStyle name="20% - uthevingsfarge 4 30 2 2 2 2 3 2" xfId="36333" xr:uid="{00000000-0005-0000-0000-0000FE1A0000}"/>
    <cellStyle name="20% - uthevingsfarge 4 30 2 2 2 2 4" xfId="31897" xr:uid="{00000000-0005-0000-0000-0000FF1A0000}"/>
    <cellStyle name="20% - uthevingsfarge 4 30 2 2 2 3" xfId="7596" xr:uid="{00000000-0005-0000-0000-0000001B0000}"/>
    <cellStyle name="20% - uthevingsfarge 4 30 2 2 2 3 2" xfId="23230" xr:uid="{00000000-0005-0000-0000-0000011B0000}"/>
    <cellStyle name="20% - uthevingsfarge 4 30 2 2 2 3 2 2" xfId="39299" xr:uid="{00000000-0005-0000-0000-0000021B0000}"/>
    <cellStyle name="20% - uthevingsfarge 4 30 2 2 2 3 3" xfId="30202" xr:uid="{00000000-0005-0000-0000-0000031B0000}"/>
    <cellStyle name="20% - uthevingsfarge 4 30 2 2 2 4" xfId="17981" xr:uid="{00000000-0005-0000-0000-0000041B0000}"/>
    <cellStyle name="20% - uthevingsfarge 4 30 2 2 2 5" xfId="21828" xr:uid="{00000000-0005-0000-0000-0000051B0000}"/>
    <cellStyle name="20% - uthevingsfarge 4 30 2 2 2 5 2" xfId="37904" xr:uid="{00000000-0005-0000-0000-0000061B0000}"/>
    <cellStyle name="20% - uthevingsfarge 4 30 2 2 2 6" xfId="33589" xr:uid="{00000000-0005-0000-0000-0000071B0000}"/>
    <cellStyle name="20% - uthevingsfarge 4 30 2 2 3" xfId="4930" xr:uid="{00000000-0005-0000-0000-0000081B0000}"/>
    <cellStyle name="20% - uthevingsfarge 4 30 2 2 3 10" xfId="47349" xr:uid="{00000000-0005-0000-0000-0000091B0000}"/>
    <cellStyle name="20% - uthevingsfarge 4 30 2 2 3 2" xfId="6649" xr:uid="{00000000-0005-0000-0000-00000A1B0000}"/>
    <cellStyle name="20% - uthevingsfarge 4 30 2 2 3 2 2" xfId="10055" xr:uid="{00000000-0005-0000-0000-00000B1B0000}"/>
    <cellStyle name="20% - uthevingsfarge 4 30 2 2 3 2 2 2" xfId="21589" xr:uid="{00000000-0005-0000-0000-00000C1B0000}"/>
    <cellStyle name="20% - uthevingsfarge 4 30 2 2 3 2 2 2 2" xfId="37669" xr:uid="{00000000-0005-0000-0000-00000D1B0000}"/>
    <cellStyle name="20% - uthevingsfarge 4 30 2 2 3 2 2 3" xfId="27744" xr:uid="{00000000-0005-0000-0000-00000E1B0000}"/>
    <cellStyle name="20% - uthevingsfarge 4 30 2 2 3 2 3" xfId="22375" xr:uid="{00000000-0005-0000-0000-00000F1B0000}"/>
    <cellStyle name="20% - uthevingsfarge 4 30 2 2 3 2 3 2" xfId="38447" xr:uid="{00000000-0005-0000-0000-0000101B0000}"/>
    <cellStyle name="20% - uthevingsfarge 4 30 2 2 3 2 4" xfId="31145" xr:uid="{00000000-0005-0000-0000-0000111B0000}"/>
    <cellStyle name="20% - uthevingsfarge 4 30 2 2 3 2 5" xfId="43043" xr:uid="{00000000-0005-0000-0000-0000121B0000}"/>
    <cellStyle name="20% - uthevingsfarge 4 30 2 2 3 2 6" xfId="43340" xr:uid="{00000000-0005-0000-0000-0000131B0000}"/>
    <cellStyle name="20% - uthevingsfarge 4 30 2 2 3 2 7" xfId="46188" xr:uid="{00000000-0005-0000-0000-0000141B0000}"/>
    <cellStyle name="20% - uthevingsfarge 4 30 2 2 3 2 8" xfId="46960" xr:uid="{00000000-0005-0000-0000-0000151B0000}"/>
    <cellStyle name="20% - uthevingsfarge 4 30 2 2 3 2 9" xfId="47545" xr:uid="{00000000-0005-0000-0000-0000161B0000}"/>
    <cellStyle name="20% - uthevingsfarge 4 30 2 2 3 3" xfId="8352" xr:uid="{00000000-0005-0000-0000-0000171B0000}"/>
    <cellStyle name="20% - uthevingsfarge 4 30 2 2 3 3 2" xfId="21069" xr:uid="{00000000-0005-0000-0000-0000181B0000}"/>
    <cellStyle name="20% - uthevingsfarge 4 30 2 2 3 3 2 2" xfId="37156" xr:uid="{00000000-0005-0000-0000-0000191B0000}"/>
    <cellStyle name="20% - uthevingsfarge 4 30 2 2 3 3 3" xfId="29446" xr:uid="{00000000-0005-0000-0000-00001A1B0000}"/>
    <cellStyle name="20% - uthevingsfarge 4 30 2 2 3 3 4" xfId="43907" xr:uid="{00000000-0005-0000-0000-00001B1B0000}"/>
    <cellStyle name="20% - uthevingsfarge 4 30 2 2 3 4" xfId="16488" xr:uid="{00000000-0005-0000-0000-00001C1B0000}"/>
    <cellStyle name="20% - uthevingsfarge 4 30 2 2 3 4 2" xfId="35435" xr:uid="{00000000-0005-0000-0000-00001D1B0000}"/>
    <cellStyle name="20% - uthevingsfarge 4 30 2 2 3 5" xfId="25097" xr:uid="{00000000-0005-0000-0000-00001E1B0000}"/>
    <cellStyle name="20% - uthevingsfarge 4 30 2 2 3 6" xfId="25272" xr:uid="{00000000-0005-0000-0000-00001F1B0000}"/>
    <cellStyle name="20% - uthevingsfarge 4 30 2 2 3 7" xfId="32837" xr:uid="{00000000-0005-0000-0000-0000201B0000}"/>
    <cellStyle name="20% - uthevingsfarge 4 30 2 2 3 8" xfId="43801" xr:uid="{00000000-0005-0000-0000-0000211B0000}"/>
    <cellStyle name="20% - uthevingsfarge 4 30 2 2 3 9" xfId="46726" xr:uid="{00000000-0005-0000-0000-0000221B0000}"/>
    <cellStyle name="20% - uthevingsfarge 4 30 2 2 4" xfId="5484" xr:uid="{00000000-0005-0000-0000-0000231B0000}"/>
    <cellStyle name="20% - uthevingsfarge 4 30 2 2 4 2" xfId="8899" xr:uid="{00000000-0005-0000-0000-0000241B0000}"/>
    <cellStyle name="20% - uthevingsfarge 4 30 2 2 4 2 2" xfId="23721" xr:uid="{00000000-0005-0000-0000-0000251B0000}"/>
    <cellStyle name="20% - uthevingsfarge 4 30 2 2 4 2 2 2" xfId="39777" xr:uid="{00000000-0005-0000-0000-0000261B0000}"/>
    <cellStyle name="20% - uthevingsfarge 4 30 2 2 4 2 3" xfId="28899" xr:uid="{00000000-0005-0000-0000-0000271B0000}"/>
    <cellStyle name="20% - uthevingsfarge 4 30 2 2 4 3" xfId="19842" xr:uid="{00000000-0005-0000-0000-0000281B0000}"/>
    <cellStyle name="20% - uthevingsfarge 4 30 2 2 4 3 2" xfId="35955" xr:uid="{00000000-0005-0000-0000-0000291B0000}"/>
    <cellStyle name="20% - uthevingsfarge 4 30 2 2 4 4" xfId="32290" xr:uid="{00000000-0005-0000-0000-00002A1B0000}"/>
    <cellStyle name="20% - uthevingsfarge 4 30 2 2 5" xfId="7202" xr:uid="{00000000-0005-0000-0000-00002B1B0000}"/>
    <cellStyle name="20% - uthevingsfarge 4 30 2 2 5 2" xfId="24163" xr:uid="{00000000-0005-0000-0000-00002C1B0000}"/>
    <cellStyle name="20% - uthevingsfarge 4 30 2 2 5 2 2" xfId="40216" xr:uid="{00000000-0005-0000-0000-00002D1B0000}"/>
    <cellStyle name="20% - uthevingsfarge 4 30 2 2 5 3" xfId="30596" xr:uid="{00000000-0005-0000-0000-00002E1B0000}"/>
    <cellStyle name="20% - uthevingsfarge 4 30 2 2 6" xfId="10938" xr:uid="{00000000-0005-0000-0000-00002F1B0000}"/>
    <cellStyle name="20% - uthevingsfarge 4 30 2 2 7" xfId="33983" xr:uid="{00000000-0005-0000-0000-0000301B0000}"/>
    <cellStyle name="20% - uthevingsfarge 4 30 2 2 8" xfId="43592" xr:uid="{00000000-0005-0000-0000-0000311B0000}"/>
    <cellStyle name="20% - uthevingsfarge 4 30 2 2 9" xfId="46498" xr:uid="{00000000-0005-0000-0000-0000321B0000}"/>
    <cellStyle name="20% - uthevingsfarge 4 30 2 2_Avviksanalyse løpende RNB15 (1)" xfId="16597" xr:uid="{00000000-0005-0000-0000-0000331B0000}"/>
    <cellStyle name="20% - uthevingsfarge 4 30 2 3" xfId="3810" xr:uid="{00000000-0005-0000-0000-0000341B0000}"/>
    <cellStyle name="20% - uthevingsfarge 4 30 2 3 2" xfId="5698" xr:uid="{00000000-0005-0000-0000-0000351B0000}"/>
    <cellStyle name="20% - uthevingsfarge 4 30 2 3 2 2" xfId="9113" xr:uid="{00000000-0005-0000-0000-0000361B0000}"/>
    <cellStyle name="20% - uthevingsfarge 4 30 2 3 2 2 2" xfId="24460" xr:uid="{00000000-0005-0000-0000-0000371B0000}"/>
    <cellStyle name="20% - uthevingsfarge 4 30 2 3 2 2 2 2" xfId="40504" xr:uid="{00000000-0005-0000-0000-0000381B0000}"/>
    <cellStyle name="20% - uthevingsfarge 4 30 2 3 2 2 3" xfId="28685" xr:uid="{00000000-0005-0000-0000-0000391B0000}"/>
    <cellStyle name="20% - uthevingsfarge 4 30 2 3 2 3" xfId="22899" xr:uid="{00000000-0005-0000-0000-00003A1B0000}"/>
    <cellStyle name="20% - uthevingsfarge 4 30 2 3 2 3 2" xfId="38968" xr:uid="{00000000-0005-0000-0000-00003B1B0000}"/>
    <cellStyle name="20% - uthevingsfarge 4 30 2 3 2 4" xfId="32076" xr:uid="{00000000-0005-0000-0000-00003C1B0000}"/>
    <cellStyle name="20% - uthevingsfarge 4 30 2 3 3" xfId="7416" xr:uid="{00000000-0005-0000-0000-00003D1B0000}"/>
    <cellStyle name="20% - uthevingsfarge 4 30 2 3 3 2" xfId="24203" xr:uid="{00000000-0005-0000-0000-00003E1B0000}"/>
    <cellStyle name="20% - uthevingsfarge 4 30 2 3 3 2 2" xfId="40256" xr:uid="{00000000-0005-0000-0000-00003F1B0000}"/>
    <cellStyle name="20% - uthevingsfarge 4 30 2 3 3 3" xfId="30382" xr:uid="{00000000-0005-0000-0000-0000401B0000}"/>
    <cellStyle name="20% - uthevingsfarge 4 30 2 3 4" xfId="23778" xr:uid="{00000000-0005-0000-0000-0000411B0000}"/>
    <cellStyle name="20% - uthevingsfarge 4 30 2 3 4 2" xfId="39834" xr:uid="{00000000-0005-0000-0000-0000421B0000}"/>
    <cellStyle name="20% - uthevingsfarge 4 30 2 3 5" xfId="33769" xr:uid="{00000000-0005-0000-0000-0000431B0000}"/>
    <cellStyle name="20% - uthevingsfarge 4 30 2 4" xfId="4295" xr:uid="{00000000-0005-0000-0000-0000441B0000}"/>
    <cellStyle name="20% - uthevingsfarge 4 30 2 4 2" xfId="6124" xr:uid="{00000000-0005-0000-0000-0000451B0000}"/>
    <cellStyle name="20% - uthevingsfarge 4 30 2 4 2 2" xfId="9538" xr:uid="{00000000-0005-0000-0000-0000461B0000}"/>
    <cellStyle name="20% - uthevingsfarge 4 30 2 4 2 2 2" xfId="21414" xr:uid="{00000000-0005-0000-0000-0000471B0000}"/>
    <cellStyle name="20% - uthevingsfarge 4 30 2 4 2 2 2 2" xfId="37494" xr:uid="{00000000-0005-0000-0000-0000481B0000}"/>
    <cellStyle name="20% - uthevingsfarge 4 30 2 4 2 2 3" xfId="28260" xr:uid="{00000000-0005-0000-0000-0000491B0000}"/>
    <cellStyle name="20% - uthevingsfarge 4 30 2 4 2 3" xfId="20331" xr:uid="{00000000-0005-0000-0000-00004A1B0000}"/>
    <cellStyle name="20% - uthevingsfarge 4 30 2 4 2 3 2" xfId="36430" xr:uid="{00000000-0005-0000-0000-00004B1B0000}"/>
    <cellStyle name="20% - uthevingsfarge 4 30 2 4 2 4" xfId="31655" xr:uid="{00000000-0005-0000-0000-00004C1B0000}"/>
    <cellStyle name="20% - uthevingsfarge 4 30 2 4 3" xfId="7857" xr:uid="{00000000-0005-0000-0000-00004D1B0000}"/>
    <cellStyle name="20% - uthevingsfarge 4 30 2 4 3 2" xfId="20928" xr:uid="{00000000-0005-0000-0000-00004E1B0000}"/>
    <cellStyle name="20% - uthevingsfarge 4 30 2 4 3 2 2" xfId="37027" xr:uid="{00000000-0005-0000-0000-00004F1B0000}"/>
    <cellStyle name="20% - uthevingsfarge 4 30 2 4 3 3" xfId="29942" xr:uid="{00000000-0005-0000-0000-0000501B0000}"/>
    <cellStyle name="20% - uthevingsfarge 4 30 2 4 4" xfId="23657" xr:uid="{00000000-0005-0000-0000-0000511B0000}"/>
    <cellStyle name="20% - uthevingsfarge 4 30 2 4 4 2" xfId="39713" xr:uid="{00000000-0005-0000-0000-0000521B0000}"/>
    <cellStyle name="20% - uthevingsfarge 4 30 2 4 5" xfId="33330" xr:uid="{00000000-0005-0000-0000-0000531B0000}"/>
    <cellStyle name="20% - uthevingsfarge 4 30 2 5" xfId="4750" xr:uid="{00000000-0005-0000-0000-0000541B0000}"/>
    <cellStyle name="20% - uthevingsfarge 4 30 2 5 2" xfId="6470" xr:uid="{00000000-0005-0000-0000-0000551B0000}"/>
    <cellStyle name="20% - uthevingsfarge 4 30 2 5 2 2" xfId="9876" xr:uid="{00000000-0005-0000-0000-0000561B0000}"/>
    <cellStyle name="20% - uthevingsfarge 4 30 2 5 2 2 2" xfId="21518" xr:uid="{00000000-0005-0000-0000-0000571B0000}"/>
    <cellStyle name="20% - uthevingsfarge 4 30 2 5 2 2 2 2" xfId="37598" xr:uid="{00000000-0005-0000-0000-0000581B0000}"/>
    <cellStyle name="20% - uthevingsfarge 4 30 2 5 2 2 3" xfId="27923" xr:uid="{00000000-0005-0000-0000-0000591B0000}"/>
    <cellStyle name="20% - uthevingsfarge 4 30 2 5 2 3" xfId="20463" xr:uid="{00000000-0005-0000-0000-00005A1B0000}"/>
    <cellStyle name="20% - uthevingsfarge 4 30 2 5 2 3 2" xfId="36562" xr:uid="{00000000-0005-0000-0000-00005B1B0000}"/>
    <cellStyle name="20% - uthevingsfarge 4 30 2 5 2 4" xfId="31324" xr:uid="{00000000-0005-0000-0000-00005C1B0000}"/>
    <cellStyle name="20% - uthevingsfarge 4 30 2 5 3" xfId="8172" xr:uid="{00000000-0005-0000-0000-00005D1B0000}"/>
    <cellStyle name="20% - uthevingsfarge 4 30 2 5 3 2" xfId="21022" xr:uid="{00000000-0005-0000-0000-00005E1B0000}"/>
    <cellStyle name="20% - uthevingsfarge 4 30 2 5 3 2 2" xfId="37116" xr:uid="{00000000-0005-0000-0000-00005F1B0000}"/>
    <cellStyle name="20% - uthevingsfarge 4 30 2 5 3 3" xfId="29625" xr:uid="{00000000-0005-0000-0000-0000601B0000}"/>
    <cellStyle name="20% - uthevingsfarge 4 30 2 5 4" xfId="19696" xr:uid="{00000000-0005-0000-0000-0000611B0000}"/>
    <cellStyle name="20% - uthevingsfarge 4 30 2 5 4 2" xfId="35810" xr:uid="{00000000-0005-0000-0000-0000621B0000}"/>
    <cellStyle name="20% - uthevingsfarge 4 30 2 5 5" xfId="33017" xr:uid="{00000000-0005-0000-0000-0000631B0000}"/>
    <cellStyle name="20% - uthevingsfarge 4 30 2 6" xfId="5110" xr:uid="{00000000-0005-0000-0000-0000641B0000}"/>
    <cellStyle name="20% - uthevingsfarge 4 30 2 6 2" xfId="6829" xr:uid="{00000000-0005-0000-0000-0000651B0000}"/>
    <cellStyle name="20% - uthevingsfarge 4 30 2 6 2 2" xfId="10235" xr:uid="{00000000-0005-0000-0000-0000661B0000}"/>
    <cellStyle name="20% - uthevingsfarge 4 30 2 6 2 2 2" xfId="24678" xr:uid="{00000000-0005-0000-0000-0000671B0000}"/>
    <cellStyle name="20% - uthevingsfarge 4 30 2 6 2 2 2 2" xfId="40721" xr:uid="{00000000-0005-0000-0000-0000681B0000}"/>
    <cellStyle name="20% - uthevingsfarge 4 30 2 6 2 2 3" xfId="27564" xr:uid="{00000000-0005-0000-0000-0000691B0000}"/>
    <cellStyle name="20% - uthevingsfarge 4 30 2 6 2 3" xfId="10651" xr:uid="{00000000-0005-0000-0000-00006A1B0000}"/>
    <cellStyle name="20% - uthevingsfarge 4 30 2 6 2 3 2" xfId="34499" xr:uid="{00000000-0005-0000-0000-00006B1B0000}"/>
    <cellStyle name="20% - uthevingsfarge 4 30 2 6 2 4" xfId="30965" xr:uid="{00000000-0005-0000-0000-00006C1B0000}"/>
    <cellStyle name="20% - uthevingsfarge 4 30 2 6 3" xfId="8532" xr:uid="{00000000-0005-0000-0000-00006D1B0000}"/>
    <cellStyle name="20% - uthevingsfarge 4 30 2 6 3 2" xfId="21122" xr:uid="{00000000-0005-0000-0000-00006E1B0000}"/>
    <cellStyle name="20% - uthevingsfarge 4 30 2 6 3 2 2" xfId="37203" xr:uid="{00000000-0005-0000-0000-00006F1B0000}"/>
    <cellStyle name="20% - uthevingsfarge 4 30 2 6 3 3" xfId="29266" xr:uid="{00000000-0005-0000-0000-0000701B0000}"/>
    <cellStyle name="20% - uthevingsfarge 4 30 2 6 4" xfId="22062" xr:uid="{00000000-0005-0000-0000-0000711B0000}"/>
    <cellStyle name="20% - uthevingsfarge 4 30 2 6 4 2" xfId="38136" xr:uid="{00000000-0005-0000-0000-0000721B0000}"/>
    <cellStyle name="20% - uthevingsfarge 4 30 2 6 5" xfId="32657" xr:uid="{00000000-0005-0000-0000-0000731B0000}"/>
    <cellStyle name="20% - uthevingsfarge 4 30 2 7" xfId="5289" xr:uid="{00000000-0005-0000-0000-0000741B0000}"/>
    <cellStyle name="20% - uthevingsfarge 4 30 2 7 2" xfId="8704" xr:uid="{00000000-0005-0000-0000-0000751B0000}"/>
    <cellStyle name="20% - uthevingsfarge 4 30 2 7 2 2" xfId="19512" xr:uid="{00000000-0005-0000-0000-0000761B0000}"/>
    <cellStyle name="20% - uthevingsfarge 4 30 2 7 2 2 2" xfId="35626" xr:uid="{00000000-0005-0000-0000-0000771B0000}"/>
    <cellStyle name="20% - uthevingsfarge 4 30 2 7 2 3" xfId="29094" xr:uid="{00000000-0005-0000-0000-0000781B0000}"/>
    <cellStyle name="20% - uthevingsfarge 4 30 2 7 3" xfId="22851" xr:uid="{00000000-0005-0000-0000-0000791B0000}"/>
    <cellStyle name="20% - uthevingsfarge 4 30 2 7 3 2" xfId="38920" xr:uid="{00000000-0005-0000-0000-00007A1B0000}"/>
    <cellStyle name="20% - uthevingsfarge 4 30 2 7 4" xfId="32485" xr:uid="{00000000-0005-0000-0000-00007B1B0000}"/>
    <cellStyle name="20% - uthevingsfarge 4 30 2 8" xfId="7022" xr:uid="{00000000-0005-0000-0000-00007C1B0000}"/>
    <cellStyle name="20% - uthevingsfarge 4 30 2 8 2" xfId="20636" xr:uid="{00000000-0005-0000-0000-00007D1B0000}"/>
    <cellStyle name="20% - uthevingsfarge 4 30 2 8 2 2" xfId="36735" xr:uid="{00000000-0005-0000-0000-00007E1B0000}"/>
    <cellStyle name="20% - uthevingsfarge 4 30 2 8 3" xfId="30776" xr:uid="{00000000-0005-0000-0000-00007F1B0000}"/>
    <cellStyle name="20% - uthevingsfarge 4 30 2 9" xfId="10937" xr:uid="{00000000-0005-0000-0000-0000801B0000}"/>
    <cellStyle name="20% - uthevingsfarge 4 30 3" xfId="3475" xr:uid="{00000000-0005-0000-0000-0000811B0000}"/>
    <cellStyle name="20% - uthevingsfarge 4 30 3 10" xfId="47091" xr:uid="{00000000-0005-0000-0000-0000821B0000}"/>
    <cellStyle name="20% - uthevingsfarge 4 30 3 2" xfId="3911" xr:uid="{00000000-0005-0000-0000-0000831B0000}"/>
    <cellStyle name="20% - uthevingsfarge 4 30 3 2 2" xfId="5799" xr:uid="{00000000-0005-0000-0000-0000841B0000}"/>
    <cellStyle name="20% - uthevingsfarge 4 30 3 2 2 2" xfId="9214" xr:uid="{00000000-0005-0000-0000-0000851B0000}"/>
    <cellStyle name="20% - uthevingsfarge 4 30 3 2 2 2 2" xfId="21317" xr:uid="{00000000-0005-0000-0000-0000861B0000}"/>
    <cellStyle name="20% - uthevingsfarge 4 30 3 2 2 2 2 2" xfId="37397" xr:uid="{00000000-0005-0000-0000-0000871B0000}"/>
    <cellStyle name="20% - uthevingsfarge 4 30 3 2 2 2 3" xfId="28584" xr:uid="{00000000-0005-0000-0000-0000881B0000}"/>
    <cellStyle name="20% - uthevingsfarge 4 30 3 2 2 3" xfId="22279" xr:uid="{00000000-0005-0000-0000-0000891B0000}"/>
    <cellStyle name="20% - uthevingsfarge 4 30 3 2 2 3 2" xfId="38351" xr:uid="{00000000-0005-0000-0000-00008A1B0000}"/>
    <cellStyle name="20% - uthevingsfarge 4 30 3 2 2 4" xfId="31975" xr:uid="{00000000-0005-0000-0000-00008B1B0000}"/>
    <cellStyle name="20% - uthevingsfarge 4 30 3 2 3" xfId="7517" xr:uid="{00000000-0005-0000-0000-00008C1B0000}"/>
    <cellStyle name="20% - uthevingsfarge 4 30 3 2 3 2" xfId="11946" xr:uid="{00000000-0005-0000-0000-00008D1B0000}"/>
    <cellStyle name="20% - uthevingsfarge 4 30 3 2 3 2 2" xfId="34968" xr:uid="{00000000-0005-0000-0000-00008E1B0000}"/>
    <cellStyle name="20% - uthevingsfarge 4 30 3 2 3 3" xfId="30281" xr:uid="{00000000-0005-0000-0000-00008F1B0000}"/>
    <cellStyle name="20% - uthevingsfarge 4 30 3 2 4" xfId="17982" xr:uid="{00000000-0005-0000-0000-0000901B0000}"/>
    <cellStyle name="20% - uthevingsfarge 4 30 3 2 5" xfId="23786" xr:uid="{00000000-0005-0000-0000-0000911B0000}"/>
    <cellStyle name="20% - uthevingsfarge 4 30 3 2 5 2" xfId="39842" xr:uid="{00000000-0005-0000-0000-0000921B0000}"/>
    <cellStyle name="20% - uthevingsfarge 4 30 3 2 6" xfId="33668" xr:uid="{00000000-0005-0000-0000-0000931B0000}"/>
    <cellStyle name="20% - uthevingsfarge 4 30 3 3" xfId="4851" xr:uid="{00000000-0005-0000-0000-0000941B0000}"/>
    <cellStyle name="20% - uthevingsfarge 4 30 3 3 10" xfId="47281" xr:uid="{00000000-0005-0000-0000-0000951B0000}"/>
    <cellStyle name="20% - uthevingsfarge 4 30 3 3 2" xfId="6570" xr:uid="{00000000-0005-0000-0000-0000961B0000}"/>
    <cellStyle name="20% - uthevingsfarge 4 30 3 3 2 2" xfId="9976" xr:uid="{00000000-0005-0000-0000-0000971B0000}"/>
    <cellStyle name="20% - uthevingsfarge 4 30 3 3 2 2 2" xfId="22005" xr:uid="{00000000-0005-0000-0000-0000981B0000}"/>
    <cellStyle name="20% - uthevingsfarge 4 30 3 3 2 2 2 2" xfId="38080" xr:uid="{00000000-0005-0000-0000-0000991B0000}"/>
    <cellStyle name="20% - uthevingsfarge 4 30 3 3 2 2 3" xfId="27823" xr:uid="{00000000-0005-0000-0000-00009A1B0000}"/>
    <cellStyle name="20% - uthevingsfarge 4 30 3 3 2 3" xfId="20500" xr:uid="{00000000-0005-0000-0000-00009B1B0000}"/>
    <cellStyle name="20% - uthevingsfarge 4 30 3 3 2 3 2" xfId="36599" xr:uid="{00000000-0005-0000-0000-00009C1B0000}"/>
    <cellStyle name="20% - uthevingsfarge 4 30 3 3 2 4" xfId="31224" xr:uid="{00000000-0005-0000-0000-00009D1B0000}"/>
    <cellStyle name="20% - uthevingsfarge 4 30 3 3 2 5" xfId="42836" xr:uid="{00000000-0005-0000-0000-00009E1B0000}"/>
    <cellStyle name="20% - uthevingsfarge 4 30 3 3 2 6" xfId="43274" xr:uid="{00000000-0005-0000-0000-00009F1B0000}"/>
    <cellStyle name="20% - uthevingsfarge 4 30 3 3 2 7" xfId="46122" xr:uid="{00000000-0005-0000-0000-0000A01B0000}"/>
    <cellStyle name="20% - uthevingsfarge 4 30 3 3 2 8" xfId="46891" xr:uid="{00000000-0005-0000-0000-0000A11B0000}"/>
    <cellStyle name="20% - uthevingsfarge 4 30 3 3 2 9" xfId="47477" xr:uid="{00000000-0005-0000-0000-0000A21B0000}"/>
    <cellStyle name="20% - uthevingsfarge 4 30 3 3 3" xfId="8273" xr:uid="{00000000-0005-0000-0000-0000A31B0000}"/>
    <cellStyle name="20% - uthevingsfarge 4 30 3 3 3 2" xfId="19477" xr:uid="{00000000-0005-0000-0000-0000A41B0000}"/>
    <cellStyle name="20% - uthevingsfarge 4 30 3 3 3 2 2" xfId="35591" xr:uid="{00000000-0005-0000-0000-0000A51B0000}"/>
    <cellStyle name="20% - uthevingsfarge 4 30 3 3 3 3" xfId="29524" xr:uid="{00000000-0005-0000-0000-0000A61B0000}"/>
    <cellStyle name="20% - uthevingsfarge 4 30 3 3 3 4" xfId="43908" xr:uid="{00000000-0005-0000-0000-0000A71B0000}"/>
    <cellStyle name="20% - uthevingsfarge 4 30 3 3 4" xfId="16281" xr:uid="{00000000-0005-0000-0000-0000A81B0000}"/>
    <cellStyle name="20% - uthevingsfarge 4 30 3 3 4 2" xfId="35369" xr:uid="{00000000-0005-0000-0000-0000A91B0000}"/>
    <cellStyle name="20% - uthevingsfarge 4 30 3 3 5" xfId="25028" xr:uid="{00000000-0005-0000-0000-0000AA1B0000}"/>
    <cellStyle name="20% - uthevingsfarge 4 30 3 3 6" xfId="25273" xr:uid="{00000000-0005-0000-0000-0000AB1B0000}"/>
    <cellStyle name="20% - uthevingsfarge 4 30 3 3 7" xfId="32916" xr:uid="{00000000-0005-0000-0000-0000AC1B0000}"/>
    <cellStyle name="20% - uthevingsfarge 4 30 3 3 8" xfId="43734" xr:uid="{00000000-0005-0000-0000-0000AD1B0000}"/>
    <cellStyle name="20% - uthevingsfarge 4 30 3 3 9" xfId="46660" xr:uid="{00000000-0005-0000-0000-0000AE1B0000}"/>
    <cellStyle name="20% - uthevingsfarge 4 30 3 4" xfId="5411" xr:uid="{00000000-0005-0000-0000-0000AF1B0000}"/>
    <cellStyle name="20% - uthevingsfarge 4 30 3 4 2" xfId="8826" xr:uid="{00000000-0005-0000-0000-0000B01B0000}"/>
    <cellStyle name="20% - uthevingsfarge 4 30 3 4 2 2" xfId="22513" xr:uid="{00000000-0005-0000-0000-0000B11B0000}"/>
    <cellStyle name="20% - uthevingsfarge 4 30 3 4 2 2 2" xfId="38583" xr:uid="{00000000-0005-0000-0000-0000B21B0000}"/>
    <cellStyle name="20% - uthevingsfarge 4 30 3 4 2 3" xfId="28972" xr:uid="{00000000-0005-0000-0000-0000B31B0000}"/>
    <cellStyle name="20% - uthevingsfarge 4 30 3 4 3" xfId="10710" xr:uid="{00000000-0005-0000-0000-0000B41B0000}"/>
    <cellStyle name="20% - uthevingsfarge 4 30 3 4 3 2" xfId="34558" xr:uid="{00000000-0005-0000-0000-0000B51B0000}"/>
    <cellStyle name="20% - uthevingsfarge 4 30 3 4 4" xfId="32363" xr:uid="{00000000-0005-0000-0000-0000B61B0000}"/>
    <cellStyle name="20% - uthevingsfarge 4 30 3 5" xfId="7123" xr:uid="{00000000-0005-0000-0000-0000B71B0000}"/>
    <cellStyle name="20% - uthevingsfarge 4 30 3 5 2" xfId="23153" xr:uid="{00000000-0005-0000-0000-0000B81B0000}"/>
    <cellStyle name="20% - uthevingsfarge 4 30 3 5 2 2" xfId="39222" xr:uid="{00000000-0005-0000-0000-0000B91B0000}"/>
    <cellStyle name="20% - uthevingsfarge 4 30 3 5 3" xfId="30675" xr:uid="{00000000-0005-0000-0000-0000BA1B0000}"/>
    <cellStyle name="20% - uthevingsfarge 4 30 3 6" xfId="10939" xr:uid="{00000000-0005-0000-0000-0000BB1B0000}"/>
    <cellStyle name="20% - uthevingsfarge 4 30 3 7" xfId="34062" xr:uid="{00000000-0005-0000-0000-0000BC1B0000}"/>
    <cellStyle name="20% - uthevingsfarge 4 30 3 8" xfId="43526" xr:uid="{00000000-0005-0000-0000-0000BD1B0000}"/>
    <cellStyle name="20% - uthevingsfarge 4 30 3 9" xfId="46430" xr:uid="{00000000-0005-0000-0000-0000BE1B0000}"/>
    <cellStyle name="20% - uthevingsfarge 4 30 3_Avviksanalyse løpende RNB15 (1)" xfId="16598" xr:uid="{00000000-0005-0000-0000-0000BF1B0000}"/>
    <cellStyle name="20% - uthevingsfarge 4 30 4" xfId="3732" xr:uid="{00000000-0005-0000-0000-0000C01B0000}"/>
    <cellStyle name="20% - uthevingsfarge 4 30 4 2" xfId="5620" xr:uid="{00000000-0005-0000-0000-0000C11B0000}"/>
    <cellStyle name="20% - uthevingsfarge 4 30 4 2 2" xfId="9035" xr:uid="{00000000-0005-0000-0000-0000C21B0000}"/>
    <cellStyle name="20% - uthevingsfarge 4 30 4 2 2 2" xfId="10473" xr:uid="{00000000-0005-0000-0000-0000C31B0000}"/>
    <cellStyle name="20% - uthevingsfarge 4 30 4 2 2 2 2" xfId="34381" xr:uid="{00000000-0005-0000-0000-0000C41B0000}"/>
    <cellStyle name="20% - uthevingsfarge 4 30 4 2 2 3" xfId="28763" xr:uid="{00000000-0005-0000-0000-0000C51B0000}"/>
    <cellStyle name="20% - uthevingsfarge 4 30 4 2 3" xfId="22037" xr:uid="{00000000-0005-0000-0000-0000C61B0000}"/>
    <cellStyle name="20% - uthevingsfarge 4 30 4 2 3 2" xfId="38112" xr:uid="{00000000-0005-0000-0000-0000C71B0000}"/>
    <cellStyle name="20% - uthevingsfarge 4 30 4 2 4" xfId="32154" xr:uid="{00000000-0005-0000-0000-0000C81B0000}"/>
    <cellStyle name="20% - uthevingsfarge 4 30 4 3" xfId="7338" xr:uid="{00000000-0005-0000-0000-0000C91B0000}"/>
    <cellStyle name="20% - uthevingsfarge 4 30 4 3 2" xfId="20746" xr:uid="{00000000-0005-0000-0000-0000CA1B0000}"/>
    <cellStyle name="20% - uthevingsfarge 4 30 4 3 2 2" xfId="36845" xr:uid="{00000000-0005-0000-0000-0000CB1B0000}"/>
    <cellStyle name="20% - uthevingsfarge 4 30 4 3 3" xfId="30460" xr:uid="{00000000-0005-0000-0000-0000CC1B0000}"/>
    <cellStyle name="20% - uthevingsfarge 4 30 4 4" xfId="21716" xr:uid="{00000000-0005-0000-0000-0000CD1B0000}"/>
    <cellStyle name="20% - uthevingsfarge 4 30 4 4 2" xfId="37794" xr:uid="{00000000-0005-0000-0000-0000CE1B0000}"/>
    <cellStyle name="20% - uthevingsfarge 4 30 4 5" xfId="33847" xr:uid="{00000000-0005-0000-0000-0000CF1B0000}"/>
    <cellStyle name="20% - uthevingsfarge 4 30 5" xfId="4241" xr:uid="{00000000-0005-0000-0000-0000D01B0000}"/>
    <cellStyle name="20% - uthevingsfarge 4 30 5 2" xfId="6073" xr:uid="{00000000-0005-0000-0000-0000D11B0000}"/>
    <cellStyle name="20% - uthevingsfarge 4 30 5 2 2" xfId="9488" xr:uid="{00000000-0005-0000-0000-0000D21B0000}"/>
    <cellStyle name="20% - uthevingsfarge 4 30 5 2 2 2" xfId="21400" xr:uid="{00000000-0005-0000-0000-0000D31B0000}"/>
    <cellStyle name="20% - uthevingsfarge 4 30 5 2 2 2 2" xfId="37480" xr:uid="{00000000-0005-0000-0000-0000D41B0000}"/>
    <cellStyle name="20% - uthevingsfarge 4 30 5 2 2 3" xfId="28310" xr:uid="{00000000-0005-0000-0000-0000D51B0000}"/>
    <cellStyle name="20% - uthevingsfarge 4 30 5 2 3" xfId="20312" xr:uid="{00000000-0005-0000-0000-0000D61B0000}"/>
    <cellStyle name="20% - uthevingsfarge 4 30 5 2 3 2" xfId="36411" xr:uid="{00000000-0005-0000-0000-0000D71B0000}"/>
    <cellStyle name="20% - uthevingsfarge 4 30 5 2 4" xfId="31705" xr:uid="{00000000-0005-0000-0000-0000D81B0000}"/>
    <cellStyle name="20% - uthevingsfarge 4 30 5 3" xfId="7807" xr:uid="{00000000-0005-0000-0000-0000D91B0000}"/>
    <cellStyle name="20% - uthevingsfarge 4 30 5 3 2" xfId="20910" xr:uid="{00000000-0005-0000-0000-0000DA1B0000}"/>
    <cellStyle name="20% - uthevingsfarge 4 30 5 3 2 2" xfId="37009" xr:uid="{00000000-0005-0000-0000-0000DB1B0000}"/>
    <cellStyle name="20% - uthevingsfarge 4 30 5 3 3" xfId="29992" xr:uid="{00000000-0005-0000-0000-0000DC1B0000}"/>
    <cellStyle name="20% - uthevingsfarge 4 30 5 4" xfId="19642" xr:uid="{00000000-0005-0000-0000-0000DD1B0000}"/>
    <cellStyle name="20% - uthevingsfarge 4 30 5 4 2" xfId="35756" xr:uid="{00000000-0005-0000-0000-0000DE1B0000}"/>
    <cellStyle name="20% - uthevingsfarge 4 30 5 5" xfId="33380" xr:uid="{00000000-0005-0000-0000-0000DF1B0000}"/>
    <cellStyle name="20% - uthevingsfarge 4 30 6" xfId="4667" xr:uid="{00000000-0005-0000-0000-0000E01B0000}"/>
    <cellStyle name="20% - uthevingsfarge 4 30 6 2" xfId="6387" xr:uid="{00000000-0005-0000-0000-0000E11B0000}"/>
    <cellStyle name="20% - uthevingsfarge 4 30 6 2 2" xfId="9797" xr:uid="{00000000-0005-0000-0000-0000E21B0000}"/>
    <cellStyle name="20% - uthevingsfarge 4 30 6 2 2 2" xfId="21487" xr:uid="{00000000-0005-0000-0000-0000E31B0000}"/>
    <cellStyle name="20% - uthevingsfarge 4 30 6 2 2 2 2" xfId="37567" xr:uid="{00000000-0005-0000-0000-0000E41B0000}"/>
    <cellStyle name="20% - uthevingsfarge 4 30 6 2 2 3" xfId="28002" xr:uid="{00000000-0005-0000-0000-0000E51B0000}"/>
    <cellStyle name="20% - uthevingsfarge 4 30 6 2 3" xfId="20432" xr:uid="{00000000-0005-0000-0000-0000E61B0000}"/>
    <cellStyle name="20% - uthevingsfarge 4 30 6 2 3 2" xfId="36531" xr:uid="{00000000-0005-0000-0000-0000E71B0000}"/>
    <cellStyle name="20% - uthevingsfarge 4 30 6 2 4" xfId="31403" xr:uid="{00000000-0005-0000-0000-0000E81B0000}"/>
    <cellStyle name="20% - uthevingsfarge 4 30 6 3" xfId="8093" xr:uid="{00000000-0005-0000-0000-0000E91B0000}"/>
    <cellStyle name="20% - uthevingsfarge 4 30 6 3 2" xfId="19893" xr:uid="{00000000-0005-0000-0000-0000EA1B0000}"/>
    <cellStyle name="20% - uthevingsfarge 4 30 6 3 2 2" xfId="36006" xr:uid="{00000000-0005-0000-0000-0000EB1B0000}"/>
    <cellStyle name="20% - uthevingsfarge 4 30 6 3 3" xfId="29705" xr:uid="{00000000-0005-0000-0000-0000EC1B0000}"/>
    <cellStyle name="20% - uthevingsfarge 4 30 6 4" xfId="10920" xr:uid="{00000000-0005-0000-0000-0000ED1B0000}"/>
    <cellStyle name="20% - uthevingsfarge 4 30 6 4 2" xfId="34683" xr:uid="{00000000-0005-0000-0000-0000EE1B0000}"/>
    <cellStyle name="20% - uthevingsfarge 4 30 6 5" xfId="33096" xr:uid="{00000000-0005-0000-0000-0000EF1B0000}"/>
    <cellStyle name="20% - uthevingsfarge 4 30 7" xfId="5031" xr:uid="{00000000-0005-0000-0000-0000F01B0000}"/>
    <cellStyle name="20% - uthevingsfarge 4 30 7 2" xfId="6750" xr:uid="{00000000-0005-0000-0000-0000F11B0000}"/>
    <cellStyle name="20% - uthevingsfarge 4 30 7 2 2" xfId="10156" xr:uid="{00000000-0005-0000-0000-0000F21B0000}"/>
    <cellStyle name="20% - uthevingsfarge 4 30 7 2 2 2" xfId="21816" xr:uid="{00000000-0005-0000-0000-0000F31B0000}"/>
    <cellStyle name="20% - uthevingsfarge 4 30 7 2 2 2 2" xfId="37892" xr:uid="{00000000-0005-0000-0000-0000F41B0000}"/>
    <cellStyle name="20% - uthevingsfarge 4 30 7 2 2 3" xfId="27643" xr:uid="{00000000-0005-0000-0000-0000F51B0000}"/>
    <cellStyle name="20% - uthevingsfarge 4 30 7 2 3" xfId="23669" xr:uid="{00000000-0005-0000-0000-0000F61B0000}"/>
    <cellStyle name="20% - uthevingsfarge 4 30 7 2 3 2" xfId="39725" xr:uid="{00000000-0005-0000-0000-0000F71B0000}"/>
    <cellStyle name="20% - uthevingsfarge 4 30 7 2 4" xfId="31044" xr:uid="{00000000-0005-0000-0000-0000F81B0000}"/>
    <cellStyle name="20% - uthevingsfarge 4 30 7 3" xfId="8453" xr:uid="{00000000-0005-0000-0000-0000F91B0000}"/>
    <cellStyle name="20% - uthevingsfarge 4 30 7 3 2" xfId="11857" xr:uid="{00000000-0005-0000-0000-0000FA1B0000}"/>
    <cellStyle name="20% - uthevingsfarge 4 30 7 3 2 2" xfId="34899" xr:uid="{00000000-0005-0000-0000-0000FB1B0000}"/>
    <cellStyle name="20% - uthevingsfarge 4 30 7 3 3" xfId="29345" xr:uid="{00000000-0005-0000-0000-0000FC1B0000}"/>
    <cellStyle name="20% - uthevingsfarge 4 30 7 4" xfId="23842" xr:uid="{00000000-0005-0000-0000-0000FD1B0000}"/>
    <cellStyle name="20% - uthevingsfarge 4 30 7 4 2" xfId="39898" xr:uid="{00000000-0005-0000-0000-0000FE1B0000}"/>
    <cellStyle name="20% - uthevingsfarge 4 30 7 5" xfId="32736" xr:uid="{00000000-0005-0000-0000-0000FF1B0000}"/>
    <cellStyle name="20% - uthevingsfarge 4 30 8" xfId="5241" xr:uid="{00000000-0005-0000-0000-0000001C0000}"/>
    <cellStyle name="20% - uthevingsfarge 4 30 8 2" xfId="8656" xr:uid="{00000000-0005-0000-0000-0000011C0000}"/>
    <cellStyle name="20% - uthevingsfarge 4 30 8 2 2" xfId="23392" xr:uid="{00000000-0005-0000-0000-0000021C0000}"/>
    <cellStyle name="20% - uthevingsfarge 4 30 8 2 2 2" xfId="39448" xr:uid="{00000000-0005-0000-0000-0000031C0000}"/>
    <cellStyle name="20% - uthevingsfarge 4 30 8 2 3" xfId="29142" xr:uid="{00000000-0005-0000-0000-0000041C0000}"/>
    <cellStyle name="20% - uthevingsfarge 4 30 8 3" xfId="23852" xr:uid="{00000000-0005-0000-0000-0000051C0000}"/>
    <cellStyle name="20% - uthevingsfarge 4 30 8 3 2" xfId="39908" xr:uid="{00000000-0005-0000-0000-0000061C0000}"/>
    <cellStyle name="20% - uthevingsfarge 4 30 8 4" xfId="32533" xr:uid="{00000000-0005-0000-0000-0000071C0000}"/>
    <cellStyle name="20% - uthevingsfarge 4 30 9" xfId="6917" xr:uid="{00000000-0005-0000-0000-0000081C0000}"/>
    <cellStyle name="20% - uthevingsfarge 4 30 9 2" xfId="24116" xr:uid="{00000000-0005-0000-0000-0000091C0000}"/>
    <cellStyle name="20% - uthevingsfarge 4 30 9 2 2" xfId="40169" xr:uid="{00000000-0005-0000-0000-00000A1C0000}"/>
    <cellStyle name="20% - uthevingsfarge 4 30 9 3" xfId="30881" xr:uid="{00000000-0005-0000-0000-00000B1C0000}"/>
    <cellStyle name="20% - uthevingsfarge 4 31" xfId="3446" xr:uid="{00000000-0005-0000-0000-00000C1C0000}"/>
    <cellStyle name="20% - uthevingsfarge 4 31 2" xfId="3638" xr:uid="{00000000-0005-0000-0000-00000D1C0000}"/>
    <cellStyle name="20% - uthevingsfarge 4 31 2 2" xfId="4066" xr:uid="{00000000-0005-0000-0000-00000E1C0000}"/>
    <cellStyle name="20% - uthevingsfarge 4 31 2 2 2" xfId="5954" xr:uid="{00000000-0005-0000-0000-00000F1C0000}"/>
    <cellStyle name="20% - uthevingsfarge 4 31 2 2 2 2" xfId="9369" xr:uid="{00000000-0005-0000-0000-0000101C0000}"/>
    <cellStyle name="20% - uthevingsfarge 4 31 2 2 2 2 2" xfId="24503" xr:uid="{00000000-0005-0000-0000-0000111C0000}"/>
    <cellStyle name="20% - uthevingsfarge 4 31 2 2 2 2 2 2" xfId="40547" xr:uid="{00000000-0005-0000-0000-0000121C0000}"/>
    <cellStyle name="20% - uthevingsfarge 4 31 2 2 2 2 3" xfId="28429" xr:uid="{00000000-0005-0000-0000-0000131C0000}"/>
    <cellStyle name="20% - uthevingsfarge 4 31 2 2 2 3" xfId="22093" xr:uid="{00000000-0005-0000-0000-0000141C0000}"/>
    <cellStyle name="20% - uthevingsfarge 4 31 2 2 2 3 2" xfId="38167" xr:uid="{00000000-0005-0000-0000-0000151C0000}"/>
    <cellStyle name="20% - uthevingsfarge 4 31 2 2 2 4" xfId="31824" xr:uid="{00000000-0005-0000-0000-0000161C0000}"/>
    <cellStyle name="20% - uthevingsfarge 4 31 2 2 3" xfId="7672" xr:uid="{00000000-0005-0000-0000-0000171C0000}"/>
    <cellStyle name="20% - uthevingsfarge 4 31 2 2 3 2" xfId="20860" xr:uid="{00000000-0005-0000-0000-0000181C0000}"/>
    <cellStyle name="20% - uthevingsfarge 4 31 2 2 3 2 2" xfId="36959" xr:uid="{00000000-0005-0000-0000-0000191C0000}"/>
    <cellStyle name="20% - uthevingsfarge 4 31 2 2 3 3" xfId="30126" xr:uid="{00000000-0005-0000-0000-00001A1C0000}"/>
    <cellStyle name="20% - uthevingsfarge 4 31 2 2 4" xfId="22657" xr:uid="{00000000-0005-0000-0000-00001B1C0000}"/>
    <cellStyle name="20% - uthevingsfarge 4 31 2 2 4 2" xfId="38726" xr:uid="{00000000-0005-0000-0000-00001C1C0000}"/>
    <cellStyle name="20% - uthevingsfarge 4 31 2 2 5" xfId="33513" xr:uid="{00000000-0005-0000-0000-00001D1C0000}"/>
    <cellStyle name="20% - uthevingsfarge 4 31 2 3" xfId="5006" xr:uid="{00000000-0005-0000-0000-00001E1C0000}"/>
    <cellStyle name="20% - uthevingsfarge 4 31 2 3 2" xfId="6725" xr:uid="{00000000-0005-0000-0000-00001F1C0000}"/>
    <cellStyle name="20% - uthevingsfarge 4 31 2 3 2 2" xfId="10131" xr:uid="{00000000-0005-0000-0000-0000201C0000}"/>
    <cellStyle name="20% - uthevingsfarge 4 31 2 3 2 2 2" xfId="22028" xr:uid="{00000000-0005-0000-0000-0000211C0000}"/>
    <cellStyle name="20% - uthevingsfarge 4 31 2 3 2 2 2 2" xfId="38103" xr:uid="{00000000-0005-0000-0000-0000221C0000}"/>
    <cellStyle name="20% - uthevingsfarge 4 31 2 3 2 2 3" xfId="27668" xr:uid="{00000000-0005-0000-0000-0000231C0000}"/>
    <cellStyle name="20% - uthevingsfarge 4 31 2 3 2 3" xfId="11958" xr:uid="{00000000-0005-0000-0000-0000241C0000}"/>
    <cellStyle name="20% - uthevingsfarge 4 31 2 3 2 3 2" xfId="34980" xr:uid="{00000000-0005-0000-0000-0000251C0000}"/>
    <cellStyle name="20% - uthevingsfarge 4 31 2 3 2 4" xfId="31069" xr:uid="{00000000-0005-0000-0000-0000261C0000}"/>
    <cellStyle name="20% - uthevingsfarge 4 31 2 3 3" xfId="8428" xr:uid="{00000000-0005-0000-0000-0000271C0000}"/>
    <cellStyle name="20% - uthevingsfarge 4 31 2 3 3 2" xfId="10549" xr:uid="{00000000-0005-0000-0000-0000281C0000}"/>
    <cellStyle name="20% - uthevingsfarge 4 31 2 3 3 2 2" xfId="34419" xr:uid="{00000000-0005-0000-0000-0000291C0000}"/>
    <cellStyle name="20% - uthevingsfarge 4 31 2 3 3 3" xfId="29370" xr:uid="{00000000-0005-0000-0000-00002A1C0000}"/>
    <cellStyle name="20% - uthevingsfarge 4 31 2 3 4" xfId="20048" xr:uid="{00000000-0005-0000-0000-00002B1C0000}"/>
    <cellStyle name="20% - uthevingsfarge 4 31 2 3 4 2" xfId="36152" xr:uid="{00000000-0005-0000-0000-00002C1C0000}"/>
    <cellStyle name="20% - uthevingsfarge 4 31 2 3 5" xfId="32761" xr:uid="{00000000-0005-0000-0000-00002D1C0000}"/>
    <cellStyle name="20% - uthevingsfarge 4 31 2 4" xfId="5560" xr:uid="{00000000-0005-0000-0000-00002E1C0000}"/>
    <cellStyle name="20% - uthevingsfarge 4 31 2 4 2" xfId="8975" xr:uid="{00000000-0005-0000-0000-00002F1C0000}"/>
    <cellStyle name="20% - uthevingsfarge 4 31 2 4 2 2" xfId="21238" xr:uid="{00000000-0005-0000-0000-0000301C0000}"/>
    <cellStyle name="20% - uthevingsfarge 4 31 2 4 2 2 2" xfId="37318" xr:uid="{00000000-0005-0000-0000-0000311C0000}"/>
    <cellStyle name="20% - uthevingsfarge 4 31 2 4 2 3" xfId="28823" xr:uid="{00000000-0005-0000-0000-0000321C0000}"/>
    <cellStyle name="20% - uthevingsfarge 4 31 2 4 3" xfId="20120" xr:uid="{00000000-0005-0000-0000-0000331C0000}"/>
    <cellStyle name="20% - uthevingsfarge 4 31 2 4 3 2" xfId="36223" xr:uid="{00000000-0005-0000-0000-0000341C0000}"/>
    <cellStyle name="20% - uthevingsfarge 4 31 2 4 4" xfId="32214" xr:uid="{00000000-0005-0000-0000-0000351C0000}"/>
    <cellStyle name="20% - uthevingsfarge 4 31 2 5" xfId="7278" xr:uid="{00000000-0005-0000-0000-0000361C0000}"/>
    <cellStyle name="20% - uthevingsfarge 4 31 2 5 2" xfId="22180" xr:uid="{00000000-0005-0000-0000-0000371C0000}"/>
    <cellStyle name="20% - uthevingsfarge 4 31 2 5 2 2" xfId="38254" xr:uid="{00000000-0005-0000-0000-0000381C0000}"/>
    <cellStyle name="20% - uthevingsfarge 4 31 2 5 3" xfId="30520" xr:uid="{00000000-0005-0000-0000-0000391C0000}"/>
    <cellStyle name="20% - uthevingsfarge 4 31 2 6" xfId="22677" xr:uid="{00000000-0005-0000-0000-00003A1C0000}"/>
    <cellStyle name="20% - uthevingsfarge 4 31 2 6 2" xfId="38746" xr:uid="{00000000-0005-0000-0000-00003B1C0000}"/>
    <cellStyle name="20% - uthevingsfarge 4 31 2 7" xfId="33907" xr:uid="{00000000-0005-0000-0000-00003C1C0000}"/>
    <cellStyle name="20% - uthevingsfarge 4 31 3" xfId="3886" xr:uid="{00000000-0005-0000-0000-00003D1C0000}"/>
    <cellStyle name="20% - uthevingsfarge 4 31 3 2" xfId="5774" xr:uid="{00000000-0005-0000-0000-00003E1C0000}"/>
    <cellStyle name="20% - uthevingsfarge 4 31 3 2 2" xfId="9189" xr:uid="{00000000-0005-0000-0000-00003F1C0000}"/>
    <cellStyle name="20% - uthevingsfarge 4 31 3 2 2 2" xfId="21308" xr:uid="{00000000-0005-0000-0000-0000401C0000}"/>
    <cellStyle name="20% - uthevingsfarge 4 31 3 2 2 2 2" xfId="37388" xr:uid="{00000000-0005-0000-0000-0000411C0000}"/>
    <cellStyle name="20% - uthevingsfarge 4 31 3 2 2 3" xfId="28609" xr:uid="{00000000-0005-0000-0000-0000421C0000}"/>
    <cellStyle name="20% - uthevingsfarge 4 31 3 2 3" xfId="20198" xr:uid="{00000000-0005-0000-0000-0000431C0000}"/>
    <cellStyle name="20% - uthevingsfarge 4 31 3 2 3 2" xfId="36297" xr:uid="{00000000-0005-0000-0000-0000441C0000}"/>
    <cellStyle name="20% - uthevingsfarge 4 31 3 2 4" xfId="32000" xr:uid="{00000000-0005-0000-0000-0000451C0000}"/>
    <cellStyle name="20% - uthevingsfarge 4 31 3 3" xfId="7492" xr:uid="{00000000-0005-0000-0000-0000461C0000}"/>
    <cellStyle name="20% - uthevingsfarge 4 31 3 3 2" xfId="20803" xr:uid="{00000000-0005-0000-0000-0000471C0000}"/>
    <cellStyle name="20% - uthevingsfarge 4 31 3 3 2 2" xfId="36902" xr:uid="{00000000-0005-0000-0000-0000481C0000}"/>
    <cellStyle name="20% - uthevingsfarge 4 31 3 3 3" xfId="30306" xr:uid="{00000000-0005-0000-0000-0000491C0000}"/>
    <cellStyle name="20% - uthevingsfarge 4 31 3 4" xfId="23773" xr:uid="{00000000-0005-0000-0000-00004A1C0000}"/>
    <cellStyle name="20% - uthevingsfarge 4 31 3 4 2" xfId="39829" xr:uid="{00000000-0005-0000-0000-00004B1C0000}"/>
    <cellStyle name="20% - uthevingsfarge 4 31 3 5" xfId="33693" xr:uid="{00000000-0005-0000-0000-00004C1C0000}"/>
    <cellStyle name="20% - uthevingsfarge 4 31 4" xfId="4826" xr:uid="{00000000-0005-0000-0000-00004D1C0000}"/>
    <cellStyle name="20% - uthevingsfarge 4 31 4 2" xfId="6545" xr:uid="{00000000-0005-0000-0000-00004E1C0000}"/>
    <cellStyle name="20% - uthevingsfarge 4 31 4 2 2" xfId="9951" xr:uid="{00000000-0005-0000-0000-00004F1C0000}"/>
    <cellStyle name="20% - uthevingsfarge 4 31 4 2 2 2" xfId="22002" xr:uid="{00000000-0005-0000-0000-0000501C0000}"/>
    <cellStyle name="20% - uthevingsfarge 4 31 4 2 2 2 2" xfId="38077" xr:uid="{00000000-0005-0000-0000-0000511C0000}"/>
    <cellStyle name="20% - uthevingsfarge 4 31 4 2 2 3" xfId="27848" xr:uid="{00000000-0005-0000-0000-0000521C0000}"/>
    <cellStyle name="20% - uthevingsfarge 4 31 4 2 3" xfId="24061" xr:uid="{00000000-0005-0000-0000-0000531C0000}"/>
    <cellStyle name="20% - uthevingsfarge 4 31 4 2 3 2" xfId="40114" xr:uid="{00000000-0005-0000-0000-0000541C0000}"/>
    <cellStyle name="20% - uthevingsfarge 4 31 4 2 4" xfId="31249" xr:uid="{00000000-0005-0000-0000-0000551C0000}"/>
    <cellStyle name="20% - uthevingsfarge 4 31 4 3" xfId="8248" xr:uid="{00000000-0005-0000-0000-0000561C0000}"/>
    <cellStyle name="20% - uthevingsfarge 4 31 4 3 2" xfId="21043" xr:uid="{00000000-0005-0000-0000-0000571C0000}"/>
    <cellStyle name="20% - uthevingsfarge 4 31 4 3 2 2" xfId="37134" xr:uid="{00000000-0005-0000-0000-0000581C0000}"/>
    <cellStyle name="20% - uthevingsfarge 4 31 4 3 3" xfId="29549" xr:uid="{00000000-0005-0000-0000-0000591C0000}"/>
    <cellStyle name="20% - uthevingsfarge 4 31 4 4" xfId="22659" xr:uid="{00000000-0005-0000-0000-00005A1C0000}"/>
    <cellStyle name="20% - uthevingsfarge 4 31 4 4 2" xfId="38728" xr:uid="{00000000-0005-0000-0000-00005B1C0000}"/>
    <cellStyle name="20% - uthevingsfarge 4 31 4 5" xfId="32941" xr:uid="{00000000-0005-0000-0000-00005C1C0000}"/>
    <cellStyle name="20% - uthevingsfarge 4 31 5" xfId="5390" xr:uid="{00000000-0005-0000-0000-00005D1C0000}"/>
    <cellStyle name="20% - uthevingsfarge 4 31 5 2" xfId="8805" xr:uid="{00000000-0005-0000-0000-00005E1C0000}"/>
    <cellStyle name="20% - uthevingsfarge 4 31 5 2 2" xfId="22665" xr:uid="{00000000-0005-0000-0000-00005F1C0000}"/>
    <cellStyle name="20% - uthevingsfarge 4 31 5 2 2 2" xfId="38734" xr:uid="{00000000-0005-0000-0000-0000601C0000}"/>
    <cellStyle name="20% - uthevingsfarge 4 31 5 2 3" xfId="28993" xr:uid="{00000000-0005-0000-0000-0000611C0000}"/>
    <cellStyle name="20% - uthevingsfarge 4 31 5 3" xfId="19816" xr:uid="{00000000-0005-0000-0000-0000621C0000}"/>
    <cellStyle name="20% - uthevingsfarge 4 31 5 3 2" xfId="35929" xr:uid="{00000000-0005-0000-0000-0000631C0000}"/>
    <cellStyle name="20% - uthevingsfarge 4 31 5 4" xfId="32384" xr:uid="{00000000-0005-0000-0000-0000641C0000}"/>
    <cellStyle name="20% - uthevingsfarge 4 31 6" xfId="7098" xr:uid="{00000000-0005-0000-0000-0000651C0000}"/>
    <cellStyle name="20% - uthevingsfarge 4 31 6 2" xfId="22175" xr:uid="{00000000-0005-0000-0000-0000661C0000}"/>
    <cellStyle name="20% - uthevingsfarge 4 31 6 2 2" xfId="38249" xr:uid="{00000000-0005-0000-0000-0000671C0000}"/>
    <cellStyle name="20% - uthevingsfarge 4 31 6 3" xfId="30700" xr:uid="{00000000-0005-0000-0000-0000681C0000}"/>
    <cellStyle name="20% - uthevingsfarge 4 31 7" xfId="21678" xr:uid="{00000000-0005-0000-0000-0000691C0000}"/>
    <cellStyle name="20% - uthevingsfarge 4 31 7 2" xfId="37758" xr:uid="{00000000-0005-0000-0000-00006A1C0000}"/>
    <cellStyle name="20% - uthevingsfarge 4 31 8" xfId="34087" xr:uid="{00000000-0005-0000-0000-00006B1C0000}"/>
    <cellStyle name="20% - uthevingsfarge 4 32" xfId="4450" xr:uid="{00000000-0005-0000-0000-00006C1C0000}"/>
    <cellStyle name="20% - uthevingsfarge 4 32 2" xfId="6247" xr:uid="{00000000-0005-0000-0000-00006D1C0000}"/>
    <cellStyle name="20% - uthevingsfarge 4 32 2 2" xfId="9657" xr:uid="{00000000-0005-0000-0000-00006E1C0000}"/>
    <cellStyle name="20% - uthevingsfarge 4 32 2 2 2" xfId="23668" xr:uid="{00000000-0005-0000-0000-00006F1C0000}"/>
    <cellStyle name="20% - uthevingsfarge 4 32 2 2 2 2" xfId="39724" xr:uid="{00000000-0005-0000-0000-0000701C0000}"/>
    <cellStyle name="20% - uthevingsfarge 4 32 2 2 3" xfId="28142" xr:uid="{00000000-0005-0000-0000-0000711C0000}"/>
    <cellStyle name="20% - uthevingsfarge 4 32 2 3" xfId="20379" xr:uid="{00000000-0005-0000-0000-0000721C0000}"/>
    <cellStyle name="20% - uthevingsfarge 4 32 2 3 2" xfId="36478" xr:uid="{00000000-0005-0000-0000-0000731C0000}"/>
    <cellStyle name="20% - uthevingsfarge 4 32 2 4" xfId="31543" xr:uid="{00000000-0005-0000-0000-0000741C0000}"/>
    <cellStyle name="20% - uthevingsfarge 4 32 3" xfId="7953" xr:uid="{00000000-0005-0000-0000-0000751C0000}"/>
    <cellStyle name="20% - uthevingsfarge 4 32 3 2" xfId="20958" xr:uid="{00000000-0005-0000-0000-0000761C0000}"/>
    <cellStyle name="20% - uthevingsfarge 4 32 3 2 2" xfId="37054" xr:uid="{00000000-0005-0000-0000-0000771C0000}"/>
    <cellStyle name="20% - uthevingsfarge 4 32 3 3" xfId="29846" xr:uid="{00000000-0005-0000-0000-0000781C0000}"/>
    <cellStyle name="20% - uthevingsfarge 4 32 4" xfId="19640" xr:uid="{00000000-0005-0000-0000-0000791C0000}"/>
    <cellStyle name="20% - uthevingsfarge 4 32 4 2" xfId="35754" xr:uid="{00000000-0005-0000-0000-00007A1C0000}"/>
    <cellStyle name="20% - uthevingsfarge 4 32 5" xfId="33235" xr:uid="{00000000-0005-0000-0000-00007B1C0000}"/>
    <cellStyle name="20% - uthevingsfarge 4 33" xfId="5355" xr:uid="{00000000-0005-0000-0000-00007C1C0000}"/>
    <cellStyle name="20% - uthevingsfarge 4 33 2" xfId="8770" xr:uid="{00000000-0005-0000-0000-00007D1C0000}"/>
    <cellStyle name="20% - uthevingsfarge 4 33 2 2" xfId="24412" xr:uid="{00000000-0005-0000-0000-00007E1C0000}"/>
    <cellStyle name="20% - uthevingsfarge 4 33 2 2 2" xfId="40456" xr:uid="{00000000-0005-0000-0000-00007F1C0000}"/>
    <cellStyle name="20% - uthevingsfarge 4 33 2 3" xfId="29028" xr:uid="{00000000-0005-0000-0000-0000801C0000}"/>
    <cellStyle name="20% - uthevingsfarge 4 33 3" xfId="22239" xr:uid="{00000000-0005-0000-0000-0000811C0000}"/>
    <cellStyle name="20% - uthevingsfarge 4 33 3 2" xfId="38313" xr:uid="{00000000-0005-0000-0000-0000821C0000}"/>
    <cellStyle name="20% - uthevingsfarge 4 33 4" xfId="32419" xr:uid="{00000000-0005-0000-0000-0000831C0000}"/>
    <cellStyle name="20% - uthevingsfarge 4 34" xfId="40954" xr:uid="{00000000-0005-0000-0000-0000841C0000}"/>
    <cellStyle name="20% - uthevingsfarge 4 35" xfId="43153" xr:uid="{00000000-0005-0000-0000-0000851C0000}"/>
    <cellStyle name="20% - uthevingsfarge 4 36" xfId="40907" xr:uid="{00000000-0005-0000-0000-0000861C0000}"/>
    <cellStyle name="20% - uthevingsfarge 4 37" xfId="40808" xr:uid="{00000000-0005-0000-0000-0000871C0000}"/>
    <cellStyle name="20% - uthevingsfarge 4 38" xfId="40874" xr:uid="{00000000-0005-0000-0000-0000881C0000}"/>
    <cellStyle name="20% - uthevingsfarge 4 39" xfId="43179" xr:uid="{00000000-0005-0000-0000-0000891C0000}"/>
    <cellStyle name="20% - uthevingsfarge 4 4" xfId="467" xr:uid="{00000000-0005-0000-0000-00008A1C0000}"/>
    <cellStyle name="20% - uthevingsfarge 4 4 2" xfId="468" xr:uid="{00000000-0005-0000-0000-00008B1C0000}"/>
    <cellStyle name="20% - uthevingsfarge 4 40" xfId="43166" xr:uid="{00000000-0005-0000-0000-00008C1C0000}"/>
    <cellStyle name="20% - uthevingsfarge 4 41" xfId="43215" xr:uid="{00000000-0005-0000-0000-00008D1C0000}"/>
    <cellStyle name="20% - uthevingsfarge 4 42" xfId="43429" xr:uid="{00000000-0005-0000-0000-00008E1C0000}"/>
    <cellStyle name="20% - uthevingsfarge 4 43" xfId="43674" xr:uid="{00000000-0005-0000-0000-00008F1C0000}"/>
    <cellStyle name="20% - uthevingsfarge 4 44" xfId="46272" xr:uid="{00000000-0005-0000-0000-0000901C0000}"/>
    <cellStyle name="20% - uthevingsfarge 4 45" xfId="43707" xr:uid="{00000000-0005-0000-0000-0000911C0000}"/>
    <cellStyle name="20% - uthevingsfarge 4 46" xfId="46317" xr:uid="{00000000-0005-0000-0000-0000921C0000}"/>
    <cellStyle name="20% - uthevingsfarge 4 47" xfId="46815" xr:uid="{00000000-0005-0000-0000-0000931C0000}"/>
    <cellStyle name="20% - uthevingsfarge 4 48" xfId="46364" xr:uid="{00000000-0005-0000-0000-0000941C0000}"/>
    <cellStyle name="20% - uthevingsfarge 4 49" xfId="46810" xr:uid="{00000000-0005-0000-0000-0000951C0000}"/>
    <cellStyle name="20% - uthevingsfarge 4 5" xfId="469" xr:uid="{00000000-0005-0000-0000-0000961C0000}"/>
    <cellStyle name="20% - uthevingsfarge 4 5 2" xfId="470" xr:uid="{00000000-0005-0000-0000-0000971C0000}"/>
    <cellStyle name="20% - uthevingsfarge 4 50" xfId="46370" xr:uid="{00000000-0005-0000-0000-0000981C0000}"/>
    <cellStyle name="20% - uthevingsfarge 4 51" xfId="46634" xr:uid="{00000000-0005-0000-0000-0000991C0000}"/>
    <cellStyle name="20% - uthevingsfarge 4 6" xfId="471" xr:uid="{00000000-0005-0000-0000-00009A1C0000}"/>
    <cellStyle name="20% - uthevingsfarge 4 6 2" xfId="472" xr:uid="{00000000-0005-0000-0000-00009B1C0000}"/>
    <cellStyle name="20% - uthevingsfarge 4 7" xfId="473" xr:uid="{00000000-0005-0000-0000-00009C1C0000}"/>
    <cellStyle name="20% - uthevingsfarge 4 7 2" xfId="474" xr:uid="{00000000-0005-0000-0000-00009D1C0000}"/>
    <cellStyle name="20% - uthevingsfarge 4 8" xfId="475" xr:uid="{00000000-0005-0000-0000-00009E1C0000}"/>
    <cellStyle name="20% - uthevingsfarge 4 8 2" xfId="476" xr:uid="{00000000-0005-0000-0000-00009F1C0000}"/>
    <cellStyle name="20% - uthevingsfarge 4 9" xfId="477" xr:uid="{00000000-0005-0000-0000-0000A01C0000}"/>
    <cellStyle name="20% - uthevingsfarge 4 9 2" xfId="478" xr:uid="{00000000-0005-0000-0000-0000A11C0000}"/>
    <cellStyle name="20% - uthevingsfarge 5" xfId="4568" xr:uid="{00000000-0005-0000-0000-0000A21C0000}"/>
    <cellStyle name="20% - uthevingsfarge 5 10" xfId="480" xr:uid="{00000000-0005-0000-0000-0000A31C0000}"/>
    <cellStyle name="20% - uthevingsfarge 5 10 2" xfId="481" xr:uid="{00000000-0005-0000-0000-0000A41C0000}"/>
    <cellStyle name="20% - uthevingsfarge 5 11" xfId="482" xr:uid="{00000000-0005-0000-0000-0000A51C0000}"/>
    <cellStyle name="20% - uthevingsfarge 5 11 2" xfId="483" xr:uid="{00000000-0005-0000-0000-0000A61C0000}"/>
    <cellStyle name="20% - uthevingsfarge 5 12" xfId="484" xr:uid="{00000000-0005-0000-0000-0000A71C0000}"/>
    <cellStyle name="20% - uthevingsfarge 5 12 2" xfId="485" xr:uid="{00000000-0005-0000-0000-0000A81C0000}"/>
    <cellStyle name="20% - uthevingsfarge 5 13" xfId="486" xr:uid="{00000000-0005-0000-0000-0000A91C0000}"/>
    <cellStyle name="20% - uthevingsfarge 5 13 2" xfId="487" xr:uid="{00000000-0005-0000-0000-0000AA1C0000}"/>
    <cellStyle name="20% - uthevingsfarge 5 14" xfId="488" xr:uid="{00000000-0005-0000-0000-0000AB1C0000}"/>
    <cellStyle name="20% - uthevingsfarge 5 14 2" xfId="489" xr:uid="{00000000-0005-0000-0000-0000AC1C0000}"/>
    <cellStyle name="20% - uthevingsfarge 5 15" xfId="490" xr:uid="{00000000-0005-0000-0000-0000AD1C0000}"/>
    <cellStyle name="20% - uthevingsfarge 5 15 2" xfId="491" xr:uid="{00000000-0005-0000-0000-0000AE1C0000}"/>
    <cellStyle name="20% - uthevingsfarge 5 16" xfId="492" xr:uid="{00000000-0005-0000-0000-0000AF1C0000}"/>
    <cellStyle name="20% - uthevingsfarge 5 16 2" xfId="493" xr:uid="{00000000-0005-0000-0000-0000B01C0000}"/>
    <cellStyle name="20% - uthevingsfarge 5 17" xfId="494" xr:uid="{00000000-0005-0000-0000-0000B11C0000}"/>
    <cellStyle name="20% - uthevingsfarge 5 17 2" xfId="495" xr:uid="{00000000-0005-0000-0000-0000B21C0000}"/>
    <cellStyle name="20% - uthevingsfarge 5 18" xfId="496" xr:uid="{00000000-0005-0000-0000-0000B31C0000}"/>
    <cellStyle name="20% - uthevingsfarge 5 18 2" xfId="497" xr:uid="{00000000-0005-0000-0000-0000B41C0000}"/>
    <cellStyle name="20% - uthevingsfarge 5 19" xfId="498" xr:uid="{00000000-0005-0000-0000-0000B51C0000}"/>
    <cellStyle name="20% - uthevingsfarge 5 19 2" xfId="499" xr:uid="{00000000-0005-0000-0000-0000B61C0000}"/>
    <cellStyle name="20% - uthevingsfarge 5 2" xfId="500" xr:uid="{00000000-0005-0000-0000-0000B71C0000}"/>
    <cellStyle name="20% - uthevingsfarge 5 2 2" xfId="501" xr:uid="{00000000-0005-0000-0000-0000B81C0000}"/>
    <cellStyle name="20% - uthevingsfarge 5 2 3" xfId="502" xr:uid="{00000000-0005-0000-0000-0000B91C0000}"/>
    <cellStyle name="20% - uthevingsfarge 5 2 4" xfId="503" xr:uid="{00000000-0005-0000-0000-0000BA1C0000}"/>
    <cellStyle name="20% - uthevingsfarge 5 2 5" xfId="10962" xr:uid="{00000000-0005-0000-0000-0000BB1C0000}"/>
    <cellStyle name="20% - uthevingsfarge 5 2 6" xfId="10963" xr:uid="{00000000-0005-0000-0000-0000BC1C0000}"/>
    <cellStyle name="20% - uthevingsfarge 5 2 7" xfId="10964" xr:uid="{00000000-0005-0000-0000-0000BD1C0000}"/>
    <cellStyle name="20% - uthevingsfarge 5 2 8" xfId="10965" xr:uid="{00000000-0005-0000-0000-0000BE1C0000}"/>
    <cellStyle name="20% - uthevingsfarge 5 2 9" xfId="10966" xr:uid="{00000000-0005-0000-0000-0000BF1C0000}"/>
    <cellStyle name="20% - uthevingsfarge 5 20" xfId="504" xr:uid="{00000000-0005-0000-0000-0000C01C0000}"/>
    <cellStyle name="20% - uthevingsfarge 5 20 2" xfId="505" xr:uid="{00000000-0005-0000-0000-0000C11C0000}"/>
    <cellStyle name="20% - uthevingsfarge 5 21" xfId="506" xr:uid="{00000000-0005-0000-0000-0000C21C0000}"/>
    <cellStyle name="20% - uthevingsfarge 5 22" xfId="507" xr:uid="{00000000-0005-0000-0000-0000C31C0000}"/>
    <cellStyle name="20% - uthevingsfarge 5 23" xfId="508" xr:uid="{00000000-0005-0000-0000-0000C41C0000}"/>
    <cellStyle name="20% - uthevingsfarge 5 24" xfId="509" xr:uid="{00000000-0005-0000-0000-0000C51C0000}"/>
    <cellStyle name="20% - uthevingsfarge 5 25" xfId="510" xr:uid="{00000000-0005-0000-0000-0000C61C0000}"/>
    <cellStyle name="20% - uthevingsfarge 5 26" xfId="511" xr:uid="{00000000-0005-0000-0000-0000C71C0000}"/>
    <cellStyle name="20% - uthevingsfarge 5 26 10" xfId="6919" xr:uid="{00000000-0005-0000-0000-0000C81C0000}"/>
    <cellStyle name="20% - uthevingsfarge 5 26 10 2" xfId="10334" xr:uid="{00000000-0005-0000-0000-0000C91C0000}"/>
    <cellStyle name="20% - uthevingsfarge 5 26 10 2 2" xfId="34302" xr:uid="{00000000-0005-0000-0000-0000CA1C0000}"/>
    <cellStyle name="20% - uthevingsfarge 5 26 10 3" xfId="30879" xr:uid="{00000000-0005-0000-0000-0000CB1C0000}"/>
    <cellStyle name="20% - uthevingsfarge 5 26 11" xfId="34267" xr:uid="{00000000-0005-0000-0000-0000CC1C0000}"/>
    <cellStyle name="20% - uthevingsfarge 5 26 2" xfId="512" xr:uid="{00000000-0005-0000-0000-0000CD1C0000}"/>
    <cellStyle name="20% - uthevingsfarge 5 26 3" xfId="3329" xr:uid="{00000000-0005-0000-0000-0000CE1C0000}"/>
    <cellStyle name="20% - uthevingsfarge 5 26 3 10" xfId="34162" xr:uid="{00000000-0005-0000-0000-0000CF1C0000}"/>
    <cellStyle name="20% - uthevingsfarge 5 26 3 2" xfId="3561" xr:uid="{00000000-0005-0000-0000-0000D01C0000}"/>
    <cellStyle name="20% - uthevingsfarge 5 26 3 2 10" xfId="47160" xr:uid="{00000000-0005-0000-0000-0000D11C0000}"/>
    <cellStyle name="20% - uthevingsfarge 5 26 3 2 2" xfId="3991" xr:uid="{00000000-0005-0000-0000-0000D21C0000}"/>
    <cellStyle name="20% - uthevingsfarge 5 26 3 2 2 2" xfId="5879" xr:uid="{00000000-0005-0000-0000-0000D31C0000}"/>
    <cellStyle name="20% - uthevingsfarge 5 26 3 2 2 2 2" xfId="9294" xr:uid="{00000000-0005-0000-0000-0000D41C0000}"/>
    <cellStyle name="20% - uthevingsfarge 5 26 3 2 2 2 2 2" xfId="22712" xr:uid="{00000000-0005-0000-0000-0000D51C0000}"/>
    <cellStyle name="20% - uthevingsfarge 5 26 3 2 2 2 2 2 2" xfId="38781" xr:uid="{00000000-0005-0000-0000-0000D61C0000}"/>
    <cellStyle name="20% - uthevingsfarge 5 26 3 2 2 2 2 3" xfId="28504" xr:uid="{00000000-0005-0000-0000-0000D71C0000}"/>
    <cellStyle name="20% - uthevingsfarge 5 26 3 2 2 2 3" xfId="20235" xr:uid="{00000000-0005-0000-0000-0000D81C0000}"/>
    <cellStyle name="20% - uthevingsfarge 5 26 3 2 2 2 3 2" xfId="36334" xr:uid="{00000000-0005-0000-0000-0000D91C0000}"/>
    <cellStyle name="20% - uthevingsfarge 5 26 3 2 2 2 4" xfId="31896" xr:uid="{00000000-0005-0000-0000-0000DA1C0000}"/>
    <cellStyle name="20% - uthevingsfarge 5 26 3 2 2 3" xfId="7597" xr:uid="{00000000-0005-0000-0000-0000DB1C0000}"/>
    <cellStyle name="20% - uthevingsfarge 5 26 3 2 2 3 2" xfId="20831" xr:uid="{00000000-0005-0000-0000-0000DC1C0000}"/>
    <cellStyle name="20% - uthevingsfarge 5 26 3 2 2 3 2 2" xfId="36930" xr:uid="{00000000-0005-0000-0000-0000DD1C0000}"/>
    <cellStyle name="20% - uthevingsfarge 5 26 3 2 2 3 3" xfId="30201" xr:uid="{00000000-0005-0000-0000-0000DE1C0000}"/>
    <cellStyle name="20% - uthevingsfarge 5 26 3 2 2 4" xfId="17983" xr:uid="{00000000-0005-0000-0000-0000DF1C0000}"/>
    <cellStyle name="20% - uthevingsfarge 5 26 3 2 2 5" xfId="11039" xr:uid="{00000000-0005-0000-0000-0000E01C0000}"/>
    <cellStyle name="20% - uthevingsfarge 5 26 3 2 2 5 2" xfId="34747" xr:uid="{00000000-0005-0000-0000-0000E11C0000}"/>
    <cellStyle name="20% - uthevingsfarge 5 26 3 2 2 6" xfId="33588" xr:uid="{00000000-0005-0000-0000-0000E21C0000}"/>
    <cellStyle name="20% - uthevingsfarge 5 26 3 2 3" xfId="4931" xr:uid="{00000000-0005-0000-0000-0000E31C0000}"/>
    <cellStyle name="20% - uthevingsfarge 5 26 3 2 3 10" xfId="47350" xr:uid="{00000000-0005-0000-0000-0000E41C0000}"/>
    <cellStyle name="20% - uthevingsfarge 5 26 3 2 3 2" xfId="6650" xr:uid="{00000000-0005-0000-0000-0000E51C0000}"/>
    <cellStyle name="20% - uthevingsfarge 5 26 3 2 3 2 2" xfId="10056" xr:uid="{00000000-0005-0000-0000-0000E61C0000}"/>
    <cellStyle name="20% - uthevingsfarge 5 26 3 2 3 2 2 2" xfId="24615" xr:uid="{00000000-0005-0000-0000-0000E71C0000}"/>
    <cellStyle name="20% - uthevingsfarge 5 26 3 2 3 2 2 2 2" xfId="40659" xr:uid="{00000000-0005-0000-0000-0000E81C0000}"/>
    <cellStyle name="20% - uthevingsfarge 5 26 3 2 3 2 2 3" xfId="27743" xr:uid="{00000000-0005-0000-0000-0000E91C0000}"/>
    <cellStyle name="20% - uthevingsfarge 5 26 3 2 3 2 3" xfId="23080" xr:uid="{00000000-0005-0000-0000-0000EA1C0000}"/>
    <cellStyle name="20% - uthevingsfarge 5 26 3 2 3 2 3 2" xfId="39149" xr:uid="{00000000-0005-0000-0000-0000EB1C0000}"/>
    <cellStyle name="20% - uthevingsfarge 5 26 3 2 3 2 4" xfId="31144" xr:uid="{00000000-0005-0000-0000-0000EC1C0000}"/>
    <cellStyle name="20% - uthevingsfarge 5 26 3 2 3 2 5" xfId="43044" xr:uid="{00000000-0005-0000-0000-0000ED1C0000}"/>
    <cellStyle name="20% - uthevingsfarge 5 26 3 2 3 2 6" xfId="43341" xr:uid="{00000000-0005-0000-0000-0000EE1C0000}"/>
    <cellStyle name="20% - uthevingsfarge 5 26 3 2 3 2 7" xfId="46189" xr:uid="{00000000-0005-0000-0000-0000EF1C0000}"/>
    <cellStyle name="20% - uthevingsfarge 5 26 3 2 3 2 8" xfId="46961" xr:uid="{00000000-0005-0000-0000-0000F01C0000}"/>
    <cellStyle name="20% - uthevingsfarge 5 26 3 2 3 2 9" xfId="47546" xr:uid="{00000000-0005-0000-0000-0000F11C0000}"/>
    <cellStyle name="20% - uthevingsfarge 5 26 3 2 3 3" xfId="8353" xr:uid="{00000000-0005-0000-0000-0000F21C0000}"/>
    <cellStyle name="20% - uthevingsfarge 5 26 3 2 3 3 2" xfId="24352" xr:uid="{00000000-0005-0000-0000-0000F31C0000}"/>
    <cellStyle name="20% - uthevingsfarge 5 26 3 2 3 3 2 2" xfId="40399" xr:uid="{00000000-0005-0000-0000-0000F41C0000}"/>
    <cellStyle name="20% - uthevingsfarge 5 26 3 2 3 3 3" xfId="29445" xr:uid="{00000000-0005-0000-0000-0000F51C0000}"/>
    <cellStyle name="20% - uthevingsfarge 5 26 3 2 3 3 4" xfId="43909" xr:uid="{00000000-0005-0000-0000-0000F61C0000}"/>
    <cellStyle name="20% - uthevingsfarge 5 26 3 2 3 4" xfId="16489" xr:uid="{00000000-0005-0000-0000-0000F71C0000}"/>
    <cellStyle name="20% - uthevingsfarge 5 26 3 2 3 4 2" xfId="35436" xr:uid="{00000000-0005-0000-0000-0000F81C0000}"/>
    <cellStyle name="20% - uthevingsfarge 5 26 3 2 3 5" xfId="25098" xr:uid="{00000000-0005-0000-0000-0000F91C0000}"/>
    <cellStyle name="20% - uthevingsfarge 5 26 3 2 3 6" xfId="25274" xr:uid="{00000000-0005-0000-0000-0000FA1C0000}"/>
    <cellStyle name="20% - uthevingsfarge 5 26 3 2 3 7" xfId="32836" xr:uid="{00000000-0005-0000-0000-0000FB1C0000}"/>
    <cellStyle name="20% - uthevingsfarge 5 26 3 2 3 8" xfId="43802" xr:uid="{00000000-0005-0000-0000-0000FC1C0000}"/>
    <cellStyle name="20% - uthevingsfarge 5 26 3 2 3 9" xfId="46727" xr:uid="{00000000-0005-0000-0000-0000FD1C0000}"/>
    <cellStyle name="20% - uthevingsfarge 5 26 3 2 4" xfId="5485" xr:uid="{00000000-0005-0000-0000-0000FE1C0000}"/>
    <cellStyle name="20% - uthevingsfarge 5 26 3 2 4 2" xfId="8900" xr:uid="{00000000-0005-0000-0000-0000FF1C0000}"/>
    <cellStyle name="20% - uthevingsfarge 5 26 3 2 4 2 2" xfId="19388" xr:uid="{00000000-0005-0000-0000-0000001D0000}"/>
    <cellStyle name="20% - uthevingsfarge 5 26 3 2 4 2 2 2" xfId="35502" xr:uid="{00000000-0005-0000-0000-0000011D0000}"/>
    <cellStyle name="20% - uthevingsfarge 5 26 3 2 4 2 3" xfId="28898" xr:uid="{00000000-0005-0000-0000-0000021D0000}"/>
    <cellStyle name="20% - uthevingsfarge 5 26 3 2 4 3" xfId="11995" xr:uid="{00000000-0005-0000-0000-0000031D0000}"/>
    <cellStyle name="20% - uthevingsfarge 5 26 3 2 4 3 2" xfId="35016" xr:uid="{00000000-0005-0000-0000-0000041D0000}"/>
    <cellStyle name="20% - uthevingsfarge 5 26 3 2 4 4" xfId="32289" xr:uid="{00000000-0005-0000-0000-0000051D0000}"/>
    <cellStyle name="20% - uthevingsfarge 5 26 3 2 5" xfId="7203" xr:uid="{00000000-0005-0000-0000-0000061D0000}"/>
    <cellStyle name="20% - uthevingsfarge 5 26 3 2 5 2" xfId="22181" xr:uid="{00000000-0005-0000-0000-0000071D0000}"/>
    <cellStyle name="20% - uthevingsfarge 5 26 3 2 5 2 2" xfId="38255" xr:uid="{00000000-0005-0000-0000-0000081D0000}"/>
    <cellStyle name="20% - uthevingsfarge 5 26 3 2 5 3" xfId="30595" xr:uid="{00000000-0005-0000-0000-0000091D0000}"/>
    <cellStyle name="20% - uthevingsfarge 5 26 3 2 6" xfId="10974" xr:uid="{00000000-0005-0000-0000-00000A1D0000}"/>
    <cellStyle name="20% - uthevingsfarge 5 26 3 2 7" xfId="33982" xr:uid="{00000000-0005-0000-0000-00000B1D0000}"/>
    <cellStyle name="20% - uthevingsfarge 5 26 3 2 8" xfId="43593" xr:uid="{00000000-0005-0000-0000-00000C1D0000}"/>
    <cellStyle name="20% - uthevingsfarge 5 26 3 2 9" xfId="46499" xr:uid="{00000000-0005-0000-0000-00000D1D0000}"/>
    <cellStyle name="20% - uthevingsfarge 5 26 3 2_Avviksanalyse løpende RNB15 (1)" xfId="16599" xr:uid="{00000000-0005-0000-0000-00000E1D0000}"/>
    <cellStyle name="20% - uthevingsfarge 5 26 3 3" xfId="3811" xr:uid="{00000000-0005-0000-0000-00000F1D0000}"/>
    <cellStyle name="20% - uthevingsfarge 5 26 3 3 2" xfId="5699" xr:uid="{00000000-0005-0000-0000-0000101D0000}"/>
    <cellStyle name="20% - uthevingsfarge 5 26 3 3 2 2" xfId="9114" xr:uid="{00000000-0005-0000-0000-0000111D0000}"/>
    <cellStyle name="20% - uthevingsfarge 5 26 3 3 2 2 2" xfId="22599" xr:uid="{00000000-0005-0000-0000-0000121D0000}"/>
    <cellStyle name="20% - uthevingsfarge 5 26 3 3 2 2 2 2" xfId="38668" xr:uid="{00000000-0005-0000-0000-0000131D0000}"/>
    <cellStyle name="20% - uthevingsfarge 5 26 3 3 2 2 3" xfId="28684" xr:uid="{00000000-0005-0000-0000-0000141D0000}"/>
    <cellStyle name="20% - uthevingsfarge 5 26 3 3 2 3" xfId="20174" xr:uid="{00000000-0005-0000-0000-0000151D0000}"/>
    <cellStyle name="20% - uthevingsfarge 5 26 3 3 2 3 2" xfId="36274" xr:uid="{00000000-0005-0000-0000-0000161D0000}"/>
    <cellStyle name="20% - uthevingsfarge 5 26 3 3 2 4" xfId="32075" xr:uid="{00000000-0005-0000-0000-0000171D0000}"/>
    <cellStyle name="20% - uthevingsfarge 5 26 3 3 3" xfId="7417" xr:uid="{00000000-0005-0000-0000-0000181D0000}"/>
    <cellStyle name="20% - uthevingsfarge 5 26 3 3 3 2" xfId="22449" xr:uid="{00000000-0005-0000-0000-0000191D0000}"/>
    <cellStyle name="20% - uthevingsfarge 5 26 3 3 3 2 2" xfId="38521" xr:uid="{00000000-0005-0000-0000-00001A1D0000}"/>
    <cellStyle name="20% - uthevingsfarge 5 26 3 3 3 3" xfId="30381" xr:uid="{00000000-0005-0000-0000-00001B1D0000}"/>
    <cellStyle name="20% - uthevingsfarge 5 26 3 3 4" xfId="21722" xr:uid="{00000000-0005-0000-0000-00001C1D0000}"/>
    <cellStyle name="20% - uthevingsfarge 5 26 3 3 4 2" xfId="37800" xr:uid="{00000000-0005-0000-0000-00001D1D0000}"/>
    <cellStyle name="20% - uthevingsfarge 5 26 3 3 5" xfId="33768" xr:uid="{00000000-0005-0000-0000-00001E1D0000}"/>
    <cellStyle name="20% - uthevingsfarge 5 26 3 4" xfId="4296" xr:uid="{00000000-0005-0000-0000-00001F1D0000}"/>
    <cellStyle name="20% - uthevingsfarge 5 26 3 4 2" xfId="6125" xr:uid="{00000000-0005-0000-0000-0000201D0000}"/>
    <cellStyle name="20% - uthevingsfarge 5 26 3 4 2 2" xfId="9539" xr:uid="{00000000-0005-0000-0000-0000211D0000}"/>
    <cellStyle name="20% - uthevingsfarge 5 26 3 4 2 2 2" xfId="10426" xr:uid="{00000000-0005-0000-0000-0000221D0000}"/>
    <cellStyle name="20% - uthevingsfarge 5 26 3 4 2 2 2 2" xfId="34358" xr:uid="{00000000-0005-0000-0000-0000231D0000}"/>
    <cellStyle name="20% - uthevingsfarge 5 26 3 4 2 2 3" xfId="28259" xr:uid="{00000000-0005-0000-0000-0000241D0000}"/>
    <cellStyle name="20% - uthevingsfarge 5 26 3 4 2 3" xfId="22315" xr:uid="{00000000-0005-0000-0000-0000251D0000}"/>
    <cellStyle name="20% - uthevingsfarge 5 26 3 4 2 3 2" xfId="38387" xr:uid="{00000000-0005-0000-0000-0000261D0000}"/>
    <cellStyle name="20% - uthevingsfarge 5 26 3 4 2 4" xfId="31654" xr:uid="{00000000-0005-0000-0000-0000271D0000}"/>
    <cellStyle name="20% - uthevingsfarge 5 26 3 4 3" xfId="7858" xr:uid="{00000000-0005-0000-0000-0000281D0000}"/>
    <cellStyle name="20% - uthevingsfarge 5 26 3 4 3 2" xfId="20929" xr:uid="{00000000-0005-0000-0000-0000291D0000}"/>
    <cellStyle name="20% - uthevingsfarge 5 26 3 4 3 2 2" xfId="37028" xr:uid="{00000000-0005-0000-0000-00002A1D0000}"/>
    <cellStyle name="20% - uthevingsfarge 5 26 3 4 3 3" xfId="29941" xr:uid="{00000000-0005-0000-0000-00002B1D0000}"/>
    <cellStyle name="20% - uthevingsfarge 5 26 3 4 4" xfId="23814" xr:uid="{00000000-0005-0000-0000-00002C1D0000}"/>
    <cellStyle name="20% - uthevingsfarge 5 26 3 4 4 2" xfId="39870" xr:uid="{00000000-0005-0000-0000-00002D1D0000}"/>
    <cellStyle name="20% - uthevingsfarge 5 26 3 4 5" xfId="33329" xr:uid="{00000000-0005-0000-0000-00002E1D0000}"/>
    <cellStyle name="20% - uthevingsfarge 5 26 3 5" xfId="4751" xr:uid="{00000000-0005-0000-0000-00002F1D0000}"/>
    <cellStyle name="20% - uthevingsfarge 5 26 3 5 2" xfId="6471" xr:uid="{00000000-0005-0000-0000-0000301D0000}"/>
    <cellStyle name="20% - uthevingsfarge 5 26 3 5 2 2" xfId="9877" xr:uid="{00000000-0005-0000-0000-0000311D0000}"/>
    <cellStyle name="20% - uthevingsfarge 5 26 3 5 2 2 2" xfId="24580" xr:uid="{00000000-0005-0000-0000-0000321D0000}"/>
    <cellStyle name="20% - uthevingsfarge 5 26 3 5 2 2 2 2" xfId="40624" xr:uid="{00000000-0005-0000-0000-0000331D0000}"/>
    <cellStyle name="20% - uthevingsfarge 5 26 3 5 2 2 3" xfId="27922" xr:uid="{00000000-0005-0000-0000-0000341D0000}"/>
    <cellStyle name="20% - uthevingsfarge 5 26 3 5 2 3" xfId="24048" xr:uid="{00000000-0005-0000-0000-0000351D0000}"/>
    <cellStyle name="20% - uthevingsfarge 5 26 3 5 2 3 2" xfId="40101" xr:uid="{00000000-0005-0000-0000-0000361D0000}"/>
    <cellStyle name="20% - uthevingsfarge 5 26 3 5 2 4" xfId="31323" xr:uid="{00000000-0005-0000-0000-0000371D0000}"/>
    <cellStyle name="20% - uthevingsfarge 5 26 3 5 3" xfId="8173" xr:uid="{00000000-0005-0000-0000-0000381D0000}"/>
    <cellStyle name="20% - uthevingsfarge 5 26 3 5 3 2" xfId="21023" xr:uid="{00000000-0005-0000-0000-0000391D0000}"/>
    <cellStyle name="20% - uthevingsfarge 5 26 3 5 3 2 2" xfId="37117" xr:uid="{00000000-0005-0000-0000-00003A1D0000}"/>
    <cellStyle name="20% - uthevingsfarge 5 26 3 5 3 3" xfId="29624" xr:uid="{00000000-0005-0000-0000-00003B1D0000}"/>
    <cellStyle name="20% - uthevingsfarge 5 26 3 5 4" xfId="12274" xr:uid="{00000000-0005-0000-0000-00003C1D0000}"/>
    <cellStyle name="20% - uthevingsfarge 5 26 3 5 4 2" xfId="35150" xr:uid="{00000000-0005-0000-0000-00003D1D0000}"/>
    <cellStyle name="20% - uthevingsfarge 5 26 3 5 5" xfId="33016" xr:uid="{00000000-0005-0000-0000-00003E1D0000}"/>
    <cellStyle name="20% - uthevingsfarge 5 26 3 6" xfId="5111" xr:uid="{00000000-0005-0000-0000-00003F1D0000}"/>
    <cellStyle name="20% - uthevingsfarge 5 26 3 6 2" xfId="6830" xr:uid="{00000000-0005-0000-0000-0000401D0000}"/>
    <cellStyle name="20% - uthevingsfarge 5 26 3 6 2 2" xfId="10236" xr:uid="{00000000-0005-0000-0000-0000411D0000}"/>
    <cellStyle name="20% - uthevingsfarge 5 26 3 6 2 2 2" xfId="24679" xr:uid="{00000000-0005-0000-0000-0000421D0000}"/>
    <cellStyle name="20% - uthevingsfarge 5 26 3 6 2 2 2 2" xfId="40722" xr:uid="{00000000-0005-0000-0000-0000431D0000}"/>
    <cellStyle name="20% - uthevingsfarge 5 26 3 6 2 2 3" xfId="27563" xr:uid="{00000000-0005-0000-0000-0000441D0000}"/>
    <cellStyle name="20% - uthevingsfarge 5 26 3 6 2 3" xfId="19435" xr:uid="{00000000-0005-0000-0000-0000451D0000}"/>
    <cellStyle name="20% - uthevingsfarge 5 26 3 6 2 3 2" xfId="35549" xr:uid="{00000000-0005-0000-0000-0000461D0000}"/>
    <cellStyle name="20% - uthevingsfarge 5 26 3 6 2 4" xfId="30964" xr:uid="{00000000-0005-0000-0000-0000471D0000}"/>
    <cellStyle name="20% - uthevingsfarge 5 26 3 6 3" xfId="8533" xr:uid="{00000000-0005-0000-0000-0000481D0000}"/>
    <cellStyle name="20% - uthevingsfarge 5 26 3 6 3 2" xfId="21123" xr:uid="{00000000-0005-0000-0000-0000491D0000}"/>
    <cellStyle name="20% - uthevingsfarge 5 26 3 6 3 2 2" xfId="37204" xr:uid="{00000000-0005-0000-0000-00004A1D0000}"/>
    <cellStyle name="20% - uthevingsfarge 5 26 3 6 3 3" xfId="29265" xr:uid="{00000000-0005-0000-0000-00004B1D0000}"/>
    <cellStyle name="20% - uthevingsfarge 5 26 3 6 4" xfId="22842" xr:uid="{00000000-0005-0000-0000-00004C1D0000}"/>
    <cellStyle name="20% - uthevingsfarge 5 26 3 6 4 2" xfId="38911" xr:uid="{00000000-0005-0000-0000-00004D1D0000}"/>
    <cellStyle name="20% - uthevingsfarge 5 26 3 6 5" xfId="32656" xr:uid="{00000000-0005-0000-0000-00004E1D0000}"/>
    <cellStyle name="20% - uthevingsfarge 5 26 3 7" xfId="5290" xr:uid="{00000000-0005-0000-0000-00004F1D0000}"/>
    <cellStyle name="20% - uthevingsfarge 5 26 3 7 2" xfId="8705" xr:uid="{00000000-0005-0000-0000-0000501D0000}"/>
    <cellStyle name="20% - uthevingsfarge 5 26 3 7 2 2" xfId="11792" xr:uid="{00000000-0005-0000-0000-0000511D0000}"/>
    <cellStyle name="20% - uthevingsfarge 5 26 3 7 2 2 2" xfId="34866" xr:uid="{00000000-0005-0000-0000-0000521D0000}"/>
    <cellStyle name="20% - uthevingsfarge 5 26 3 7 2 3" xfId="29093" xr:uid="{00000000-0005-0000-0000-0000531D0000}"/>
    <cellStyle name="20% - uthevingsfarge 5 26 3 7 3" xfId="10766" xr:uid="{00000000-0005-0000-0000-0000541D0000}"/>
    <cellStyle name="20% - uthevingsfarge 5 26 3 7 3 2" xfId="34589" xr:uid="{00000000-0005-0000-0000-0000551D0000}"/>
    <cellStyle name="20% - uthevingsfarge 5 26 3 7 4" xfId="32484" xr:uid="{00000000-0005-0000-0000-0000561D0000}"/>
    <cellStyle name="20% - uthevingsfarge 5 26 3 8" xfId="7023" xr:uid="{00000000-0005-0000-0000-0000571D0000}"/>
    <cellStyle name="20% - uthevingsfarge 5 26 3 8 2" xfId="24134" xr:uid="{00000000-0005-0000-0000-0000581D0000}"/>
    <cellStyle name="20% - uthevingsfarge 5 26 3 8 2 2" xfId="40187" xr:uid="{00000000-0005-0000-0000-0000591D0000}"/>
    <cellStyle name="20% - uthevingsfarge 5 26 3 8 3" xfId="30775" xr:uid="{00000000-0005-0000-0000-00005A1D0000}"/>
    <cellStyle name="20% - uthevingsfarge 5 26 3 9" xfId="10973" xr:uid="{00000000-0005-0000-0000-00005B1D0000}"/>
    <cellStyle name="20% - uthevingsfarge 5 26 4" xfId="3476" xr:uid="{00000000-0005-0000-0000-00005C1D0000}"/>
    <cellStyle name="20% - uthevingsfarge 5 26 4 10" xfId="47092" xr:uid="{00000000-0005-0000-0000-00005D1D0000}"/>
    <cellStyle name="20% - uthevingsfarge 5 26 4 2" xfId="3912" xr:uid="{00000000-0005-0000-0000-00005E1D0000}"/>
    <cellStyle name="20% - uthevingsfarge 5 26 4 2 2" xfId="5800" xr:uid="{00000000-0005-0000-0000-00005F1D0000}"/>
    <cellStyle name="20% - uthevingsfarge 5 26 4 2 2 2" xfId="9215" xr:uid="{00000000-0005-0000-0000-0000601D0000}"/>
    <cellStyle name="20% - uthevingsfarge 5 26 4 2 2 2 2" xfId="21318" xr:uid="{00000000-0005-0000-0000-0000611D0000}"/>
    <cellStyle name="20% - uthevingsfarge 5 26 4 2 2 2 2 2" xfId="37398" xr:uid="{00000000-0005-0000-0000-0000621D0000}"/>
    <cellStyle name="20% - uthevingsfarge 5 26 4 2 2 2 3" xfId="28583" xr:uid="{00000000-0005-0000-0000-0000631D0000}"/>
    <cellStyle name="20% - uthevingsfarge 5 26 4 2 2 3" xfId="22917" xr:uid="{00000000-0005-0000-0000-0000641D0000}"/>
    <cellStyle name="20% - uthevingsfarge 5 26 4 2 2 3 2" xfId="38986" xr:uid="{00000000-0005-0000-0000-0000651D0000}"/>
    <cellStyle name="20% - uthevingsfarge 5 26 4 2 2 4" xfId="31974" xr:uid="{00000000-0005-0000-0000-0000661D0000}"/>
    <cellStyle name="20% - uthevingsfarge 5 26 4 2 3" xfId="7518" xr:uid="{00000000-0005-0000-0000-0000671D0000}"/>
    <cellStyle name="20% - uthevingsfarge 5 26 4 2 3 2" xfId="11933" xr:uid="{00000000-0005-0000-0000-0000681D0000}"/>
    <cellStyle name="20% - uthevingsfarge 5 26 4 2 3 2 2" xfId="34956" xr:uid="{00000000-0005-0000-0000-0000691D0000}"/>
    <cellStyle name="20% - uthevingsfarge 5 26 4 2 3 3" xfId="30280" xr:uid="{00000000-0005-0000-0000-00006A1D0000}"/>
    <cellStyle name="20% - uthevingsfarge 5 26 4 2 4" xfId="17984" xr:uid="{00000000-0005-0000-0000-00006B1D0000}"/>
    <cellStyle name="20% - uthevingsfarge 5 26 4 2 5" xfId="21823" xr:uid="{00000000-0005-0000-0000-00006C1D0000}"/>
    <cellStyle name="20% - uthevingsfarge 5 26 4 2 5 2" xfId="37899" xr:uid="{00000000-0005-0000-0000-00006D1D0000}"/>
    <cellStyle name="20% - uthevingsfarge 5 26 4 2 6" xfId="33667" xr:uid="{00000000-0005-0000-0000-00006E1D0000}"/>
    <cellStyle name="20% - uthevingsfarge 5 26 4 3" xfId="4852" xr:uid="{00000000-0005-0000-0000-00006F1D0000}"/>
    <cellStyle name="20% - uthevingsfarge 5 26 4 3 10" xfId="47282" xr:uid="{00000000-0005-0000-0000-0000701D0000}"/>
    <cellStyle name="20% - uthevingsfarge 5 26 4 3 2" xfId="6571" xr:uid="{00000000-0005-0000-0000-0000711D0000}"/>
    <cellStyle name="20% - uthevingsfarge 5 26 4 3 2 2" xfId="9977" xr:uid="{00000000-0005-0000-0000-0000721D0000}"/>
    <cellStyle name="20% - uthevingsfarge 5 26 4 3 2 2 2" xfId="23594" xr:uid="{00000000-0005-0000-0000-0000731D0000}"/>
    <cellStyle name="20% - uthevingsfarge 5 26 4 3 2 2 2 2" xfId="39650" xr:uid="{00000000-0005-0000-0000-0000741D0000}"/>
    <cellStyle name="20% - uthevingsfarge 5 26 4 3 2 2 3" xfId="27822" xr:uid="{00000000-0005-0000-0000-0000751D0000}"/>
    <cellStyle name="20% - uthevingsfarge 5 26 4 3 2 3" xfId="20501" xr:uid="{00000000-0005-0000-0000-0000761D0000}"/>
    <cellStyle name="20% - uthevingsfarge 5 26 4 3 2 3 2" xfId="36600" xr:uid="{00000000-0005-0000-0000-0000771D0000}"/>
    <cellStyle name="20% - uthevingsfarge 5 26 4 3 2 4" xfId="31223" xr:uid="{00000000-0005-0000-0000-0000781D0000}"/>
    <cellStyle name="20% - uthevingsfarge 5 26 4 3 2 5" xfId="42837" xr:uid="{00000000-0005-0000-0000-0000791D0000}"/>
    <cellStyle name="20% - uthevingsfarge 5 26 4 3 2 6" xfId="43275" xr:uid="{00000000-0005-0000-0000-00007A1D0000}"/>
    <cellStyle name="20% - uthevingsfarge 5 26 4 3 2 7" xfId="46123" xr:uid="{00000000-0005-0000-0000-00007B1D0000}"/>
    <cellStyle name="20% - uthevingsfarge 5 26 4 3 2 8" xfId="46892" xr:uid="{00000000-0005-0000-0000-00007C1D0000}"/>
    <cellStyle name="20% - uthevingsfarge 5 26 4 3 2 9" xfId="47478" xr:uid="{00000000-0005-0000-0000-00007D1D0000}"/>
    <cellStyle name="20% - uthevingsfarge 5 26 4 3 3" xfId="8274" xr:uid="{00000000-0005-0000-0000-00007E1D0000}"/>
    <cellStyle name="20% - uthevingsfarge 5 26 4 3 3 2" xfId="11876" xr:uid="{00000000-0005-0000-0000-00007F1D0000}"/>
    <cellStyle name="20% - uthevingsfarge 5 26 4 3 3 2 2" xfId="34913" xr:uid="{00000000-0005-0000-0000-0000801D0000}"/>
    <cellStyle name="20% - uthevingsfarge 5 26 4 3 3 3" xfId="29523" xr:uid="{00000000-0005-0000-0000-0000811D0000}"/>
    <cellStyle name="20% - uthevingsfarge 5 26 4 3 3 4" xfId="43910" xr:uid="{00000000-0005-0000-0000-0000821D0000}"/>
    <cellStyle name="20% - uthevingsfarge 5 26 4 3 4" xfId="16282" xr:uid="{00000000-0005-0000-0000-0000831D0000}"/>
    <cellStyle name="20% - uthevingsfarge 5 26 4 3 4 2" xfId="35370" xr:uid="{00000000-0005-0000-0000-0000841D0000}"/>
    <cellStyle name="20% - uthevingsfarge 5 26 4 3 5" xfId="25029" xr:uid="{00000000-0005-0000-0000-0000851D0000}"/>
    <cellStyle name="20% - uthevingsfarge 5 26 4 3 6" xfId="25275" xr:uid="{00000000-0005-0000-0000-0000861D0000}"/>
    <cellStyle name="20% - uthevingsfarge 5 26 4 3 7" xfId="32915" xr:uid="{00000000-0005-0000-0000-0000871D0000}"/>
    <cellStyle name="20% - uthevingsfarge 5 26 4 3 8" xfId="43735" xr:uid="{00000000-0005-0000-0000-0000881D0000}"/>
    <cellStyle name="20% - uthevingsfarge 5 26 4 3 9" xfId="46661" xr:uid="{00000000-0005-0000-0000-0000891D0000}"/>
    <cellStyle name="20% - uthevingsfarge 5 26 4 4" xfId="5412" xr:uid="{00000000-0005-0000-0000-00008A1D0000}"/>
    <cellStyle name="20% - uthevingsfarge 5 26 4 4 2" xfId="8827" xr:uid="{00000000-0005-0000-0000-00008B1D0000}"/>
    <cellStyle name="20% - uthevingsfarge 5 26 4 4 2 2" xfId="23413" xr:uid="{00000000-0005-0000-0000-00008C1D0000}"/>
    <cellStyle name="20% - uthevingsfarge 5 26 4 4 2 2 2" xfId="39469" xr:uid="{00000000-0005-0000-0000-00008D1D0000}"/>
    <cellStyle name="20% - uthevingsfarge 5 26 4 4 2 3" xfId="28971" xr:uid="{00000000-0005-0000-0000-00008E1D0000}"/>
    <cellStyle name="20% - uthevingsfarge 5 26 4 4 3" xfId="19824" xr:uid="{00000000-0005-0000-0000-00008F1D0000}"/>
    <cellStyle name="20% - uthevingsfarge 5 26 4 4 3 2" xfId="35937" xr:uid="{00000000-0005-0000-0000-0000901D0000}"/>
    <cellStyle name="20% - uthevingsfarge 5 26 4 4 4" xfId="32362" xr:uid="{00000000-0005-0000-0000-0000911D0000}"/>
    <cellStyle name="20% - uthevingsfarge 5 26 4 5" xfId="7124" xr:uid="{00000000-0005-0000-0000-0000921D0000}"/>
    <cellStyle name="20% - uthevingsfarge 5 26 4 5 2" xfId="19848" xr:uid="{00000000-0005-0000-0000-0000931D0000}"/>
    <cellStyle name="20% - uthevingsfarge 5 26 4 5 2 2" xfId="35961" xr:uid="{00000000-0005-0000-0000-0000941D0000}"/>
    <cellStyle name="20% - uthevingsfarge 5 26 4 5 3" xfId="30674" xr:uid="{00000000-0005-0000-0000-0000951D0000}"/>
    <cellStyle name="20% - uthevingsfarge 5 26 4 6" xfId="10975" xr:uid="{00000000-0005-0000-0000-0000961D0000}"/>
    <cellStyle name="20% - uthevingsfarge 5 26 4 7" xfId="34061" xr:uid="{00000000-0005-0000-0000-0000971D0000}"/>
    <cellStyle name="20% - uthevingsfarge 5 26 4 8" xfId="43527" xr:uid="{00000000-0005-0000-0000-0000981D0000}"/>
    <cellStyle name="20% - uthevingsfarge 5 26 4 9" xfId="46431" xr:uid="{00000000-0005-0000-0000-0000991D0000}"/>
    <cellStyle name="20% - uthevingsfarge 5 26 4_Avviksanalyse løpende RNB15 (1)" xfId="16600" xr:uid="{00000000-0005-0000-0000-00009A1D0000}"/>
    <cellStyle name="20% - uthevingsfarge 5 26 5" xfId="3733" xr:uid="{00000000-0005-0000-0000-00009B1D0000}"/>
    <cellStyle name="20% - uthevingsfarge 5 26 5 2" xfId="5621" xr:uid="{00000000-0005-0000-0000-00009C1D0000}"/>
    <cellStyle name="20% - uthevingsfarge 5 26 5 2 2" xfId="9036" xr:uid="{00000000-0005-0000-0000-00009D1D0000}"/>
    <cellStyle name="20% - uthevingsfarge 5 26 5 2 2 2" xfId="19519" xr:uid="{00000000-0005-0000-0000-00009E1D0000}"/>
    <cellStyle name="20% - uthevingsfarge 5 26 5 2 2 2 2" xfId="35633" xr:uid="{00000000-0005-0000-0000-00009F1D0000}"/>
    <cellStyle name="20% - uthevingsfarge 5 26 5 2 2 3" xfId="28762" xr:uid="{00000000-0005-0000-0000-0000A01D0000}"/>
    <cellStyle name="20% - uthevingsfarge 5 26 5 2 3" xfId="22885" xr:uid="{00000000-0005-0000-0000-0000A11D0000}"/>
    <cellStyle name="20% - uthevingsfarge 5 26 5 2 3 2" xfId="38954" xr:uid="{00000000-0005-0000-0000-0000A21D0000}"/>
    <cellStyle name="20% - uthevingsfarge 5 26 5 2 4" xfId="32153" xr:uid="{00000000-0005-0000-0000-0000A31D0000}"/>
    <cellStyle name="20% - uthevingsfarge 5 26 5 3" xfId="7339" xr:uid="{00000000-0005-0000-0000-0000A41D0000}"/>
    <cellStyle name="20% - uthevingsfarge 5 26 5 3 2" xfId="20747" xr:uid="{00000000-0005-0000-0000-0000A51D0000}"/>
    <cellStyle name="20% - uthevingsfarge 5 26 5 3 2 2" xfId="36846" xr:uid="{00000000-0005-0000-0000-0000A61D0000}"/>
    <cellStyle name="20% - uthevingsfarge 5 26 5 3 3" xfId="30459" xr:uid="{00000000-0005-0000-0000-0000A71D0000}"/>
    <cellStyle name="20% - uthevingsfarge 5 26 5 4" xfId="23694" xr:uid="{00000000-0005-0000-0000-0000A81D0000}"/>
    <cellStyle name="20% - uthevingsfarge 5 26 5 4 2" xfId="39750" xr:uid="{00000000-0005-0000-0000-0000A91D0000}"/>
    <cellStyle name="20% - uthevingsfarge 5 26 5 5" xfId="33846" xr:uid="{00000000-0005-0000-0000-0000AA1D0000}"/>
    <cellStyle name="20% - uthevingsfarge 5 26 6" xfId="4206" xr:uid="{00000000-0005-0000-0000-0000AB1D0000}"/>
    <cellStyle name="20% - uthevingsfarge 5 26 6 2" xfId="6043" xr:uid="{00000000-0005-0000-0000-0000AC1D0000}"/>
    <cellStyle name="20% - uthevingsfarge 5 26 6 2 2" xfId="9458" xr:uid="{00000000-0005-0000-0000-0000AD1D0000}"/>
    <cellStyle name="20% - uthevingsfarge 5 26 6 2 2 2" xfId="10438" xr:uid="{00000000-0005-0000-0000-0000AE1D0000}"/>
    <cellStyle name="20% - uthevingsfarge 5 26 6 2 2 2 2" xfId="34364" xr:uid="{00000000-0005-0000-0000-0000AF1D0000}"/>
    <cellStyle name="20% - uthevingsfarge 5 26 6 2 2 3" xfId="28340" xr:uid="{00000000-0005-0000-0000-0000B01D0000}"/>
    <cellStyle name="20% - uthevingsfarge 5 26 6 2 3" xfId="23967" xr:uid="{00000000-0005-0000-0000-0000B11D0000}"/>
    <cellStyle name="20% - uthevingsfarge 5 26 6 2 3 2" xfId="40021" xr:uid="{00000000-0005-0000-0000-0000B21D0000}"/>
    <cellStyle name="20% - uthevingsfarge 5 26 6 2 4" xfId="31735" xr:uid="{00000000-0005-0000-0000-0000B31D0000}"/>
    <cellStyle name="20% - uthevingsfarge 5 26 6 3" xfId="7776" xr:uid="{00000000-0005-0000-0000-0000B41D0000}"/>
    <cellStyle name="20% - uthevingsfarge 5 26 6 3 2" xfId="22675" xr:uid="{00000000-0005-0000-0000-0000B51D0000}"/>
    <cellStyle name="20% - uthevingsfarge 5 26 6 3 2 2" xfId="38744" xr:uid="{00000000-0005-0000-0000-0000B61D0000}"/>
    <cellStyle name="20% - uthevingsfarge 5 26 6 3 3" xfId="30023" xr:uid="{00000000-0005-0000-0000-0000B71D0000}"/>
    <cellStyle name="20% - uthevingsfarge 5 26 6 4" xfId="19983" xr:uid="{00000000-0005-0000-0000-0000B81D0000}"/>
    <cellStyle name="20% - uthevingsfarge 5 26 6 4 2" xfId="36087" xr:uid="{00000000-0005-0000-0000-0000B91D0000}"/>
    <cellStyle name="20% - uthevingsfarge 5 26 6 5" xfId="33411" xr:uid="{00000000-0005-0000-0000-0000BA1D0000}"/>
    <cellStyle name="20% - uthevingsfarge 5 26 7" xfId="4668" xr:uid="{00000000-0005-0000-0000-0000BB1D0000}"/>
    <cellStyle name="20% - uthevingsfarge 5 26 7 2" xfId="6388" xr:uid="{00000000-0005-0000-0000-0000BC1D0000}"/>
    <cellStyle name="20% - uthevingsfarge 5 26 7 2 2" xfId="9798" xr:uid="{00000000-0005-0000-0000-0000BD1D0000}"/>
    <cellStyle name="20% - uthevingsfarge 5 26 7 2 2 2" xfId="21488" xr:uid="{00000000-0005-0000-0000-0000BE1D0000}"/>
    <cellStyle name="20% - uthevingsfarge 5 26 7 2 2 2 2" xfId="37568" xr:uid="{00000000-0005-0000-0000-0000BF1D0000}"/>
    <cellStyle name="20% - uthevingsfarge 5 26 7 2 2 3" xfId="28001" xr:uid="{00000000-0005-0000-0000-0000C01D0000}"/>
    <cellStyle name="20% - uthevingsfarge 5 26 7 2 3" xfId="20433" xr:uid="{00000000-0005-0000-0000-0000C11D0000}"/>
    <cellStyle name="20% - uthevingsfarge 5 26 7 2 3 2" xfId="36532" xr:uid="{00000000-0005-0000-0000-0000C21D0000}"/>
    <cellStyle name="20% - uthevingsfarge 5 26 7 2 4" xfId="31402" xr:uid="{00000000-0005-0000-0000-0000C31D0000}"/>
    <cellStyle name="20% - uthevingsfarge 5 26 7 3" xfId="8094" xr:uid="{00000000-0005-0000-0000-0000C41D0000}"/>
    <cellStyle name="20% - uthevingsfarge 5 26 7 3 2" xfId="19894" xr:uid="{00000000-0005-0000-0000-0000C51D0000}"/>
    <cellStyle name="20% - uthevingsfarge 5 26 7 3 2 2" xfId="36007" xr:uid="{00000000-0005-0000-0000-0000C61D0000}"/>
    <cellStyle name="20% - uthevingsfarge 5 26 7 3 3" xfId="29704" xr:uid="{00000000-0005-0000-0000-0000C71D0000}"/>
    <cellStyle name="20% - uthevingsfarge 5 26 7 4" xfId="19679" xr:uid="{00000000-0005-0000-0000-0000C81D0000}"/>
    <cellStyle name="20% - uthevingsfarge 5 26 7 4 2" xfId="35793" xr:uid="{00000000-0005-0000-0000-0000C91D0000}"/>
    <cellStyle name="20% - uthevingsfarge 5 26 7 5" xfId="33095" xr:uid="{00000000-0005-0000-0000-0000CA1D0000}"/>
    <cellStyle name="20% - uthevingsfarge 5 26 8" xfId="5032" xr:uid="{00000000-0005-0000-0000-0000CB1D0000}"/>
    <cellStyle name="20% - uthevingsfarge 5 26 8 2" xfId="6751" xr:uid="{00000000-0005-0000-0000-0000CC1D0000}"/>
    <cellStyle name="20% - uthevingsfarge 5 26 8 2 2" xfId="10157" xr:uid="{00000000-0005-0000-0000-0000CD1D0000}"/>
    <cellStyle name="20% - uthevingsfarge 5 26 8 2 2 2" xfId="23630" xr:uid="{00000000-0005-0000-0000-0000CE1D0000}"/>
    <cellStyle name="20% - uthevingsfarge 5 26 8 2 2 2 2" xfId="39686" xr:uid="{00000000-0005-0000-0000-0000CF1D0000}"/>
    <cellStyle name="20% - uthevingsfarge 5 26 8 2 2 3" xfId="27642" xr:uid="{00000000-0005-0000-0000-0000D01D0000}"/>
    <cellStyle name="20% - uthevingsfarge 5 26 8 2 3" xfId="22153" xr:uid="{00000000-0005-0000-0000-0000D11D0000}"/>
    <cellStyle name="20% - uthevingsfarge 5 26 8 2 3 2" xfId="38227" xr:uid="{00000000-0005-0000-0000-0000D21D0000}"/>
    <cellStyle name="20% - uthevingsfarge 5 26 8 2 4" xfId="31043" xr:uid="{00000000-0005-0000-0000-0000D31D0000}"/>
    <cellStyle name="20% - uthevingsfarge 5 26 8 3" xfId="8454" xr:uid="{00000000-0005-0000-0000-0000D41D0000}"/>
    <cellStyle name="20% - uthevingsfarge 5 26 8 3 2" xfId="21873" xr:uid="{00000000-0005-0000-0000-0000D51D0000}"/>
    <cellStyle name="20% - uthevingsfarge 5 26 8 3 2 2" xfId="37949" xr:uid="{00000000-0005-0000-0000-0000D61D0000}"/>
    <cellStyle name="20% - uthevingsfarge 5 26 8 3 3" xfId="29344" xr:uid="{00000000-0005-0000-0000-0000D71D0000}"/>
    <cellStyle name="20% - uthevingsfarge 5 26 8 4" xfId="10854" xr:uid="{00000000-0005-0000-0000-0000D81D0000}"/>
    <cellStyle name="20% - uthevingsfarge 5 26 8 4 2" xfId="34652" xr:uid="{00000000-0005-0000-0000-0000D91D0000}"/>
    <cellStyle name="20% - uthevingsfarge 5 26 8 5" xfId="32735" xr:uid="{00000000-0005-0000-0000-0000DA1D0000}"/>
    <cellStyle name="20% - uthevingsfarge 5 26 9" xfId="5196" xr:uid="{00000000-0005-0000-0000-0000DB1D0000}"/>
    <cellStyle name="20% - uthevingsfarge 5 26 9 2" xfId="8615" xr:uid="{00000000-0005-0000-0000-0000DC1D0000}"/>
    <cellStyle name="20% - uthevingsfarge 5 26 9 2 2" xfId="21138" xr:uid="{00000000-0005-0000-0000-0000DD1D0000}"/>
    <cellStyle name="20% - uthevingsfarge 5 26 9 2 2 2" xfId="37218" xr:uid="{00000000-0005-0000-0000-0000DE1D0000}"/>
    <cellStyle name="20% - uthevingsfarge 5 26 9 2 3" xfId="29183" xr:uid="{00000000-0005-0000-0000-0000DF1D0000}"/>
    <cellStyle name="20% - uthevingsfarge 5 26 9 3" xfId="19782" xr:uid="{00000000-0005-0000-0000-0000E01D0000}"/>
    <cellStyle name="20% - uthevingsfarge 5 26 9 3 2" xfId="35896" xr:uid="{00000000-0005-0000-0000-0000E11D0000}"/>
    <cellStyle name="20% - uthevingsfarge 5 26 9 4" xfId="32574" xr:uid="{00000000-0005-0000-0000-0000E21D0000}"/>
    <cellStyle name="20% - uthevingsfarge 5 27" xfId="3449" xr:uid="{00000000-0005-0000-0000-0000E31D0000}"/>
    <cellStyle name="20% - uthevingsfarge 5 27 2" xfId="3640" xr:uid="{00000000-0005-0000-0000-0000E41D0000}"/>
    <cellStyle name="20% - uthevingsfarge 5 27 2 2" xfId="4068" xr:uid="{00000000-0005-0000-0000-0000E51D0000}"/>
    <cellStyle name="20% - uthevingsfarge 5 27 2 2 2" xfId="5956" xr:uid="{00000000-0005-0000-0000-0000E61D0000}"/>
    <cellStyle name="20% - uthevingsfarge 5 27 2 2 2 2" xfId="9371" xr:uid="{00000000-0005-0000-0000-0000E71D0000}"/>
    <cellStyle name="20% - uthevingsfarge 5 27 2 2 2 2 2" xfId="23499" xr:uid="{00000000-0005-0000-0000-0000E81D0000}"/>
    <cellStyle name="20% - uthevingsfarge 5 27 2 2 2 2 2 2" xfId="39555" xr:uid="{00000000-0005-0000-0000-0000E91D0000}"/>
    <cellStyle name="20% - uthevingsfarge 5 27 2 2 2 2 3" xfId="28427" xr:uid="{00000000-0005-0000-0000-0000EA1D0000}"/>
    <cellStyle name="20% - uthevingsfarge 5 27 2 2 2 3" xfId="20264" xr:uid="{00000000-0005-0000-0000-0000EB1D0000}"/>
    <cellStyle name="20% - uthevingsfarge 5 27 2 2 2 3 2" xfId="36363" xr:uid="{00000000-0005-0000-0000-0000EC1D0000}"/>
    <cellStyle name="20% - uthevingsfarge 5 27 2 2 2 4" xfId="31822" xr:uid="{00000000-0005-0000-0000-0000ED1D0000}"/>
    <cellStyle name="20% - uthevingsfarge 5 27 2 2 3" xfId="7674" xr:uid="{00000000-0005-0000-0000-0000EE1D0000}"/>
    <cellStyle name="20% - uthevingsfarge 5 27 2 2 3 2" xfId="22567" xr:uid="{00000000-0005-0000-0000-0000EF1D0000}"/>
    <cellStyle name="20% - uthevingsfarge 5 27 2 2 3 2 2" xfId="38636" xr:uid="{00000000-0005-0000-0000-0000F01D0000}"/>
    <cellStyle name="20% - uthevingsfarge 5 27 2 2 3 3" xfId="30124" xr:uid="{00000000-0005-0000-0000-0000F11D0000}"/>
    <cellStyle name="20% - uthevingsfarge 5 27 2 2 4" xfId="22683" xr:uid="{00000000-0005-0000-0000-0000F21D0000}"/>
    <cellStyle name="20% - uthevingsfarge 5 27 2 2 4 2" xfId="38752" xr:uid="{00000000-0005-0000-0000-0000F31D0000}"/>
    <cellStyle name="20% - uthevingsfarge 5 27 2 2 5" xfId="33511" xr:uid="{00000000-0005-0000-0000-0000F41D0000}"/>
    <cellStyle name="20% - uthevingsfarge 5 27 2 3" xfId="5008" xr:uid="{00000000-0005-0000-0000-0000F51D0000}"/>
    <cellStyle name="20% - uthevingsfarge 5 27 2 3 2" xfId="6727" xr:uid="{00000000-0005-0000-0000-0000F61D0000}"/>
    <cellStyle name="20% - uthevingsfarge 5 27 2 3 2 2" xfId="10133" xr:uid="{00000000-0005-0000-0000-0000F71D0000}"/>
    <cellStyle name="20% - uthevingsfarge 5 27 2 3 2 2 2" xfId="21619" xr:uid="{00000000-0005-0000-0000-0000F81D0000}"/>
    <cellStyle name="20% - uthevingsfarge 5 27 2 3 2 2 2 2" xfId="37699" xr:uid="{00000000-0005-0000-0000-0000F91D0000}"/>
    <cellStyle name="20% - uthevingsfarge 5 27 2 3 2 2 3" xfId="27666" xr:uid="{00000000-0005-0000-0000-0000FA1D0000}"/>
    <cellStyle name="20% - uthevingsfarge 5 27 2 3 2 3" xfId="10658" xr:uid="{00000000-0005-0000-0000-0000FB1D0000}"/>
    <cellStyle name="20% - uthevingsfarge 5 27 2 3 2 3 2" xfId="34506" xr:uid="{00000000-0005-0000-0000-0000FC1D0000}"/>
    <cellStyle name="20% - uthevingsfarge 5 27 2 3 2 4" xfId="31067" xr:uid="{00000000-0005-0000-0000-0000FD1D0000}"/>
    <cellStyle name="20% - uthevingsfarge 5 27 2 3 3" xfId="8430" xr:uid="{00000000-0005-0000-0000-0000FE1D0000}"/>
    <cellStyle name="20% - uthevingsfarge 5 27 2 3 3 2" xfId="11858" xr:uid="{00000000-0005-0000-0000-0000FF1D0000}"/>
    <cellStyle name="20% - uthevingsfarge 5 27 2 3 3 2 2" xfId="34900" xr:uid="{00000000-0005-0000-0000-0000001E0000}"/>
    <cellStyle name="20% - uthevingsfarge 5 27 2 3 3 3" xfId="29368" xr:uid="{00000000-0005-0000-0000-0000011E0000}"/>
    <cellStyle name="20% - uthevingsfarge 5 27 2 3 4" xfId="10860" xr:uid="{00000000-0005-0000-0000-0000021E0000}"/>
    <cellStyle name="20% - uthevingsfarge 5 27 2 3 4 2" xfId="34658" xr:uid="{00000000-0005-0000-0000-0000031E0000}"/>
    <cellStyle name="20% - uthevingsfarge 5 27 2 3 5" xfId="32759" xr:uid="{00000000-0005-0000-0000-0000041E0000}"/>
    <cellStyle name="20% - uthevingsfarge 5 27 2 4" xfId="5562" xr:uid="{00000000-0005-0000-0000-0000051E0000}"/>
    <cellStyle name="20% - uthevingsfarge 5 27 2 4 2" xfId="8977" xr:uid="{00000000-0005-0000-0000-0000061E0000}"/>
    <cellStyle name="20% - uthevingsfarge 5 27 2 4 2 2" xfId="19518" xr:uid="{00000000-0005-0000-0000-0000071E0000}"/>
    <cellStyle name="20% - uthevingsfarge 5 27 2 4 2 2 2" xfId="35632" xr:uid="{00000000-0005-0000-0000-0000081E0000}"/>
    <cellStyle name="20% - uthevingsfarge 5 27 2 4 2 3" xfId="28821" xr:uid="{00000000-0005-0000-0000-0000091E0000}"/>
    <cellStyle name="20% - uthevingsfarge 5 27 2 4 3" xfId="22073" xr:uid="{00000000-0005-0000-0000-00000A1E0000}"/>
    <cellStyle name="20% - uthevingsfarge 5 27 2 4 3 2" xfId="38147" xr:uid="{00000000-0005-0000-0000-00000B1E0000}"/>
    <cellStyle name="20% - uthevingsfarge 5 27 2 4 4" xfId="32212" xr:uid="{00000000-0005-0000-0000-00000C1E0000}"/>
    <cellStyle name="20% - uthevingsfarge 5 27 2 5" xfId="7280" xr:uid="{00000000-0005-0000-0000-00000D1E0000}"/>
    <cellStyle name="20% - uthevingsfarge 5 27 2 5 2" xfId="20721" xr:uid="{00000000-0005-0000-0000-00000E1E0000}"/>
    <cellStyle name="20% - uthevingsfarge 5 27 2 5 2 2" xfId="36820" xr:uid="{00000000-0005-0000-0000-00000F1E0000}"/>
    <cellStyle name="20% - uthevingsfarge 5 27 2 5 3" xfId="30518" xr:uid="{00000000-0005-0000-0000-0000101E0000}"/>
    <cellStyle name="20% - uthevingsfarge 5 27 2 6" xfId="11087" xr:uid="{00000000-0005-0000-0000-0000111E0000}"/>
    <cellStyle name="20% - uthevingsfarge 5 27 2 6 2" xfId="34790" xr:uid="{00000000-0005-0000-0000-0000121E0000}"/>
    <cellStyle name="20% - uthevingsfarge 5 27 2 7" xfId="33905" xr:uid="{00000000-0005-0000-0000-0000131E0000}"/>
    <cellStyle name="20% - uthevingsfarge 5 27 3" xfId="3888" xr:uid="{00000000-0005-0000-0000-0000141E0000}"/>
    <cellStyle name="20% - uthevingsfarge 5 27 3 2" xfId="5776" xr:uid="{00000000-0005-0000-0000-0000151E0000}"/>
    <cellStyle name="20% - uthevingsfarge 5 27 3 2 2" xfId="9191" xr:uid="{00000000-0005-0000-0000-0000161E0000}"/>
    <cellStyle name="20% - uthevingsfarge 5 27 3 2 2 2" xfId="21926" xr:uid="{00000000-0005-0000-0000-0000171E0000}"/>
    <cellStyle name="20% - uthevingsfarge 5 27 3 2 2 2 2" xfId="38001" xr:uid="{00000000-0005-0000-0000-0000181E0000}"/>
    <cellStyle name="20% - uthevingsfarge 5 27 3 2 2 3" xfId="28607" xr:uid="{00000000-0005-0000-0000-0000191E0000}"/>
    <cellStyle name="20% - uthevingsfarge 5 27 3 2 3" xfId="22912" xr:uid="{00000000-0005-0000-0000-00001A1E0000}"/>
    <cellStyle name="20% - uthevingsfarge 5 27 3 2 3 2" xfId="38981" xr:uid="{00000000-0005-0000-0000-00001B1E0000}"/>
    <cellStyle name="20% - uthevingsfarge 5 27 3 2 4" xfId="31998" xr:uid="{00000000-0005-0000-0000-00001C1E0000}"/>
    <cellStyle name="20% - uthevingsfarge 5 27 3 3" xfId="7494" xr:uid="{00000000-0005-0000-0000-00001D1E0000}"/>
    <cellStyle name="20% - uthevingsfarge 5 27 3 3 2" xfId="20805" xr:uid="{00000000-0005-0000-0000-00001E1E0000}"/>
    <cellStyle name="20% - uthevingsfarge 5 27 3 3 2 2" xfId="36904" xr:uid="{00000000-0005-0000-0000-00001F1E0000}"/>
    <cellStyle name="20% - uthevingsfarge 5 27 3 3 3" xfId="30304" xr:uid="{00000000-0005-0000-0000-0000201E0000}"/>
    <cellStyle name="20% - uthevingsfarge 5 27 3 4" xfId="19553" xr:uid="{00000000-0005-0000-0000-0000211E0000}"/>
    <cellStyle name="20% - uthevingsfarge 5 27 3 4 2" xfId="35667" xr:uid="{00000000-0005-0000-0000-0000221E0000}"/>
    <cellStyle name="20% - uthevingsfarge 5 27 3 5" xfId="33691" xr:uid="{00000000-0005-0000-0000-0000231E0000}"/>
    <cellStyle name="20% - uthevingsfarge 5 27 4" xfId="4828" xr:uid="{00000000-0005-0000-0000-0000241E0000}"/>
    <cellStyle name="20% - uthevingsfarge 5 27 4 2" xfId="6547" xr:uid="{00000000-0005-0000-0000-0000251E0000}"/>
    <cellStyle name="20% - uthevingsfarge 5 27 4 2 2" xfId="9953" xr:uid="{00000000-0005-0000-0000-0000261E0000}"/>
    <cellStyle name="20% - uthevingsfarge 5 27 4 2 2 2" xfId="21547" xr:uid="{00000000-0005-0000-0000-0000271E0000}"/>
    <cellStyle name="20% - uthevingsfarge 5 27 4 2 2 2 2" xfId="37627" xr:uid="{00000000-0005-0000-0000-0000281E0000}"/>
    <cellStyle name="20% - uthevingsfarge 5 27 4 2 2 3" xfId="27846" xr:uid="{00000000-0005-0000-0000-0000291E0000}"/>
    <cellStyle name="20% - uthevingsfarge 5 27 4 2 3" xfId="23059" xr:uid="{00000000-0005-0000-0000-00002A1E0000}"/>
    <cellStyle name="20% - uthevingsfarge 5 27 4 2 3 2" xfId="39128" xr:uid="{00000000-0005-0000-0000-00002B1E0000}"/>
    <cellStyle name="20% - uthevingsfarge 5 27 4 2 4" xfId="31247" xr:uid="{00000000-0005-0000-0000-00002C1E0000}"/>
    <cellStyle name="20% - uthevingsfarge 5 27 4 3" xfId="8250" xr:uid="{00000000-0005-0000-0000-00002D1E0000}"/>
    <cellStyle name="20% - uthevingsfarge 5 27 4 3 2" xfId="22516" xr:uid="{00000000-0005-0000-0000-00002E1E0000}"/>
    <cellStyle name="20% - uthevingsfarge 5 27 4 3 2 2" xfId="38586" xr:uid="{00000000-0005-0000-0000-00002F1E0000}"/>
    <cellStyle name="20% - uthevingsfarge 5 27 4 3 3" xfId="29547" xr:uid="{00000000-0005-0000-0000-0000301E0000}"/>
    <cellStyle name="20% - uthevingsfarge 5 27 4 4" xfId="12259" xr:uid="{00000000-0005-0000-0000-0000311E0000}"/>
    <cellStyle name="20% - uthevingsfarge 5 27 4 4 2" xfId="35135" xr:uid="{00000000-0005-0000-0000-0000321E0000}"/>
    <cellStyle name="20% - uthevingsfarge 5 27 4 5" xfId="32939" xr:uid="{00000000-0005-0000-0000-0000331E0000}"/>
    <cellStyle name="20% - uthevingsfarge 5 27 5" xfId="5392" xr:uid="{00000000-0005-0000-0000-0000341E0000}"/>
    <cellStyle name="20% - uthevingsfarge 5 27 5 2" xfId="8807" xr:uid="{00000000-0005-0000-0000-0000351E0000}"/>
    <cellStyle name="20% - uthevingsfarge 5 27 5 2 2" xfId="24656" xr:uid="{00000000-0005-0000-0000-0000361E0000}"/>
    <cellStyle name="20% - uthevingsfarge 5 27 5 2 2 2" xfId="40699" xr:uid="{00000000-0005-0000-0000-0000371E0000}"/>
    <cellStyle name="20% - uthevingsfarge 5 27 5 2 3" xfId="28991" xr:uid="{00000000-0005-0000-0000-0000381E0000}"/>
    <cellStyle name="20% - uthevingsfarge 5 27 5 3" xfId="22241" xr:uid="{00000000-0005-0000-0000-0000391E0000}"/>
    <cellStyle name="20% - uthevingsfarge 5 27 5 3 2" xfId="38315" xr:uid="{00000000-0005-0000-0000-00003A1E0000}"/>
    <cellStyle name="20% - uthevingsfarge 5 27 5 4" xfId="32382" xr:uid="{00000000-0005-0000-0000-00003B1E0000}"/>
    <cellStyle name="20% - uthevingsfarge 5 27 6" xfId="7100" xr:uid="{00000000-0005-0000-0000-00003C1E0000}"/>
    <cellStyle name="20% - uthevingsfarge 5 27 6 2" xfId="20666" xr:uid="{00000000-0005-0000-0000-00003D1E0000}"/>
    <cellStyle name="20% - uthevingsfarge 5 27 6 2 2" xfId="36765" xr:uid="{00000000-0005-0000-0000-00003E1E0000}"/>
    <cellStyle name="20% - uthevingsfarge 5 27 6 3" xfId="30698" xr:uid="{00000000-0005-0000-0000-00003F1E0000}"/>
    <cellStyle name="20% - uthevingsfarge 5 27 7" xfId="19915" xr:uid="{00000000-0005-0000-0000-0000401E0000}"/>
    <cellStyle name="20% - uthevingsfarge 5 27 7 2" xfId="36019" xr:uid="{00000000-0005-0000-0000-0000411E0000}"/>
    <cellStyle name="20% - uthevingsfarge 5 27 8" xfId="34085" xr:uid="{00000000-0005-0000-0000-0000421E0000}"/>
    <cellStyle name="20% - uthevingsfarge 5 28" xfId="4452" xr:uid="{00000000-0005-0000-0000-0000431E0000}"/>
    <cellStyle name="20% - uthevingsfarge 5 28 2" xfId="6249" xr:uid="{00000000-0005-0000-0000-0000441E0000}"/>
    <cellStyle name="20% - uthevingsfarge 5 28 2 2" xfId="9659" xr:uid="{00000000-0005-0000-0000-0000451E0000}"/>
    <cellStyle name="20% - uthevingsfarge 5 28 2 2 2" xfId="23538" xr:uid="{00000000-0005-0000-0000-0000461E0000}"/>
    <cellStyle name="20% - uthevingsfarge 5 28 2 2 2 2" xfId="39594" xr:uid="{00000000-0005-0000-0000-0000471E0000}"/>
    <cellStyle name="20% - uthevingsfarge 5 28 2 2 3" xfId="28140" xr:uid="{00000000-0005-0000-0000-0000481E0000}"/>
    <cellStyle name="20% - uthevingsfarge 5 28 2 3" xfId="22333" xr:uid="{00000000-0005-0000-0000-0000491E0000}"/>
    <cellStyle name="20% - uthevingsfarge 5 28 2 3 2" xfId="38405" xr:uid="{00000000-0005-0000-0000-00004A1E0000}"/>
    <cellStyle name="20% - uthevingsfarge 5 28 2 4" xfId="31541" xr:uid="{00000000-0005-0000-0000-00004B1E0000}"/>
    <cellStyle name="20% - uthevingsfarge 5 28 3" xfId="7955" xr:uid="{00000000-0005-0000-0000-00004C1E0000}"/>
    <cellStyle name="20% - uthevingsfarge 5 28 3 2" xfId="22044" xr:uid="{00000000-0005-0000-0000-00004D1E0000}"/>
    <cellStyle name="20% - uthevingsfarge 5 28 3 2 2" xfId="38119" xr:uid="{00000000-0005-0000-0000-00004E1E0000}"/>
    <cellStyle name="20% - uthevingsfarge 5 28 3 3" xfId="29844" xr:uid="{00000000-0005-0000-0000-00004F1E0000}"/>
    <cellStyle name="20% - uthevingsfarge 5 28 4" xfId="20014" xr:uid="{00000000-0005-0000-0000-0000501E0000}"/>
    <cellStyle name="20% - uthevingsfarge 5 28 4 2" xfId="36118" xr:uid="{00000000-0005-0000-0000-0000511E0000}"/>
    <cellStyle name="20% - uthevingsfarge 5 28 5" xfId="33233" xr:uid="{00000000-0005-0000-0000-0000521E0000}"/>
    <cellStyle name="20% - uthevingsfarge 5 29" xfId="5357" xr:uid="{00000000-0005-0000-0000-0000531E0000}"/>
    <cellStyle name="20% - uthevingsfarge 5 29 2" xfId="8772" xr:uid="{00000000-0005-0000-0000-0000541E0000}"/>
    <cellStyle name="20% - uthevingsfarge 5 29 2 2" xfId="10493" xr:uid="{00000000-0005-0000-0000-0000551E0000}"/>
    <cellStyle name="20% - uthevingsfarge 5 29 2 2 2" xfId="34391" xr:uid="{00000000-0005-0000-0000-0000561E0000}"/>
    <cellStyle name="20% - uthevingsfarge 5 29 2 3" xfId="29026" xr:uid="{00000000-0005-0000-0000-0000571E0000}"/>
    <cellStyle name="20% - uthevingsfarge 5 29 3" xfId="10725" xr:uid="{00000000-0005-0000-0000-0000581E0000}"/>
    <cellStyle name="20% - uthevingsfarge 5 29 3 2" xfId="34573" xr:uid="{00000000-0005-0000-0000-0000591E0000}"/>
    <cellStyle name="20% - uthevingsfarge 5 29 4" xfId="32417" xr:uid="{00000000-0005-0000-0000-00005A1E0000}"/>
    <cellStyle name="20% - uthevingsfarge 5 3" xfId="513" xr:uid="{00000000-0005-0000-0000-00005B1E0000}"/>
    <cellStyle name="20% - uthevingsfarge 5 3 2" xfId="514" xr:uid="{00000000-0005-0000-0000-00005C1E0000}"/>
    <cellStyle name="20% - uthevingsfarge 5 30" xfId="40958" xr:uid="{00000000-0005-0000-0000-00005D1E0000}"/>
    <cellStyle name="20% - uthevingsfarge 5 31" xfId="43219" xr:uid="{00000000-0005-0000-0000-00005E1E0000}"/>
    <cellStyle name="20% - uthevingsfarge 5 32" xfId="43433" xr:uid="{00000000-0005-0000-0000-00005F1E0000}"/>
    <cellStyle name="20% - uthevingsfarge 5 33" xfId="46321" xr:uid="{00000000-0005-0000-0000-0000601E0000}"/>
    <cellStyle name="20% - uthevingsfarge 5 4" xfId="515" xr:uid="{00000000-0005-0000-0000-0000611E0000}"/>
    <cellStyle name="20% - uthevingsfarge 5 4 2" xfId="516" xr:uid="{00000000-0005-0000-0000-0000621E0000}"/>
    <cellStyle name="20% - uthevingsfarge 5 5" xfId="517" xr:uid="{00000000-0005-0000-0000-0000631E0000}"/>
    <cellStyle name="20% - uthevingsfarge 5 5 2" xfId="518" xr:uid="{00000000-0005-0000-0000-0000641E0000}"/>
    <cellStyle name="20% - uthevingsfarge 5 6" xfId="519" xr:uid="{00000000-0005-0000-0000-0000651E0000}"/>
    <cellStyle name="20% - uthevingsfarge 5 6 2" xfId="520" xr:uid="{00000000-0005-0000-0000-0000661E0000}"/>
    <cellStyle name="20% - uthevingsfarge 5 7" xfId="521" xr:uid="{00000000-0005-0000-0000-0000671E0000}"/>
    <cellStyle name="20% - uthevingsfarge 5 7 2" xfId="522" xr:uid="{00000000-0005-0000-0000-0000681E0000}"/>
    <cellStyle name="20% - uthevingsfarge 5 8" xfId="523" xr:uid="{00000000-0005-0000-0000-0000691E0000}"/>
    <cellStyle name="20% - uthevingsfarge 5 8 2" xfId="524" xr:uid="{00000000-0005-0000-0000-00006A1E0000}"/>
    <cellStyle name="20% - uthevingsfarge 5 9" xfId="525" xr:uid="{00000000-0005-0000-0000-00006B1E0000}"/>
    <cellStyle name="20% - uthevingsfarge 5 9 2" xfId="526" xr:uid="{00000000-0005-0000-0000-00006C1E0000}"/>
    <cellStyle name="20% - uthevingsfarge 6" xfId="4569" xr:uid="{00000000-0005-0000-0000-00006D1E0000}"/>
    <cellStyle name="20% - uthevingsfarge 6 10" xfId="528" xr:uid="{00000000-0005-0000-0000-00006E1E0000}"/>
    <cellStyle name="20% - uthevingsfarge 6 10 2" xfId="529" xr:uid="{00000000-0005-0000-0000-00006F1E0000}"/>
    <cellStyle name="20% - uthevingsfarge 6 11" xfId="530" xr:uid="{00000000-0005-0000-0000-0000701E0000}"/>
    <cellStyle name="20% - uthevingsfarge 6 11 2" xfId="531" xr:uid="{00000000-0005-0000-0000-0000711E0000}"/>
    <cellStyle name="20% - uthevingsfarge 6 12" xfId="532" xr:uid="{00000000-0005-0000-0000-0000721E0000}"/>
    <cellStyle name="20% - uthevingsfarge 6 12 2" xfId="533" xr:uid="{00000000-0005-0000-0000-0000731E0000}"/>
    <cellStyle name="20% - uthevingsfarge 6 13" xfId="534" xr:uid="{00000000-0005-0000-0000-0000741E0000}"/>
    <cellStyle name="20% - uthevingsfarge 6 13 2" xfId="535" xr:uid="{00000000-0005-0000-0000-0000751E0000}"/>
    <cellStyle name="20% - uthevingsfarge 6 14" xfId="536" xr:uid="{00000000-0005-0000-0000-0000761E0000}"/>
    <cellStyle name="20% - uthevingsfarge 6 14 2" xfId="537" xr:uid="{00000000-0005-0000-0000-0000771E0000}"/>
    <cellStyle name="20% - uthevingsfarge 6 15" xfId="538" xr:uid="{00000000-0005-0000-0000-0000781E0000}"/>
    <cellStyle name="20% - uthevingsfarge 6 15 2" xfId="539" xr:uid="{00000000-0005-0000-0000-0000791E0000}"/>
    <cellStyle name="20% - uthevingsfarge 6 16" xfId="540" xr:uid="{00000000-0005-0000-0000-00007A1E0000}"/>
    <cellStyle name="20% - uthevingsfarge 6 16 2" xfId="541" xr:uid="{00000000-0005-0000-0000-00007B1E0000}"/>
    <cellStyle name="20% - uthevingsfarge 6 17" xfId="542" xr:uid="{00000000-0005-0000-0000-00007C1E0000}"/>
    <cellStyle name="20% - uthevingsfarge 6 17 2" xfId="543" xr:uid="{00000000-0005-0000-0000-00007D1E0000}"/>
    <cellStyle name="20% - uthevingsfarge 6 18" xfId="544" xr:uid="{00000000-0005-0000-0000-00007E1E0000}"/>
    <cellStyle name="20% - uthevingsfarge 6 18 2" xfId="545" xr:uid="{00000000-0005-0000-0000-00007F1E0000}"/>
    <cellStyle name="20% - uthevingsfarge 6 19" xfId="546" xr:uid="{00000000-0005-0000-0000-0000801E0000}"/>
    <cellStyle name="20% - uthevingsfarge 6 19 2" xfId="547" xr:uid="{00000000-0005-0000-0000-0000811E0000}"/>
    <cellStyle name="20% - uthevingsfarge 6 2" xfId="548" xr:uid="{00000000-0005-0000-0000-0000821E0000}"/>
    <cellStyle name="20% - uthevingsfarge 6 2 2" xfId="549" xr:uid="{00000000-0005-0000-0000-0000831E0000}"/>
    <cellStyle name="20% - uthevingsfarge 6 2 3" xfId="550" xr:uid="{00000000-0005-0000-0000-0000841E0000}"/>
    <cellStyle name="20% - uthevingsfarge 6 2 4" xfId="551" xr:uid="{00000000-0005-0000-0000-0000851E0000}"/>
    <cellStyle name="20% - uthevingsfarge 6 2 5" xfId="10996" xr:uid="{00000000-0005-0000-0000-0000861E0000}"/>
    <cellStyle name="20% - uthevingsfarge 6 2 6" xfId="10997" xr:uid="{00000000-0005-0000-0000-0000871E0000}"/>
    <cellStyle name="20% - uthevingsfarge 6 2 7" xfId="10998" xr:uid="{00000000-0005-0000-0000-0000881E0000}"/>
    <cellStyle name="20% - uthevingsfarge 6 2 8" xfId="10999" xr:uid="{00000000-0005-0000-0000-0000891E0000}"/>
    <cellStyle name="20% - uthevingsfarge 6 2 9" xfId="11000" xr:uid="{00000000-0005-0000-0000-00008A1E0000}"/>
    <cellStyle name="20% - uthevingsfarge 6 20" xfId="552" xr:uid="{00000000-0005-0000-0000-00008B1E0000}"/>
    <cellStyle name="20% - uthevingsfarge 6 20 2" xfId="553" xr:uid="{00000000-0005-0000-0000-00008C1E0000}"/>
    <cellStyle name="20% - uthevingsfarge 6 21" xfId="554" xr:uid="{00000000-0005-0000-0000-00008D1E0000}"/>
    <cellStyle name="20% - uthevingsfarge 6 22" xfId="555" xr:uid="{00000000-0005-0000-0000-00008E1E0000}"/>
    <cellStyle name="20% - uthevingsfarge 6 23" xfId="556" xr:uid="{00000000-0005-0000-0000-00008F1E0000}"/>
    <cellStyle name="20% - uthevingsfarge 6 24" xfId="557" xr:uid="{00000000-0005-0000-0000-0000901E0000}"/>
    <cellStyle name="20% - uthevingsfarge 6 25" xfId="558" xr:uid="{00000000-0005-0000-0000-0000911E0000}"/>
    <cellStyle name="20% - uthevingsfarge 6 26" xfId="559" xr:uid="{00000000-0005-0000-0000-0000921E0000}"/>
    <cellStyle name="20% - uthevingsfarge 6 26 10" xfId="6921" xr:uid="{00000000-0005-0000-0000-0000931E0000}"/>
    <cellStyle name="20% - uthevingsfarge 6 26 10 2" xfId="22400" xr:uid="{00000000-0005-0000-0000-0000941E0000}"/>
    <cellStyle name="20% - uthevingsfarge 6 26 10 2 2" xfId="38472" xr:uid="{00000000-0005-0000-0000-0000951E0000}"/>
    <cellStyle name="20% - uthevingsfarge 6 26 10 3" xfId="30877" xr:uid="{00000000-0005-0000-0000-0000961E0000}"/>
    <cellStyle name="20% - uthevingsfarge 6 26 11" xfId="11006" xr:uid="{00000000-0005-0000-0000-0000971E0000}"/>
    <cellStyle name="20% - uthevingsfarge 6 26 12" xfId="34265" xr:uid="{00000000-0005-0000-0000-0000981E0000}"/>
    <cellStyle name="20% - uthevingsfarge 6 26 2" xfId="560" xr:uid="{00000000-0005-0000-0000-0000991E0000}"/>
    <cellStyle name="20% - uthevingsfarge 6 26 3" xfId="3330" xr:uid="{00000000-0005-0000-0000-00009A1E0000}"/>
    <cellStyle name="20% - uthevingsfarge 6 26 3 10" xfId="34161" xr:uid="{00000000-0005-0000-0000-00009B1E0000}"/>
    <cellStyle name="20% - uthevingsfarge 6 26 3 2" xfId="3562" xr:uid="{00000000-0005-0000-0000-00009C1E0000}"/>
    <cellStyle name="20% - uthevingsfarge 6 26 3 2 10" xfId="47161" xr:uid="{00000000-0005-0000-0000-00009D1E0000}"/>
    <cellStyle name="20% - uthevingsfarge 6 26 3 2 2" xfId="3992" xr:uid="{00000000-0005-0000-0000-00009E1E0000}"/>
    <cellStyle name="20% - uthevingsfarge 6 26 3 2 2 2" xfId="5880" xr:uid="{00000000-0005-0000-0000-00009F1E0000}"/>
    <cellStyle name="20% - uthevingsfarge 6 26 3 2 2 2 2" xfId="9295" xr:uid="{00000000-0005-0000-0000-0000A01E0000}"/>
    <cellStyle name="20% - uthevingsfarge 6 26 3 2 2 2 2 2" xfId="24490" xr:uid="{00000000-0005-0000-0000-0000A11E0000}"/>
    <cellStyle name="20% - uthevingsfarge 6 26 3 2 2 2 2 2 2" xfId="40534" xr:uid="{00000000-0005-0000-0000-0000A21E0000}"/>
    <cellStyle name="20% - uthevingsfarge 6 26 3 2 2 2 2 3" xfId="28503" xr:uid="{00000000-0005-0000-0000-0000A31E0000}"/>
    <cellStyle name="20% - uthevingsfarge 6 26 3 2 2 2 3" xfId="20236" xr:uid="{00000000-0005-0000-0000-0000A41E0000}"/>
    <cellStyle name="20% - uthevingsfarge 6 26 3 2 2 2 3 2" xfId="36335" xr:uid="{00000000-0005-0000-0000-0000A51E0000}"/>
    <cellStyle name="20% - uthevingsfarge 6 26 3 2 2 2 4" xfId="31895" xr:uid="{00000000-0005-0000-0000-0000A61E0000}"/>
    <cellStyle name="20% - uthevingsfarge 6 26 3 2 2 3" xfId="7598" xr:uid="{00000000-0005-0000-0000-0000A71E0000}"/>
    <cellStyle name="20% - uthevingsfarge 6 26 3 2 2 3 2" xfId="24233" xr:uid="{00000000-0005-0000-0000-0000A81E0000}"/>
    <cellStyle name="20% - uthevingsfarge 6 26 3 2 2 3 2 2" xfId="40286" xr:uid="{00000000-0005-0000-0000-0000A91E0000}"/>
    <cellStyle name="20% - uthevingsfarge 6 26 3 2 2 3 3" xfId="30200" xr:uid="{00000000-0005-0000-0000-0000AA1E0000}"/>
    <cellStyle name="20% - uthevingsfarge 6 26 3 2 2 4" xfId="17989" xr:uid="{00000000-0005-0000-0000-0000AB1E0000}"/>
    <cellStyle name="20% - uthevingsfarge 6 26 3 2 2 5" xfId="19567" xr:uid="{00000000-0005-0000-0000-0000AC1E0000}"/>
    <cellStyle name="20% - uthevingsfarge 6 26 3 2 2 5 2" xfId="35681" xr:uid="{00000000-0005-0000-0000-0000AD1E0000}"/>
    <cellStyle name="20% - uthevingsfarge 6 26 3 2 2 6" xfId="33587" xr:uid="{00000000-0005-0000-0000-0000AE1E0000}"/>
    <cellStyle name="20% - uthevingsfarge 6 26 3 2 3" xfId="4932" xr:uid="{00000000-0005-0000-0000-0000AF1E0000}"/>
    <cellStyle name="20% - uthevingsfarge 6 26 3 2 3 10" xfId="47351" xr:uid="{00000000-0005-0000-0000-0000B01E0000}"/>
    <cellStyle name="20% - uthevingsfarge 6 26 3 2 3 2" xfId="6651" xr:uid="{00000000-0005-0000-0000-0000B11E0000}"/>
    <cellStyle name="20% - uthevingsfarge 6 26 3 2 3 2 2" xfId="10057" xr:uid="{00000000-0005-0000-0000-0000B21E0000}"/>
    <cellStyle name="20% - uthevingsfarge 6 26 3 2 3 2 2 2" xfId="22631" xr:uid="{00000000-0005-0000-0000-0000B31E0000}"/>
    <cellStyle name="20% - uthevingsfarge 6 26 3 2 3 2 2 2 2" xfId="38700" xr:uid="{00000000-0005-0000-0000-0000B41E0000}"/>
    <cellStyle name="20% - uthevingsfarge 6 26 3 2 3 2 2 3" xfId="27742" xr:uid="{00000000-0005-0000-0000-0000B51E0000}"/>
    <cellStyle name="20% - uthevingsfarge 6 26 3 2 3 2 3" xfId="19858" xr:uid="{00000000-0005-0000-0000-0000B61E0000}"/>
    <cellStyle name="20% - uthevingsfarge 6 26 3 2 3 2 3 2" xfId="35971" xr:uid="{00000000-0005-0000-0000-0000B71E0000}"/>
    <cellStyle name="20% - uthevingsfarge 6 26 3 2 3 2 4" xfId="31143" xr:uid="{00000000-0005-0000-0000-0000B81E0000}"/>
    <cellStyle name="20% - uthevingsfarge 6 26 3 2 3 2 5" xfId="43045" xr:uid="{00000000-0005-0000-0000-0000B91E0000}"/>
    <cellStyle name="20% - uthevingsfarge 6 26 3 2 3 2 6" xfId="43342" xr:uid="{00000000-0005-0000-0000-0000BA1E0000}"/>
    <cellStyle name="20% - uthevingsfarge 6 26 3 2 3 2 7" xfId="46190" xr:uid="{00000000-0005-0000-0000-0000BB1E0000}"/>
    <cellStyle name="20% - uthevingsfarge 6 26 3 2 3 2 8" xfId="46962" xr:uid="{00000000-0005-0000-0000-0000BC1E0000}"/>
    <cellStyle name="20% - uthevingsfarge 6 26 3 2 3 2 9" xfId="47547" xr:uid="{00000000-0005-0000-0000-0000BD1E0000}"/>
    <cellStyle name="20% - uthevingsfarge 6 26 3 2 3 3" xfId="8354" xr:uid="{00000000-0005-0000-0000-0000BE1E0000}"/>
    <cellStyle name="20% - uthevingsfarge 6 26 3 2 3 3 2" xfId="21864" xr:uid="{00000000-0005-0000-0000-0000BF1E0000}"/>
    <cellStyle name="20% - uthevingsfarge 6 26 3 2 3 3 2 2" xfId="37940" xr:uid="{00000000-0005-0000-0000-0000C01E0000}"/>
    <cellStyle name="20% - uthevingsfarge 6 26 3 2 3 3 3" xfId="29444" xr:uid="{00000000-0005-0000-0000-0000C11E0000}"/>
    <cellStyle name="20% - uthevingsfarge 6 26 3 2 3 3 4" xfId="43911" xr:uid="{00000000-0005-0000-0000-0000C21E0000}"/>
    <cellStyle name="20% - uthevingsfarge 6 26 3 2 3 4" xfId="16490" xr:uid="{00000000-0005-0000-0000-0000C31E0000}"/>
    <cellStyle name="20% - uthevingsfarge 6 26 3 2 3 4 2" xfId="35437" xr:uid="{00000000-0005-0000-0000-0000C41E0000}"/>
    <cellStyle name="20% - uthevingsfarge 6 26 3 2 3 5" xfId="25099" xr:uid="{00000000-0005-0000-0000-0000C51E0000}"/>
    <cellStyle name="20% - uthevingsfarge 6 26 3 2 3 6" xfId="25276" xr:uid="{00000000-0005-0000-0000-0000C61E0000}"/>
    <cellStyle name="20% - uthevingsfarge 6 26 3 2 3 7" xfId="32835" xr:uid="{00000000-0005-0000-0000-0000C71E0000}"/>
    <cellStyle name="20% - uthevingsfarge 6 26 3 2 3 8" xfId="43803" xr:uid="{00000000-0005-0000-0000-0000C81E0000}"/>
    <cellStyle name="20% - uthevingsfarge 6 26 3 2 3 9" xfId="46728" xr:uid="{00000000-0005-0000-0000-0000C91E0000}"/>
    <cellStyle name="20% - uthevingsfarge 6 26 3 2 4" xfId="5486" xr:uid="{00000000-0005-0000-0000-0000CA1E0000}"/>
    <cellStyle name="20% - uthevingsfarge 6 26 3 2 4 2" xfId="8901" xr:uid="{00000000-0005-0000-0000-0000CB1E0000}"/>
    <cellStyle name="20% - uthevingsfarge 6 26 3 2 4 2 2" xfId="11740" xr:uid="{00000000-0005-0000-0000-0000CC1E0000}"/>
    <cellStyle name="20% - uthevingsfarge 6 26 3 2 4 2 2 2" xfId="34850" xr:uid="{00000000-0005-0000-0000-0000CD1E0000}"/>
    <cellStyle name="20% - uthevingsfarge 6 26 3 2 4 2 3" xfId="28897" xr:uid="{00000000-0005-0000-0000-0000CE1E0000}"/>
    <cellStyle name="20% - uthevingsfarge 6 26 3 2 4 3" xfId="10693" xr:uid="{00000000-0005-0000-0000-0000CF1E0000}"/>
    <cellStyle name="20% - uthevingsfarge 6 26 3 2 4 3 2" xfId="34541" xr:uid="{00000000-0005-0000-0000-0000D01E0000}"/>
    <cellStyle name="20% - uthevingsfarge 6 26 3 2 4 4" xfId="32288" xr:uid="{00000000-0005-0000-0000-0000D11E0000}"/>
    <cellStyle name="20% - uthevingsfarge 6 26 3 2 5" xfId="7204" xr:uid="{00000000-0005-0000-0000-0000D21E0000}"/>
    <cellStyle name="20% - uthevingsfarge 6 26 3 2 5 2" xfId="23162" xr:uid="{00000000-0005-0000-0000-0000D31E0000}"/>
    <cellStyle name="20% - uthevingsfarge 6 26 3 2 5 2 2" xfId="39231" xr:uid="{00000000-0005-0000-0000-0000D41E0000}"/>
    <cellStyle name="20% - uthevingsfarge 6 26 3 2 5 3" xfId="30594" xr:uid="{00000000-0005-0000-0000-0000D51E0000}"/>
    <cellStyle name="20% - uthevingsfarge 6 26 3 2 6" xfId="11008" xr:uid="{00000000-0005-0000-0000-0000D61E0000}"/>
    <cellStyle name="20% - uthevingsfarge 6 26 3 2 7" xfId="33981" xr:uid="{00000000-0005-0000-0000-0000D71E0000}"/>
    <cellStyle name="20% - uthevingsfarge 6 26 3 2 8" xfId="43594" xr:uid="{00000000-0005-0000-0000-0000D81E0000}"/>
    <cellStyle name="20% - uthevingsfarge 6 26 3 2 9" xfId="46500" xr:uid="{00000000-0005-0000-0000-0000D91E0000}"/>
    <cellStyle name="20% - uthevingsfarge 6 26 3 2_Avviksanalyse løpende RNB15 (1)" xfId="16601" xr:uid="{00000000-0005-0000-0000-0000DA1E0000}"/>
    <cellStyle name="20% - uthevingsfarge 6 26 3 3" xfId="3812" xr:uid="{00000000-0005-0000-0000-0000DB1E0000}"/>
    <cellStyle name="20% - uthevingsfarge 6 26 3 3 2" xfId="5700" xr:uid="{00000000-0005-0000-0000-0000DC1E0000}"/>
    <cellStyle name="20% - uthevingsfarge 6 26 3 3 2 2" xfId="9115" xr:uid="{00000000-0005-0000-0000-0000DD1E0000}"/>
    <cellStyle name="20% - uthevingsfarge 6 26 3 3 2 2 2" xfId="23456" xr:uid="{00000000-0005-0000-0000-0000DE1E0000}"/>
    <cellStyle name="20% - uthevingsfarge 6 26 3 3 2 2 2 2" xfId="39512" xr:uid="{00000000-0005-0000-0000-0000DF1E0000}"/>
    <cellStyle name="20% - uthevingsfarge 6 26 3 3 2 2 3" xfId="28683" xr:uid="{00000000-0005-0000-0000-0000E01E0000}"/>
    <cellStyle name="20% - uthevingsfarge 6 26 3 3 2 3" xfId="23903" xr:uid="{00000000-0005-0000-0000-0000E11E0000}"/>
    <cellStyle name="20% - uthevingsfarge 6 26 3 3 2 3 2" xfId="39959" xr:uid="{00000000-0005-0000-0000-0000E21E0000}"/>
    <cellStyle name="20% - uthevingsfarge 6 26 3 3 2 4" xfId="32074" xr:uid="{00000000-0005-0000-0000-0000E31E0000}"/>
    <cellStyle name="20% - uthevingsfarge 6 26 3 3 3" xfId="7418" xr:uid="{00000000-0005-0000-0000-0000E41E0000}"/>
    <cellStyle name="20% - uthevingsfarge 6 26 3 3 3 2" xfId="23202" xr:uid="{00000000-0005-0000-0000-0000E51E0000}"/>
    <cellStyle name="20% - uthevingsfarge 6 26 3 3 3 2 2" xfId="39271" xr:uid="{00000000-0005-0000-0000-0000E61E0000}"/>
    <cellStyle name="20% - uthevingsfarge 6 26 3 3 3 3" xfId="30380" xr:uid="{00000000-0005-0000-0000-0000E71E0000}"/>
    <cellStyle name="20% - uthevingsfarge 6 26 3 3 4" xfId="22781" xr:uid="{00000000-0005-0000-0000-0000E81E0000}"/>
    <cellStyle name="20% - uthevingsfarge 6 26 3 3 4 2" xfId="38850" xr:uid="{00000000-0005-0000-0000-0000E91E0000}"/>
    <cellStyle name="20% - uthevingsfarge 6 26 3 3 5" xfId="33767" xr:uid="{00000000-0005-0000-0000-0000EA1E0000}"/>
    <cellStyle name="20% - uthevingsfarge 6 26 3 4" xfId="4297" xr:uid="{00000000-0005-0000-0000-0000EB1E0000}"/>
    <cellStyle name="20% - uthevingsfarge 6 26 3 4 2" xfId="6126" xr:uid="{00000000-0005-0000-0000-0000EC1E0000}"/>
    <cellStyle name="20% - uthevingsfarge 6 26 3 4 2 2" xfId="9540" xr:uid="{00000000-0005-0000-0000-0000ED1E0000}"/>
    <cellStyle name="20% - uthevingsfarge 6 26 3 4 2 2 2" xfId="19410" xr:uid="{00000000-0005-0000-0000-0000EE1E0000}"/>
    <cellStyle name="20% - uthevingsfarge 6 26 3 4 2 2 2 2" xfId="35524" xr:uid="{00000000-0005-0000-0000-0000EF1E0000}"/>
    <cellStyle name="20% - uthevingsfarge 6 26 3 4 2 2 3" xfId="28258" xr:uid="{00000000-0005-0000-0000-0000F01E0000}"/>
    <cellStyle name="20% - uthevingsfarge 6 26 3 4 2 3" xfId="22979" xr:uid="{00000000-0005-0000-0000-0000F11E0000}"/>
    <cellStyle name="20% - uthevingsfarge 6 26 3 4 2 3 2" xfId="39048" xr:uid="{00000000-0005-0000-0000-0000F21E0000}"/>
    <cellStyle name="20% - uthevingsfarge 6 26 3 4 2 4" xfId="31653" xr:uid="{00000000-0005-0000-0000-0000F31E0000}"/>
    <cellStyle name="20% - uthevingsfarge 6 26 3 4 3" xfId="7859" xr:uid="{00000000-0005-0000-0000-0000F41E0000}"/>
    <cellStyle name="20% - uthevingsfarge 6 26 3 4 3 2" xfId="10625" xr:uid="{00000000-0005-0000-0000-0000F51E0000}"/>
    <cellStyle name="20% - uthevingsfarge 6 26 3 4 3 2 2" xfId="34473" xr:uid="{00000000-0005-0000-0000-0000F61E0000}"/>
    <cellStyle name="20% - uthevingsfarge 6 26 3 4 3 3" xfId="29940" xr:uid="{00000000-0005-0000-0000-0000F71E0000}"/>
    <cellStyle name="20% - uthevingsfarge 6 26 3 4 4" xfId="21841" xr:uid="{00000000-0005-0000-0000-0000F81E0000}"/>
    <cellStyle name="20% - uthevingsfarge 6 26 3 4 4 2" xfId="37917" xr:uid="{00000000-0005-0000-0000-0000F91E0000}"/>
    <cellStyle name="20% - uthevingsfarge 6 26 3 4 5" xfId="33328" xr:uid="{00000000-0005-0000-0000-0000FA1E0000}"/>
    <cellStyle name="20% - uthevingsfarge 6 26 3 5" xfId="4752" xr:uid="{00000000-0005-0000-0000-0000FB1E0000}"/>
    <cellStyle name="20% - uthevingsfarge 6 26 3 5 2" xfId="6472" xr:uid="{00000000-0005-0000-0000-0000FC1E0000}"/>
    <cellStyle name="20% - uthevingsfarge 6 26 3 5 2 2" xfId="9878" xr:uid="{00000000-0005-0000-0000-0000FD1E0000}"/>
    <cellStyle name="20% - uthevingsfarge 6 26 3 5 2 2 2" xfId="21994" xr:uid="{00000000-0005-0000-0000-0000FE1E0000}"/>
    <cellStyle name="20% - uthevingsfarge 6 26 3 5 2 2 2 2" xfId="38069" xr:uid="{00000000-0005-0000-0000-0000FF1E0000}"/>
    <cellStyle name="20% - uthevingsfarge 6 26 3 5 2 2 3" xfId="27921" xr:uid="{00000000-0005-0000-0000-0000001F0000}"/>
    <cellStyle name="20% - uthevingsfarge 6 26 3 5 2 3" xfId="22039" xr:uid="{00000000-0005-0000-0000-0000011F0000}"/>
    <cellStyle name="20% - uthevingsfarge 6 26 3 5 2 3 2" xfId="38114" xr:uid="{00000000-0005-0000-0000-0000021F0000}"/>
    <cellStyle name="20% - uthevingsfarge 6 26 3 5 2 4" xfId="31322" xr:uid="{00000000-0005-0000-0000-0000031F0000}"/>
    <cellStyle name="20% - uthevingsfarge 6 26 3 5 3" xfId="8174" xr:uid="{00000000-0005-0000-0000-0000041F0000}"/>
    <cellStyle name="20% - uthevingsfarge 6 26 3 5 3 2" xfId="24327" xr:uid="{00000000-0005-0000-0000-0000051F0000}"/>
    <cellStyle name="20% - uthevingsfarge 6 26 3 5 3 2 2" xfId="40377" xr:uid="{00000000-0005-0000-0000-0000061F0000}"/>
    <cellStyle name="20% - uthevingsfarge 6 26 3 5 3 3" xfId="29623" xr:uid="{00000000-0005-0000-0000-0000071F0000}"/>
    <cellStyle name="20% - uthevingsfarge 6 26 3 5 4" xfId="22830" xr:uid="{00000000-0005-0000-0000-0000081F0000}"/>
    <cellStyle name="20% - uthevingsfarge 6 26 3 5 4 2" xfId="38899" xr:uid="{00000000-0005-0000-0000-0000091F0000}"/>
    <cellStyle name="20% - uthevingsfarge 6 26 3 5 5" xfId="33015" xr:uid="{00000000-0005-0000-0000-00000A1F0000}"/>
    <cellStyle name="20% - uthevingsfarge 6 26 3 6" xfId="5112" xr:uid="{00000000-0005-0000-0000-00000B1F0000}"/>
    <cellStyle name="20% - uthevingsfarge 6 26 3 6 2" xfId="6831" xr:uid="{00000000-0005-0000-0000-00000C1F0000}"/>
    <cellStyle name="20% - uthevingsfarge 6 26 3 6 2 2" xfId="10237" xr:uid="{00000000-0005-0000-0000-00000D1F0000}"/>
    <cellStyle name="20% - uthevingsfarge 6 26 3 6 2 2 2" xfId="24680" xr:uid="{00000000-0005-0000-0000-00000E1F0000}"/>
    <cellStyle name="20% - uthevingsfarge 6 26 3 6 2 2 2 2" xfId="40723" xr:uid="{00000000-0005-0000-0000-00000F1F0000}"/>
    <cellStyle name="20% - uthevingsfarge 6 26 3 6 2 2 3" xfId="27562" xr:uid="{00000000-0005-0000-0000-0000101F0000}"/>
    <cellStyle name="20% - uthevingsfarge 6 26 3 6 2 3" xfId="11953" xr:uid="{00000000-0005-0000-0000-0000111F0000}"/>
    <cellStyle name="20% - uthevingsfarge 6 26 3 6 2 3 2" xfId="34975" xr:uid="{00000000-0005-0000-0000-0000121F0000}"/>
    <cellStyle name="20% - uthevingsfarge 6 26 3 6 2 4" xfId="30963" xr:uid="{00000000-0005-0000-0000-0000131F0000}"/>
    <cellStyle name="20% - uthevingsfarge 6 26 3 6 3" xfId="8534" xr:uid="{00000000-0005-0000-0000-0000141F0000}"/>
    <cellStyle name="20% - uthevingsfarge 6 26 3 6 3 2" xfId="24379" xr:uid="{00000000-0005-0000-0000-0000151F0000}"/>
    <cellStyle name="20% - uthevingsfarge 6 26 3 6 3 2 2" xfId="40424" xr:uid="{00000000-0005-0000-0000-0000161F0000}"/>
    <cellStyle name="20% - uthevingsfarge 6 26 3 6 3 3" xfId="29264" xr:uid="{00000000-0005-0000-0000-0000171F0000}"/>
    <cellStyle name="20% - uthevingsfarge 6 26 3 6 4" xfId="10793" xr:uid="{00000000-0005-0000-0000-0000181F0000}"/>
    <cellStyle name="20% - uthevingsfarge 6 26 3 6 4 2" xfId="34616" xr:uid="{00000000-0005-0000-0000-0000191F0000}"/>
    <cellStyle name="20% - uthevingsfarge 6 26 3 6 5" xfId="32655" xr:uid="{00000000-0005-0000-0000-00001A1F0000}"/>
    <cellStyle name="20% - uthevingsfarge 6 26 3 7" xfId="5291" xr:uid="{00000000-0005-0000-0000-00001B1F0000}"/>
    <cellStyle name="20% - uthevingsfarge 6 26 3 7 2" xfId="8706" xr:uid="{00000000-0005-0000-0000-00001C1F0000}"/>
    <cellStyle name="20% - uthevingsfarge 6 26 3 7 2 2" xfId="21892" xr:uid="{00000000-0005-0000-0000-00001D1F0000}"/>
    <cellStyle name="20% - uthevingsfarge 6 26 3 7 2 2 2" xfId="37967" xr:uid="{00000000-0005-0000-0000-00001E1F0000}"/>
    <cellStyle name="20% - uthevingsfarge 6 26 3 7 2 3" xfId="29092" xr:uid="{00000000-0005-0000-0000-00001F1F0000}"/>
    <cellStyle name="20% - uthevingsfarge 6 26 3 7 3" xfId="19797" xr:uid="{00000000-0005-0000-0000-0000201F0000}"/>
    <cellStyle name="20% - uthevingsfarge 6 26 3 7 3 2" xfId="35910" xr:uid="{00000000-0005-0000-0000-0000211F0000}"/>
    <cellStyle name="20% - uthevingsfarge 6 26 3 7 4" xfId="32483" xr:uid="{00000000-0005-0000-0000-0000221F0000}"/>
    <cellStyle name="20% - uthevingsfarge 6 26 3 8" xfId="7024" xr:uid="{00000000-0005-0000-0000-0000231F0000}"/>
    <cellStyle name="20% - uthevingsfarge 6 26 3 8 2" xfId="22407" xr:uid="{00000000-0005-0000-0000-0000241F0000}"/>
    <cellStyle name="20% - uthevingsfarge 6 26 3 8 2 2" xfId="38479" xr:uid="{00000000-0005-0000-0000-0000251F0000}"/>
    <cellStyle name="20% - uthevingsfarge 6 26 3 8 3" xfId="30774" xr:uid="{00000000-0005-0000-0000-0000261F0000}"/>
    <cellStyle name="20% - uthevingsfarge 6 26 3 9" xfId="11007" xr:uid="{00000000-0005-0000-0000-0000271F0000}"/>
    <cellStyle name="20% - uthevingsfarge 6 26 4" xfId="3477" xr:uid="{00000000-0005-0000-0000-0000281F0000}"/>
    <cellStyle name="20% - uthevingsfarge 6 26 4 10" xfId="47093" xr:uid="{00000000-0005-0000-0000-0000291F0000}"/>
    <cellStyle name="20% - uthevingsfarge 6 26 4 2" xfId="3913" xr:uid="{00000000-0005-0000-0000-00002A1F0000}"/>
    <cellStyle name="20% - uthevingsfarge 6 26 4 2 2" xfId="5801" xr:uid="{00000000-0005-0000-0000-00002B1F0000}"/>
    <cellStyle name="20% - uthevingsfarge 6 26 4 2 2 2" xfId="9216" xr:uid="{00000000-0005-0000-0000-00002C1F0000}"/>
    <cellStyle name="20% - uthevingsfarge 6 26 4 2 2 2 2" xfId="24480" xr:uid="{00000000-0005-0000-0000-00002D1F0000}"/>
    <cellStyle name="20% - uthevingsfarge 6 26 4 2 2 2 2 2" xfId="40524" xr:uid="{00000000-0005-0000-0000-00002E1F0000}"/>
    <cellStyle name="20% - uthevingsfarge 6 26 4 2 2 2 3" xfId="28582" xr:uid="{00000000-0005-0000-0000-00002F1F0000}"/>
    <cellStyle name="20% - uthevingsfarge 6 26 4 2 2 3" xfId="20208" xr:uid="{00000000-0005-0000-0000-0000301F0000}"/>
    <cellStyle name="20% - uthevingsfarge 6 26 4 2 2 3 2" xfId="36307" xr:uid="{00000000-0005-0000-0000-0000311F0000}"/>
    <cellStyle name="20% - uthevingsfarge 6 26 4 2 2 4" xfId="31973" xr:uid="{00000000-0005-0000-0000-0000321F0000}"/>
    <cellStyle name="20% - uthevingsfarge 6 26 4 2 3" xfId="7519" xr:uid="{00000000-0005-0000-0000-0000331F0000}"/>
    <cellStyle name="20% - uthevingsfarge 6 26 4 2 3 2" xfId="24221" xr:uid="{00000000-0005-0000-0000-0000341F0000}"/>
    <cellStyle name="20% - uthevingsfarge 6 26 4 2 3 2 2" xfId="40274" xr:uid="{00000000-0005-0000-0000-0000351F0000}"/>
    <cellStyle name="20% - uthevingsfarge 6 26 4 2 3 3" xfId="30279" xr:uid="{00000000-0005-0000-0000-0000361F0000}"/>
    <cellStyle name="20% - uthevingsfarge 6 26 4 2 4" xfId="17990" xr:uid="{00000000-0005-0000-0000-0000371F0000}"/>
    <cellStyle name="20% - uthevingsfarge 6 26 4 2 5" xfId="11054" xr:uid="{00000000-0005-0000-0000-0000381F0000}"/>
    <cellStyle name="20% - uthevingsfarge 6 26 4 2 5 2" xfId="34762" xr:uid="{00000000-0005-0000-0000-0000391F0000}"/>
    <cellStyle name="20% - uthevingsfarge 6 26 4 2 6" xfId="33666" xr:uid="{00000000-0005-0000-0000-00003A1F0000}"/>
    <cellStyle name="20% - uthevingsfarge 6 26 4 3" xfId="4853" xr:uid="{00000000-0005-0000-0000-00003B1F0000}"/>
    <cellStyle name="20% - uthevingsfarge 6 26 4 3 10" xfId="47283" xr:uid="{00000000-0005-0000-0000-00003C1F0000}"/>
    <cellStyle name="20% - uthevingsfarge 6 26 4 3 2" xfId="6572" xr:uid="{00000000-0005-0000-0000-00003D1F0000}"/>
    <cellStyle name="20% - uthevingsfarge 6 26 4 3 2 2" xfId="9978" xr:uid="{00000000-0005-0000-0000-00003E1F0000}"/>
    <cellStyle name="20% - uthevingsfarge 6 26 4 3 2 2 2" xfId="21557" xr:uid="{00000000-0005-0000-0000-00003F1F0000}"/>
    <cellStyle name="20% - uthevingsfarge 6 26 4 3 2 2 2 2" xfId="37637" xr:uid="{00000000-0005-0000-0000-0000401F0000}"/>
    <cellStyle name="20% - uthevingsfarge 6 26 4 3 2 2 3" xfId="27821" xr:uid="{00000000-0005-0000-0000-0000411F0000}"/>
    <cellStyle name="20% - uthevingsfarge 6 26 4 3 2 3" xfId="20502" xr:uid="{00000000-0005-0000-0000-0000421F0000}"/>
    <cellStyle name="20% - uthevingsfarge 6 26 4 3 2 3 2" xfId="36601" xr:uid="{00000000-0005-0000-0000-0000431F0000}"/>
    <cellStyle name="20% - uthevingsfarge 6 26 4 3 2 4" xfId="31222" xr:uid="{00000000-0005-0000-0000-0000441F0000}"/>
    <cellStyle name="20% - uthevingsfarge 6 26 4 3 2 5" xfId="42838" xr:uid="{00000000-0005-0000-0000-0000451F0000}"/>
    <cellStyle name="20% - uthevingsfarge 6 26 4 3 2 6" xfId="43276" xr:uid="{00000000-0005-0000-0000-0000461F0000}"/>
    <cellStyle name="20% - uthevingsfarge 6 26 4 3 2 7" xfId="46124" xr:uid="{00000000-0005-0000-0000-0000471F0000}"/>
    <cellStyle name="20% - uthevingsfarge 6 26 4 3 2 8" xfId="46893" xr:uid="{00000000-0005-0000-0000-0000481F0000}"/>
    <cellStyle name="20% - uthevingsfarge 6 26 4 3 2 9" xfId="47479" xr:uid="{00000000-0005-0000-0000-0000491F0000}"/>
    <cellStyle name="20% - uthevingsfarge 6 26 4 3 3" xfId="8275" xr:uid="{00000000-0005-0000-0000-00004A1F0000}"/>
    <cellStyle name="20% - uthevingsfarge 6 26 4 3 3 2" xfId="24343" xr:uid="{00000000-0005-0000-0000-00004B1F0000}"/>
    <cellStyle name="20% - uthevingsfarge 6 26 4 3 3 2 2" xfId="40393" xr:uid="{00000000-0005-0000-0000-00004C1F0000}"/>
    <cellStyle name="20% - uthevingsfarge 6 26 4 3 3 3" xfId="29522" xr:uid="{00000000-0005-0000-0000-00004D1F0000}"/>
    <cellStyle name="20% - uthevingsfarge 6 26 4 3 3 4" xfId="43912" xr:uid="{00000000-0005-0000-0000-00004E1F0000}"/>
    <cellStyle name="20% - uthevingsfarge 6 26 4 3 4" xfId="16283" xr:uid="{00000000-0005-0000-0000-00004F1F0000}"/>
    <cellStyle name="20% - uthevingsfarge 6 26 4 3 4 2" xfId="35371" xr:uid="{00000000-0005-0000-0000-0000501F0000}"/>
    <cellStyle name="20% - uthevingsfarge 6 26 4 3 5" xfId="25030" xr:uid="{00000000-0005-0000-0000-0000511F0000}"/>
    <cellStyle name="20% - uthevingsfarge 6 26 4 3 6" xfId="25277" xr:uid="{00000000-0005-0000-0000-0000521F0000}"/>
    <cellStyle name="20% - uthevingsfarge 6 26 4 3 7" xfId="32914" xr:uid="{00000000-0005-0000-0000-0000531F0000}"/>
    <cellStyle name="20% - uthevingsfarge 6 26 4 3 8" xfId="43736" xr:uid="{00000000-0005-0000-0000-0000541F0000}"/>
    <cellStyle name="20% - uthevingsfarge 6 26 4 3 9" xfId="46662" xr:uid="{00000000-0005-0000-0000-0000551F0000}"/>
    <cellStyle name="20% - uthevingsfarge 6 26 4 4" xfId="5413" xr:uid="{00000000-0005-0000-0000-0000561F0000}"/>
    <cellStyle name="20% - uthevingsfarge 6 26 4 4 2" xfId="8828" xr:uid="{00000000-0005-0000-0000-0000571F0000}"/>
    <cellStyle name="20% - uthevingsfarge 6 26 4 4 2 2" xfId="21676" xr:uid="{00000000-0005-0000-0000-0000581F0000}"/>
    <cellStyle name="20% - uthevingsfarge 6 26 4 4 2 2 2" xfId="37756" xr:uid="{00000000-0005-0000-0000-0000591F0000}"/>
    <cellStyle name="20% - uthevingsfarge 6 26 4 4 2 3" xfId="28970" xr:uid="{00000000-0005-0000-0000-00005A1F0000}"/>
    <cellStyle name="20% - uthevingsfarge 6 26 4 4 3" xfId="21662" xr:uid="{00000000-0005-0000-0000-00005B1F0000}"/>
    <cellStyle name="20% - uthevingsfarge 6 26 4 4 3 2" xfId="37742" xr:uid="{00000000-0005-0000-0000-00005C1F0000}"/>
    <cellStyle name="20% - uthevingsfarge 6 26 4 4 4" xfId="32361" xr:uid="{00000000-0005-0000-0000-00005D1F0000}"/>
    <cellStyle name="20% - uthevingsfarge 6 26 4 5" xfId="7125" xr:uid="{00000000-0005-0000-0000-00005E1F0000}"/>
    <cellStyle name="20% - uthevingsfarge 6 26 4 5 2" xfId="22648" xr:uid="{00000000-0005-0000-0000-00005F1F0000}"/>
    <cellStyle name="20% - uthevingsfarge 6 26 4 5 2 2" xfId="38717" xr:uid="{00000000-0005-0000-0000-0000601F0000}"/>
    <cellStyle name="20% - uthevingsfarge 6 26 4 5 3" xfId="30673" xr:uid="{00000000-0005-0000-0000-0000611F0000}"/>
    <cellStyle name="20% - uthevingsfarge 6 26 4 6" xfId="11009" xr:uid="{00000000-0005-0000-0000-0000621F0000}"/>
    <cellStyle name="20% - uthevingsfarge 6 26 4 7" xfId="34060" xr:uid="{00000000-0005-0000-0000-0000631F0000}"/>
    <cellStyle name="20% - uthevingsfarge 6 26 4 8" xfId="43528" xr:uid="{00000000-0005-0000-0000-0000641F0000}"/>
    <cellStyle name="20% - uthevingsfarge 6 26 4 9" xfId="46432" xr:uid="{00000000-0005-0000-0000-0000651F0000}"/>
    <cellStyle name="20% - uthevingsfarge 6 26 4_Avviksanalyse løpende RNB15 (1)" xfId="16602" xr:uid="{00000000-0005-0000-0000-0000661F0000}"/>
    <cellStyle name="20% - uthevingsfarge 6 26 5" xfId="3734" xr:uid="{00000000-0005-0000-0000-0000671F0000}"/>
    <cellStyle name="20% - uthevingsfarge 6 26 5 2" xfId="5622" xr:uid="{00000000-0005-0000-0000-0000681F0000}"/>
    <cellStyle name="20% - uthevingsfarge 6 26 5 2 2" xfId="9037" xr:uid="{00000000-0005-0000-0000-0000691F0000}"/>
    <cellStyle name="20% - uthevingsfarge 6 26 5 2 2 2" xfId="23683" xr:uid="{00000000-0005-0000-0000-00006A1F0000}"/>
    <cellStyle name="20% - uthevingsfarge 6 26 5 2 2 2 2" xfId="39739" xr:uid="{00000000-0005-0000-0000-00006B1F0000}"/>
    <cellStyle name="20% - uthevingsfarge 6 26 5 2 2 3" xfId="28761" xr:uid="{00000000-0005-0000-0000-00006C1F0000}"/>
    <cellStyle name="20% - uthevingsfarge 6 26 5 2 3" xfId="20143" xr:uid="{00000000-0005-0000-0000-00006D1F0000}"/>
    <cellStyle name="20% - uthevingsfarge 6 26 5 2 3 2" xfId="36245" xr:uid="{00000000-0005-0000-0000-00006E1F0000}"/>
    <cellStyle name="20% - uthevingsfarge 6 26 5 2 4" xfId="32152" xr:uid="{00000000-0005-0000-0000-00006F1F0000}"/>
    <cellStyle name="20% - uthevingsfarge 6 26 5 3" xfId="7340" xr:uid="{00000000-0005-0000-0000-0000701F0000}"/>
    <cellStyle name="20% - uthevingsfarge 6 26 5 3 2" xfId="24189" xr:uid="{00000000-0005-0000-0000-0000711F0000}"/>
    <cellStyle name="20% - uthevingsfarge 6 26 5 3 2 2" xfId="40242" xr:uid="{00000000-0005-0000-0000-0000721F0000}"/>
    <cellStyle name="20% - uthevingsfarge 6 26 5 3 3" xfId="30458" xr:uid="{00000000-0005-0000-0000-0000731F0000}"/>
    <cellStyle name="20% - uthevingsfarge 6 26 5 4" xfId="19539" xr:uid="{00000000-0005-0000-0000-0000741F0000}"/>
    <cellStyle name="20% - uthevingsfarge 6 26 5 4 2" xfId="35653" xr:uid="{00000000-0005-0000-0000-0000751F0000}"/>
    <cellStyle name="20% - uthevingsfarge 6 26 5 5" xfId="33845" xr:uid="{00000000-0005-0000-0000-0000761F0000}"/>
    <cellStyle name="20% - uthevingsfarge 6 26 6" xfId="4207" xr:uid="{00000000-0005-0000-0000-0000771F0000}"/>
    <cellStyle name="20% - uthevingsfarge 6 26 6 2" xfId="6044" xr:uid="{00000000-0005-0000-0000-0000781F0000}"/>
    <cellStyle name="20% - uthevingsfarge 6 26 6 2 2" xfId="9459" xr:uid="{00000000-0005-0000-0000-0000791F0000}"/>
    <cellStyle name="20% - uthevingsfarge 6 26 6 2 2 2" xfId="19407" xr:uid="{00000000-0005-0000-0000-00007A1F0000}"/>
    <cellStyle name="20% - uthevingsfarge 6 26 6 2 2 2 2" xfId="35521" xr:uid="{00000000-0005-0000-0000-00007B1F0000}"/>
    <cellStyle name="20% - uthevingsfarge 6 26 6 2 2 3" xfId="28339" xr:uid="{00000000-0005-0000-0000-00007C1F0000}"/>
    <cellStyle name="20% - uthevingsfarge 6 26 6 2 3" xfId="22309" xr:uid="{00000000-0005-0000-0000-00007D1F0000}"/>
    <cellStyle name="20% - uthevingsfarge 6 26 6 2 3 2" xfId="38381" xr:uid="{00000000-0005-0000-0000-00007E1F0000}"/>
    <cellStyle name="20% - uthevingsfarge 6 26 6 2 4" xfId="31734" xr:uid="{00000000-0005-0000-0000-00007F1F0000}"/>
    <cellStyle name="20% - uthevingsfarge 6 26 6 3" xfId="7777" xr:uid="{00000000-0005-0000-0000-0000801F0000}"/>
    <cellStyle name="20% - uthevingsfarge 6 26 6 3 2" xfId="23266" xr:uid="{00000000-0005-0000-0000-0000811F0000}"/>
    <cellStyle name="20% - uthevingsfarge 6 26 6 3 2 2" xfId="39334" xr:uid="{00000000-0005-0000-0000-0000821F0000}"/>
    <cellStyle name="20% - uthevingsfarge 6 26 6 3 3" xfId="30022" xr:uid="{00000000-0005-0000-0000-0000831F0000}"/>
    <cellStyle name="20% - uthevingsfarge 6 26 6 4" xfId="21665" xr:uid="{00000000-0005-0000-0000-0000841F0000}"/>
    <cellStyle name="20% - uthevingsfarge 6 26 6 4 2" xfId="37745" xr:uid="{00000000-0005-0000-0000-0000851F0000}"/>
    <cellStyle name="20% - uthevingsfarge 6 26 6 5" xfId="33410" xr:uid="{00000000-0005-0000-0000-0000861F0000}"/>
    <cellStyle name="20% - uthevingsfarge 6 26 7" xfId="4669" xr:uid="{00000000-0005-0000-0000-0000871F0000}"/>
    <cellStyle name="20% - uthevingsfarge 6 26 7 2" xfId="6389" xr:uid="{00000000-0005-0000-0000-0000881F0000}"/>
    <cellStyle name="20% - uthevingsfarge 6 26 7 2 2" xfId="9799" xr:uid="{00000000-0005-0000-0000-0000891F0000}"/>
    <cellStyle name="20% - uthevingsfarge 6 26 7 2 2 2" xfId="21489" xr:uid="{00000000-0005-0000-0000-00008A1F0000}"/>
    <cellStyle name="20% - uthevingsfarge 6 26 7 2 2 2 2" xfId="37569" xr:uid="{00000000-0005-0000-0000-00008B1F0000}"/>
    <cellStyle name="20% - uthevingsfarge 6 26 7 2 2 3" xfId="28000" xr:uid="{00000000-0005-0000-0000-00008C1F0000}"/>
    <cellStyle name="20% - uthevingsfarge 6 26 7 2 3" xfId="24032" xr:uid="{00000000-0005-0000-0000-00008D1F0000}"/>
    <cellStyle name="20% - uthevingsfarge 6 26 7 2 3 2" xfId="40085" xr:uid="{00000000-0005-0000-0000-00008E1F0000}"/>
    <cellStyle name="20% - uthevingsfarge 6 26 7 2 4" xfId="31401" xr:uid="{00000000-0005-0000-0000-00008F1F0000}"/>
    <cellStyle name="20% - uthevingsfarge 6 26 7 3" xfId="8095" xr:uid="{00000000-0005-0000-0000-0000901F0000}"/>
    <cellStyle name="20% - uthevingsfarge 6 26 7 3 2" xfId="20998" xr:uid="{00000000-0005-0000-0000-0000911F0000}"/>
    <cellStyle name="20% - uthevingsfarge 6 26 7 3 2 2" xfId="37093" xr:uid="{00000000-0005-0000-0000-0000921F0000}"/>
    <cellStyle name="20% - uthevingsfarge 6 26 7 3 3" xfId="29703" xr:uid="{00000000-0005-0000-0000-0000931F0000}"/>
    <cellStyle name="20% - uthevingsfarge 6 26 7 4" xfId="12291" xr:uid="{00000000-0005-0000-0000-0000941F0000}"/>
    <cellStyle name="20% - uthevingsfarge 6 26 7 4 2" xfId="35167" xr:uid="{00000000-0005-0000-0000-0000951F0000}"/>
    <cellStyle name="20% - uthevingsfarge 6 26 7 5" xfId="33094" xr:uid="{00000000-0005-0000-0000-0000961F0000}"/>
    <cellStyle name="20% - uthevingsfarge 6 26 8" xfId="5033" xr:uid="{00000000-0005-0000-0000-0000971F0000}"/>
    <cellStyle name="20% - uthevingsfarge 6 26 8 2" xfId="6752" xr:uid="{00000000-0005-0000-0000-0000981F0000}"/>
    <cellStyle name="20% - uthevingsfarge 6 26 8 2 2" xfId="10158" xr:uid="{00000000-0005-0000-0000-0000991F0000}"/>
    <cellStyle name="20% - uthevingsfarge 6 26 8 2 2 2" xfId="21629" xr:uid="{00000000-0005-0000-0000-00009A1F0000}"/>
    <cellStyle name="20% - uthevingsfarge 6 26 8 2 2 2 2" xfId="37709" xr:uid="{00000000-0005-0000-0000-00009B1F0000}"/>
    <cellStyle name="20% - uthevingsfarge 6 26 8 2 2 3" xfId="27641" xr:uid="{00000000-0005-0000-0000-00009C1F0000}"/>
    <cellStyle name="20% - uthevingsfarge 6 26 8 2 3" xfId="23090" xr:uid="{00000000-0005-0000-0000-00009D1F0000}"/>
    <cellStyle name="20% - uthevingsfarge 6 26 8 2 3 2" xfId="39159" xr:uid="{00000000-0005-0000-0000-00009E1F0000}"/>
    <cellStyle name="20% - uthevingsfarge 6 26 8 2 4" xfId="31042" xr:uid="{00000000-0005-0000-0000-00009F1F0000}"/>
    <cellStyle name="20% - uthevingsfarge 6 26 8 3" xfId="8455" xr:uid="{00000000-0005-0000-0000-0000A01F0000}"/>
    <cellStyle name="20% - uthevingsfarge 6 26 8 3 2" xfId="23364" xr:uid="{00000000-0005-0000-0000-0000A11F0000}"/>
    <cellStyle name="20% - uthevingsfarge 6 26 8 3 2 2" xfId="39423" xr:uid="{00000000-0005-0000-0000-0000A21F0000}"/>
    <cellStyle name="20% - uthevingsfarge 6 26 8 3 3" xfId="29343" xr:uid="{00000000-0005-0000-0000-0000A31F0000}"/>
    <cellStyle name="20% - uthevingsfarge 6 26 8 4" xfId="19734" xr:uid="{00000000-0005-0000-0000-0000A41F0000}"/>
    <cellStyle name="20% - uthevingsfarge 6 26 8 4 2" xfId="35848" xr:uid="{00000000-0005-0000-0000-0000A51F0000}"/>
    <cellStyle name="20% - uthevingsfarge 6 26 8 5" xfId="32734" xr:uid="{00000000-0005-0000-0000-0000A61F0000}"/>
    <cellStyle name="20% - uthevingsfarge 6 26 9" xfId="5197" xr:uid="{00000000-0005-0000-0000-0000A71F0000}"/>
    <cellStyle name="20% - uthevingsfarge 6 26 9 2" xfId="8616" xr:uid="{00000000-0005-0000-0000-0000A81F0000}"/>
    <cellStyle name="20% - uthevingsfarge 6 26 9 2 2" xfId="10502" xr:uid="{00000000-0005-0000-0000-0000A91F0000}"/>
    <cellStyle name="20% - uthevingsfarge 6 26 9 2 2 2" xfId="34396" xr:uid="{00000000-0005-0000-0000-0000AA1F0000}"/>
    <cellStyle name="20% - uthevingsfarge 6 26 9 2 3" xfId="29182" xr:uid="{00000000-0005-0000-0000-0000AB1F0000}"/>
    <cellStyle name="20% - uthevingsfarge 6 26 9 3" xfId="12109" xr:uid="{00000000-0005-0000-0000-0000AC1F0000}"/>
    <cellStyle name="20% - uthevingsfarge 6 26 9 3 2" xfId="35076" xr:uid="{00000000-0005-0000-0000-0000AD1F0000}"/>
    <cellStyle name="20% - uthevingsfarge 6 26 9 4" xfId="32573" xr:uid="{00000000-0005-0000-0000-0000AE1F0000}"/>
    <cellStyle name="20% - uthevingsfarge 6 27" xfId="561" xr:uid="{00000000-0005-0000-0000-0000AF1F0000}"/>
    <cellStyle name="20% - uthevingsfarge 6 27 10" xfId="11010" xr:uid="{00000000-0005-0000-0000-0000B01F0000}"/>
    <cellStyle name="20% - uthevingsfarge 6 27 11" xfId="34264" xr:uid="{00000000-0005-0000-0000-0000B11F0000}"/>
    <cellStyle name="20% - uthevingsfarge 6 27 2" xfId="3331" xr:uid="{00000000-0005-0000-0000-0000B21F0000}"/>
    <cellStyle name="20% - uthevingsfarge 6 27 2 10" xfId="34160" xr:uid="{00000000-0005-0000-0000-0000B31F0000}"/>
    <cellStyle name="20% - uthevingsfarge 6 27 2 2" xfId="3563" xr:uid="{00000000-0005-0000-0000-0000B41F0000}"/>
    <cellStyle name="20% - uthevingsfarge 6 27 2 2 10" xfId="47162" xr:uid="{00000000-0005-0000-0000-0000B51F0000}"/>
    <cellStyle name="20% - uthevingsfarge 6 27 2 2 2" xfId="3993" xr:uid="{00000000-0005-0000-0000-0000B61F0000}"/>
    <cellStyle name="20% - uthevingsfarge 6 27 2 2 2 2" xfId="5881" xr:uid="{00000000-0005-0000-0000-0000B71F0000}"/>
    <cellStyle name="20% - uthevingsfarge 6 27 2 2 2 2 2" xfId="9296" xr:uid="{00000000-0005-0000-0000-0000B81F0000}"/>
    <cellStyle name="20% - uthevingsfarge 6 27 2 2 2 2 2 2" xfId="10462" xr:uid="{00000000-0005-0000-0000-0000B91F0000}"/>
    <cellStyle name="20% - uthevingsfarge 6 27 2 2 2 2 2 2 2" xfId="34376" xr:uid="{00000000-0005-0000-0000-0000BA1F0000}"/>
    <cellStyle name="20% - uthevingsfarge 6 27 2 2 2 2 2 3" xfId="28502" xr:uid="{00000000-0005-0000-0000-0000BB1F0000}"/>
    <cellStyle name="20% - uthevingsfarge 6 27 2 2 2 2 3" xfId="23934" xr:uid="{00000000-0005-0000-0000-0000BC1F0000}"/>
    <cellStyle name="20% - uthevingsfarge 6 27 2 2 2 2 3 2" xfId="39988" xr:uid="{00000000-0005-0000-0000-0000BD1F0000}"/>
    <cellStyle name="20% - uthevingsfarge 6 27 2 2 2 2 4" xfId="31894" xr:uid="{00000000-0005-0000-0000-0000BE1F0000}"/>
    <cellStyle name="20% - uthevingsfarge 6 27 2 2 2 3" xfId="7599" xr:uid="{00000000-0005-0000-0000-0000BF1F0000}"/>
    <cellStyle name="20% - uthevingsfarge 6 27 2 2 2 3 2" xfId="22469" xr:uid="{00000000-0005-0000-0000-0000C01F0000}"/>
    <cellStyle name="20% - uthevingsfarge 6 27 2 2 2 3 2 2" xfId="38541" xr:uid="{00000000-0005-0000-0000-0000C11F0000}"/>
    <cellStyle name="20% - uthevingsfarge 6 27 2 2 2 3 3" xfId="30199" xr:uid="{00000000-0005-0000-0000-0000C21F0000}"/>
    <cellStyle name="20% - uthevingsfarge 6 27 2 2 2 4" xfId="17991" xr:uid="{00000000-0005-0000-0000-0000C31F0000}"/>
    <cellStyle name="20% - uthevingsfarge 6 27 2 2 2 5" xfId="12447" xr:uid="{00000000-0005-0000-0000-0000C41F0000}"/>
    <cellStyle name="20% - uthevingsfarge 6 27 2 2 2 5 2" xfId="35240" xr:uid="{00000000-0005-0000-0000-0000C51F0000}"/>
    <cellStyle name="20% - uthevingsfarge 6 27 2 2 2 6" xfId="33586" xr:uid="{00000000-0005-0000-0000-0000C61F0000}"/>
    <cellStyle name="20% - uthevingsfarge 6 27 2 2 3" xfId="4933" xr:uid="{00000000-0005-0000-0000-0000C71F0000}"/>
    <cellStyle name="20% - uthevingsfarge 6 27 2 2 3 10" xfId="47352" xr:uid="{00000000-0005-0000-0000-0000C81F0000}"/>
    <cellStyle name="20% - uthevingsfarge 6 27 2 2 3 2" xfId="6652" xr:uid="{00000000-0005-0000-0000-0000C91F0000}"/>
    <cellStyle name="20% - uthevingsfarge 6 27 2 2 3 2 2" xfId="10058" xr:uid="{00000000-0005-0000-0000-0000CA1F0000}"/>
    <cellStyle name="20% - uthevingsfarge 6 27 2 2 3 2 2 2" xfId="23610" xr:uid="{00000000-0005-0000-0000-0000CB1F0000}"/>
    <cellStyle name="20% - uthevingsfarge 6 27 2 2 3 2 2 2 2" xfId="39666" xr:uid="{00000000-0005-0000-0000-0000CC1F0000}"/>
    <cellStyle name="20% - uthevingsfarge 6 27 2 2 3 2 2 3" xfId="27741" xr:uid="{00000000-0005-0000-0000-0000CD1F0000}"/>
    <cellStyle name="20% - uthevingsfarge 6 27 2 2 3 2 3" xfId="10670" xr:uid="{00000000-0005-0000-0000-0000CE1F0000}"/>
    <cellStyle name="20% - uthevingsfarge 6 27 2 2 3 2 3 2" xfId="34518" xr:uid="{00000000-0005-0000-0000-0000CF1F0000}"/>
    <cellStyle name="20% - uthevingsfarge 6 27 2 2 3 2 4" xfId="31142" xr:uid="{00000000-0005-0000-0000-0000D01F0000}"/>
    <cellStyle name="20% - uthevingsfarge 6 27 2 2 3 2 5" xfId="43046" xr:uid="{00000000-0005-0000-0000-0000D11F0000}"/>
    <cellStyle name="20% - uthevingsfarge 6 27 2 2 3 2 6" xfId="43343" xr:uid="{00000000-0005-0000-0000-0000D21F0000}"/>
    <cellStyle name="20% - uthevingsfarge 6 27 2 2 3 2 7" xfId="46191" xr:uid="{00000000-0005-0000-0000-0000D31F0000}"/>
    <cellStyle name="20% - uthevingsfarge 6 27 2 2 3 2 8" xfId="46963" xr:uid="{00000000-0005-0000-0000-0000D41F0000}"/>
    <cellStyle name="20% - uthevingsfarge 6 27 2 2 3 2 9" xfId="47548" xr:uid="{00000000-0005-0000-0000-0000D51F0000}"/>
    <cellStyle name="20% - uthevingsfarge 6 27 2 2 3 3" xfId="8355" xr:uid="{00000000-0005-0000-0000-0000D61F0000}"/>
    <cellStyle name="20% - uthevingsfarge 6 27 2 2 3 3 2" xfId="23350" xr:uid="{00000000-0005-0000-0000-0000D71F0000}"/>
    <cellStyle name="20% - uthevingsfarge 6 27 2 2 3 3 2 2" xfId="39411" xr:uid="{00000000-0005-0000-0000-0000D81F0000}"/>
    <cellStyle name="20% - uthevingsfarge 6 27 2 2 3 3 3" xfId="29443" xr:uid="{00000000-0005-0000-0000-0000D91F0000}"/>
    <cellStyle name="20% - uthevingsfarge 6 27 2 2 3 3 4" xfId="43913" xr:uid="{00000000-0005-0000-0000-0000DA1F0000}"/>
    <cellStyle name="20% - uthevingsfarge 6 27 2 2 3 4" xfId="16491" xr:uid="{00000000-0005-0000-0000-0000DB1F0000}"/>
    <cellStyle name="20% - uthevingsfarge 6 27 2 2 3 4 2" xfId="35438" xr:uid="{00000000-0005-0000-0000-0000DC1F0000}"/>
    <cellStyle name="20% - uthevingsfarge 6 27 2 2 3 5" xfId="25100" xr:uid="{00000000-0005-0000-0000-0000DD1F0000}"/>
    <cellStyle name="20% - uthevingsfarge 6 27 2 2 3 6" xfId="25278" xr:uid="{00000000-0005-0000-0000-0000DE1F0000}"/>
    <cellStyle name="20% - uthevingsfarge 6 27 2 2 3 7" xfId="32834" xr:uid="{00000000-0005-0000-0000-0000DF1F0000}"/>
    <cellStyle name="20% - uthevingsfarge 6 27 2 2 3 8" xfId="43804" xr:uid="{00000000-0005-0000-0000-0000E01F0000}"/>
    <cellStyle name="20% - uthevingsfarge 6 27 2 2 3 9" xfId="46729" xr:uid="{00000000-0005-0000-0000-0000E11F0000}"/>
    <cellStyle name="20% - uthevingsfarge 6 27 2 2 4" xfId="5487" xr:uid="{00000000-0005-0000-0000-0000E21F0000}"/>
    <cellStyle name="20% - uthevingsfarge 6 27 2 2 4 2" xfId="8902" xr:uid="{00000000-0005-0000-0000-0000E31F0000}"/>
    <cellStyle name="20% - uthevingsfarge 6 27 2 2 4 2 2" xfId="21214" xr:uid="{00000000-0005-0000-0000-0000E41F0000}"/>
    <cellStyle name="20% - uthevingsfarge 6 27 2 2 4 2 2 2" xfId="37294" xr:uid="{00000000-0005-0000-0000-0000E51F0000}"/>
    <cellStyle name="20% - uthevingsfarge 6 27 2 2 4 2 3" xfId="28896" xr:uid="{00000000-0005-0000-0000-0000E61F0000}"/>
    <cellStyle name="20% - uthevingsfarge 6 27 2 2 4 3" xfId="19841" xr:uid="{00000000-0005-0000-0000-0000E71F0000}"/>
    <cellStyle name="20% - uthevingsfarge 6 27 2 2 4 3 2" xfId="35954" xr:uid="{00000000-0005-0000-0000-0000E81F0000}"/>
    <cellStyle name="20% - uthevingsfarge 6 27 2 2 4 4" xfId="32287" xr:uid="{00000000-0005-0000-0000-0000E91F0000}"/>
    <cellStyle name="20% - uthevingsfarge 6 27 2 2 5" xfId="7205" xr:uid="{00000000-0005-0000-0000-0000EA1F0000}"/>
    <cellStyle name="20% - uthevingsfarge 6 27 2 2 5 2" xfId="20694" xr:uid="{00000000-0005-0000-0000-0000EB1F0000}"/>
    <cellStyle name="20% - uthevingsfarge 6 27 2 2 5 2 2" xfId="36793" xr:uid="{00000000-0005-0000-0000-0000EC1F0000}"/>
    <cellStyle name="20% - uthevingsfarge 6 27 2 2 5 3" xfId="30593" xr:uid="{00000000-0005-0000-0000-0000ED1F0000}"/>
    <cellStyle name="20% - uthevingsfarge 6 27 2 2 6" xfId="11012" xr:uid="{00000000-0005-0000-0000-0000EE1F0000}"/>
    <cellStyle name="20% - uthevingsfarge 6 27 2 2 7" xfId="33980" xr:uid="{00000000-0005-0000-0000-0000EF1F0000}"/>
    <cellStyle name="20% - uthevingsfarge 6 27 2 2 8" xfId="43595" xr:uid="{00000000-0005-0000-0000-0000F01F0000}"/>
    <cellStyle name="20% - uthevingsfarge 6 27 2 2 9" xfId="46501" xr:uid="{00000000-0005-0000-0000-0000F11F0000}"/>
    <cellStyle name="20% - uthevingsfarge 6 27 2 2_Avviksanalyse løpende RNB15 (1)" xfId="16603" xr:uid="{00000000-0005-0000-0000-0000F21F0000}"/>
    <cellStyle name="20% - uthevingsfarge 6 27 2 3" xfId="3813" xr:uid="{00000000-0005-0000-0000-0000F31F0000}"/>
    <cellStyle name="20% - uthevingsfarge 6 27 2 3 2" xfId="5701" xr:uid="{00000000-0005-0000-0000-0000F41F0000}"/>
    <cellStyle name="20% - uthevingsfarge 6 27 2 3 2 2" xfId="9116" xr:uid="{00000000-0005-0000-0000-0000F51F0000}"/>
    <cellStyle name="20% - uthevingsfarge 6 27 2 3 2 2 2" xfId="21280" xr:uid="{00000000-0005-0000-0000-0000F61F0000}"/>
    <cellStyle name="20% - uthevingsfarge 6 27 2 3 2 2 2 2" xfId="37360" xr:uid="{00000000-0005-0000-0000-0000F71F0000}"/>
    <cellStyle name="20% - uthevingsfarge 6 27 2 3 2 2 3" xfId="28682" xr:uid="{00000000-0005-0000-0000-0000F81F0000}"/>
    <cellStyle name="20% - uthevingsfarge 6 27 2 3 2 3" xfId="22267" xr:uid="{00000000-0005-0000-0000-0000F91F0000}"/>
    <cellStyle name="20% - uthevingsfarge 6 27 2 3 2 3 2" xfId="38341" xr:uid="{00000000-0005-0000-0000-0000FA1F0000}"/>
    <cellStyle name="20% - uthevingsfarge 6 27 2 3 2 4" xfId="32073" xr:uid="{00000000-0005-0000-0000-0000FB1F0000}"/>
    <cellStyle name="20% - uthevingsfarge 6 27 2 3 3" xfId="7419" xr:uid="{00000000-0005-0000-0000-0000FC1F0000}"/>
    <cellStyle name="20% - uthevingsfarge 6 27 2 3 3 2" xfId="20775" xr:uid="{00000000-0005-0000-0000-0000FD1F0000}"/>
    <cellStyle name="20% - uthevingsfarge 6 27 2 3 3 2 2" xfId="36874" xr:uid="{00000000-0005-0000-0000-0000FE1F0000}"/>
    <cellStyle name="20% - uthevingsfarge 6 27 2 3 3 3" xfId="30379" xr:uid="{00000000-0005-0000-0000-0000FF1F0000}"/>
    <cellStyle name="20% - uthevingsfarge 6 27 2 3 4" xfId="11067" xr:uid="{00000000-0005-0000-0000-000000200000}"/>
    <cellStyle name="20% - uthevingsfarge 6 27 2 3 4 2" xfId="34773" xr:uid="{00000000-0005-0000-0000-000001200000}"/>
    <cellStyle name="20% - uthevingsfarge 6 27 2 3 5" xfId="33766" xr:uid="{00000000-0005-0000-0000-000002200000}"/>
    <cellStyle name="20% - uthevingsfarge 6 27 2 4" xfId="4298" xr:uid="{00000000-0005-0000-0000-000003200000}"/>
    <cellStyle name="20% - uthevingsfarge 6 27 2 4 2" xfId="6127" xr:uid="{00000000-0005-0000-0000-000004200000}"/>
    <cellStyle name="20% - uthevingsfarge 6 27 2 4 2 2" xfId="9541" xr:uid="{00000000-0005-0000-0000-000005200000}"/>
    <cellStyle name="20% - uthevingsfarge 6 27 2 4 2 2 2" xfId="11656" xr:uid="{00000000-0005-0000-0000-000006200000}"/>
    <cellStyle name="20% - uthevingsfarge 6 27 2 4 2 2 2 2" xfId="34825" xr:uid="{00000000-0005-0000-0000-000007200000}"/>
    <cellStyle name="20% - uthevingsfarge 6 27 2 4 2 2 3" xfId="28257" xr:uid="{00000000-0005-0000-0000-000008200000}"/>
    <cellStyle name="20% - uthevingsfarge 6 27 2 4 2 3" xfId="20332" xr:uid="{00000000-0005-0000-0000-000009200000}"/>
    <cellStyle name="20% - uthevingsfarge 6 27 2 4 2 3 2" xfId="36431" xr:uid="{00000000-0005-0000-0000-00000A200000}"/>
    <cellStyle name="20% - uthevingsfarge 6 27 2 4 2 4" xfId="31652" xr:uid="{00000000-0005-0000-0000-00000B200000}"/>
    <cellStyle name="20% - uthevingsfarge 6 27 2 4 3" xfId="7860" xr:uid="{00000000-0005-0000-0000-00000C200000}"/>
    <cellStyle name="20% - uthevingsfarge 6 27 2 4 3 2" xfId="19446" xr:uid="{00000000-0005-0000-0000-00000D200000}"/>
    <cellStyle name="20% - uthevingsfarge 6 27 2 4 3 2 2" xfId="35560" xr:uid="{00000000-0005-0000-0000-00000E200000}"/>
    <cellStyle name="20% - uthevingsfarge 6 27 2 4 3 3" xfId="29939" xr:uid="{00000000-0005-0000-0000-00000F200000}"/>
    <cellStyle name="20% - uthevingsfarge 6 27 2 4 4" xfId="10984" xr:uid="{00000000-0005-0000-0000-000010200000}"/>
    <cellStyle name="20% - uthevingsfarge 6 27 2 4 4 2" xfId="34718" xr:uid="{00000000-0005-0000-0000-000011200000}"/>
    <cellStyle name="20% - uthevingsfarge 6 27 2 4 5" xfId="33327" xr:uid="{00000000-0005-0000-0000-000012200000}"/>
    <cellStyle name="20% - uthevingsfarge 6 27 2 5" xfId="4753" xr:uid="{00000000-0005-0000-0000-000013200000}"/>
    <cellStyle name="20% - uthevingsfarge 6 27 2 5 2" xfId="6473" xr:uid="{00000000-0005-0000-0000-000014200000}"/>
    <cellStyle name="20% - uthevingsfarge 6 27 2 5 2 2" xfId="9879" xr:uid="{00000000-0005-0000-0000-000015200000}"/>
    <cellStyle name="20% - uthevingsfarge 6 27 2 5 2 2 2" xfId="19876" xr:uid="{00000000-0005-0000-0000-000016200000}"/>
    <cellStyle name="20% - uthevingsfarge 6 27 2 5 2 2 2 2" xfId="35989" xr:uid="{00000000-0005-0000-0000-000017200000}"/>
    <cellStyle name="20% - uthevingsfarge 6 27 2 5 2 2 3" xfId="27920" xr:uid="{00000000-0005-0000-0000-000018200000}"/>
    <cellStyle name="20% - uthevingsfarge 6 27 2 5 2 3" xfId="23046" xr:uid="{00000000-0005-0000-0000-000019200000}"/>
    <cellStyle name="20% - uthevingsfarge 6 27 2 5 2 3 2" xfId="39115" xr:uid="{00000000-0005-0000-0000-00001A200000}"/>
    <cellStyle name="20% - uthevingsfarge 6 27 2 5 2 4" xfId="31321" xr:uid="{00000000-0005-0000-0000-00001B200000}"/>
    <cellStyle name="20% - uthevingsfarge 6 27 2 5 3" xfId="8175" xr:uid="{00000000-0005-0000-0000-00001C200000}"/>
    <cellStyle name="20% - uthevingsfarge 6 27 2 5 3 2" xfId="10599" xr:uid="{00000000-0005-0000-0000-00001D200000}"/>
    <cellStyle name="20% - uthevingsfarge 6 27 2 5 3 2 2" xfId="34447" xr:uid="{00000000-0005-0000-0000-00001E200000}"/>
    <cellStyle name="20% - uthevingsfarge 6 27 2 5 3 3" xfId="29622" xr:uid="{00000000-0005-0000-0000-00001F200000}"/>
    <cellStyle name="20% - uthevingsfarge 6 27 2 5 4" xfId="20039" xr:uid="{00000000-0005-0000-0000-000020200000}"/>
    <cellStyle name="20% - uthevingsfarge 6 27 2 5 4 2" xfId="36143" xr:uid="{00000000-0005-0000-0000-000021200000}"/>
    <cellStyle name="20% - uthevingsfarge 6 27 2 5 5" xfId="33014" xr:uid="{00000000-0005-0000-0000-000022200000}"/>
    <cellStyle name="20% - uthevingsfarge 6 27 2 6" xfId="5113" xr:uid="{00000000-0005-0000-0000-000023200000}"/>
    <cellStyle name="20% - uthevingsfarge 6 27 2 6 2" xfId="6832" xr:uid="{00000000-0005-0000-0000-000024200000}"/>
    <cellStyle name="20% - uthevingsfarge 6 27 2 6 2 2" xfId="10238" xr:uid="{00000000-0005-0000-0000-000025200000}"/>
    <cellStyle name="20% - uthevingsfarge 6 27 2 6 2 2 2" xfId="24681" xr:uid="{00000000-0005-0000-0000-000026200000}"/>
    <cellStyle name="20% - uthevingsfarge 6 27 2 6 2 2 2 2" xfId="40724" xr:uid="{00000000-0005-0000-0000-000027200000}"/>
    <cellStyle name="20% - uthevingsfarge 6 27 2 6 2 2 3" xfId="27561" xr:uid="{00000000-0005-0000-0000-000028200000}"/>
    <cellStyle name="20% - uthevingsfarge 6 27 2 6 2 3" xfId="20576" xr:uid="{00000000-0005-0000-0000-000029200000}"/>
    <cellStyle name="20% - uthevingsfarge 6 27 2 6 2 3 2" xfId="36675" xr:uid="{00000000-0005-0000-0000-00002A200000}"/>
    <cellStyle name="20% - uthevingsfarge 6 27 2 6 2 4" xfId="30962" xr:uid="{00000000-0005-0000-0000-00002B200000}"/>
    <cellStyle name="20% - uthevingsfarge 6 27 2 6 3" xfId="8535" xr:uid="{00000000-0005-0000-0000-00002C200000}"/>
    <cellStyle name="20% - uthevingsfarge 6 27 2 6 3 2" xfId="22585" xr:uid="{00000000-0005-0000-0000-00002D200000}"/>
    <cellStyle name="20% - uthevingsfarge 6 27 2 6 3 2 2" xfId="38654" xr:uid="{00000000-0005-0000-0000-00002E200000}"/>
    <cellStyle name="20% - uthevingsfarge 6 27 2 6 3 3" xfId="29263" xr:uid="{00000000-0005-0000-0000-00002F200000}"/>
    <cellStyle name="20% - uthevingsfarge 6 27 2 6 4" xfId="19770" xr:uid="{00000000-0005-0000-0000-000030200000}"/>
    <cellStyle name="20% - uthevingsfarge 6 27 2 6 4 2" xfId="35884" xr:uid="{00000000-0005-0000-0000-000031200000}"/>
    <cellStyle name="20% - uthevingsfarge 6 27 2 6 5" xfId="32654" xr:uid="{00000000-0005-0000-0000-000032200000}"/>
    <cellStyle name="20% - uthevingsfarge 6 27 2 7" xfId="5292" xr:uid="{00000000-0005-0000-0000-000033200000}"/>
    <cellStyle name="20% - uthevingsfarge 6 27 2 7 2" xfId="8707" xr:uid="{00000000-0005-0000-0000-000034200000}"/>
    <cellStyle name="20% - uthevingsfarge 6 27 2 7 2 2" xfId="23718" xr:uid="{00000000-0005-0000-0000-000035200000}"/>
    <cellStyle name="20% - uthevingsfarge 6 27 2 7 2 2 2" xfId="39774" xr:uid="{00000000-0005-0000-0000-000036200000}"/>
    <cellStyle name="20% - uthevingsfarge 6 27 2 7 2 3" xfId="29091" xr:uid="{00000000-0005-0000-0000-000037200000}"/>
    <cellStyle name="20% - uthevingsfarge 6 27 2 7 3" xfId="12086" xr:uid="{00000000-0005-0000-0000-000038200000}"/>
    <cellStyle name="20% - uthevingsfarge 6 27 2 7 3 2" xfId="35063" xr:uid="{00000000-0005-0000-0000-000039200000}"/>
    <cellStyle name="20% - uthevingsfarge 6 27 2 7 4" xfId="32482" xr:uid="{00000000-0005-0000-0000-00003A200000}"/>
    <cellStyle name="20% - uthevingsfarge 6 27 2 8" xfId="7025" xr:uid="{00000000-0005-0000-0000-00003B200000}"/>
    <cellStyle name="20% - uthevingsfarge 6 27 2 8 2" xfId="23133" xr:uid="{00000000-0005-0000-0000-00003C200000}"/>
    <cellStyle name="20% - uthevingsfarge 6 27 2 8 2 2" xfId="39202" xr:uid="{00000000-0005-0000-0000-00003D200000}"/>
    <cellStyle name="20% - uthevingsfarge 6 27 2 8 3" xfId="30773" xr:uid="{00000000-0005-0000-0000-00003E200000}"/>
    <cellStyle name="20% - uthevingsfarge 6 27 2 9" xfId="11011" xr:uid="{00000000-0005-0000-0000-00003F200000}"/>
    <cellStyle name="20% - uthevingsfarge 6 27 3" xfId="3478" xr:uid="{00000000-0005-0000-0000-000040200000}"/>
    <cellStyle name="20% - uthevingsfarge 6 27 3 10" xfId="47094" xr:uid="{00000000-0005-0000-0000-000041200000}"/>
    <cellStyle name="20% - uthevingsfarge 6 27 3 2" xfId="3914" xr:uid="{00000000-0005-0000-0000-000042200000}"/>
    <cellStyle name="20% - uthevingsfarge 6 27 3 2 2" xfId="5802" xr:uid="{00000000-0005-0000-0000-000043200000}"/>
    <cellStyle name="20% - uthevingsfarge 6 27 3 2 2 2" xfId="9217" xr:uid="{00000000-0005-0000-0000-000044200000}"/>
    <cellStyle name="20% - uthevingsfarge 6 27 3 2 2 2 2" xfId="21792" xr:uid="{00000000-0005-0000-0000-000045200000}"/>
    <cellStyle name="20% - uthevingsfarge 6 27 3 2 2 2 2 2" xfId="37868" xr:uid="{00000000-0005-0000-0000-000046200000}"/>
    <cellStyle name="20% - uthevingsfarge 6 27 3 2 2 2 3" xfId="28581" xr:uid="{00000000-0005-0000-0000-000047200000}"/>
    <cellStyle name="20% - uthevingsfarge 6 27 3 2 2 3" xfId="20209" xr:uid="{00000000-0005-0000-0000-000048200000}"/>
    <cellStyle name="20% - uthevingsfarge 6 27 3 2 2 3 2" xfId="36308" xr:uid="{00000000-0005-0000-0000-000049200000}"/>
    <cellStyle name="20% - uthevingsfarge 6 27 3 2 2 4" xfId="31972" xr:uid="{00000000-0005-0000-0000-00004A200000}"/>
    <cellStyle name="20% - uthevingsfarge 6 27 3 2 3" xfId="7520" xr:uid="{00000000-0005-0000-0000-00004B200000}"/>
    <cellStyle name="20% - uthevingsfarge 6 27 3 2 3 2" xfId="10631" xr:uid="{00000000-0005-0000-0000-00004C200000}"/>
    <cellStyle name="20% - uthevingsfarge 6 27 3 2 3 2 2" xfId="34479" xr:uid="{00000000-0005-0000-0000-00004D200000}"/>
    <cellStyle name="20% - uthevingsfarge 6 27 3 2 3 3" xfId="30278" xr:uid="{00000000-0005-0000-0000-00004E200000}"/>
    <cellStyle name="20% - uthevingsfarge 6 27 3 2 4" xfId="17992" xr:uid="{00000000-0005-0000-0000-00004F200000}"/>
    <cellStyle name="20% - uthevingsfarge 6 27 3 2 5" xfId="19558" xr:uid="{00000000-0005-0000-0000-000050200000}"/>
    <cellStyle name="20% - uthevingsfarge 6 27 3 2 5 2" xfId="35672" xr:uid="{00000000-0005-0000-0000-000051200000}"/>
    <cellStyle name="20% - uthevingsfarge 6 27 3 2 6" xfId="33665" xr:uid="{00000000-0005-0000-0000-000052200000}"/>
    <cellStyle name="20% - uthevingsfarge 6 27 3 3" xfId="4854" xr:uid="{00000000-0005-0000-0000-000053200000}"/>
    <cellStyle name="20% - uthevingsfarge 6 27 3 3 10" xfId="47284" xr:uid="{00000000-0005-0000-0000-000054200000}"/>
    <cellStyle name="20% - uthevingsfarge 6 27 3 3 2" xfId="6573" xr:uid="{00000000-0005-0000-0000-000055200000}"/>
    <cellStyle name="20% - uthevingsfarge 6 27 3 3 2 2" xfId="9979" xr:uid="{00000000-0005-0000-0000-000056200000}"/>
    <cellStyle name="20% - uthevingsfarge 6 27 3 3 2 2 2" xfId="21558" xr:uid="{00000000-0005-0000-0000-000057200000}"/>
    <cellStyle name="20% - uthevingsfarge 6 27 3 3 2 2 2 2" xfId="37638" xr:uid="{00000000-0005-0000-0000-000058200000}"/>
    <cellStyle name="20% - uthevingsfarge 6 27 3 3 2 2 3" xfId="27820" xr:uid="{00000000-0005-0000-0000-000059200000}"/>
    <cellStyle name="20% - uthevingsfarge 6 27 3 3 2 3" xfId="24067" xr:uid="{00000000-0005-0000-0000-00005A200000}"/>
    <cellStyle name="20% - uthevingsfarge 6 27 3 3 2 3 2" xfId="40120" xr:uid="{00000000-0005-0000-0000-00005B200000}"/>
    <cellStyle name="20% - uthevingsfarge 6 27 3 3 2 4" xfId="31221" xr:uid="{00000000-0005-0000-0000-00005C200000}"/>
    <cellStyle name="20% - uthevingsfarge 6 27 3 3 2 5" xfId="42839" xr:uid="{00000000-0005-0000-0000-00005D200000}"/>
    <cellStyle name="20% - uthevingsfarge 6 27 3 3 2 6" xfId="43277" xr:uid="{00000000-0005-0000-0000-00005E200000}"/>
    <cellStyle name="20% - uthevingsfarge 6 27 3 3 2 7" xfId="46125" xr:uid="{00000000-0005-0000-0000-00005F200000}"/>
    <cellStyle name="20% - uthevingsfarge 6 27 3 3 2 8" xfId="46894" xr:uid="{00000000-0005-0000-0000-000060200000}"/>
    <cellStyle name="20% - uthevingsfarge 6 27 3 3 2 9" xfId="47480" xr:uid="{00000000-0005-0000-0000-000061200000}"/>
    <cellStyle name="20% - uthevingsfarge 6 27 3 3 3" xfId="8276" xr:uid="{00000000-0005-0000-0000-000062200000}"/>
    <cellStyle name="20% - uthevingsfarge 6 27 3 3 3 2" xfId="21772" xr:uid="{00000000-0005-0000-0000-000063200000}"/>
    <cellStyle name="20% - uthevingsfarge 6 27 3 3 3 2 2" xfId="37849" xr:uid="{00000000-0005-0000-0000-000064200000}"/>
    <cellStyle name="20% - uthevingsfarge 6 27 3 3 3 3" xfId="29521" xr:uid="{00000000-0005-0000-0000-000065200000}"/>
    <cellStyle name="20% - uthevingsfarge 6 27 3 3 3 4" xfId="43914" xr:uid="{00000000-0005-0000-0000-000066200000}"/>
    <cellStyle name="20% - uthevingsfarge 6 27 3 3 4" xfId="16284" xr:uid="{00000000-0005-0000-0000-000067200000}"/>
    <cellStyle name="20% - uthevingsfarge 6 27 3 3 4 2" xfId="35372" xr:uid="{00000000-0005-0000-0000-000068200000}"/>
    <cellStyle name="20% - uthevingsfarge 6 27 3 3 5" xfId="25031" xr:uid="{00000000-0005-0000-0000-000069200000}"/>
    <cellStyle name="20% - uthevingsfarge 6 27 3 3 6" xfId="25279" xr:uid="{00000000-0005-0000-0000-00006A200000}"/>
    <cellStyle name="20% - uthevingsfarge 6 27 3 3 7" xfId="32913" xr:uid="{00000000-0005-0000-0000-00006B200000}"/>
    <cellStyle name="20% - uthevingsfarge 6 27 3 3 8" xfId="43737" xr:uid="{00000000-0005-0000-0000-00006C200000}"/>
    <cellStyle name="20% - uthevingsfarge 6 27 3 3 9" xfId="46663" xr:uid="{00000000-0005-0000-0000-00006D200000}"/>
    <cellStyle name="20% - uthevingsfarge 6 27 3 4" xfId="5414" xr:uid="{00000000-0005-0000-0000-00006E200000}"/>
    <cellStyle name="20% - uthevingsfarge 6 27 3 4 2" xfId="8829" xr:uid="{00000000-0005-0000-0000-00006F200000}"/>
    <cellStyle name="20% - uthevingsfarge 6 27 3 4 2 2" xfId="21196" xr:uid="{00000000-0005-0000-0000-000070200000}"/>
    <cellStyle name="20% - uthevingsfarge 6 27 3 4 2 2 2" xfId="37276" xr:uid="{00000000-0005-0000-0000-000071200000}"/>
    <cellStyle name="20% - uthevingsfarge 6 27 3 4 2 3" xfId="28969" xr:uid="{00000000-0005-0000-0000-000072200000}"/>
    <cellStyle name="20% - uthevingsfarge 6 27 3 4 3" xfId="10711" xr:uid="{00000000-0005-0000-0000-000073200000}"/>
    <cellStyle name="20% - uthevingsfarge 6 27 3 4 3 2" xfId="34559" xr:uid="{00000000-0005-0000-0000-000074200000}"/>
    <cellStyle name="20% - uthevingsfarge 6 27 3 4 4" xfId="32360" xr:uid="{00000000-0005-0000-0000-000075200000}"/>
    <cellStyle name="20% - uthevingsfarge 6 27 3 5" xfId="7126" xr:uid="{00000000-0005-0000-0000-000076200000}"/>
    <cellStyle name="20% - uthevingsfarge 6 27 3 5 2" xfId="20675" xr:uid="{00000000-0005-0000-0000-000077200000}"/>
    <cellStyle name="20% - uthevingsfarge 6 27 3 5 2 2" xfId="36774" xr:uid="{00000000-0005-0000-0000-000078200000}"/>
    <cellStyle name="20% - uthevingsfarge 6 27 3 5 3" xfId="30672" xr:uid="{00000000-0005-0000-0000-000079200000}"/>
    <cellStyle name="20% - uthevingsfarge 6 27 3 6" xfId="11013" xr:uid="{00000000-0005-0000-0000-00007A200000}"/>
    <cellStyle name="20% - uthevingsfarge 6 27 3 7" xfId="34059" xr:uid="{00000000-0005-0000-0000-00007B200000}"/>
    <cellStyle name="20% - uthevingsfarge 6 27 3 8" xfId="43529" xr:uid="{00000000-0005-0000-0000-00007C200000}"/>
    <cellStyle name="20% - uthevingsfarge 6 27 3 9" xfId="46433" xr:uid="{00000000-0005-0000-0000-00007D200000}"/>
    <cellStyle name="20% - uthevingsfarge 6 27 3_Avviksanalyse løpende RNB15 (1)" xfId="16604" xr:uid="{00000000-0005-0000-0000-00007E200000}"/>
    <cellStyle name="20% - uthevingsfarge 6 27 4" xfId="3735" xr:uid="{00000000-0005-0000-0000-00007F200000}"/>
    <cellStyle name="20% - uthevingsfarge 6 27 4 2" xfId="5623" xr:uid="{00000000-0005-0000-0000-000080200000}"/>
    <cellStyle name="20% - uthevingsfarge 6 27 4 2 2" xfId="9038" xr:uid="{00000000-0005-0000-0000-000081200000}"/>
    <cellStyle name="20% - uthevingsfarge 6 27 4 2 2 2" xfId="21259" xr:uid="{00000000-0005-0000-0000-000082200000}"/>
    <cellStyle name="20% - uthevingsfarge 6 27 4 2 2 2 2" xfId="37339" xr:uid="{00000000-0005-0000-0000-000083200000}"/>
    <cellStyle name="20% - uthevingsfarge 6 27 4 2 2 3" xfId="28760" xr:uid="{00000000-0005-0000-0000-000084200000}"/>
    <cellStyle name="20% - uthevingsfarge 6 27 4 2 3" xfId="23889" xr:uid="{00000000-0005-0000-0000-000085200000}"/>
    <cellStyle name="20% - uthevingsfarge 6 27 4 2 3 2" xfId="39945" xr:uid="{00000000-0005-0000-0000-000086200000}"/>
    <cellStyle name="20% - uthevingsfarge 6 27 4 2 4" xfId="32151" xr:uid="{00000000-0005-0000-0000-000087200000}"/>
    <cellStyle name="20% - uthevingsfarge 6 27 4 3" xfId="7341" xr:uid="{00000000-0005-0000-0000-000088200000}"/>
    <cellStyle name="20% - uthevingsfarge 6 27 4 3 2" xfId="22440" xr:uid="{00000000-0005-0000-0000-000089200000}"/>
    <cellStyle name="20% - uthevingsfarge 6 27 4 3 2 2" xfId="38512" xr:uid="{00000000-0005-0000-0000-00008A200000}"/>
    <cellStyle name="20% - uthevingsfarge 6 27 4 3 3" xfId="30457" xr:uid="{00000000-0005-0000-0000-00008B200000}"/>
    <cellStyle name="20% - uthevingsfarge 6 27 4 4" xfId="22680" xr:uid="{00000000-0005-0000-0000-00008C200000}"/>
    <cellStyle name="20% - uthevingsfarge 6 27 4 4 2" xfId="38749" xr:uid="{00000000-0005-0000-0000-00008D200000}"/>
    <cellStyle name="20% - uthevingsfarge 6 27 4 5" xfId="33844" xr:uid="{00000000-0005-0000-0000-00008E200000}"/>
    <cellStyle name="20% - uthevingsfarge 6 27 5" xfId="4208" xr:uid="{00000000-0005-0000-0000-00008F200000}"/>
    <cellStyle name="20% - uthevingsfarge 6 27 5 2" xfId="6045" xr:uid="{00000000-0005-0000-0000-000090200000}"/>
    <cellStyle name="20% - uthevingsfarge 6 27 5 2 2" xfId="9460" xr:uid="{00000000-0005-0000-0000-000091200000}"/>
    <cellStyle name="20% - uthevingsfarge 6 27 5 2 2 2" xfId="11670" xr:uid="{00000000-0005-0000-0000-000092200000}"/>
    <cellStyle name="20% - uthevingsfarge 6 27 5 2 2 2 2" xfId="34831" xr:uid="{00000000-0005-0000-0000-000093200000}"/>
    <cellStyle name="20% - uthevingsfarge 6 27 5 2 2 3" xfId="28338" xr:uid="{00000000-0005-0000-0000-000094200000}"/>
    <cellStyle name="20% - uthevingsfarge 6 27 5 2 3" xfId="22964" xr:uid="{00000000-0005-0000-0000-000095200000}"/>
    <cellStyle name="20% - uthevingsfarge 6 27 5 2 3 2" xfId="39033" xr:uid="{00000000-0005-0000-0000-000096200000}"/>
    <cellStyle name="20% - uthevingsfarge 6 27 5 2 4" xfId="31733" xr:uid="{00000000-0005-0000-0000-000097200000}"/>
    <cellStyle name="20% - uthevingsfarge 6 27 5 3" xfId="7778" xr:uid="{00000000-0005-0000-0000-000098200000}"/>
    <cellStyle name="20% - uthevingsfarge 6 27 5 3 2" xfId="20899" xr:uid="{00000000-0005-0000-0000-000099200000}"/>
    <cellStyle name="20% - uthevingsfarge 6 27 5 3 2 2" xfId="36998" xr:uid="{00000000-0005-0000-0000-00009A200000}"/>
    <cellStyle name="20% - uthevingsfarge 6 27 5 3 3" xfId="30021" xr:uid="{00000000-0005-0000-0000-00009B200000}"/>
    <cellStyle name="20% - uthevingsfarge 6 27 5 4" xfId="19609" xr:uid="{00000000-0005-0000-0000-00009C200000}"/>
    <cellStyle name="20% - uthevingsfarge 6 27 5 4 2" xfId="35723" xr:uid="{00000000-0005-0000-0000-00009D200000}"/>
    <cellStyle name="20% - uthevingsfarge 6 27 5 5" xfId="33409" xr:uid="{00000000-0005-0000-0000-00009E200000}"/>
    <cellStyle name="20% - uthevingsfarge 6 27 6" xfId="4670" xr:uid="{00000000-0005-0000-0000-00009F200000}"/>
    <cellStyle name="20% - uthevingsfarge 6 27 6 2" xfId="6390" xr:uid="{00000000-0005-0000-0000-0000A0200000}"/>
    <cellStyle name="20% - uthevingsfarge 6 27 6 2 2" xfId="9800" xr:uid="{00000000-0005-0000-0000-0000A1200000}"/>
    <cellStyle name="20% - uthevingsfarge 6 27 6 2 2 2" xfId="24565" xr:uid="{00000000-0005-0000-0000-0000A2200000}"/>
    <cellStyle name="20% - uthevingsfarge 6 27 6 2 2 2 2" xfId="40609" xr:uid="{00000000-0005-0000-0000-0000A3200000}"/>
    <cellStyle name="20% - uthevingsfarge 6 27 6 2 2 3" xfId="27999" xr:uid="{00000000-0005-0000-0000-0000A4200000}"/>
    <cellStyle name="20% - uthevingsfarge 6 27 6 2 3" xfId="22349" xr:uid="{00000000-0005-0000-0000-0000A5200000}"/>
    <cellStyle name="20% - uthevingsfarge 6 27 6 2 3 2" xfId="38421" xr:uid="{00000000-0005-0000-0000-0000A6200000}"/>
    <cellStyle name="20% - uthevingsfarge 6 27 6 2 4" xfId="31400" xr:uid="{00000000-0005-0000-0000-0000A7200000}"/>
    <cellStyle name="20% - uthevingsfarge 6 27 6 3" xfId="8096" xr:uid="{00000000-0005-0000-0000-0000A8200000}"/>
    <cellStyle name="20% - uthevingsfarge 6 27 6 3 2" xfId="20999" xr:uid="{00000000-0005-0000-0000-0000A9200000}"/>
    <cellStyle name="20% - uthevingsfarge 6 27 6 3 2 2" xfId="37094" xr:uid="{00000000-0005-0000-0000-0000AA200000}"/>
    <cellStyle name="20% - uthevingsfarge 6 27 6 3 3" xfId="29702" xr:uid="{00000000-0005-0000-0000-0000AB200000}"/>
    <cellStyle name="20% - uthevingsfarge 6 27 6 4" xfId="22728" xr:uid="{00000000-0005-0000-0000-0000AC200000}"/>
    <cellStyle name="20% - uthevingsfarge 6 27 6 4 2" xfId="38797" xr:uid="{00000000-0005-0000-0000-0000AD200000}"/>
    <cellStyle name="20% - uthevingsfarge 6 27 6 5" xfId="33093" xr:uid="{00000000-0005-0000-0000-0000AE200000}"/>
    <cellStyle name="20% - uthevingsfarge 6 27 7" xfId="5034" xr:uid="{00000000-0005-0000-0000-0000AF200000}"/>
    <cellStyle name="20% - uthevingsfarge 6 27 7 2" xfId="6753" xr:uid="{00000000-0005-0000-0000-0000B0200000}"/>
    <cellStyle name="20% - uthevingsfarge 6 27 7 2 2" xfId="10159" xr:uid="{00000000-0005-0000-0000-0000B1200000}"/>
    <cellStyle name="20% - uthevingsfarge 6 27 7 2 2 2" xfId="21630" xr:uid="{00000000-0005-0000-0000-0000B2200000}"/>
    <cellStyle name="20% - uthevingsfarge 6 27 7 2 2 2 2" xfId="37710" xr:uid="{00000000-0005-0000-0000-0000B3200000}"/>
    <cellStyle name="20% - uthevingsfarge 6 27 7 2 2 3" xfId="27640" xr:uid="{00000000-0005-0000-0000-0000B4200000}"/>
    <cellStyle name="20% - uthevingsfarge 6 27 7 2 3" xfId="20553" xr:uid="{00000000-0005-0000-0000-0000B5200000}"/>
    <cellStyle name="20% - uthevingsfarge 6 27 7 2 3 2" xfId="36652" xr:uid="{00000000-0005-0000-0000-0000B6200000}"/>
    <cellStyle name="20% - uthevingsfarge 6 27 7 2 4" xfId="31041" xr:uid="{00000000-0005-0000-0000-0000B7200000}"/>
    <cellStyle name="20% - uthevingsfarge 6 27 7 3" xfId="8456" xr:uid="{00000000-0005-0000-0000-0000B8200000}"/>
    <cellStyle name="20% - uthevingsfarge 6 27 7 3 2" xfId="10545" xr:uid="{00000000-0005-0000-0000-0000B9200000}"/>
    <cellStyle name="20% - uthevingsfarge 6 27 7 3 2 2" xfId="34417" xr:uid="{00000000-0005-0000-0000-0000BA200000}"/>
    <cellStyle name="20% - uthevingsfarge 6 27 7 3 3" xfId="29342" xr:uid="{00000000-0005-0000-0000-0000BB200000}"/>
    <cellStyle name="20% - uthevingsfarge 6 27 7 4" xfId="12198" xr:uid="{00000000-0005-0000-0000-0000BC200000}"/>
    <cellStyle name="20% - uthevingsfarge 6 27 7 4 2" xfId="35122" xr:uid="{00000000-0005-0000-0000-0000BD200000}"/>
    <cellStyle name="20% - uthevingsfarge 6 27 7 5" xfId="32733" xr:uid="{00000000-0005-0000-0000-0000BE200000}"/>
    <cellStyle name="20% - uthevingsfarge 6 27 8" xfId="5198" xr:uid="{00000000-0005-0000-0000-0000BF200000}"/>
    <cellStyle name="20% - uthevingsfarge 6 27 8 2" xfId="8617" xr:uid="{00000000-0005-0000-0000-0000C0200000}"/>
    <cellStyle name="20% - uthevingsfarge 6 27 8 2 2" xfId="10298" xr:uid="{00000000-0005-0000-0000-0000C1200000}"/>
    <cellStyle name="20% - uthevingsfarge 6 27 8 2 2 2" xfId="27501" xr:uid="{00000000-0005-0000-0000-0000C2200000}"/>
    <cellStyle name="20% - uthevingsfarge 6 27 8 2 3" xfId="29181" xr:uid="{00000000-0005-0000-0000-0000C3200000}"/>
    <cellStyle name="20% - uthevingsfarge 6 27 8 3" xfId="10789" xr:uid="{00000000-0005-0000-0000-0000C4200000}"/>
    <cellStyle name="20% - uthevingsfarge 6 27 8 3 2" xfId="34612" xr:uid="{00000000-0005-0000-0000-0000C5200000}"/>
    <cellStyle name="20% - uthevingsfarge 6 27 8 4" xfId="32572" xr:uid="{00000000-0005-0000-0000-0000C6200000}"/>
    <cellStyle name="20% - uthevingsfarge 6 27 9" xfId="6922" xr:uid="{00000000-0005-0000-0000-0000C7200000}"/>
    <cellStyle name="20% - uthevingsfarge 6 27 9 2" xfId="23115" xr:uid="{00000000-0005-0000-0000-0000C8200000}"/>
    <cellStyle name="20% - uthevingsfarge 6 27 9 2 2" xfId="39184" xr:uid="{00000000-0005-0000-0000-0000C9200000}"/>
    <cellStyle name="20% - uthevingsfarge 6 27 9 3" xfId="30876" xr:uid="{00000000-0005-0000-0000-0000CA200000}"/>
    <cellStyle name="20% - uthevingsfarge 6 28" xfId="562" xr:uid="{00000000-0005-0000-0000-0000CB200000}"/>
    <cellStyle name="20% - uthevingsfarge 6 28 10" xfId="6923" xr:uid="{00000000-0005-0000-0000-0000CC200000}"/>
    <cellStyle name="20% - uthevingsfarge 6 28 10 2" xfId="20602" xr:uid="{00000000-0005-0000-0000-0000CD200000}"/>
    <cellStyle name="20% - uthevingsfarge 6 28 10 2 2" xfId="36701" xr:uid="{00000000-0005-0000-0000-0000CE200000}"/>
    <cellStyle name="20% - uthevingsfarge 6 28 10 3" xfId="30875" xr:uid="{00000000-0005-0000-0000-0000CF200000}"/>
    <cellStyle name="20% - uthevingsfarge 6 28 11" xfId="11014" xr:uid="{00000000-0005-0000-0000-0000D0200000}"/>
    <cellStyle name="20% - uthevingsfarge 6 28 12" xfId="34263" xr:uid="{00000000-0005-0000-0000-0000D1200000}"/>
    <cellStyle name="20% - uthevingsfarge 6 28 2" xfId="3332" xr:uid="{00000000-0005-0000-0000-0000D2200000}"/>
    <cellStyle name="20% - uthevingsfarge 6 28 2 10" xfId="34159" xr:uid="{00000000-0005-0000-0000-0000D3200000}"/>
    <cellStyle name="20% - uthevingsfarge 6 28 2 2" xfId="3564" xr:uid="{00000000-0005-0000-0000-0000D4200000}"/>
    <cellStyle name="20% - uthevingsfarge 6 28 2 2 10" xfId="47163" xr:uid="{00000000-0005-0000-0000-0000D5200000}"/>
    <cellStyle name="20% - uthevingsfarge 6 28 2 2 2" xfId="3994" xr:uid="{00000000-0005-0000-0000-0000D6200000}"/>
    <cellStyle name="20% - uthevingsfarge 6 28 2 2 2 2" xfId="5882" xr:uid="{00000000-0005-0000-0000-0000D7200000}"/>
    <cellStyle name="20% - uthevingsfarge 6 28 2 2 2 2 2" xfId="9297" xr:uid="{00000000-0005-0000-0000-0000D8200000}"/>
    <cellStyle name="20% - uthevingsfarge 6 28 2 2 2 2 2 2" xfId="19401" xr:uid="{00000000-0005-0000-0000-0000D9200000}"/>
    <cellStyle name="20% - uthevingsfarge 6 28 2 2 2 2 2 2 2" xfId="35515" xr:uid="{00000000-0005-0000-0000-0000DA200000}"/>
    <cellStyle name="20% - uthevingsfarge 6 28 2 2 2 2 2 3" xfId="28501" xr:uid="{00000000-0005-0000-0000-0000DB200000}"/>
    <cellStyle name="20% - uthevingsfarge 6 28 2 2 2 2 3" xfId="22288" xr:uid="{00000000-0005-0000-0000-0000DC200000}"/>
    <cellStyle name="20% - uthevingsfarge 6 28 2 2 2 2 3 2" xfId="38360" xr:uid="{00000000-0005-0000-0000-0000DD200000}"/>
    <cellStyle name="20% - uthevingsfarge 6 28 2 2 2 2 4" xfId="31893" xr:uid="{00000000-0005-0000-0000-0000DE200000}"/>
    <cellStyle name="20% - uthevingsfarge 6 28 2 2 2 3" xfId="7600" xr:uid="{00000000-0005-0000-0000-0000DF200000}"/>
    <cellStyle name="20% - uthevingsfarge 6 28 2 2 2 3 2" xfId="20832" xr:uid="{00000000-0005-0000-0000-0000E0200000}"/>
    <cellStyle name="20% - uthevingsfarge 6 28 2 2 2 3 2 2" xfId="36931" xr:uid="{00000000-0005-0000-0000-0000E1200000}"/>
    <cellStyle name="20% - uthevingsfarge 6 28 2 2 2 3 3" xfId="30198" xr:uid="{00000000-0005-0000-0000-0000E2200000}"/>
    <cellStyle name="20% - uthevingsfarge 6 28 2 2 2 4" xfId="17993" xr:uid="{00000000-0005-0000-0000-0000E3200000}"/>
    <cellStyle name="20% - uthevingsfarge 6 28 2 2 2 5" xfId="22794" xr:uid="{00000000-0005-0000-0000-0000E4200000}"/>
    <cellStyle name="20% - uthevingsfarge 6 28 2 2 2 5 2" xfId="38863" xr:uid="{00000000-0005-0000-0000-0000E5200000}"/>
    <cellStyle name="20% - uthevingsfarge 6 28 2 2 2 6" xfId="33585" xr:uid="{00000000-0005-0000-0000-0000E6200000}"/>
    <cellStyle name="20% - uthevingsfarge 6 28 2 2 3" xfId="4934" xr:uid="{00000000-0005-0000-0000-0000E7200000}"/>
    <cellStyle name="20% - uthevingsfarge 6 28 2 2 3 10" xfId="47353" xr:uid="{00000000-0005-0000-0000-0000E8200000}"/>
    <cellStyle name="20% - uthevingsfarge 6 28 2 2 3 2" xfId="6653" xr:uid="{00000000-0005-0000-0000-0000E9200000}"/>
    <cellStyle name="20% - uthevingsfarge 6 28 2 2 3 2 2" xfId="10059" xr:uid="{00000000-0005-0000-0000-0000EA200000}"/>
    <cellStyle name="20% - uthevingsfarge 6 28 2 2 3 2 2 2" xfId="21590" xr:uid="{00000000-0005-0000-0000-0000EB200000}"/>
    <cellStyle name="20% - uthevingsfarge 6 28 2 2 3 2 2 2 2" xfId="37670" xr:uid="{00000000-0005-0000-0000-0000EC200000}"/>
    <cellStyle name="20% - uthevingsfarge 6 28 2 2 3 2 2 3" xfId="27740" xr:uid="{00000000-0005-0000-0000-0000ED200000}"/>
    <cellStyle name="20% - uthevingsfarge 6 28 2 2 3 2 3" xfId="10340" xr:uid="{00000000-0005-0000-0000-0000EE200000}"/>
    <cellStyle name="20% - uthevingsfarge 6 28 2 2 3 2 3 2" xfId="34317" xr:uid="{00000000-0005-0000-0000-0000EF200000}"/>
    <cellStyle name="20% - uthevingsfarge 6 28 2 2 3 2 4" xfId="31141" xr:uid="{00000000-0005-0000-0000-0000F0200000}"/>
    <cellStyle name="20% - uthevingsfarge 6 28 2 2 3 2 5" xfId="43047" xr:uid="{00000000-0005-0000-0000-0000F1200000}"/>
    <cellStyle name="20% - uthevingsfarge 6 28 2 2 3 2 6" xfId="43344" xr:uid="{00000000-0005-0000-0000-0000F2200000}"/>
    <cellStyle name="20% - uthevingsfarge 6 28 2 2 3 2 7" xfId="46192" xr:uid="{00000000-0005-0000-0000-0000F3200000}"/>
    <cellStyle name="20% - uthevingsfarge 6 28 2 2 3 2 8" xfId="46964" xr:uid="{00000000-0005-0000-0000-0000F4200000}"/>
    <cellStyle name="20% - uthevingsfarge 6 28 2 2 3 2 9" xfId="47549" xr:uid="{00000000-0005-0000-0000-0000F5200000}"/>
    <cellStyle name="20% - uthevingsfarge 6 28 2 2 3 3" xfId="8356" xr:uid="{00000000-0005-0000-0000-0000F6200000}"/>
    <cellStyle name="20% - uthevingsfarge 6 28 2 2 3 3 2" xfId="21070" xr:uid="{00000000-0005-0000-0000-0000F7200000}"/>
    <cellStyle name="20% - uthevingsfarge 6 28 2 2 3 3 2 2" xfId="37157" xr:uid="{00000000-0005-0000-0000-0000F8200000}"/>
    <cellStyle name="20% - uthevingsfarge 6 28 2 2 3 3 3" xfId="29442" xr:uid="{00000000-0005-0000-0000-0000F9200000}"/>
    <cellStyle name="20% - uthevingsfarge 6 28 2 2 3 3 4" xfId="43915" xr:uid="{00000000-0005-0000-0000-0000FA200000}"/>
    <cellStyle name="20% - uthevingsfarge 6 28 2 2 3 4" xfId="16492" xr:uid="{00000000-0005-0000-0000-0000FB200000}"/>
    <cellStyle name="20% - uthevingsfarge 6 28 2 2 3 4 2" xfId="35439" xr:uid="{00000000-0005-0000-0000-0000FC200000}"/>
    <cellStyle name="20% - uthevingsfarge 6 28 2 2 3 5" xfId="25101" xr:uid="{00000000-0005-0000-0000-0000FD200000}"/>
    <cellStyle name="20% - uthevingsfarge 6 28 2 2 3 6" xfId="25280" xr:uid="{00000000-0005-0000-0000-0000FE200000}"/>
    <cellStyle name="20% - uthevingsfarge 6 28 2 2 3 7" xfId="32833" xr:uid="{00000000-0005-0000-0000-0000FF200000}"/>
    <cellStyle name="20% - uthevingsfarge 6 28 2 2 3 8" xfId="43805" xr:uid="{00000000-0005-0000-0000-000000210000}"/>
    <cellStyle name="20% - uthevingsfarge 6 28 2 2 3 9" xfId="46730" xr:uid="{00000000-0005-0000-0000-000001210000}"/>
    <cellStyle name="20% - uthevingsfarge 6 28 2 2 4" xfId="5488" xr:uid="{00000000-0005-0000-0000-000002210000}"/>
    <cellStyle name="20% - uthevingsfarge 6 28 2 2 4 2" xfId="8903" xr:uid="{00000000-0005-0000-0000-000003210000}"/>
    <cellStyle name="20% - uthevingsfarge 6 28 2 2 4 2 2" xfId="21215" xr:uid="{00000000-0005-0000-0000-000004210000}"/>
    <cellStyle name="20% - uthevingsfarge 6 28 2 2 4 2 2 2" xfId="37295" xr:uid="{00000000-0005-0000-0000-000005210000}"/>
    <cellStyle name="20% - uthevingsfarge 6 28 2 2 4 2 3" xfId="28895" xr:uid="{00000000-0005-0000-0000-000006210000}"/>
    <cellStyle name="20% - uthevingsfarge 6 28 2 2 4 3" xfId="11996" xr:uid="{00000000-0005-0000-0000-000007210000}"/>
    <cellStyle name="20% - uthevingsfarge 6 28 2 2 4 3 2" xfId="35017" xr:uid="{00000000-0005-0000-0000-000008210000}"/>
    <cellStyle name="20% - uthevingsfarge 6 28 2 2 4 4" xfId="32286" xr:uid="{00000000-0005-0000-0000-000009210000}"/>
    <cellStyle name="20% - uthevingsfarge 6 28 2 2 5" xfId="7206" xr:uid="{00000000-0005-0000-0000-00000A210000}"/>
    <cellStyle name="20% - uthevingsfarge 6 28 2 2 5 2" xfId="20695" xr:uid="{00000000-0005-0000-0000-00000B210000}"/>
    <cellStyle name="20% - uthevingsfarge 6 28 2 2 5 2 2" xfId="36794" xr:uid="{00000000-0005-0000-0000-00000C210000}"/>
    <cellStyle name="20% - uthevingsfarge 6 28 2 2 5 3" xfId="30592" xr:uid="{00000000-0005-0000-0000-00000D210000}"/>
    <cellStyle name="20% - uthevingsfarge 6 28 2 2 6" xfId="11016" xr:uid="{00000000-0005-0000-0000-00000E210000}"/>
    <cellStyle name="20% - uthevingsfarge 6 28 2 2 7" xfId="33979" xr:uid="{00000000-0005-0000-0000-00000F210000}"/>
    <cellStyle name="20% - uthevingsfarge 6 28 2 2 8" xfId="43596" xr:uid="{00000000-0005-0000-0000-000010210000}"/>
    <cellStyle name="20% - uthevingsfarge 6 28 2 2 9" xfId="46502" xr:uid="{00000000-0005-0000-0000-000011210000}"/>
    <cellStyle name="20% - uthevingsfarge 6 28 2 2_Avviksanalyse løpende RNB15 (1)" xfId="16605" xr:uid="{00000000-0005-0000-0000-000012210000}"/>
    <cellStyle name="20% - uthevingsfarge 6 28 2 3" xfId="3814" xr:uid="{00000000-0005-0000-0000-000013210000}"/>
    <cellStyle name="20% - uthevingsfarge 6 28 2 3 2" xfId="5702" xr:uid="{00000000-0005-0000-0000-000014210000}"/>
    <cellStyle name="20% - uthevingsfarge 6 28 2 3 2 2" xfId="9117" xr:uid="{00000000-0005-0000-0000-000015210000}"/>
    <cellStyle name="20% - uthevingsfarge 6 28 2 3 2 2 2" xfId="24461" xr:uid="{00000000-0005-0000-0000-000016210000}"/>
    <cellStyle name="20% - uthevingsfarge 6 28 2 3 2 2 2 2" xfId="40505" xr:uid="{00000000-0005-0000-0000-000017210000}"/>
    <cellStyle name="20% - uthevingsfarge 6 28 2 3 2 2 3" xfId="28681" xr:uid="{00000000-0005-0000-0000-000018210000}"/>
    <cellStyle name="20% - uthevingsfarge 6 28 2 3 2 3" xfId="22900" xr:uid="{00000000-0005-0000-0000-000019210000}"/>
    <cellStyle name="20% - uthevingsfarge 6 28 2 3 2 3 2" xfId="38969" xr:uid="{00000000-0005-0000-0000-00001A210000}"/>
    <cellStyle name="20% - uthevingsfarge 6 28 2 3 2 4" xfId="32072" xr:uid="{00000000-0005-0000-0000-00001B210000}"/>
    <cellStyle name="20% - uthevingsfarge 6 28 2 3 3" xfId="7420" xr:uid="{00000000-0005-0000-0000-00001C210000}"/>
    <cellStyle name="20% - uthevingsfarge 6 28 2 3 3 2" xfId="24204" xr:uid="{00000000-0005-0000-0000-00001D210000}"/>
    <cellStyle name="20% - uthevingsfarge 6 28 2 3 3 2 2" xfId="40257" xr:uid="{00000000-0005-0000-0000-00001E210000}"/>
    <cellStyle name="20% - uthevingsfarge 6 28 2 3 3 3" xfId="30378" xr:uid="{00000000-0005-0000-0000-00001F210000}"/>
    <cellStyle name="20% - uthevingsfarge 6 28 2 3 4" xfId="19595" xr:uid="{00000000-0005-0000-0000-000020210000}"/>
    <cellStyle name="20% - uthevingsfarge 6 28 2 3 4 2" xfId="35709" xr:uid="{00000000-0005-0000-0000-000021210000}"/>
    <cellStyle name="20% - uthevingsfarge 6 28 2 3 5" xfId="33765" xr:uid="{00000000-0005-0000-0000-000022210000}"/>
    <cellStyle name="20% - uthevingsfarge 6 28 2 4" xfId="4299" xr:uid="{00000000-0005-0000-0000-000023210000}"/>
    <cellStyle name="20% - uthevingsfarge 6 28 2 4 2" xfId="6128" xr:uid="{00000000-0005-0000-0000-000024210000}"/>
    <cellStyle name="20% - uthevingsfarge 6 28 2 4 2 2" xfId="9542" xr:uid="{00000000-0005-0000-0000-000025210000}"/>
    <cellStyle name="20% - uthevingsfarge 6 28 2 4 2 2 2" xfId="24528" xr:uid="{00000000-0005-0000-0000-000026210000}"/>
    <cellStyle name="20% - uthevingsfarge 6 28 2 4 2 2 2 2" xfId="40572" xr:uid="{00000000-0005-0000-0000-000027210000}"/>
    <cellStyle name="20% - uthevingsfarge 6 28 2 4 2 2 3" xfId="28256" xr:uid="{00000000-0005-0000-0000-000028210000}"/>
    <cellStyle name="20% - uthevingsfarge 6 28 2 4 2 3" xfId="23983" xr:uid="{00000000-0005-0000-0000-000029210000}"/>
    <cellStyle name="20% - uthevingsfarge 6 28 2 4 2 3 2" xfId="40036" xr:uid="{00000000-0005-0000-0000-00002A210000}"/>
    <cellStyle name="20% - uthevingsfarge 6 28 2 4 2 4" xfId="31651" xr:uid="{00000000-0005-0000-0000-00002B210000}"/>
    <cellStyle name="20% - uthevingsfarge 6 28 2 4 3" xfId="7861" xr:uid="{00000000-0005-0000-0000-00002C210000}"/>
    <cellStyle name="20% - uthevingsfarge 6 28 2 4 3 2" xfId="11930" xr:uid="{00000000-0005-0000-0000-00002D210000}"/>
    <cellStyle name="20% - uthevingsfarge 6 28 2 4 3 2 2" xfId="34953" xr:uid="{00000000-0005-0000-0000-00002E210000}"/>
    <cellStyle name="20% - uthevingsfarge 6 28 2 4 3 3" xfId="29938" xr:uid="{00000000-0005-0000-0000-00002F210000}"/>
    <cellStyle name="20% - uthevingsfarge 6 28 2 4 4" xfId="19627" xr:uid="{00000000-0005-0000-0000-000030210000}"/>
    <cellStyle name="20% - uthevingsfarge 6 28 2 4 4 2" xfId="35741" xr:uid="{00000000-0005-0000-0000-000031210000}"/>
    <cellStyle name="20% - uthevingsfarge 6 28 2 4 5" xfId="33326" xr:uid="{00000000-0005-0000-0000-000032210000}"/>
    <cellStyle name="20% - uthevingsfarge 6 28 2 5" xfId="4754" xr:uid="{00000000-0005-0000-0000-000033210000}"/>
    <cellStyle name="20% - uthevingsfarge 6 28 2 5 2" xfId="6474" xr:uid="{00000000-0005-0000-0000-000034210000}"/>
    <cellStyle name="20% - uthevingsfarge 6 28 2 5 2 2" xfId="9880" xr:uid="{00000000-0005-0000-0000-000035210000}"/>
    <cellStyle name="20% - uthevingsfarge 6 28 2 5 2 2 2" xfId="23575" xr:uid="{00000000-0005-0000-0000-000036210000}"/>
    <cellStyle name="20% - uthevingsfarge 6 28 2 5 2 2 2 2" xfId="39631" xr:uid="{00000000-0005-0000-0000-000037210000}"/>
    <cellStyle name="20% - uthevingsfarge 6 28 2 5 2 2 3" xfId="27919" xr:uid="{00000000-0005-0000-0000-000038210000}"/>
    <cellStyle name="20% - uthevingsfarge 6 28 2 5 2 3" xfId="20464" xr:uid="{00000000-0005-0000-0000-000039210000}"/>
    <cellStyle name="20% - uthevingsfarge 6 28 2 5 2 3 2" xfId="36563" xr:uid="{00000000-0005-0000-0000-00003A210000}"/>
    <cellStyle name="20% - uthevingsfarge 6 28 2 5 2 4" xfId="31320" xr:uid="{00000000-0005-0000-0000-00003B210000}"/>
    <cellStyle name="20% - uthevingsfarge 6 28 2 5 3" xfId="8176" xr:uid="{00000000-0005-0000-0000-00003C210000}"/>
    <cellStyle name="20% - uthevingsfarge 6 28 2 5 3 2" xfId="19588" xr:uid="{00000000-0005-0000-0000-00003D210000}"/>
    <cellStyle name="20% - uthevingsfarge 6 28 2 5 3 2 2" xfId="35702" xr:uid="{00000000-0005-0000-0000-00003E210000}"/>
    <cellStyle name="20% - uthevingsfarge 6 28 2 5 3 3" xfId="29621" xr:uid="{00000000-0005-0000-0000-00003F210000}"/>
    <cellStyle name="20% - uthevingsfarge 6 28 2 5 4" xfId="10903" xr:uid="{00000000-0005-0000-0000-000040210000}"/>
    <cellStyle name="20% - uthevingsfarge 6 28 2 5 4 2" xfId="34674" xr:uid="{00000000-0005-0000-0000-000041210000}"/>
    <cellStyle name="20% - uthevingsfarge 6 28 2 5 5" xfId="33013" xr:uid="{00000000-0005-0000-0000-000042210000}"/>
    <cellStyle name="20% - uthevingsfarge 6 28 2 6" xfId="5114" xr:uid="{00000000-0005-0000-0000-000043210000}"/>
    <cellStyle name="20% - uthevingsfarge 6 28 2 6 2" xfId="6833" xr:uid="{00000000-0005-0000-0000-000044210000}"/>
    <cellStyle name="20% - uthevingsfarge 6 28 2 6 2 2" xfId="10239" xr:uid="{00000000-0005-0000-0000-000045210000}"/>
    <cellStyle name="20% - uthevingsfarge 6 28 2 6 2 2 2" xfId="24682" xr:uid="{00000000-0005-0000-0000-000046210000}"/>
    <cellStyle name="20% - uthevingsfarge 6 28 2 6 2 2 2 2" xfId="40725" xr:uid="{00000000-0005-0000-0000-000047210000}"/>
    <cellStyle name="20% - uthevingsfarge 6 28 2 6 2 2 3" xfId="27560" xr:uid="{00000000-0005-0000-0000-000048210000}"/>
    <cellStyle name="20% - uthevingsfarge 6 28 2 6 2 3" xfId="10650" xr:uid="{00000000-0005-0000-0000-000049210000}"/>
    <cellStyle name="20% - uthevingsfarge 6 28 2 6 2 3 2" xfId="34498" xr:uid="{00000000-0005-0000-0000-00004A210000}"/>
    <cellStyle name="20% - uthevingsfarge 6 28 2 6 2 4" xfId="30961" xr:uid="{00000000-0005-0000-0000-00004B210000}"/>
    <cellStyle name="20% - uthevingsfarge 6 28 2 6 3" xfId="8536" xr:uid="{00000000-0005-0000-0000-00004C210000}"/>
    <cellStyle name="20% - uthevingsfarge 6 28 2 6 3 2" xfId="23376" xr:uid="{00000000-0005-0000-0000-00004D210000}"/>
    <cellStyle name="20% - uthevingsfarge 6 28 2 6 3 2 2" xfId="39433" xr:uid="{00000000-0005-0000-0000-00004E210000}"/>
    <cellStyle name="20% - uthevingsfarge 6 28 2 6 3 3" xfId="29262" xr:uid="{00000000-0005-0000-0000-00004F210000}"/>
    <cellStyle name="20% - uthevingsfarge 6 28 2 6 4" xfId="12134" xr:uid="{00000000-0005-0000-0000-000050210000}"/>
    <cellStyle name="20% - uthevingsfarge 6 28 2 6 4 2" xfId="35088" xr:uid="{00000000-0005-0000-0000-000051210000}"/>
    <cellStyle name="20% - uthevingsfarge 6 28 2 6 5" xfId="32653" xr:uid="{00000000-0005-0000-0000-000052210000}"/>
    <cellStyle name="20% - uthevingsfarge 6 28 2 7" xfId="5293" xr:uid="{00000000-0005-0000-0000-000053210000}"/>
    <cellStyle name="20% - uthevingsfarge 6 28 2 7 2" xfId="8708" xr:uid="{00000000-0005-0000-0000-000054210000}"/>
    <cellStyle name="20% - uthevingsfarge 6 28 2 7 2 2" xfId="10297" xr:uid="{00000000-0005-0000-0000-000055210000}"/>
    <cellStyle name="20% - uthevingsfarge 6 28 2 7 2 2 2" xfId="27502" xr:uid="{00000000-0005-0000-0000-000056210000}"/>
    <cellStyle name="20% - uthevingsfarge 6 28 2 7 2 3" xfId="29090" xr:uid="{00000000-0005-0000-0000-000057210000}"/>
    <cellStyle name="20% - uthevingsfarge 6 28 2 7 3" xfId="10767" xr:uid="{00000000-0005-0000-0000-000058210000}"/>
    <cellStyle name="20% - uthevingsfarge 6 28 2 7 3 2" xfId="34590" xr:uid="{00000000-0005-0000-0000-000059210000}"/>
    <cellStyle name="20% - uthevingsfarge 6 28 2 7 4" xfId="32481" xr:uid="{00000000-0005-0000-0000-00005A210000}"/>
    <cellStyle name="20% - uthevingsfarge 6 28 2 8" xfId="7026" xr:uid="{00000000-0005-0000-0000-00005B210000}"/>
    <cellStyle name="20% - uthevingsfarge 6 28 2 8 2" xfId="20637" xr:uid="{00000000-0005-0000-0000-00005C210000}"/>
    <cellStyle name="20% - uthevingsfarge 6 28 2 8 2 2" xfId="36736" xr:uid="{00000000-0005-0000-0000-00005D210000}"/>
    <cellStyle name="20% - uthevingsfarge 6 28 2 8 3" xfId="30772" xr:uid="{00000000-0005-0000-0000-00005E210000}"/>
    <cellStyle name="20% - uthevingsfarge 6 28 2 9" xfId="11015" xr:uid="{00000000-0005-0000-0000-00005F210000}"/>
    <cellStyle name="20% - uthevingsfarge 6 28 3" xfId="3479" xr:uid="{00000000-0005-0000-0000-000060210000}"/>
    <cellStyle name="20% - uthevingsfarge 6 28 3 10" xfId="46434" xr:uid="{00000000-0005-0000-0000-000061210000}"/>
    <cellStyle name="20% - uthevingsfarge 6 28 3 11" xfId="47095" xr:uid="{00000000-0005-0000-0000-000062210000}"/>
    <cellStyle name="20% - uthevingsfarge 6 28 3 2" xfId="3915" xr:uid="{00000000-0005-0000-0000-000063210000}"/>
    <cellStyle name="20% - uthevingsfarge 6 28 3 2 2" xfId="5803" xr:uid="{00000000-0005-0000-0000-000064210000}"/>
    <cellStyle name="20% - uthevingsfarge 6 28 3 2 2 2" xfId="9218" xr:uid="{00000000-0005-0000-0000-000065210000}"/>
    <cellStyle name="20% - uthevingsfarge 6 28 3 2 2 2 2" xfId="19879" xr:uid="{00000000-0005-0000-0000-000066210000}"/>
    <cellStyle name="20% - uthevingsfarge 6 28 3 2 2 2 2 2" xfId="35992" xr:uid="{00000000-0005-0000-0000-000067210000}"/>
    <cellStyle name="20% - uthevingsfarge 6 28 3 2 2 2 3" xfId="28580" xr:uid="{00000000-0005-0000-0000-000068210000}"/>
    <cellStyle name="20% - uthevingsfarge 6 28 3 2 2 3" xfId="20210" xr:uid="{00000000-0005-0000-0000-000069210000}"/>
    <cellStyle name="20% - uthevingsfarge 6 28 3 2 2 3 2" xfId="36309" xr:uid="{00000000-0005-0000-0000-00006A210000}"/>
    <cellStyle name="20% - uthevingsfarge 6 28 3 2 2 4" xfId="31971" xr:uid="{00000000-0005-0000-0000-00006B210000}"/>
    <cellStyle name="20% - uthevingsfarge 6 28 3 2 3" xfId="7521" xr:uid="{00000000-0005-0000-0000-00006C210000}"/>
    <cellStyle name="20% - uthevingsfarge 6 28 3 2 3 2" xfId="19443" xr:uid="{00000000-0005-0000-0000-00006D210000}"/>
    <cellStyle name="20% - uthevingsfarge 6 28 3 2 3 2 2" xfId="35557" xr:uid="{00000000-0005-0000-0000-00006E210000}"/>
    <cellStyle name="20% - uthevingsfarge 6 28 3 2 3 3" xfId="30277" xr:uid="{00000000-0005-0000-0000-00006F210000}"/>
    <cellStyle name="20% - uthevingsfarge 6 28 3 2 4" xfId="17994" xr:uid="{00000000-0005-0000-0000-000070210000}"/>
    <cellStyle name="20% - uthevingsfarge 6 28 3 2 5" xfId="12492" xr:uid="{00000000-0005-0000-0000-000071210000}"/>
    <cellStyle name="20% - uthevingsfarge 6 28 3 2 5 2" xfId="35256" xr:uid="{00000000-0005-0000-0000-000072210000}"/>
    <cellStyle name="20% - uthevingsfarge 6 28 3 2 6" xfId="33664" xr:uid="{00000000-0005-0000-0000-000073210000}"/>
    <cellStyle name="20% - uthevingsfarge 6 28 3 3" xfId="4405" xr:uid="{00000000-0005-0000-0000-000074210000}"/>
    <cellStyle name="20% - uthevingsfarge 6 28 3 3 10" xfId="47285" xr:uid="{00000000-0005-0000-0000-000075210000}"/>
    <cellStyle name="20% - uthevingsfarge 6 28 3 3 2" xfId="6202" xr:uid="{00000000-0005-0000-0000-000076210000}"/>
    <cellStyle name="20% - uthevingsfarge 6 28 3 3 2 2" xfId="9616" xr:uid="{00000000-0005-0000-0000-000077210000}"/>
    <cellStyle name="20% - uthevingsfarge 6 28 3 3 2 2 2" xfId="11647" xr:uid="{00000000-0005-0000-0000-000078210000}"/>
    <cellStyle name="20% - uthevingsfarge 6 28 3 3 2 2 2 2" xfId="34820" xr:uid="{00000000-0005-0000-0000-000079210000}"/>
    <cellStyle name="20% - uthevingsfarge 6 28 3 3 2 2 3" xfId="28182" xr:uid="{00000000-0005-0000-0000-00007A210000}"/>
    <cellStyle name="20% - uthevingsfarge 6 28 3 3 2 3" xfId="20362" xr:uid="{00000000-0005-0000-0000-00007B210000}"/>
    <cellStyle name="20% - uthevingsfarge 6 28 3 3 2 3 2" xfId="36461" xr:uid="{00000000-0005-0000-0000-00007C210000}"/>
    <cellStyle name="20% - uthevingsfarge 6 28 3 3 2 4" xfId="31583" xr:uid="{00000000-0005-0000-0000-00007D210000}"/>
    <cellStyle name="20% - uthevingsfarge 6 28 3 3 2 5" xfId="42840" xr:uid="{00000000-0005-0000-0000-00007E210000}"/>
    <cellStyle name="20% - uthevingsfarge 6 28 3 3 2 6" xfId="43278" xr:uid="{00000000-0005-0000-0000-00007F210000}"/>
    <cellStyle name="20% - uthevingsfarge 6 28 3 3 2 7" xfId="46126" xr:uid="{00000000-0005-0000-0000-000080210000}"/>
    <cellStyle name="20% - uthevingsfarge 6 28 3 3 2 8" xfId="46895" xr:uid="{00000000-0005-0000-0000-000081210000}"/>
    <cellStyle name="20% - uthevingsfarge 6 28 3 3 2 9" xfId="47481" xr:uid="{00000000-0005-0000-0000-000082210000}"/>
    <cellStyle name="20% - uthevingsfarge 6 28 3 3 3" xfId="7936" xr:uid="{00000000-0005-0000-0000-000083210000}"/>
    <cellStyle name="20% - uthevingsfarge 6 28 3 3 3 2" xfId="20950" xr:uid="{00000000-0005-0000-0000-000084210000}"/>
    <cellStyle name="20% - uthevingsfarge 6 28 3 3 3 2 2" xfId="37046" xr:uid="{00000000-0005-0000-0000-000085210000}"/>
    <cellStyle name="20% - uthevingsfarge 6 28 3 3 3 3" xfId="29863" xr:uid="{00000000-0005-0000-0000-000086210000}"/>
    <cellStyle name="20% - uthevingsfarge 6 28 3 3 3 4" xfId="43916" xr:uid="{00000000-0005-0000-0000-000087210000}"/>
    <cellStyle name="20% - uthevingsfarge 6 28 3 3 4" xfId="16285" xr:uid="{00000000-0005-0000-0000-000088210000}"/>
    <cellStyle name="20% - uthevingsfarge 6 28 3 3 4 2" xfId="35373" xr:uid="{00000000-0005-0000-0000-000089210000}"/>
    <cellStyle name="20% - uthevingsfarge 6 28 3 3 5" xfId="25032" xr:uid="{00000000-0005-0000-0000-00008A210000}"/>
    <cellStyle name="20% - uthevingsfarge 6 28 3 3 6" xfId="25281" xr:uid="{00000000-0005-0000-0000-00008B210000}"/>
    <cellStyle name="20% - uthevingsfarge 6 28 3 3 7" xfId="33252" xr:uid="{00000000-0005-0000-0000-00008C210000}"/>
    <cellStyle name="20% - uthevingsfarge 6 28 3 3 8" xfId="43738" xr:uid="{00000000-0005-0000-0000-00008D210000}"/>
    <cellStyle name="20% - uthevingsfarge 6 28 3 3 9" xfId="46664" xr:uid="{00000000-0005-0000-0000-00008E210000}"/>
    <cellStyle name="20% - uthevingsfarge 6 28 3 4" xfId="4855" xr:uid="{00000000-0005-0000-0000-00008F210000}"/>
    <cellStyle name="20% - uthevingsfarge 6 28 3 4 2" xfId="6574" xr:uid="{00000000-0005-0000-0000-000090210000}"/>
    <cellStyle name="20% - uthevingsfarge 6 28 3 4 2 2" xfId="9980" xr:uid="{00000000-0005-0000-0000-000091210000}"/>
    <cellStyle name="20% - uthevingsfarge 6 28 3 4 2 2 2" xfId="24600" xr:uid="{00000000-0005-0000-0000-000092210000}"/>
    <cellStyle name="20% - uthevingsfarge 6 28 3 4 2 2 2 2" xfId="40644" xr:uid="{00000000-0005-0000-0000-000093210000}"/>
    <cellStyle name="20% - uthevingsfarge 6 28 3 4 2 2 3" xfId="27819" xr:uid="{00000000-0005-0000-0000-000094210000}"/>
    <cellStyle name="20% - uthevingsfarge 6 28 3 4 2 3" xfId="22144" xr:uid="{00000000-0005-0000-0000-000095210000}"/>
    <cellStyle name="20% - uthevingsfarge 6 28 3 4 2 3 2" xfId="38218" xr:uid="{00000000-0005-0000-0000-000096210000}"/>
    <cellStyle name="20% - uthevingsfarge 6 28 3 4 2 4" xfId="31220" xr:uid="{00000000-0005-0000-0000-000097210000}"/>
    <cellStyle name="20% - uthevingsfarge 6 28 3 4 3" xfId="8277" xr:uid="{00000000-0005-0000-0000-000098210000}"/>
    <cellStyle name="20% - uthevingsfarge 6 28 3 4 3 2" xfId="10585" xr:uid="{00000000-0005-0000-0000-000099210000}"/>
    <cellStyle name="20% - uthevingsfarge 6 28 3 4 3 2 2" xfId="34437" xr:uid="{00000000-0005-0000-0000-00009A210000}"/>
    <cellStyle name="20% - uthevingsfarge 6 28 3 4 3 3" xfId="29520" xr:uid="{00000000-0005-0000-0000-00009B210000}"/>
    <cellStyle name="20% - uthevingsfarge 6 28 3 4 4" xfId="19720" xr:uid="{00000000-0005-0000-0000-00009C210000}"/>
    <cellStyle name="20% - uthevingsfarge 6 28 3 4 4 2" xfId="35834" xr:uid="{00000000-0005-0000-0000-00009D210000}"/>
    <cellStyle name="20% - uthevingsfarge 6 28 3 4 5" xfId="32912" xr:uid="{00000000-0005-0000-0000-00009E210000}"/>
    <cellStyle name="20% - uthevingsfarge 6 28 3 5" xfId="5242" xr:uid="{00000000-0005-0000-0000-00009F210000}"/>
    <cellStyle name="20% - uthevingsfarge 6 28 3 5 2" xfId="8657" xr:uid="{00000000-0005-0000-0000-0000A0210000}"/>
    <cellStyle name="20% - uthevingsfarge 6 28 3 5 2 2" xfId="21153" xr:uid="{00000000-0005-0000-0000-0000A1210000}"/>
    <cellStyle name="20% - uthevingsfarge 6 28 3 5 2 2 2" xfId="37233" xr:uid="{00000000-0005-0000-0000-0000A2210000}"/>
    <cellStyle name="20% - uthevingsfarge 6 28 3 5 2 3" xfId="29141" xr:uid="{00000000-0005-0000-0000-0000A3210000}"/>
    <cellStyle name="20% - uthevingsfarge 6 28 3 5 3" xfId="22064" xr:uid="{00000000-0005-0000-0000-0000A4210000}"/>
    <cellStyle name="20% - uthevingsfarge 6 28 3 5 3 2" xfId="38138" xr:uid="{00000000-0005-0000-0000-0000A5210000}"/>
    <cellStyle name="20% - uthevingsfarge 6 28 3 5 4" xfId="32532" xr:uid="{00000000-0005-0000-0000-0000A6210000}"/>
    <cellStyle name="20% - uthevingsfarge 6 28 3 6" xfId="7127" xr:uid="{00000000-0005-0000-0000-0000A7210000}"/>
    <cellStyle name="20% - uthevingsfarge 6 28 3 6 2" xfId="20676" xr:uid="{00000000-0005-0000-0000-0000A8210000}"/>
    <cellStyle name="20% - uthevingsfarge 6 28 3 6 2 2" xfId="36775" xr:uid="{00000000-0005-0000-0000-0000A9210000}"/>
    <cellStyle name="20% - uthevingsfarge 6 28 3 6 3" xfId="30671" xr:uid="{00000000-0005-0000-0000-0000AA210000}"/>
    <cellStyle name="20% - uthevingsfarge 6 28 3 7" xfId="11017" xr:uid="{00000000-0005-0000-0000-0000AB210000}"/>
    <cellStyle name="20% - uthevingsfarge 6 28 3 8" xfId="34058" xr:uid="{00000000-0005-0000-0000-0000AC210000}"/>
    <cellStyle name="20% - uthevingsfarge 6 28 3 9" xfId="43530" xr:uid="{00000000-0005-0000-0000-0000AD210000}"/>
    <cellStyle name="20% - uthevingsfarge 6 28 3_Avviksanalyse løpende RNB15 (1)" xfId="16606" xr:uid="{00000000-0005-0000-0000-0000AE210000}"/>
    <cellStyle name="20% - uthevingsfarge 6 28 4" xfId="3736" xr:uid="{00000000-0005-0000-0000-0000AF210000}"/>
    <cellStyle name="20% - uthevingsfarge 6 28 4 2" xfId="5624" xr:uid="{00000000-0005-0000-0000-0000B0210000}"/>
    <cellStyle name="20% - uthevingsfarge 6 28 4 2 2" xfId="9039" xr:uid="{00000000-0005-0000-0000-0000B1210000}"/>
    <cellStyle name="20% - uthevingsfarge 6 28 4 2 2 2" xfId="23716" xr:uid="{00000000-0005-0000-0000-0000B2210000}"/>
    <cellStyle name="20% - uthevingsfarge 6 28 4 2 2 2 2" xfId="39772" xr:uid="{00000000-0005-0000-0000-0000B3210000}"/>
    <cellStyle name="20% - uthevingsfarge 6 28 4 2 2 3" xfId="28759" xr:uid="{00000000-0005-0000-0000-0000B4210000}"/>
    <cellStyle name="20% - uthevingsfarge 6 28 4 2 3" xfId="22038" xr:uid="{00000000-0005-0000-0000-0000B5210000}"/>
    <cellStyle name="20% - uthevingsfarge 6 28 4 2 3 2" xfId="38113" xr:uid="{00000000-0005-0000-0000-0000B6210000}"/>
    <cellStyle name="20% - uthevingsfarge 6 28 4 2 4" xfId="32150" xr:uid="{00000000-0005-0000-0000-0000B7210000}"/>
    <cellStyle name="20% - uthevingsfarge 6 28 4 3" xfId="7342" xr:uid="{00000000-0005-0000-0000-0000B8210000}"/>
    <cellStyle name="20% - uthevingsfarge 6 28 4 3 2" xfId="23188" xr:uid="{00000000-0005-0000-0000-0000B9210000}"/>
    <cellStyle name="20% - uthevingsfarge 6 28 4 3 2 2" xfId="39257" xr:uid="{00000000-0005-0000-0000-0000BA210000}"/>
    <cellStyle name="20% - uthevingsfarge 6 28 4 3 3" xfId="30456" xr:uid="{00000000-0005-0000-0000-0000BB210000}"/>
    <cellStyle name="20% - uthevingsfarge 6 28 4 4" xfId="22775" xr:uid="{00000000-0005-0000-0000-0000BC210000}"/>
    <cellStyle name="20% - uthevingsfarge 6 28 4 4 2" xfId="38844" xr:uid="{00000000-0005-0000-0000-0000BD210000}"/>
    <cellStyle name="20% - uthevingsfarge 6 28 4 5" xfId="33843" xr:uid="{00000000-0005-0000-0000-0000BE210000}"/>
    <cellStyle name="20% - uthevingsfarge 6 28 5" xfId="4242" xr:uid="{00000000-0005-0000-0000-0000BF210000}"/>
    <cellStyle name="20% - uthevingsfarge 6 28 5 2" xfId="6074" xr:uid="{00000000-0005-0000-0000-0000C0210000}"/>
    <cellStyle name="20% - uthevingsfarge 6 28 5 2 2" xfId="9489" xr:uid="{00000000-0005-0000-0000-0000C1210000}"/>
    <cellStyle name="20% - uthevingsfarge 6 28 5 2 2 2" xfId="24521" xr:uid="{00000000-0005-0000-0000-0000C2210000}"/>
    <cellStyle name="20% - uthevingsfarge 6 28 5 2 2 2 2" xfId="40565" xr:uid="{00000000-0005-0000-0000-0000C3210000}"/>
    <cellStyle name="20% - uthevingsfarge 6 28 5 2 2 3" xfId="28309" xr:uid="{00000000-0005-0000-0000-0000C4210000}"/>
    <cellStyle name="20% - uthevingsfarge 6 28 5 2 3" xfId="23973" xr:uid="{00000000-0005-0000-0000-0000C5210000}"/>
    <cellStyle name="20% - uthevingsfarge 6 28 5 2 3 2" xfId="40027" xr:uid="{00000000-0005-0000-0000-0000C6210000}"/>
    <cellStyle name="20% - uthevingsfarge 6 28 5 2 4" xfId="31704" xr:uid="{00000000-0005-0000-0000-0000C7210000}"/>
    <cellStyle name="20% - uthevingsfarge 6 28 5 3" xfId="7808" xr:uid="{00000000-0005-0000-0000-0000C8210000}"/>
    <cellStyle name="20% - uthevingsfarge 6 28 5 3 2" xfId="24275" xr:uid="{00000000-0005-0000-0000-0000C9210000}"/>
    <cellStyle name="20% - uthevingsfarge 6 28 5 3 2 2" xfId="40328" xr:uid="{00000000-0005-0000-0000-0000CA210000}"/>
    <cellStyle name="20% - uthevingsfarge 6 28 5 3 3" xfId="29991" xr:uid="{00000000-0005-0000-0000-0000CB210000}"/>
    <cellStyle name="20% - uthevingsfarge 6 28 5 4" xfId="22687" xr:uid="{00000000-0005-0000-0000-0000CC210000}"/>
    <cellStyle name="20% - uthevingsfarge 6 28 5 4 2" xfId="38756" xr:uid="{00000000-0005-0000-0000-0000CD210000}"/>
    <cellStyle name="20% - uthevingsfarge 6 28 5 5" xfId="33379" xr:uid="{00000000-0005-0000-0000-0000CE210000}"/>
    <cellStyle name="20% - uthevingsfarge 6 28 6" xfId="4396" xr:uid="{00000000-0005-0000-0000-0000CF210000}"/>
    <cellStyle name="20% - uthevingsfarge 6 28 6 2" xfId="6196" xr:uid="{00000000-0005-0000-0000-0000D0210000}"/>
    <cellStyle name="20% - uthevingsfarge 6 28 6 2 2" xfId="9610" xr:uid="{00000000-0005-0000-0000-0000D1210000}"/>
    <cellStyle name="20% - uthevingsfarge 6 28 6 2 2 2" xfId="24539" xr:uid="{00000000-0005-0000-0000-0000D2210000}"/>
    <cellStyle name="20% - uthevingsfarge 6 28 6 2 2 2 2" xfId="40583" xr:uid="{00000000-0005-0000-0000-0000D3210000}"/>
    <cellStyle name="20% - uthevingsfarge 6 28 6 2 2 3" xfId="28188" xr:uid="{00000000-0005-0000-0000-0000D4210000}"/>
    <cellStyle name="20% - uthevingsfarge 6 28 6 2 3" xfId="22993" xr:uid="{00000000-0005-0000-0000-0000D5210000}"/>
    <cellStyle name="20% - uthevingsfarge 6 28 6 2 3 2" xfId="39062" xr:uid="{00000000-0005-0000-0000-0000D6210000}"/>
    <cellStyle name="20% - uthevingsfarge 6 28 6 2 4" xfId="31589" xr:uid="{00000000-0005-0000-0000-0000D7210000}"/>
    <cellStyle name="20% - uthevingsfarge 6 28 6 3" xfId="7930" xr:uid="{00000000-0005-0000-0000-0000D8210000}"/>
    <cellStyle name="20% - uthevingsfarge 6 28 6 3 2" xfId="24292" xr:uid="{00000000-0005-0000-0000-0000D9210000}"/>
    <cellStyle name="20% - uthevingsfarge 6 28 6 3 2 2" xfId="40344" xr:uid="{00000000-0005-0000-0000-0000DA210000}"/>
    <cellStyle name="20% - uthevingsfarge 6 28 6 3 3" xfId="29869" xr:uid="{00000000-0005-0000-0000-0000DB210000}"/>
    <cellStyle name="20% - uthevingsfarge 6 28 6 4" xfId="12351" xr:uid="{00000000-0005-0000-0000-0000DC210000}"/>
    <cellStyle name="20% - uthevingsfarge 6 28 6 4 2" xfId="35202" xr:uid="{00000000-0005-0000-0000-0000DD210000}"/>
    <cellStyle name="20% - uthevingsfarge 6 28 6 5" xfId="33257" xr:uid="{00000000-0005-0000-0000-0000DE210000}"/>
    <cellStyle name="20% - uthevingsfarge 6 28 7" xfId="4671" xr:uid="{00000000-0005-0000-0000-0000DF210000}"/>
    <cellStyle name="20% - uthevingsfarge 6 28 7 2" xfId="6391" xr:uid="{00000000-0005-0000-0000-0000E0210000}"/>
    <cellStyle name="20% - uthevingsfarge 6 28 7 2 2" xfId="9801" xr:uid="{00000000-0005-0000-0000-0000E1210000}"/>
    <cellStyle name="20% - uthevingsfarge 6 28 7 2 2 2" xfId="22623" xr:uid="{00000000-0005-0000-0000-0000E2210000}"/>
    <cellStyle name="20% - uthevingsfarge 6 28 7 2 2 2 2" xfId="38692" xr:uid="{00000000-0005-0000-0000-0000E3210000}"/>
    <cellStyle name="20% - uthevingsfarge 6 28 7 2 2 3" xfId="27998" xr:uid="{00000000-0005-0000-0000-0000E4210000}"/>
    <cellStyle name="20% - uthevingsfarge 6 28 7 2 3" xfId="23030" xr:uid="{00000000-0005-0000-0000-0000E5210000}"/>
    <cellStyle name="20% - uthevingsfarge 6 28 7 2 3 2" xfId="39099" xr:uid="{00000000-0005-0000-0000-0000E6210000}"/>
    <cellStyle name="20% - uthevingsfarge 6 28 7 2 4" xfId="31399" xr:uid="{00000000-0005-0000-0000-0000E7210000}"/>
    <cellStyle name="20% - uthevingsfarge 6 28 7 3" xfId="8097" xr:uid="{00000000-0005-0000-0000-0000E8210000}"/>
    <cellStyle name="20% - uthevingsfarge 6 28 7 3 2" xfId="10605" xr:uid="{00000000-0005-0000-0000-0000E9210000}"/>
    <cellStyle name="20% - uthevingsfarge 6 28 7 3 2 2" xfId="34453" xr:uid="{00000000-0005-0000-0000-0000EA210000}"/>
    <cellStyle name="20% - uthevingsfarge 6 28 7 3 3" xfId="29701" xr:uid="{00000000-0005-0000-0000-0000EB210000}"/>
    <cellStyle name="20% - uthevingsfarge 6 28 7 4" xfId="19678" xr:uid="{00000000-0005-0000-0000-0000EC210000}"/>
    <cellStyle name="20% - uthevingsfarge 6 28 7 4 2" xfId="35792" xr:uid="{00000000-0005-0000-0000-0000ED210000}"/>
    <cellStyle name="20% - uthevingsfarge 6 28 7 5" xfId="33092" xr:uid="{00000000-0005-0000-0000-0000EE210000}"/>
    <cellStyle name="20% - uthevingsfarge 6 28 8" xfId="5035" xr:uid="{00000000-0005-0000-0000-0000EF210000}"/>
    <cellStyle name="20% - uthevingsfarge 6 28 8 2" xfId="6754" xr:uid="{00000000-0005-0000-0000-0000F0210000}"/>
    <cellStyle name="20% - uthevingsfarge 6 28 8 2 2" xfId="10160" xr:uid="{00000000-0005-0000-0000-0000F1210000}"/>
    <cellStyle name="20% - uthevingsfarge 6 28 8 2 2 2" xfId="24636" xr:uid="{00000000-0005-0000-0000-0000F2210000}"/>
    <cellStyle name="20% - uthevingsfarge 6 28 8 2 2 2 2" xfId="40680" xr:uid="{00000000-0005-0000-0000-0000F3210000}"/>
    <cellStyle name="20% - uthevingsfarge 6 28 8 2 2 3" xfId="27639" xr:uid="{00000000-0005-0000-0000-0000F4210000}"/>
    <cellStyle name="20% - uthevingsfarge 6 28 8 2 3" xfId="20554" xr:uid="{00000000-0005-0000-0000-0000F5210000}"/>
    <cellStyle name="20% - uthevingsfarge 6 28 8 2 3 2" xfId="36653" xr:uid="{00000000-0005-0000-0000-0000F6210000}"/>
    <cellStyle name="20% - uthevingsfarge 6 28 8 2 4" xfId="31040" xr:uid="{00000000-0005-0000-0000-0000F7210000}"/>
    <cellStyle name="20% - uthevingsfarge 6 28 8 3" xfId="8457" xr:uid="{00000000-0005-0000-0000-0000F8210000}"/>
    <cellStyle name="20% - uthevingsfarge 6 28 8 3 2" xfId="19498" xr:uid="{00000000-0005-0000-0000-0000F9210000}"/>
    <cellStyle name="20% - uthevingsfarge 6 28 8 3 2 2" xfId="35612" xr:uid="{00000000-0005-0000-0000-0000FA210000}"/>
    <cellStyle name="20% - uthevingsfarge 6 28 8 3 3" xfId="29341" xr:uid="{00000000-0005-0000-0000-0000FB210000}"/>
    <cellStyle name="20% - uthevingsfarge 6 28 8 4" xfId="10855" xr:uid="{00000000-0005-0000-0000-0000FC210000}"/>
    <cellStyle name="20% - uthevingsfarge 6 28 8 4 2" xfId="34653" xr:uid="{00000000-0005-0000-0000-0000FD210000}"/>
    <cellStyle name="20% - uthevingsfarge 6 28 8 5" xfId="32732" xr:uid="{00000000-0005-0000-0000-0000FE210000}"/>
    <cellStyle name="20% - uthevingsfarge 6 28 9" xfId="5228" xr:uid="{00000000-0005-0000-0000-0000FF210000}"/>
    <cellStyle name="20% - uthevingsfarge 6 28 9 2" xfId="8643" xr:uid="{00000000-0005-0000-0000-000000220000}"/>
    <cellStyle name="20% - uthevingsfarge 6 28 9 2 2" xfId="21148" xr:uid="{00000000-0005-0000-0000-000001220000}"/>
    <cellStyle name="20% - uthevingsfarge 6 28 9 2 2 2" xfId="37228" xr:uid="{00000000-0005-0000-0000-000002220000}"/>
    <cellStyle name="20% - uthevingsfarge 6 28 9 2 3" xfId="29155" xr:uid="{00000000-0005-0000-0000-000003220000}"/>
    <cellStyle name="20% - uthevingsfarge 6 28 9 3" xfId="23851" xr:uid="{00000000-0005-0000-0000-000004220000}"/>
    <cellStyle name="20% - uthevingsfarge 6 28 9 3 2" xfId="39907" xr:uid="{00000000-0005-0000-0000-000005220000}"/>
    <cellStyle name="20% - uthevingsfarge 6 28 9 4" xfId="32546" xr:uid="{00000000-0005-0000-0000-000006220000}"/>
    <cellStyle name="20% - uthevingsfarge 6 29" xfId="563" xr:uid="{00000000-0005-0000-0000-000007220000}"/>
    <cellStyle name="20% - uthevingsfarge 6 29 10" xfId="11018" xr:uid="{00000000-0005-0000-0000-000008220000}"/>
    <cellStyle name="20% - uthevingsfarge 6 29 11" xfId="34262" xr:uid="{00000000-0005-0000-0000-000009220000}"/>
    <cellStyle name="20% - uthevingsfarge 6 29 2" xfId="3333" xr:uid="{00000000-0005-0000-0000-00000A220000}"/>
    <cellStyle name="20% - uthevingsfarge 6 29 2 10" xfId="34158" xr:uid="{00000000-0005-0000-0000-00000B220000}"/>
    <cellStyle name="20% - uthevingsfarge 6 29 2 2" xfId="3565" xr:uid="{00000000-0005-0000-0000-00000C220000}"/>
    <cellStyle name="20% - uthevingsfarge 6 29 2 2 10" xfId="47164" xr:uid="{00000000-0005-0000-0000-00000D220000}"/>
    <cellStyle name="20% - uthevingsfarge 6 29 2 2 2" xfId="3995" xr:uid="{00000000-0005-0000-0000-00000E220000}"/>
    <cellStyle name="20% - uthevingsfarge 6 29 2 2 2 2" xfId="5883" xr:uid="{00000000-0005-0000-0000-00000F220000}"/>
    <cellStyle name="20% - uthevingsfarge 6 29 2 2 2 2 2" xfId="9298" xr:uid="{00000000-0005-0000-0000-000010220000}"/>
    <cellStyle name="20% - uthevingsfarge 6 29 2 2 2 2 2 2" xfId="11689" xr:uid="{00000000-0005-0000-0000-000011220000}"/>
    <cellStyle name="20% - uthevingsfarge 6 29 2 2 2 2 2 2 2" xfId="34838" xr:uid="{00000000-0005-0000-0000-000012220000}"/>
    <cellStyle name="20% - uthevingsfarge 6 29 2 2 2 2 2 3" xfId="28500" xr:uid="{00000000-0005-0000-0000-000013220000}"/>
    <cellStyle name="20% - uthevingsfarge 6 29 2 2 2 2 3" xfId="22931" xr:uid="{00000000-0005-0000-0000-000014220000}"/>
    <cellStyle name="20% - uthevingsfarge 6 29 2 2 2 2 3 2" xfId="39000" xr:uid="{00000000-0005-0000-0000-000015220000}"/>
    <cellStyle name="20% - uthevingsfarge 6 29 2 2 2 2 4" xfId="31892" xr:uid="{00000000-0005-0000-0000-000016220000}"/>
    <cellStyle name="20% - uthevingsfarge 6 29 2 2 2 3" xfId="7601" xr:uid="{00000000-0005-0000-0000-000017220000}"/>
    <cellStyle name="20% - uthevingsfarge 6 29 2 2 2 3 2" xfId="24234" xr:uid="{00000000-0005-0000-0000-000018220000}"/>
    <cellStyle name="20% - uthevingsfarge 6 29 2 2 2 3 2 2" xfId="40287" xr:uid="{00000000-0005-0000-0000-000019220000}"/>
    <cellStyle name="20% - uthevingsfarge 6 29 2 2 2 3 3" xfId="30197" xr:uid="{00000000-0005-0000-0000-00001A220000}"/>
    <cellStyle name="20% - uthevingsfarge 6 29 2 2 2 4" xfId="17995" xr:uid="{00000000-0005-0000-0000-00001B220000}"/>
    <cellStyle name="20% - uthevingsfarge 6 29 2 2 2 5" xfId="19958" xr:uid="{00000000-0005-0000-0000-00001C220000}"/>
    <cellStyle name="20% - uthevingsfarge 6 29 2 2 2 5 2" xfId="36062" xr:uid="{00000000-0005-0000-0000-00001D220000}"/>
    <cellStyle name="20% - uthevingsfarge 6 29 2 2 2 6" xfId="33584" xr:uid="{00000000-0005-0000-0000-00001E220000}"/>
    <cellStyle name="20% - uthevingsfarge 6 29 2 2 3" xfId="4935" xr:uid="{00000000-0005-0000-0000-00001F220000}"/>
    <cellStyle name="20% - uthevingsfarge 6 29 2 2 3 10" xfId="47354" xr:uid="{00000000-0005-0000-0000-000020220000}"/>
    <cellStyle name="20% - uthevingsfarge 6 29 2 2 3 2" xfId="6654" xr:uid="{00000000-0005-0000-0000-000021220000}"/>
    <cellStyle name="20% - uthevingsfarge 6 29 2 2 3 2 2" xfId="10060" xr:uid="{00000000-0005-0000-0000-000022220000}"/>
    <cellStyle name="20% - uthevingsfarge 6 29 2 2 3 2 2 2" xfId="21591" xr:uid="{00000000-0005-0000-0000-000023220000}"/>
    <cellStyle name="20% - uthevingsfarge 6 29 2 2 3 2 2 2 2" xfId="37671" xr:uid="{00000000-0005-0000-0000-000024220000}"/>
    <cellStyle name="20% - uthevingsfarge 6 29 2 2 3 2 2 3" xfId="27739" xr:uid="{00000000-0005-0000-0000-000025220000}"/>
    <cellStyle name="20% - uthevingsfarge 6 29 2 2 3 2 3" xfId="11969" xr:uid="{00000000-0005-0000-0000-000026220000}"/>
    <cellStyle name="20% - uthevingsfarge 6 29 2 2 3 2 3 2" xfId="34991" xr:uid="{00000000-0005-0000-0000-000027220000}"/>
    <cellStyle name="20% - uthevingsfarge 6 29 2 2 3 2 4" xfId="31140" xr:uid="{00000000-0005-0000-0000-000028220000}"/>
    <cellStyle name="20% - uthevingsfarge 6 29 2 2 3 2 5" xfId="43048" xr:uid="{00000000-0005-0000-0000-000029220000}"/>
    <cellStyle name="20% - uthevingsfarge 6 29 2 2 3 2 6" xfId="43345" xr:uid="{00000000-0005-0000-0000-00002A220000}"/>
    <cellStyle name="20% - uthevingsfarge 6 29 2 2 3 2 7" xfId="46193" xr:uid="{00000000-0005-0000-0000-00002B220000}"/>
    <cellStyle name="20% - uthevingsfarge 6 29 2 2 3 2 8" xfId="46965" xr:uid="{00000000-0005-0000-0000-00002C220000}"/>
    <cellStyle name="20% - uthevingsfarge 6 29 2 2 3 2 9" xfId="47550" xr:uid="{00000000-0005-0000-0000-00002D220000}"/>
    <cellStyle name="20% - uthevingsfarge 6 29 2 2 3 3" xfId="8357" xr:uid="{00000000-0005-0000-0000-00002E220000}"/>
    <cellStyle name="20% - uthevingsfarge 6 29 2 2 3 3 2" xfId="21071" xr:uid="{00000000-0005-0000-0000-00002F220000}"/>
    <cellStyle name="20% - uthevingsfarge 6 29 2 2 3 3 2 2" xfId="37158" xr:uid="{00000000-0005-0000-0000-000030220000}"/>
    <cellStyle name="20% - uthevingsfarge 6 29 2 2 3 3 3" xfId="29441" xr:uid="{00000000-0005-0000-0000-000031220000}"/>
    <cellStyle name="20% - uthevingsfarge 6 29 2 2 3 3 4" xfId="43917" xr:uid="{00000000-0005-0000-0000-000032220000}"/>
    <cellStyle name="20% - uthevingsfarge 6 29 2 2 3 4" xfId="16493" xr:uid="{00000000-0005-0000-0000-000033220000}"/>
    <cellStyle name="20% - uthevingsfarge 6 29 2 2 3 4 2" xfId="35440" xr:uid="{00000000-0005-0000-0000-000034220000}"/>
    <cellStyle name="20% - uthevingsfarge 6 29 2 2 3 5" xfId="25102" xr:uid="{00000000-0005-0000-0000-000035220000}"/>
    <cellStyle name="20% - uthevingsfarge 6 29 2 2 3 6" xfId="25282" xr:uid="{00000000-0005-0000-0000-000036220000}"/>
    <cellStyle name="20% - uthevingsfarge 6 29 2 2 3 7" xfId="32832" xr:uid="{00000000-0005-0000-0000-000037220000}"/>
    <cellStyle name="20% - uthevingsfarge 6 29 2 2 3 8" xfId="43806" xr:uid="{00000000-0005-0000-0000-000038220000}"/>
    <cellStyle name="20% - uthevingsfarge 6 29 2 2 3 9" xfId="46731" xr:uid="{00000000-0005-0000-0000-000039220000}"/>
    <cellStyle name="20% - uthevingsfarge 6 29 2 2 4" xfId="5489" xr:uid="{00000000-0005-0000-0000-00003A220000}"/>
    <cellStyle name="20% - uthevingsfarge 6 29 2 2 4 2" xfId="8904" xr:uid="{00000000-0005-0000-0000-00003B220000}"/>
    <cellStyle name="20% - uthevingsfarge 6 29 2 2 4 2 2" xfId="21216" xr:uid="{00000000-0005-0000-0000-00003C220000}"/>
    <cellStyle name="20% - uthevingsfarge 6 29 2 2 4 2 2 2" xfId="37296" xr:uid="{00000000-0005-0000-0000-00003D220000}"/>
    <cellStyle name="20% - uthevingsfarge 6 29 2 2 4 2 3" xfId="28894" xr:uid="{00000000-0005-0000-0000-00003E220000}"/>
    <cellStyle name="20% - uthevingsfarge 6 29 2 2 4 3" xfId="23864" xr:uid="{00000000-0005-0000-0000-00003F220000}"/>
    <cellStyle name="20% - uthevingsfarge 6 29 2 2 4 3 2" xfId="39920" xr:uid="{00000000-0005-0000-0000-000040220000}"/>
    <cellStyle name="20% - uthevingsfarge 6 29 2 2 4 4" xfId="32285" xr:uid="{00000000-0005-0000-0000-000041220000}"/>
    <cellStyle name="20% - uthevingsfarge 6 29 2 2 5" xfId="7207" xr:uid="{00000000-0005-0000-0000-000042220000}"/>
    <cellStyle name="20% - uthevingsfarge 6 29 2 2 5 2" xfId="24164" xr:uid="{00000000-0005-0000-0000-000043220000}"/>
    <cellStyle name="20% - uthevingsfarge 6 29 2 2 5 2 2" xfId="40217" xr:uid="{00000000-0005-0000-0000-000044220000}"/>
    <cellStyle name="20% - uthevingsfarge 6 29 2 2 5 3" xfId="30591" xr:uid="{00000000-0005-0000-0000-000045220000}"/>
    <cellStyle name="20% - uthevingsfarge 6 29 2 2 6" xfId="11020" xr:uid="{00000000-0005-0000-0000-000046220000}"/>
    <cellStyle name="20% - uthevingsfarge 6 29 2 2 7" xfId="33978" xr:uid="{00000000-0005-0000-0000-000047220000}"/>
    <cellStyle name="20% - uthevingsfarge 6 29 2 2 8" xfId="43597" xr:uid="{00000000-0005-0000-0000-000048220000}"/>
    <cellStyle name="20% - uthevingsfarge 6 29 2 2 9" xfId="46503" xr:uid="{00000000-0005-0000-0000-000049220000}"/>
    <cellStyle name="20% - uthevingsfarge 6 29 2 2_Avviksanalyse løpende RNB15 (1)" xfId="16607" xr:uid="{00000000-0005-0000-0000-00004A220000}"/>
    <cellStyle name="20% - uthevingsfarge 6 29 2 3" xfId="3815" xr:uid="{00000000-0005-0000-0000-00004B220000}"/>
    <cellStyle name="20% - uthevingsfarge 6 29 2 3 2" xfId="5703" xr:uid="{00000000-0005-0000-0000-00004C220000}"/>
    <cellStyle name="20% - uthevingsfarge 6 29 2 3 2 2" xfId="9118" xr:uid="{00000000-0005-0000-0000-00004D220000}"/>
    <cellStyle name="20% - uthevingsfarge 6 29 2 3 2 2 2" xfId="21916" xr:uid="{00000000-0005-0000-0000-00004E220000}"/>
    <cellStyle name="20% - uthevingsfarge 6 29 2 3 2 2 2 2" xfId="37991" xr:uid="{00000000-0005-0000-0000-00004F220000}"/>
    <cellStyle name="20% - uthevingsfarge 6 29 2 3 2 2 3" xfId="28680" xr:uid="{00000000-0005-0000-0000-000050220000}"/>
    <cellStyle name="20% - uthevingsfarge 6 29 2 3 2 3" xfId="20175" xr:uid="{00000000-0005-0000-0000-000051220000}"/>
    <cellStyle name="20% - uthevingsfarge 6 29 2 3 2 3 2" xfId="36275" xr:uid="{00000000-0005-0000-0000-000052220000}"/>
    <cellStyle name="20% - uthevingsfarge 6 29 2 3 2 4" xfId="32071" xr:uid="{00000000-0005-0000-0000-000053220000}"/>
    <cellStyle name="20% - uthevingsfarge 6 29 2 3 3" xfId="7421" xr:uid="{00000000-0005-0000-0000-000054220000}"/>
    <cellStyle name="20% - uthevingsfarge 6 29 2 3 3 2" xfId="22197" xr:uid="{00000000-0005-0000-0000-000055220000}"/>
    <cellStyle name="20% - uthevingsfarge 6 29 2 3 3 2 2" xfId="38271" xr:uid="{00000000-0005-0000-0000-000056220000}"/>
    <cellStyle name="20% - uthevingsfarge 6 29 2 3 3 3" xfId="30377" xr:uid="{00000000-0005-0000-0000-000057220000}"/>
    <cellStyle name="20% - uthevingsfarge 6 29 2 3 4" xfId="12556" xr:uid="{00000000-0005-0000-0000-000058220000}"/>
    <cellStyle name="20% - uthevingsfarge 6 29 2 3 4 2" xfId="35276" xr:uid="{00000000-0005-0000-0000-000059220000}"/>
    <cellStyle name="20% - uthevingsfarge 6 29 2 3 5" xfId="33764" xr:uid="{00000000-0005-0000-0000-00005A220000}"/>
    <cellStyle name="20% - uthevingsfarge 6 29 2 4" xfId="4300" xr:uid="{00000000-0005-0000-0000-00005B220000}"/>
    <cellStyle name="20% - uthevingsfarge 6 29 2 4 2" xfId="6129" xr:uid="{00000000-0005-0000-0000-00005C220000}"/>
    <cellStyle name="20% - uthevingsfarge 6 29 2 4 2 2" xfId="9543" xr:uid="{00000000-0005-0000-0000-00005D220000}"/>
    <cellStyle name="20% - uthevingsfarge 6 29 2 4 2 2 2" xfId="21959" xr:uid="{00000000-0005-0000-0000-00005E220000}"/>
    <cellStyle name="20% - uthevingsfarge 6 29 2 4 2 2 2 2" xfId="38034" xr:uid="{00000000-0005-0000-0000-00005F220000}"/>
    <cellStyle name="20% - uthevingsfarge 6 29 2 4 2 2 3" xfId="28255" xr:uid="{00000000-0005-0000-0000-000060220000}"/>
    <cellStyle name="20% - uthevingsfarge 6 29 2 4 2 3" xfId="22112" xr:uid="{00000000-0005-0000-0000-000061220000}"/>
    <cellStyle name="20% - uthevingsfarge 6 29 2 4 2 3 2" xfId="38186" xr:uid="{00000000-0005-0000-0000-000062220000}"/>
    <cellStyle name="20% - uthevingsfarge 6 29 2 4 2 4" xfId="31650" xr:uid="{00000000-0005-0000-0000-000063220000}"/>
    <cellStyle name="20% - uthevingsfarge 6 29 2 4 3" xfId="7862" xr:uid="{00000000-0005-0000-0000-000064220000}"/>
    <cellStyle name="20% - uthevingsfarge 6 29 2 4 3 2" xfId="24283" xr:uid="{00000000-0005-0000-0000-000065220000}"/>
    <cellStyle name="20% - uthevingsfarge 6 29 2 4 3 2 2" xfId="40336" xr:uid="{00000000-0005-0000-0000-000066220000}"/>
    <cellStyle name="20% - uthevingsfarge 6 29 2 4 3 3" xfId="29937" xr:uid="{00000000-0005-0000-0000-000067220000}"/>
    <cellStyle name="20% - uthevingsfarge 6 29 2 4 4" xfId="22524" xr:uid="{00000000-0005-0000-0000-000068220000}"/>
    <cellStyle name="20% - uthevingsfarge 6 29 2 4 4 2" xfId="38594" xr:uid="{00000000-0005-0000-0000-000069220000}"/>
    <cellStyle name="20% - uthevingsfarge 6 29 2 4 5" xfId="33325" xr:uid="{00000000-0005-0000-0000-00006A220000}"/>
    <cellStyle name="20% - uthevingsfarge 6 29 2 5" xfId="4755" xr:uid="{00000000-0005-0000-0000-00006B220000}"/>
    <cellStyle name="20% - uthevingsfarge 6 29 2 5 2" xfId="6475" xr:uid="{00000000-0005-0000-0000-00006C220000}"/>
    <cellStyle name="20% - uthevingsfarge 6 29 2 5 2 2" xfId="9881" xr:uid="{00000000-0005-0000-0000-00006D220000}"/>
    <cellStyle name="20% - uthevingsfarge 6 29 2 5 2 2 2" xfId="21519" xr:uid="{00000000-0005-0000-0000-00006E220000}"/>
    <cellStyle name="20% - uthevingsfarge 6 29 2 5 2 2 2 2" xfId="37599" xr:uid="{00000000-0005-0000-0000-00006F220000}"/>
    <cellStyle name="20% - uthevingsfarge 6 29 2 5 2 2 3" xfId="27918" xr:uid="{00000000-0005-0000-0000-000070220000}"/>
    <cellStyle name="20% - uthevingsfarge 6 29 2 5 2 3" xfId="20465" xr:uid="{00000000-0005-0000-0000-000071220000}"/>
    <cellStyle name="20% - uthevingsfarge 6 29 2 5 2 3 2" xfId="36564" xr:uid="{00000000-0005-0000-0000-000072220000}"/>
    <cellStyle name="20% - uthevingsfarge 6 29 2 5 2 4" xfId="31319" xr:uid="{00000000-0005-0000-0000-000073220000}"/>
    <cellStyle name="20% - uthevingsfarge 6 29 2 5 3" xfId="8177" xr:uid="{00000000-0005-0000-0000-000074220000}"/>
    <cellStyle name="20% - uthevingsfarge 6 29 2 5 3 2" xfId="11886" xr:uid="{00000000-0005-0000-0000-000075220000}"/>
    <cellStyle name="20% - uthevingsfarge 6 29 2 5 3 2 2" xfId="34923" xr:uid="{00000000-0005-0000-0000-000076220000}"/>
    <cellStyle name="20% - uthevingsfarge 6 29 2 5 3 3" xfId="29620" xr:uid="{00000000-0005-0000-0000-000077220000}"/>
    <cellStyle name="20% - uthevingsfarge 6 29 2 5 4" xfId="19699" xr:uid="{00000000-0005-0000-0000-000078220000}"/>
    <cellStyle name="20% - uthevingsfarge 6 29 2 5 4 2" xfId="35813" xr:uid="{00000000-0005-0000-0000-000079220000}"/>
    <cellStyle name="20% - uthevingsfarge 6 29 2 5 5" xfId="33012" xr:uid="{00000000-0005-0000-0000-00007A220000}"/>
    <cellStyle name="20% - uthevingsfarge 6 29 2 6" xfId="5115" xr:uid="{00000000-0005-0000-0000-00007B220000}"/>
    <cellStyle name="20% - uthevingsfarge 6 29 2 6 2" xfId="6834" xr:uid="{00000000-0005-0000-0000-00007C220000}"/>
    <cellStyle name="20% - uthevingsfarge 6 29 2 6 2 2" xfId="10240" xr:uid="{00000000-0005-0000-0000-00007D220000}"/>
    <cellStyle name="20% - uthevingsfarge 6 29 2 6 2 2 2" xfId="24683" xr:uid="{00000000-0005-0000-0000-00007E220000}"/>
    <cellStyle name="20% - uthevingsfarge 6 29 2 6 2 2 2 2" xfId="40726" xr:uid="{00000000-0005-0000-0000-00007F220000}"/>
    <cellStyle name="20% - uthevingsfarge 6 29 2 6 2 2 3" xfId="27559" xr:uid="{00000000-0005-0000-0000-000080220000}"/>
    <cellStyle name="20% - uthevingsfarge 6 29 2 6 2 3" xfId="10338" xr:uid="{00000000-0005-0000-0000-000081220000}"/>
    <cellStyle name="20% - uthevingsfarge 6 29 2 6 2 3 2" xfId="34304" xr:uid="{00000000-0005-0000-0000-000082220000}"/>
    <cellStyle name="20% - uthevingsfarge 6 29 2 6 2 4" xfId="30960" xr:uid="{00000000-0005-0000-0000-000083220000}"/>
    <cellStyle name="20% - uthevingsfarge 6 29 2 6 3" xfId="8537" xr:uid="{00000000-0005-0000-0000-000084220000}"/>
    <cellStyle name="20% - uthevingsfarge 6 29 2 6 3 2" xfId="10527" xr:uid="{00000000-0005-0000-0000-000085220000}"/>
    <cellStyle name="20% - uthevingsfarge 6 29 2 6 3 2 2" xfId="34408" xr:uid="{00000000-0005-0000-0000-000086220000}"/>
    <cellStyle name="20% - uthevingsfarge 6 29 2 6 3 3" xfId="29261" xr:uid="{00000000-0005-0000-0000-000087220000}"/>
    <cellStyle name="20% - uthevingsfarge 6 29 2 6 4" xfId="10834" xr:uid="{00000000-0005-0000-0000-000088220000}"/>
    <cellStyle name="20% - uthevingsfarge 6 29 2 6 4 2" xfId="34632" xr:uid="{00000000-0005-0000-0000-000089220000}"/>
    <cellStyle name="20% - uthevingsfarge 6 29 2 6 5" xfId="32652" xr:uid="{00000000-0005-0000-0000-00008A220000}"/>
    <cellStyle name="20% - uthevingsfarge 6 29 2 7" xfId="5294" xr:uid="{00000000-0005-0000-0000-00008B220000}"/>
    <cellStyle name="20% - uthevingsfarge 6 29 2 7 2" xfId="8709" xr:uid="{00000000-0005-0000-0000-00008C220000}"/>
    <cellStyle name="20% - uthevingsfarge 6 29 2 7 2 2" xfId="11789" xr:uid="{00000000-0005-0000-0000-00008D220000}"/>
    <cellStyle name="20% - uthevingsfarge 6 29 2 7 2 2 2" xfId="34865" xr:uid="{00000000-0005-0000-0000-00008E220000}"/>
    <cellStyle name="20% - uthevingsfarge 6 29 2 7 2 3" xfId="29089" xr:uid="{00000000-0005-0000-0000-00008F220000}"/>
    <cellStyle name="20% - uthevingsfarge 6 29 2 7 3" xfId="19796" xr:uid="{00000000-0005-0000-0000-000090220000}"/>
    <cellStyle name="20% - uthevingsfarge 6 29 2 7 3 2" xfId="35909" xr:uid="{00000000-0005-0000-0000-000091220000}"/>
    <cellStyle name="20% - uthevingsfarge 6 29 2 7 4" xfId="32480" xr:uid="{00000000-0005-0000-0000-000092220000}"/>
    <cellStyle name="20% - uthevingsfarge 6 29 2 8" xfId="7027" xr:uid="{00000000-0005-0000-0000-000093220000}"/>
    <cellStyle name="20% - uthevingsfarge 6 29 2 8 2" xfId="20638" xr:uid="{00000000-0005-0000-0000-000094220000}"/>
    <cellStyle name="20% - uthevingsfarge 6 29 2 8 2 2" xfId="36737" xr:uid="{00000000-0005-0000-0000-000095220000}"/>
    <cellStyle name="20% - uthevingsfarge 6 29 2 8 3" xfId="30771" xr:uid="{00000000-0005-0000-0000-000096220000}"/>
    <cellStyle name="20% - uthevingsfarge 6 29 2 9" xfId="11019" xr:uid="{00000000-0005-0000-0000-000097220000}"/>
    <cellStyle name="20% - uthevingsfarge 6 29 3" xfId="3480" xr:uid="{00000000-0005-0000-0000-000098220000}"/>
    <cellStyle name="20% - uthevingsfarge 6 29 3 10" xfId="47096" xr:uid="{00000000-0005-0000-0000-000099220000}"/>
    <cellStyle name="20% - uthevingsfarge 6 29 3 2" xfId="3916" xr:uid="{00000000-0005-0000-0000-00009A220000}"/>
    <cellStyle name="20% - uthevingsfarge 6 29 3 2 2" xfId="5804" xr:uid="{00000000-0005-0000-0000-00009B220000}"/>
    <cellStyle name="20% - uthevingsfarge 6 29 3 2 2 2" xfId="9219" xr:uid="{00000000-0005-0000-0000-00009C220000}"/>
    <cellStyle name="20% - uthevingsfarge 6 29 3 2 2 2 2" xfId="23476" xr:uid="{00000000-0005-0000-0000-00009D220000}"/>
    <cellStyle name="20% - uthevingsfarge 6 29 3 2 2 2 2 2" xfId="39532" xr:uid="{00000000-0005-0000-0000-00009E220000}"/>
    <cellStyle name="20% - uthevingsfarge 6 29 3 2 2 2 3" xfId="28579" xr:uid="{00000000-0005-0000-0000-00009F220000}"/>
    <cellStyle name="20% - uthevingsfarge 6 29 3 2 2 3" xfId="23921" xr:uid="{00000000-0005-0000-0000-0000A0220000}"/>
    <cellStyle name="20% - uthevingsfarge 6 29 3 2 2 3 2" xfId="39975" xr:uid="{00000000-0005-0000-0000-0000A1220000}"/>
    <cellStyle name="20% - uthevingsfarge 6 29 3 2 2 4" xfId="31970" xr:uid="{00000000-0005-0000-0000-0000A2220000}"/>
    <cellStyle name="20% - uthevingsfarge 6 29 3 2 3" xfId="7522" xr:uid="{00000000-0005-0000-0000-0000A3220000}"/>
    <cellStyle name="20% - uthevingsfarge 6 29 3 2 3 2" xfId="11938" xr:uid="{00000000-0005-0000-0000-0000A4220000}"/>
    <cellStyle name="20% - uthevingsfarge 6 29 3 2 3 2 2" xfId="34961" xr:uid="{00000000-0005-0000-0000-0000A5220000}"/>
    <cellStyle name="20% - uthevingsfarge 6 29 3 2 3 3" xfId="30276" xr:uid="{00000000-0005-0000-0000-0000A6220000}"/>
    <cellStyle name="20% - uthevingsfarge 6 29 3 2 4" xfId="17996" xr:uid="{00000000-0005-0000-0000-0000A7220000}"/>
    <cellStyle name="20% - uthevingsfarge 6 29 3 2 5" xfId="22789" xr:uid="{00000000-0005-0000-0000-0000A8220000}"/>
    <cellStyle name="20% - uthevingsfarge 6 29 3 2 5 2" xfId="38858" xr:uid="{00000000-0005-0000-0000-0000A9220000}"/>
    <cellStyle name="20% - uthevingsfarge 6 29 3 2 6" xfId="33663" xr:uid="{00000000-0005-0000-0000-0000AA220000}"/>
    <cellStyle name="20% - uthevingsfarge 6 29 3 3" xfId="4856" xr:uid="{00000000-0005-0000-0000-0000AB220000}"/>
    <cellStyle name="20% - uthevingsfarge 6 29 3 3 10" xfId="47286" xr:uid="{00000000-0005-0000-0000-0000AC220000}"/>
    <cellStyle name="20% - uthevingsfarge 6 29 3 3 2" xfId="6575" xr:uid="{00000000-0005-0000-0000-0000AD220000}"/>
    <cellStyle name="20% - uthevingsfarge 6 29 3 3 2 2" xfId="9981" xr:uid="{00000000-0005-0000-0000-0000AE220000}"/>
    <cellStyle name="20% - uthevingsfarge 6 29 3 3 2 2 2" xfId="22006" xr:uid="{00000000-0005-0000-0000-0000AF220000}"/>
    <cellStyle name="20% - uthevingsfarge 6 29 3 3 2 2 2 2" xfId="38081" xr:uid="{00000000-0005-0000-0000-0000B0220000}"/>
    <cellStyle name="20% - uthevingsfarge 6 29 3 3 2 2 3" xfId="27818" xr:uid="{00000000-0005-0000-0000-0000B1220000}"/>
    <cellStyle name="20% - uthevingsfarge 6 29 3 3 2 3" xfId="23065" xr:uid="{00000000-0005-0000-0000-0000B2220000}"/>
    <cellStyle name="20% - uthevingsfarge 6 29 3 3 2 3 2" xfId="39134" xr:uid="{00000000-0005-0000-0000-0000B3220000}"/>
    <cellStyle name="20% - uthevingsfarge 6 29 3 3 2 4" xfId="31219" xr:uid="{00000000-0005-0000-0000-0000B4220000}"/>
    <cellStyle name="20% - uthevingsfarge 6 29 3 3 2 5" xfId="42841" xr:uid="{00000000-0005-0000-0000-0000B5220000}"/>
    <cellStyle name="20% - uthevingsfarge 6 29 3 3 2 6" xfId="43279" xr:uid="{00000000-0005-0000-0000-0000B6220000}"/>
    <cellStyle name="20% - uthevingsfarge 6 29 3 3 2 7" xfId="46127" xr:uid="{00000000-0005-0000-0000-0000B7220000}"/>
    <cellStyle name="20% - uthevingsfarge 6 29 3 3 2 8" xfId="46896" xr:uid="{00000000-0005-0000-0000-0000B8220000}"/>
    <cellStyle name="20% - uthevingsfarge 6 29 3 3 2 9" xfId="47482" xr:uid="{00000000-0005-0000-0000-0000B9220000}"/>
    <cellStyle name="20% - uthevingsfarge 6 29 3 3 3" xfId="8278" xr:uid="{00000000-0005-0000-0000-0000BA220000}"/>
    <cellStyle name="20% - uthevingsfarge 6 29 3 3 3 2" xfId="19478" xr:uid="{00000000-0005-0000-0000-0000BB220000}"/>
    <cellStyle name="20% - uthevingsfarge 6 29 3 3 3 2 2" xfId="35592" xr:uid="{00000000-0005-0000-0000-0000BC220000}"/>
    <cellStyle name="20% - uthevingsfarge 6 29 3 3 3 3" xfId="29519" xr:uid="{00000000-0005-0000-0000-0000BD220000}"/>
    <cellStyle name="20% - uthevingsfarge 6 29 3 3 3 4" xfId="43918" xr:uid="{00000000-0005-0000-0000-0000BE220000}"/>
    <cellStyle name="20% - uthevingsfarge 6 29 3 3 4" xfId="16286" xr:uid="{00000000-0005-0000-0000-0000BF220000}"/>
    <cellStyle name="20% - uthevingsfarge 6 29 3 3 4 2" xfId="35374" xr:uid="{00000000-0005-0000-0000-0000C0220000}"/>
    <cellStyle name="20% - uthevingsfarge 6 29 3 3 5" xfId="25033" xr:uid="{00000000-0005-0000-0000-0000C1220000}"/>
    <cellStyle name="20% - uthevingsfarge 6 29 3 3 6" xfId="25283" xr:uid="{00000000-0005-0000-0000-0000C2220000}"/>
    <cellStyle name="20% - uthevingsfarge 6 29 3 3 7" xfId="32911" xr:uid="{00000000-0005-0000-0000-0000C3220000}"/>
    <cellStyle name="20% - uthevingsfarge 6 29 3 3 8" xfId="43739" xr:uid="{00000000-0005-0000-0000-0000C4220000}"/>
    <cellStyle name="20% - uthevingsfarge 6 29 3 3 9" xfId="46665" xr:uid="{00000000-0005-0000-0000-0000C5220000}"/>
    <cellStyle name="20% - uthevingsfarge 6 29 3 4" xfId="5415" xr:uid="{00000000-0005-0000-0000-0000C6220000}"/>
    <cellStyle name="20% - uthevingsfarge 6 29 3 4 2" xfId="8830" xr:uid="{00000000-0005-0000-0000-0000C7220000}"/>
    <cellStyle name="20% - uthevingsfarge 6 29 3 4 2 2" xfId="21197" xr:uid="{00000000-0005-0000-0000-0000C8220000}"/>
    <cellStyle name="20% - uthevingsfarge 6 29 3 4 2 2 2" xfId="37277" xr:uid="{00000000-0005-0000-0000-0000C9220000}"/>
    <cellStyle name="20% - uthevingsfarge 6 29 3 4 2 3" xfId="28968" xr:uid="{00000000-0005-0000-0000-0000CA220000}"/>
    <cellStyle name="20% - uthevingsfarge 6 29 3 4 3" xfId="19823" xr:uid="{00000000-0005-0000-0000-0000CB220000}"/>
    <cellStyle name="20% - uthevingsfarge 6 29 3 4 3 2" xfId="35936" xr:uid="{00000000-0005-0000-0000-0000CC220000}"/>
    <cellStyle name="20% - uthevingsfarge 6 29 3 4 4" xfId="32359" xr:uid="{00000000-0005-0000-0000-0000CD220000}"/>
    <cellStyle name="20% - uthevingsfarge 6 29 3 5" xfId="7128" xr:uid="{00000000-0005-0000-0000-0000CE220000}"/>
    <cellStyle name="20% - uthevingsfarge 6 29 3 5 2" xfId="20677" xr:uid="{00000000-0005-0000-0000-0000CF220000}"/>
    <cellStyle name="20% - uthevingsfarge 6 29 3 5 2 2" xfId="36776" xr:uid="{00000000-0005-0000-0000-0000D0220000}"/>
    <cellStyle name="20% - uthevingsfarge 6 29 3 5 3" xfId="30670" xr:uid="{00000000-0005-0000-0000-0000D1220000}"/>
    <cellStyle name="20% - uthevingsfarge 6 29 3 6" xfId="11021" xr:uid="{00000000-0005-0000-0000-0000D2220000}"/>
    <cellStyle name="20% - uthevingsfarge 6 29 3 7" xfId="34057" xr:uid="{00000000-0005-0000-0000-0000D3220000}"/>
    <cellStyle name="20% - uthevingsfarge 6 29 3 8" xfId="43531" xr:uid="{00000000-0005-0000-0000-0000D4220000}"/>
    <cellStyle name="20% - uthevingsfarge 6 29 3 9" xfId="46435" xr:uid="{00000000-0005-0000-0000-0000D5220000}"/>
    <cellStyle name="20% - uthevingsfarge 6 29 3_Avviksanalyse løpende RNB15 (1)" xfId="16608" xr:uid="{00000000-0005-0000-0000-0000D6220000}"/>
    <cellStyle name="20% - uthevingsfarge 6 29 4" xfId="3737" xr:uid="{00000000-0005-0000-0000-0000D7220000}"/>
    <cellStyle name="20% - uthevingsfarge 6 29 4 2" xfId="5625" xr:uid="{00000000-0005-0000-0000-0000D8220000}"/>
    <cellStyle name="20% - uthevingsfarge 6 29 4 2 2" xfId="9040" xr:uid="{00000000-0005-0000-0000-0000D9220000}"/>
    <cellStyle name="20% - uthevingsfarge 6 29 4 2 2 2" xfId="19392" xr:uid="{00000000-0005-0000-0000-0000DA220000}"/>
    <cellStyle name="20% - uthevingsfarge 6 29 4 2 2 2 2" xfId="35506" xr:uid="{00000000-0005-0000-0000-0000DB220000}"/>
    <cellStyle name="20% - uthevingsfarge 6 29 4 2 2 3" xfId="28758" xr:uid="{00000000-0005-0000-0000-0000DC220000}"/>
    <cellStyle name="20% - uthevingsfarge 6 29 4 2 3" xfId="22886" xr:uid="{00000000-0005-0000-0000-0000DD220000}"/>
    <cellStyle name="20% - uthevingsfarge 6 29 4 2 3 2" xfId="38955" xr:uid="{00000000-0005-0000-0000-0000DE220000}"/>
    <cellStyle name="20% - uthevingsfarge 6 29 4 2 4" xfId="32149" xr:uid="{00000000-0005-0000-0000-0000DF220000}"/>
    <cellStyle name="20% - uthevingsfarge 6 29 4 3" xfId="7343" xr:uid="{00000000-0005-0000-0000-0000E0220000}"/>
    <cellStyle name="20% - uthevingsfarge 6 29 4 3 2" xfId="20748" xr:uid="{00000000-0005-0000-0000-0000E1220000}"/>
    <cellStyle name="20% - uthevingsfarge 6 29 4 3 2 2" xfId="36847" xr:uid="{00000000-0005-0000-0000-0000E2220000}"/>
    <cellStyle name="20% - uthevingsfarge 6 29 4 3 3" xfId="30455" xr:uid="{00000000-0005-0000-0000-0000E3220000}"/>
    <cellStyle name="20% - uthevingsfarge 6 29 4 4" xfId="22540" xr:uid="{00000000-0005-0000-0000-0000E4220000}"/>
    <cellStyle name="20% - uthevingsfarge 6 29 4 4 2" xfId="38609" xr:uid="{00000000-0005-0000-0000-0000E5220000}"/>
    <cellStyle name="20% - uthevingsfarge 6 29 4 5" xfId="33842" xr:uid="{00000000-0005-0000-0000-0000E6220000}"/>
    <cellStyle name="20% - uthevingsfarge 6 29 5" xfId="4243" xr:uid="{00000000-0005-0000-0000-0000E7220000}"/>
    <cellStyle name="20% - uthevingsfarge 6 29 5 2" xfId="6075" xr:uid="{00000000-0005-0000-0000-0000E8220000}"/>
    <cellStyle name="20% - uthevingsfarge 6 29 5 2 2" xfId="9490" xr:uid="{00000000-0005-0000-0000-0000E9220000}"/>
    <cellStyle name="20% - uthevingsfarge 6 29 5 2 2 2" xfId="21953" xr:uid="{00000000-0005-0000-0000-0000EA220000}"/>
    <cellStyle name="20% - uthevingsfarge 6 29 5 2 2 2 2" xfId="38028" xr:uid="{00000000-0005-0000-0000-0000EB220000}"/>
    <cellStyle name="20% - uthevingsfarge 6 29 5 2 2 3" xfId="28308" xr:uid="{00000000-0005-0000-0000-0000EC220000}"/>
    <cellStyle name="20% - uthevingsfarge 6 29 5 2 3" xfId="22106" xr:uid="{00000000-0005-0000-0000-0000ED220000}"/>
    <cellStyle name="20% - uthevingsfarge 6 29 5 2 3 2" xfId="38180" xr:uid="{00000000-0005-0000-0000-0000EE220000}"/>
    <cellStyle name="20% - uthevingsfarge 6 29 5 2 4" xfId="31703" xr:uid="{00000000-0005-0000-0000-0000EF220000}"/>
    <cellStyle name="20% - uthevingsfarge 6 29 5 3" xfId="7809" xr:uid="{00000000-0005-0000-0000-0000F0220000}"/>
    <cellStyle name="20% - uthevingsfarge 6 29 5 3 2" xfId="21854" xr:uid="{00000000-0005-0000-0000-0000F1220000}"/>
    <cellStyle name="20% - uthevingsfarge 6 29 5 3 2 2" xfId="37930" xr:uid="{00000000-0005-0000-0000-0000F2220000}"/>
    <cellStyle name="20% - uthevingsfarge 6 29 5 3 3" xfId="29990" xr:uid="{00000000-0005-0000-0000-0000F3220000}"/>
    <cellStyle name="20% - uthevingsfarge 6 29 5 4" xfId="19990" xr:uid="{00000000-0005-0000-0000-0000F4220000}"/>
    <cellStyle name="20% - uthevingsfarge 6 29 5 4 2" xfId="36094" xr:uid="{00000000-0005-0000-0000-0000F5220000}"/>
    <cellStyle name="20% - uthevingsfarge 6 29 5 5" xfId="33378" xr:uid="{00000000-0005-0000-0000-0000F6220000}"/>
    <cellStyle name="20% - uthevingsfarge 6 29 6" xfId="4672" xr:uid="{00000000-0005-0000-0000-0000F7220000}"/>
    <cellStyle name="20% - uthevingsfarge 6 29 6 2" xfId="6392" xr:uid="{00000000-0005-0000-0000-0000F8220000}"/>
    <cellStyle name="20% - uthevingsfarge 6 29 6 2 2" xfId="9802" xr:uid="{00000000-0005-0000-0000-0000F9220000}"/>
    <cellStyle name="20% - uthevingsfarge 6 29 6 2 2 2" xfId="23560" xr:uid="{00000000-0005-0000-0000-0000FA220000}"/>
    <cellStyle name="20% - uthevingsfarge 6 29 6 2 2 2 2" xfId="39616" xr:uid="{00000000-0005-0000-0000-0000FB220000}"/>
    <cellStyle name="20% - uthevingsfarge 6 29 6 2 2 3" xfId="27997" xr:uid="{00000000-0005-0000-0000-0000FC220000}"/>
    <cellStyle name="20% - uthevingsfarge 6 29 6 2 3" xfId="20434" xr:uid="{00000000-0005-0000-0000-0000FD220000}"/>
    <cellStyle name="20% - uthevingsfarge 6 29 6 2 3 2" xfId="36533" xr:uid="{00000000-0005-0000-0000-0000FE220000}"/>
    <cellStyle name="20% - uthevingsfarge 6 29 6 2 4" xfId="31398" xr:uid="{00000000-0005-0000-0000-0000FF220000}"/>
    <cellStyle name="20% - uthevingsfarge 6 29 6 3" xfId="8098" xr:uid="{00000000-0005-0000-0000-000000230000}"/>
    <cellStyle name="20% - uthevingsfarge 6 29 6 3 2" xfId="19465" xr:uid="{00000000-0005-0000-0000-000001230000}"/>
    <cellStyle name="20% - uthevingsfarge 6 29 6 3 2 2" xfId="35579" xr:uid="{00000000-0005-0000-0000-000002230000}"/>
    <cellStyle name="20% - uthevingsfarge 6 29 6 3 3" xfId="29700" xr:uid="{00000000-0005-0000-0000-000003230000}"/>
    <cellStyle name="20% - uthevingsfarge 6 29 6 4" xfId="12292" xr:uid="{00000000-0005-0000-0000-000004230000}"/>
    <cellStyle name="20% - uthevingsfarge 6 29 6 4 2" xfId="35168" xr:uid="{00000000-0005-0000-0000-000005230000}"/>
    <cellStyle name="20% - uthevingsfarge 6 29 6 5" xfId="33091" xr:uid="{00000000-0005-0000-0000-000006230000}"/>
    <cellStyle name="20% - uthevingsfarge 6 29 7" xfId="5036" xr:uid="{00000000-0005-0000-0000-000007230000}"/>
    <cellStyle name="20% - uthevingsfarge 6 29 7 2" xfId="6755" xr:uid="{00000000-0005-0000-0000-000008230000}"/>
    <cellStyle name="20% - uthevingsfarge 6 29 7 2 2" xfId="10161" xr:uid="{00000000-0005-0000-0000-000009230000}"/>
    <cellStyle name="20% - uthevingsfarge 6 29 7 2 2 2" xfId="21813" xr:uid="{00000000-0005-0000-0000-00000A230000}"/>
    <cellStyle name="20% - uthevingsfarge 6 29 7 2 2 2 2" xfId="37889" xr:uid="{00000000-0005-0000-0000-00000B230000}"/>
    <cellStyle name="20% - uthevingsfarge 6 29 7 2 2 3" xfId="27638" xr:uid="{00000000-0005-0000-0000-00000C230000}"/>
    <cellStyle name="20% - uthevingsfarge 6 29 7 2 3" xfId="20555" xr:uid="{00000000-0005-0000-0000-00000D230000}"/>
    <cellStyle name="20% - uthevingsfarge 6 29 7 2 3 2" xfId="36654" xr:uid="{00000000-0005-0000-0000-00000E230000}"/>
    <cellStyle name="20% - uthevingsfarge 6 29 7 2 4" xfId="31039" xr:uid="{00000000-0005-0000-0000-00000F230000}"/>
    <cellStyle name="20% - uthevingsfarge 6 29 7 3" xfId="8458" xr:uid="{00000000-0005-0000-0000-000010230000}"/>
    <cellStyle name="20% - uthevingsfarge 6 29 7 3 2" xfId="11854" xr:uid="{00000000-0005-0000-0000-000011230000}"/>
    <cellStyle name="20% - uthevingsfarge 6 29 7 3 2 2" xfId="34898" xr:uid="{00000000-0005-0000-0000-000012230000}"/>
    <cellStyle name="20% - uthevingsfarge 6 29 7 3 3" xfId="29340" xr:uid="{00000000-0005-0000-0000-000013230000}"/>
    <cellStyle name="20% - uthevingsfarge 6 29 7 4" xfId="19733" xr:uid="{00000000-0005-0000-0000-000014230000}"/>
    <cellStyle name="20% - uthevingsfarge 6 29 7 4 2" xfId="35847" xr:uid="{00000000-0005-0000-0000-000015230000}"/>
    <cellStyle name="20% - uthevingsfarge 6 29 7 5" xfId="32731" xr:uid="{00000000-0005-0000-0000-000016230000}"/>
    <cellStyle name="20% - uthevingsfarge 6 29 8" xfId="5243" xr:uid="{00000000-0005-0000-0000-000017230000}"/>
    <cellStyle name="20% - uthevingsfarge 6 29 8 2" xfId="8658" xr:uid="{00000000-0005-0000-0000-000018230000}"/>
    <cellStyle name="20% - uthevingsfarge 6 29 8 2 2" xfId="21154" xr:uid="{00000000-0005-0000-0000-000019230000}"/>
    <cellStyle name="20% - uthevingsfarge 6 29 8 2 2 2" xfId="37234" xr:uid="{00000000-0005-0000-0000-00001A230000}"/>
    <cellStyle name="20% - uthevingsfarge 6 29 8 2 3" xfId="29140" xr:uid="{00000000-0005-0000-0000-00001B230000}"/>
    <cellStyle name="20% - uthevingsfarge 6 29 8 3" xfId="10779" xr:uid="{00000000-0005-0000-0000-00001C230000}"/>
    <cellStyle name="20% - uthevingsfarge 6 29 8 3 2" xfId="34602" xr:uid="{00000000-0005-0000-0000-00001D230000}"/>
    <cellStyle name="20% - uthevingsfarge 6 29 8 4" xfId="32531" xr:uid="{00000000-0005-0000-0000-00001E230000}"/>
    <cellStyle name="20% - uthevingsfarge 6 29 9" xfId="6924" xr:uid="{00000000-0005-0000-0000-00001F230000}"/>
    <cellStyle name="20% - uthevingsfarge 6 29 9 2" xfId="10645" xr:uid="{00000000-0005-0000-0000-000020230000}"/>
    <cellStyle name="20% - uthevingsfarge 6 29 9 2 2" xfId="34493" xr:uid="{00000000-0005-0000-0000-000021230000}"/>
    <cellStyle name="20% - uthevingsfarge 6 29 9 3" xfId="30874" xr:uid="{00000000-0005-0000-0000-000022230000}"/>
    <cellStyle name="20% - uthevingsfarge 6 3" xfId="564" xr:uid="{00000000-0005-0000-0000-000023230000}"/>
    <cellStyle name="20% - uthevingsfarge 6 3 2" xfId="565" xr:uid="{00000000-0005-0000-0000-000024230000}"/>
    <cellStyle name="20% - uthevingsfarge 6 30" xfId="566" xr:uid="{00000000-0005-0000-0000-000025230000}"/>
    <cellStyle name="20% - uthevingsfarge 6 30 10" xfId="11024" xr:uid="{00000000-0005-0000-0000-000026230000}"/>
    <cellStyle name="20% - uthevingsfarge 6 30 11" xfId="34261" xr:uid="{00000000-0005-0000-0000-000027230000}"/>
    <cellStyle name="20% - uthevingsfarge 6 30 2" xfId="3334" xr:uid="{00000000-0005-0000-0000-000028230000}"/>
    <cellStyle name="20% - uthevingsfarge 6 30 2 10" xfId="34157" xr:uid="{00000000-0005-0000-0000-000029230000}"/>
    <cellStyle name="20% - uthevingsfarge 6 30 2 2" xfId="3566" xr:uid="{00000000-0005-0000-0000-00002A230000}"/>
    <cellStyle name="20% - uthevingsfarge 6 30 2 2 10" xfId="47165" xr:uid="{00000000-0005-0000-0000-00002B230000}"/>
    <cellStyle name="20% - uthevingsfarge 6 30 2 2 2" xfId="3996" xr:uid="{00000000-0005-0000-0000-00002C230000}"/>
    <cellStyle name="20% - uthevingsfarge 6 30 2 2 2 2" xfId="5884" xr:uid="{00000000-0005-0000-0000-00002D230000}"/>
    <cellStyle name="20% - uthevingsfarge 6 30 2 2 2 2 2" xfId="9299" xr:uid="{00000000-0005-0000-0000-00002E230000}"/>
    <cellStyle name="20% - uthevingsfarge 6 30 2 2 2 2 2 2" xfId="21934" xr:uid="{00000000-0005-0000-0000-00002F230000}"/>
    <cellStyle name="20% - uthevingsfarge 6 30 2 2 2 2 2 2 2" xfId="38009" xr:uid="{00000000-0005-0000-0000-000030230000}"/>
    <cellStyle name="20% - uthevingsfarge 6 30 2 2 2 2 2 3" xfId="28499" xr:uid="{00000000-0005-0000-0000-000031230000}"/>
    <cellStyle name="20% - uthevingsfarge 6 30 2 2 2 2 3" xfId="20237" xr:uid="{00000000-0005-0000-0000-000032230000}"/>
    <cellStyle name="20% - uthevingsfarge 6 30 2 2 2 2 3 2" xfId="36336" xr:uid="{00000000-0005-0000-0000-000033230000}"/>
    <cellStyle name="20% - uthevingsfarge 6 30 2 2 2 2 4" xfId="34315" xr:uid="{00000000-0005-0000-0000-000034230000}"/>
    <cellStyle name="20% - uthevingsfarge 6 30 2 2 2 3" xfId="7602" xr:uid="{00000000-0005-0000-0000-000035230000}"/>
    <cellStyle name="20% - uthevingsfarge 6 30 2 2 2 3 2" xfId="22205" xr:uid="{00000000-0005-0000-0000-000036230000}"/>
    <cellStyle name="20% - uthevingsfarge 6 30 2 2 2 3 2 2" xfId="38279" xr:uid="{00000000-0005-0000-0000-000037230000}"/>
    <cellStyle name="20% - uthevingsfarge 6 30 2 2 2 3 3" xfId="30196" xr:uid="{00000000-0005-0000-0000-000038230000}"/>
    <cellStyle name="20% - uthevingsfarge 6 30 2 2 2 4" xfId="17997" xr:uid="{00000000-0005-0000-0000-000039230000}"/>
    <cellStyle name="20% - uthevingsfarge 6 30 2 2 2 5" xfId="19959" xr:uid="{00000000-0005-0000-0000-00003A230000}"/>
    <cellStyle name="20% - uthevingsfarge 6 30 2 2 2 5 2" xfId="36063" xr:uid="{00000000-0005-0000-0000-00003B230000}"/>
    <cellStyle name="20% - uthevingsfarge 6 30 2 2 2 6" xfId="33583" xr:uid="{00000000-0005-0000-0000-00003C230000}"/>
    <cellStyle name="20% - uthevingsfarge 6 30 2 2 3" xfId="4936" xr:uid="{00000000-0005-0000-0000-00003D230000}"/>
    <cellStyle name="20% - uthevingsfarge 6 30 2 2 3 10" xfId="47355" xr:uid="{00000000-0005-0000-0000-00003E230000}"/>
    <cellStyle name="20% - uthevingsfarge 6 30 2 2 3 2" xfId="6655" xr:uid="{00000000-0005-0000-0000-00003F230000}"/>
    <cellStyle name="20% - uthevingsfarge 6 30 2 2 3 2 2" xfId="10061" xr:uid="{00000000-0005-0000-0000-000040230000}"/>
    <cellStyle name="20% - uthevingsfarge 6 30 2 2 3 2 2 2" xfId="24616" xr:uid="{00000000-0005-0000-0000-000041230000}"/>
    <cellStyle name="20% - uthevingsfarge 6 30 2 2 3 2 2 2 2" xfId="40660" xr:uid="{00000000-0005-0000-0000-000042230000}"/>
    <cellStyle name="20% - uthevingsfarge 6 30 2 2 3 2 2 3" xfId="27738" xr:uid="{00000000-0005-0000-0000-000043230000}"/>
    <cellStyle name="20% - uthevingsfarge 6 30 2 2 3 2 3" xfId="20533" xr:uid="{00000000-0005-0000-0000-000044230000}"/>
    <cellStyle name="20% - uthevingsfarge 6 30 2 2 3 2 3 2" xfId="36632" xr:uid="{00000000-0005-0000-0000-000045230000}"/>
    <cellStyle name="20% - uthevingsfarge 6 30 2 2 3 2 4" xfId="31139" xr:uid="{00000000-0005-0000-0000-000046230000}"/>
    <cellStyle name="20% - uthevingsfarge 6 30 2 2 3 2 5" xfId="43049" xr:uid="{00000000-0005-0000-0000-000047230000}"/>
    <cellStyle name="20% - uthevingsfarge 6 30 2 2 3 2 6" xfId="43346" xr:uid="{00000000-0005-0000-0000-000048230000}"/>
    <cellStyle name="20% - uthevingsfarge 6 30 2 2 3 2 7" xfId="46194" xr:uid="{00000000-0005-0000-0000-000049230000}"/>
    <cellStyle name="20% - uthevingsfarge 6 30 2 2 3 2 8" xfId="46966" xr:uid="{00000000-0005-0000-0000-00004A230000}"/>
    <cellStyle name="20% - uthevingsfarge 6 30 2 2 3 2 9" xfId="47551" xr:uid="{00000000-0005-0000-0000-00004B230000}"/>
    <cellStyle name="20% - uthevingsfarge 6 30 2 2 3 3" xfId="8358" xr:uid="{00000000-0005-0000-0000-00004C230000}"/>
    <cellStyle name="20% - uthevingsfarge 6 30 2 2 3 3 2" xfId="21072" xr:uid="{00000000-0005-0000-0000-00004D230000}"/>
    <cellStyle name="20% - uthevingsfarge 6 30 2 2 3 3 2 2" xfId="37159" xr:uid="{00000000-0005-0000-0000-00004E230000}"/>
    <cellStyle name="20% - uthevingsfarge 6 30 2 2 3 3 3" xfId="29440" xr:uid="{00000000-0005-0000-0000-00004F230000}"/>
    <cellStyle name="20% - uthevingsfarge 6 30 2 2 3 3 4" xfId="43919" xr:uid="{00000000-0005-0000-0000-000050230000}"/>
    <cellStyle name="20% - uthevingsfarge 6 30 2 2 3 4" xfId="16494" xr:uid="{00000000-0005-0000-0000-000051230000}"/>
    <cellStyle name="20% - uthevingsfarge 6 30 2 2 3 4 2" xfId="35441" xr:uid="{00000000-0005-0000-0000-000052230000}"/>
    <cellStyle name="20% - uthevingsfarge 6 30 2 2 3 5" xfId="25103" xr:uid="{00000000-0005-0000-0000-000053230000}"/>
    <cellStyle name="20% - uthevingsfarge 6 30 2 2 3 6" xfId="25284" xr:uid="{00000000-0005-0000-0000-000054230000}"/>
    <cellStyle name="20% - uthevingsfarge 6 30 2 2 3 7" xfId="32831" xr:uid="{00000000-0005-0000-0000-000055230000}"/>
    <cellStyle name="20% - uthevingsfarge 6 30 2 2 3 8" xfId="43807" xr:uid="{00000000-0005-0000-0000-000056230000}"/>
    <cellStyle name="20% - uthevingsfarge 6 30 2 2 3 9" xfId="46732" xr:uid="{00000000-0005-0000-0000-000057230000}"/>
    <cellStyle name="20% - uthevingsfarge 6 30 2 2 4" xfId="5490" xr:uid="{00000000-0005-0000-0000-000058230000}"/>
    <cellStyle name="20% - uthevingsfarge 6 30 2 2 4 2" xfId="8905" xr:uid="{00000000-0005-0000-0000-000059230000}"/>
    <cellStyle name="20% - uthevingsfarge 6 30 2 2 4 2 2" xfId="22662" xr:uid="{00000000-0005-0000-0000-00005A230000}"/>
    <cellStyle name="20% - uthevingsfarge 6 30 2 2 4 2 2 2" xfId="38731" xr:uid="{00000000-0005-0000-0000-00005B230000}"/>
    <cellStyle name="20% - uthevingsfarge 6 30 2 2 4 2 3" xfId="28893" xr:uid="{00000000-0005-0000-0000-00005C230000}"/>
    <cellStyle name="20% - uthevingsfarge 6 30 2 2 4 3" xfId="22246" xr:uid="{00000000-0005-0000-0000-00005D230000}"/>
    <cellStyle name="20% - uthevingsfarge 6 30 2 2 4 3 2" xfId="38320" xr:uid="{00000000-0005-0000-0000-00005E230000}"/>
    <cellStyle name="20% - uthevingsfarge 6 30 2 2 4 4" xfId="32284" xr:uid="{00000000-0005-0000-0000-00005F230000}"/>
    <cellStyle name="20% - uthevingsfarge 6 30 2 2 5" xfId="7208" xr:uid="{00000000-0005-0000-0000-000060230000}"/>
    <cellStyle name="20% - uthevingsfarge 6 30 2 2 5 2" xfId="22182" xr:uid="{00000000-0005-0000-0000-000061230000}"/>
    <cellStyle name="20% - uthevingsfarge 6 30 2 2 5 2 2" xfId="38256" xr:uid="{00000000-0005-0000-0000-000062230000}"/>
    <cellStyle name="20% - uthevingsfarge 6 30 2 2 5 3" xfId="30590" xr:uid="{00000000-0005-0000-0000-000063230000}"/>
    <cellStyle name="20% - uthevingsfarge 6 30 2 2 6" xfId="11026" xr:uid="{00000000-0005-0000-0000-000064230000}"/>
    <cellStyle name="20% - uthevingsfarge 6 30 2 2 7" xfId="33977" xr:uid="{00000000-0005-0000-0000-000065230000}"/>
    <cellStyle name="20% - uthevingsfarge 6 30 2 2 8" xfId="43598" xr:uid="{00000000-0005-0000-0000-000066230000}"/>
    <cellStyle name="20% - uthevingsfarge 6 30 2 2 9" xfId="46504" xr:uid="{00000000-0005-0000-0000-000067230000}"/>
    <cellStyle name="20% - uthevingsfarge 6 30 2 2_Avviksanalyse løpende RNB15 (1)" xfId="16609" xr:uid="{00000000-0005-0000-0000-000068230000}"/>
    <cellStyle name="20% - uthevingsfarge 6 30 2 3" xfId="3816" xr:uid="{00000000-0005-0000-0000-000069230000}"/>
    <cellStyle name="20% - uthevingsfarge 6 30 2 3 2" xfId="5704" xr:uid="{00000000-0005-0000-0000-00006A230000}"/>
    <cellStyle name="20% - uthevingsfarge 6 30 2 3 2 2" xfId="9119" xr:uid="{00000000-0005-0000-0000-00006B230000}"/>
    <cellStyle name="20% - uthevingsfarge 6 30 2 3 2 2 2" xfId="23457" xr:uid="{00000000-0005-0000-0000-00006C230000}"/>
    <cellStyle name="20% - uthevingsfarge 6 30 2 3 2 2 2 2" xfId="39513" xr:uid="{00000000-0005-0000-0000-00006D230000}"/>
    <cellStyle name="20% - uthevingsfarge 6 30 2 3 2 2 3" xfId="28679" xr:uid="{00000000-0005-0000-0000-00006E230000}"/>
    <cellStyle name="20% - uthevingsfarge 6 30 2 3 2 3" xfId="20176" xr:uid="{00000000-0005-0000-0000-00006F230000}"/>
    <cellStyle name="20% - uthevingsfarge 6 30 2 3 2 3 2" xfId="36276" xr:uid="{00000000-0005-0000-0000-000070230000}"/>
    <cellStyle name="20% - uthevingsfarge 6 30 2 3 2 4" xfId="32070" xr:uid="{00000000-0005-0000-0000-000071230000}"/>
    <cellStyle name="20% - uthevingsfarge 6 30 2 3 3" xfId="7422" xr:uid="{00000000-0005-0000-0000-000072230000}"/>
    <cellStyle name="20% - uthevingsfarge 6 30 2 3 3 2" xfId="23203" xr:uid="{00000000-0005-0000-0000-000073230000}"/>
    <cellStyle name="20% - uthevingsfarge 6 30 2 3 3 2 2" xfId="39272" xr:uid="{00000000-0005-0000-0000-000074230000}"/>
    <cellStyle name="20% - uthevingsfarge 6 30 2 3 3 3" xfId="30376" xr:uid="{00000000-0005-0000-0000-000075230000}"/>
    <cellStyle name="20% - uthevingsfarge 6 30 2 3 4" xfId="23774" xr:uid="{00000000-0005-0000-0000-000076230000}"/>
    <cellStyle name="20% - uthevingsfarge 6 30 2 3 4 2" xfId="39830" xr:uid="{00000000-0005-0000-0000-000077230000}"/>
    <cellStyle name="20% - uthevingsfarge 6 30 2 3 5" xfId="33763" xr:uid="{00000000-0005-0000-0000-000078230000}"/>
    <cellStyle name="20% - uthevingsfarge 6 30 2 4" xfId="4301" xr:uid="{00000000-0005-0000-0000-000079230000}"/>
    <cellStyle name="20% - uthevingsfarge 6 30 2 4 2" xfId="6130" xr:uid="{00000000-0005-0000-0000-00007A230000}"/>
    <cellStyle name="20% - uthevingsfarge 6 30 2 4 2 2" xfId="9544" xr:uid="{00000000-0005-0000-0000-00007B230000}"/>
    <cellStyle name="20% - uthevingsfarge 6 30 2 4 2 2 2" xfId="23524" xr:uid="{00000000-0005-0000-0000-00007C230000}"/>
    <cellStyle name="20% - uthevingsfarge 6 30 2 4 2 2 2 2" xfId="39580" xr:uid="{00000000-0005-0000-0000-00007D230000}"/>
    <cellStyle name="20% - uthevingsfarge 6 30 2 4 2 2 3" xfId="28254" xr:uid="{00000000-0005-0000-0000-00007E230000}"/>
    <cellStyle name="20% - uthevingsfarge 6 30 2 4 2 3" xfId="22980" xr:uid="{00000000-0005-0000-0000-00007F230000}"/>
    <cellStyle name="20% - uthevingsfarge 6 30 2 4 2 3 2" xfId="39049" xr:uid="{00000000-0005-0000-0000-000080230000}"/>
    <cellStyle name="20% - uthevingsfarge 6 30 2 4 2 4" xfId="31649" xr:uid="{00000000-0005-0000-0000-000081230000}"/>
    <cellStyle name="20% - uthevingsfarge 6 30 2 4 3" xfId="7863" xr:uid="{00000000-0005-0000-0000-000082230000}"/>
    <cellStyle name="20% - uthevingsfarge 6 30 2 4 3 2" xfId="22490" xr:uid="{00000000-0005-0000-0000-000083230000}"/>
    <cellStyle name="20% - uthevingsfarge 6 30 2 4 3 2 2" xfId="38562" xr:uid="{00000000-0005-0000-0000-000084230000}"/>
    <cellStyle name="20% - uthevingsfarge 6 30 2 4 3 3" xfId="29936" xr:uid="{00000000-0005-0000-0000-000085230000}"/>
    <cellStyle name="20% - uthevingsfarge 6 30 2 4 4" xfId="22813" xr:uid="{00000000-0005-0000-0000-000086230000}"/>
    <cellStyle name="20% - uthevingsfarge 6 30 2 4 4 2" xfId="38882" xr:uid="{00000000-0005-0000-0000-000087230000}"/>
    <cellStyle name="20% - uthevingsfarge 6 30 2 4 5" xfId="33324" xr:uid="{00000000-0005-0000-0000-000088230000}"/>
    <cellStyle name="20% - uthevingsfarge 6 30 2 5" xfId="4756" xr:uid="{00000000-0005-0000-0000-000089230000}"/>
    <cellStyle name="20% - uthevingsfarge 6 30 2 5 2" xfId="6476" xr:uid="{00000000-0005-0000-0000-00008A230000}"/>
    <cellStyle name="20% - uthevingsfarge 6 30 2 5 2 2" xfId="9882" xr:uid="{00000000-0005-0000-0000-00008B230000}"/>
    <cellStyle name="20% - uthevingsfarge 6 30 2 5 2 2 2" xfId="21520" xr:uid="{00000000-0005-0000-0000-00008C230000}"/>
    <cellStyle name="20% - uthevingsfarge 6 30 2 5 2 2 2 2" xfId="37600" xr:uid="{00000000-0005-0000-0000-00008D230000}"/>
    <cellStyle name="20% - uthevingsfarge 6 30 2 5 2 2 3" xfId="27917" xr:uid="{00000000-0005-0000-0000-00008E230000}"/>
    <cellStyle name="20% - uthevingsfarge 6 30 2 5 2 3" xfId="24049" xr:uid="{00000000-0005-0000-0000-00008F230000}"/>
    <cellStyle name="20% - uthevingsfarge 6 30 2 5 2 3 2" xfId="40102" xr:uid="{00000000-0005-0000-0000-000090230000}"/>
    <cellStyle name="20% - uthevingsfarge 6 30 2 5 2 4" xfId="31318" xr:uid="{00000000-0005-0000-0000-000091230000}"/>
    <cellStyle name="20% - uthevingsfarge 6 30 2 5 3" xfId="8178" xr:uid="{00000000-0005-0000-0000-000092230000}"/>
    <cellStyle name="20% - uthevingsfarge 6 30 2 5 3 2" xfId="22511" xr:uid="{00000000-0005-0000-0000-000093230000}"/>
    <cellStyle name="20% - uthevingsfarge 6 30 2 5 3 2 2" xfId="38581" xr:uid="{00000000-0005-0000-0000-000094230000}"/>
    <cellStyle name="20% - uthevingsfarge 6 30 2 5 3 3" xfId="29619" xr:uid="{00000000-0005-0000-0000-000095230000}"/>
    <cellStyle name="20% - uthevingsfarge 6 30 2 5 4" xfId="12271" xr:uid="{00000000-0005-0000-0000-000096230000}"/>
    <cellStyle name="20% - uthevingsfarge 6 30 2 5 4 2" xfId="35147" xr:uid="{00000000-0005-0000-0000-000097230000}"/>
    <cellStyle name="20% - uthevingsfarge 6 30 2 5 5" xfId="33011" xr:uid="{00000000-0005-0000-0000-000098230000}"/>
    <cellStyle name="20% - uthevingsfarge 6 30 2 6" xfId="5116" xr:uid="{00000000-0005-0000-0000-000099230000}"/>
    <cellStyle name="20% - uthevingsfarge 6 30 2 6 2" xfId="6835" xr:uid="{00000000-0005-0000-0000-00009A230000}"/>
    <cellStyle name="20% - uthevingsfarge 6 30 2 6 2 2" xfId="10241" xr:uid="{00000000-0005-0000-0000-00009B230000}"/>
    <cellStyle name="20% - uthevingsfarge 6 30 2 6 2 2 2" xfId="24684" xr:uid="{00000000-0005-0000-0000-00009C230000}"/>
    <cellStyle name="20% - uthevingsfarge 6 30 2 6 2 2 2 2" xfId="40727" xr:uid="{00000000-0005-0000-0000-00009D230000}"/>
    <cellStyle name="20% - uthevingsfarge 6 30 2 6 2 2 3" xfId="27558" xr:uid="{00000000-0005-0000-0000-00009E230000}"/>
    <cellStyle name="20% - uthevingsfarge 6 30 2 6 2 3" xfId="23670" xr:uid="{00000000-0005-0000-0000-00009F230000}"/>
    <cellStyle name="20% - uthevingsfarge 6 30 2 6 2 3 2" xfId="39726" xr:uid="{00000000-0005-0000-0000-0000A0230000}"/>
    <cellStyle name="20% - uthevingsfarge 6 30 2 6 2 4" xfId="30959" xr:uid="{00000000-0005-0000-0000-0000A1230000}"/>
    <cellStyle name="20% - uthevingsfarge 6 30 2 6 3" xfId="8538" xr:uid="{00000000-0005-0000-0000-0000A2230000}"/>
    <cellStyle name="20% - uthevingsfarge 6 30 2 6 3 2" xfId="23727" xr:uid="{00000000-0005-0000-0000-0000A3230000}"/>
    <cellStyle name="20% - uthevingsfarge 6 30 2 6 3 2 2" xfId="39783" xr:uid="{00000000-0005-0000-0000-0000A4230000}"/>
    <cellStyle name="20% - uthevingsfarge 6 30 2 6 3 3" xfId="29260" xr:uid="{00000000-0005-0000-0000-0000A5230000}"/>
    <cellStyle name="20% - uthevingsfarge 6 30 2 6 4" xfId="19754" xr:uid="{00000000-0005-0000-0000-0000A6230000}"/>
    <cellStyle name="20% - uthevingsfarge 6 30 2 6 4 2" xfId="35868" xr:uid="{00000000-0005-0000-0000-0000A7230000}"/>
    <cellStyle name="20% - uthevingsfarge 6 30 2 6 5" xfId="32651" xr:uid="{00000000-0005-0000-0000-0000A8230000}"/>
    <cellStyle name="20% - uthevingsfarge 6 30 2 7" xfId="5295" xr:uid="{00000000-0005-0000-0000-0000A9230000}"/>
    <cellStyle name="20% - uthevingsfarge 6 30 2 7 2" xfId="8710" xr:uid="{00000000-0005-0000-0000-0000AA230000}"/>
    <cellStyle name="20% - uthevingsfarge 6 30 2 7 2 2" xfId="23398" xr:uid="{00000000-0005-0000-0000-0000AB230000}"/>
    <cellStyle name="20% - uthevingsfarge 6 30 2 7 2 2 2" xfId="39454" xr:uid="{00000000-0005-0000-0000-0000AC230000}"/>
    <cellStyle name="20% - uthevingsfarge 6 30 2 7 2 3" xfId="29088" xr:uid="{00000000-0005-0000-0000-0000AD230000}"/>
    <cellStyle name="20% - uthevingsfarge 6 30 2 7 3" xfId="12087" xr:uid="{00000000-0005-0000-0000-0000AE230000}"/>
    <cellStyle name="20% - uthevingsfarge 6 30 2 7 3 2" xfId="35064" xr:uid="{00000000-0005-0000-0000-0000AF230000}"/>
    <cellStyle name="20% - uthevingsfarge 6 30 2 7 4" xfId="32479" xr:uid="{00000000-0005-0000-0000-0000B0230000}"/>
    <cellStyle name="20% - uthevingsfarge 6 30 2 8" xfId="7028" xr:uid="{00000000-0005-0000-0000-0000B1230000}"/>
    <cellStyle name="20% - uthevingsfarge 6 30 2 8 2" xfId="20639" xr:uid="{00000000-0005-0000-0000-0000B2230000}"/>
    <cellStyle name="20% - uthevingsfarge 6 30 2 8 2 2" xfId="36738" xr:uid="{00000000-0005-0000-0000-0000B3230000}"/>
    <cellStyle name="20% - uthevingsfarge 6 30 2 8 3" xfId="30770" xr:uid="{00000000-0005-0000-0000-0000B4230000}"/>
    <cellStyle name="20% - uthevingsfarge 6 30 2 9" xfId="11025" xr:uid="{00000000-0005-0000-0000-0000B5230000}"/>
    <cellStyle name="20% - uthevingsfarge 6 30 3" xfId="3481" xr:uid="{00000000-0005-0000-0000-0000B6230000}"/>
    <cellStyle name="20% - uthevingsfarge 6 30 3 10" xfId="47097" xr:uid="{00000000-0005-0000-0000-0000B7230000}"/>
    <cellStyle name="20% - uthevingsfarge 6 30 3 2" xfId="3917" xr:uid="{00000000-0005-0000-0000-0000B8230000}"/>
    <cellStyle name="20% - uthevingsfarge 6 30 3 2 2" xfId="5805" xr:uid="{00000000-0005-0000-0000-0000B9230000}"/>
    <cellStyle name="20% - uthevingsfarge 6 30 3 2 2 2" xfId="9220" xr:uid="{00000000-0005-0000-0000-0000BA230000}"/>
    <cellStyle name="20% - uthevingsfarge 6 30 3 2 2 2 2" xfId="21319" xr:uid="{00000000-0005-0000-0000-0000BB230000}"/>
    <cellStyle name="20% - uthevingsfarge 6 30 3 2 2 2 2 2" xfId="37399" xr:uid="{00000000-0005-0000-0000-0000BC230000}"/>
    <cellStyle name="20% - uthevingsfarge 6 30 3 2 2 2 3" xfId="28578" xr:uid="{00000000-0005-0000-0000-0000BD230000}"/>
    <cellStyle name="20% - uthevingsfarge 6 30 3 2 2 3" xfId="22282" xr:uid="{00000000-0005-0000-0000-0000BE230000}"/>
    <cellStyle name="20% - uthevingsfarge 6 30 3 2 2 3 2" xfId="38354" xr:uid="{00000000-0005-0000-0000-0000BF230000}"/>
    <cellStyle name="20% - uthevingsfarge 6 30 3 2 2 4" xfId="31969" xr:uid="{00000000-0005-0000-0000-0000C0230000}"/>
    <cellStyle name="20% - uthevingsfarge 6 30 3 2 3" xfId="7523" xr:uid="{00000000-0005-0000-0000-0000C1230000}"/>
    <cellStyle name="20% - uthevingsfarge 6 30 3 2 3 2" xfId="22203" xr:uid="{00000000-0005-0000-0000-0000C2230000}"/>
    <cellStyle name="20% - uthevingsfarge 6 30 3 2 3 2 2" xfId="38277" xr:uid="{00000000-0005-0000-0000-0000C3230000}"/>
    <cellStyle name="20% - uthevingsfarge 6 30 3 2 3 3" xfId="30275" xr:uid="{00000000-0005-0000-0000-0000C4230000}"/>
    <cellStyle name="20% - uthevingsfarge 6 30 3 2 4" xfId="17998" xr:uid="{00000000-0005-0000-0000-0000C5230000}"/>
    <cellStyle name="20% - uthevingsfarge 6 30 3 2 5" xfId="11053" xr:uid="{00000000-0005-0000-0000-0000C6230000}"/>
    <cellStyle name="20% - uthevingsfarge 6 30 3 2 5 2" xfId="34761" xr:uid="{00000000-0005-0000-0000-0000C7230000}"/>
    <cellStyle name="20% - uthevingsfarge 6 30 3 2 6" xfId="33662" xr:uid="{00000000-0005-0000-0000-0000C8230000}"/>
    <cellStyle name="20% - uthevingsfarge 6 30 3 3" xfId="4857" xr:uid="{00000000-0005-0000-0000-0000C9230000}"/>
    <cellStyle name="20% - uthevingsfarge 6 30 3 3 10" xfId="47287" xr:uid="{00000000-0005-0000-0000-0000CA230000}"/>
    <cellStyle name="20% - uthevingsfarge 6 30 3 3 2" xfId="6576" xr:uid="{00000000-0005-0000-0000-0000CB230000}"/>
    <cellStyle name="20% - uthevingsfarge 6 30 3 3 2 2" xfId="9982" xr:uid="{00000000-0005-0000-0000-0000CC230000}"/>
    <cellStyle name="20% - uthevingsfarge 6 30 3 3 2 2 2" xfId="23595" xr:uid="{00000000-0005-0000-0000-0000CD230000}"/>
    <cellStyle name="20% - uthevingsfarge 6 30 3 3 2 2 2 2" xfId="39651" xr:uid="{00000000-0005-0000-0000-0000CE230000}"/>
    <cellStyle name="20% - uthevingsfarge 6 30 3 3 2 2 3" xfId="27817" xr:uid="{00000000-0005-0000-0000-0000CF230000}"/>
    <cellStyle name="20% - uthevingsfarge 6 30 3 3 2 3" xfId="20503" xr:uid="{00000000-0005-0000-0000-0000D0230000}"/>
    <cellStyle name="20% - uthevingsfarge 6 30 3 3 2 3 2" xfId="36602" xr:uid="{00000000-0005-0000-0000-0000D1230000}"/>
    <cellStyle name="20% - uthevingsfarge 6 30 3 3 2 4" xfId="31218" xr:uid="{00000000-0005-0000-0000-0000D2230000}"/>
    <cellStyle name="20% - uthevingsfarge 6 30 3 3 2 5" xfId="42842" xr:uid="{00000000-0005-0000-0000-0000D3230000}"/>
    <cellStyle name="20% - uthevingsfarge 6 30 3 3 2 6" xfId="43280" xr:uid="{00000000-0005-0000-0000-0000D4230000}"/>
    <cellStyle name="20% - uthevingsfarge 6 30 3 3 2 7" xfId="46128" xr:uid="{00000000-0005-0000-0000-0000D5230000}"/>
    <cellStyle name="20% - uthevingsfarge 6 30 3 3 2 8" xfId="46897" xr:uid="{00000000-0005-0000-0000-0000D6230000}"/>
    <cellStyle name="20% - uthevingsfarge 6 30 3 3 2 9" xfId="47483" xr:uid="{00000000-0005-0000-0000-0000D7230000}"/>
    <cellStyle name="20% - uthevingsfarge 6 30 3 3 3" xfId="8279" xr:uid="{00000000-0005-0000-0000-0000D8230000}"/>
    <cellStyle name="20% - uthevingsfarge 6 30 3 3 3 2" xfId="11875" xr:uid="{00000000-0005-0000-0000-0000D9230000}"/>
    <cellStyle name="20% - uthevingsfarge 6 30 3 3 3 2 2" xfId="34912" xr:uid="{00000000-0005-0000-0000-0000DA230000}"/>
    <cellStyle name="20% - uthevingsfarge 6 30 3 3 3 3" xfId="29518" xr:uid="{00000000-0005-0000-0000-0000DB230000}"/>
    <cellStyle name="20% - uthevingsfarge 6 30 3 3 3 4" xfId="43920" xr:uid="{00000000-0005-0000-0000-0000DC230000}"/>
    <cellStyle name="20% - uthevingsfarge 6 30 3 3 4" xfId="16287" xr:uid="{00000000-0005-0000-0000-0000DD230000}"/>
    <cellStyle name="20% - uthevingsfarge 6 30 3 3 4 2" xfId="35375" xr:uid="{00000000-0005-0000-0000-0000DE230000}"/>
    <cellStyle name="20% - uthevingsfarge 6 30 3 3 5" xfId="25034" xr:uid="{00000000-0005-0000-0000-0000DF230000}"/>
    <cellStyle name="20% - uthevingsfarge 6 30 3 3 6" xfId="25285" xr:uid="{00000000-0005-0000-0000-0000E0230000}"/>
    <cellStyle name="20% - uthevingsfarge 6 30 3 3 7" xfId="32910" xr:uid="{00000000-0005-0000-0000-0000E1230000}"/>
    <cellStyle name="20% - uthevingsfarge 6 30 3 3 8" xfId="43740" xr:uid="{00000000-0005-0000-0000-0000E2230000}"/>
    <cellStyle name="20% - uthevingsfarge 6 30 3 3 9" xfId="46666" xr:uid="{00000000-0005-0000-0000-0000E3230000}"/>
    <cellStyle name="20% - uthevingsfarge 6 30 3 4" xfId="5416" xr:uid="{00000000-0005-0000-0000-0000E4230000}"/>
    <cellStyle name="20% - uthevingsfarge 6 30 3 4 2" xfId="8831" xr:uid="{00000000-0005-0000-0000-0000E5230000}"/>
    <cellStyle name="20% - uthevingsfarge 6 30 3 4 2 2" xfId="24418" xr:uid="{00000000-0005-0000-0000-0000E6230000}"/>
    <cellStyle name="20% - uthevingsfarge 6 30 3 4 2 2 2" xfId="40462" xr:uid="{00000000-0005-0000-0000-0000E7230000}"/>
    <cellStyle name="20% - uthevingsfarge 6 30 3 4 2 3" xfId="28967" xr:uid="{00000000-0005-0000-0000-0000E8230000}"/>
    <cellStyle name="20% - uthevingsfarge 6 30 3 4 3" xfId="12027" xr:uid="{00000000-0005-0000-0000-0000E9230000}"/>
    <cellStyle name="20% - uthevingsfarge 6 30 3 4 3 2" xfId="35034" xr:uid="{00000000-0005-0000-0000-0000EA230000}"/>
    <cellStyle name="20% - uthevingsfarge 6 30 3 4 4" xfId="32358" xr:uid="{00000000-0005-0000-0000-0000EB230000}"/>
    <cellStyle name="20% - uthevingsfarge 6 30 3 5" xfId="7129" xr:uid="{00000000-0005-0000-0000-0000EC230000}"/>
    <cellStyle name="20% - uthevingsfarge 6 30 3 5 2" xfId="24155" xr:uid="{00000000-0005-0000-0000-0000ED230000}"/>
    <cellStyle name="20% - uthevingsfarge 6 30 3 5 2 2" xfId="40208" xr:uid="{00000000-0005-0000-0000-0000EE230000}"/>
    <cellStyle name="20% - uthevingsfarge 6 30 3 5 3" xfId="30669" xr:uid="{00000000-0005-0000-0000-0000EF230000}"/>
    <cellStyle name="20% - uthevingsfarge 6 30 3 6" xfId="11027" xr:uid="{00000000-0005-0000-0000-0000F0230000}"/>
    <cellStyle name="20% - uthevingsfarge 6 30 3 7" xfId="34056" xr:uid="{00000000-0005-0000-0000-0000F1230000}"/>
    <cellStyle name="20% - uthevingsfarge 6 30 3 8" xfId="43532" xr:uid="{00000000-0005-0000-0000-0000F2230000}"/>
    <cellStyle name="20% - uthevingsfarge 6 30 3 9" xfId="46436" xr:uid="{00000000-0005-0000-0000-0000F3230000}"/>
    <cellStyle name="20% - uthevingsfarge 6 30 3_Avviksanalyse løpende RNB15 (1)" xfId="16610" xr:uid="{00000000-0005-0000-0000-0000F4230000}"/>
    <cellStyle name="20% - uthevingsfarge 6 30 4" xfId="3738" xr:uid="{00000000-0005-0000-0000-0000F5230000}"/>
    <cellStyle name="20% - uthevingsfarge 6 30 4 2" xfId="5626" xr:uid="{00000000-0005-0000-0000-0000F6230000}"/>
    <cellStyle name="20% - uthevingsfarge 6 30 4 2 2" xfId="9041" xr:uid="{00000000-0005-0000-0000-0000F7230000}"/>
    <cellStyle name="20% - uthevingsfarge 6 30 4 2 2 2" xfId="22653" xr:uid="{00000000-0005-0000-0000-0000F8230000}"/>
    <cellStyle name="20% - uthevingsfarge 6 30 4 2 2 2 2" xfId="38722" xr:uid="{00000000-0005-0000-0000-0000F9230000}"/>
    <cellStyle name="20% - uthevingsfarge 6 30 4 2 2 3" xfId="28757" xr:uid="{00000000-0005-0000-0000-0000FA230000}"/>
    <cellStyle name="20% - uthevingsfarge 6 30 4 2 3" xfId="20144" xr:uid="{00000000-0005-0000-0000-0000FB230000}"/>
    <cellStyle name="20% - uthevingsfarge 6 30 4 2 3 2" xfId="36246" xr:uid="{00000000-0005-0000-0000-0000FC230000}"/>
    <cellStyle name="20% - uthevingsfarge 6 30 4 2 4" xfId="32148" xr:uid="{00000000-0005-0000-0000-0000FD230000}"/>
    <cellStyle name="20% - uthevingsfarge 6 30 4 3" xfId="7344" xr:uid="{00000000-0005-0000-0000-0000FE230000}"/>
    <cellStyle name="20% - uthevingsfarge 6 30 4 3 2" xfId="24190" xr:uid="{00000000-0005-0000-0000-0000FF230000}"/>
    <cellStyle name="20% - uthevingsfarge 6 30 4 3 2 2" xfId="40243" xr:uid="{00000000-0005-0000-0000-000000240000}"/>
    <cellStyle name="20% - uthevingsfarge 6 30 4 3 3" xfId="30454" xr:uid="{00000000-0005-0000-0000-000001240000}"/>
    <cellStyle name="20% - uthevingsfarge 6 30 4 4" xfId="22752" xr:uid="{00000000-0005-0000-0000-000002240000}"/>
    <cellStyle name="20% - uthevingsfarge 6 30 4 4 2" xfId="38821" xr:uid="{00000000-0005-0000-0000-000003240000}"/>
    <cellStyle name="20% - uthevingsfarge 6 30 4 5" xfId="33841" xr:uid="{00000000-0005-0000-0000-000004240000}"/>
    <cellStyle name="20% - uthevingsfarge 6 30 5" xfId="4244" xr:uid="{00000000-0005-0000-0000-000005240000}"/>
    <cellStyle name="20% - uthevingsfarge 6 30 5 2" xfId="6076" xr:uid="{00000000-0005-0000-0000-000006240000}"/>
    <cellStyle name="20% - uthevingsfarge 6 30 5 2 2" xfId="9491" xr:uid="{00000000-0005-0000-0000-000007240000}"/>
    <cellStyle name="20% - uthevingsfarge 6 30 5 2 2 2" xfId="23517" xr:uid="{00000000-0005-0000-0000-000008240000}"/>
    <cellStyle name="20% - uthevingsfarge 6 30 5 2 2 2 2" xfId="39573" xr:uid="{00000000-0005-0000-0000-000009240000}"/>
    <cellStyle name="20% - uthevingsfarge 6 30 5 2 2 3" xfId="28307" xr:uid="{00000000-0005-0000-0000-00000A240000}"/>
    <cellStyle name="20% - uthevingsfarge 6 30 5 2 3" xfId="22970" xr:uid="{00000000-0005-0000-0000-00000B240000}"/>
    <cellStyle name="20% - uthevingsfarge 6 30 5 2 3 2" xfId="39039" xr:uid="{00000000-0005-0000-0000-00000C240000}"/>
    <cellStyle name="20% - uthevingsfarge 6 30 5 2 4" xfId="31702" xr:uid="{00000000-0005-0000-0000-00000D240000}"/>
    <cellStyle name="20% - uthevingsfarge 6 30 5 3" xfId="7810" xr:uid="{00000000-0005-0000-0000-00000E240000}"/>
    <cellStyle name="20% - uthevingsfarge 6 30 5 3 2" xfId="23273" xr:uid="{00000000-0005-0000-0000-00000F240000}"/>
    <cellStyle name="20% - uthevingsfarge 6 30 5 3 2 2" xfId="39341" xr:uid="{00000000-0005-0000-0000-000010240000}"/>
    <cellStyle name="20% - uthevingsfarge 6 30 5 3 3" xfId="29989" xr:uid="{00000000-0005-0000-0000-000011240000}"/>
    <cellStyle name="20% - uthevingsfarge 6 30 5 4" xfId="10987" xr:uid="{00000000-0005-0000-0000-000012240000}"/>
    <cellStyle name="20% - uthevingsfarge 6 30 5 4 2" xfId="34721" xr:uid="{00000000-0005-0000-0000-000013240000}"/>
    <cellStyle name="20% - uthevingsfarge 6 30 5 5" xfId="33377" xr:uid="{00000000-0005-0000-0000-000014240000}"/>
    <cellStyle name="20% - uthevingsfarge 6 30 6" xfId="4673" xr:uid="{00000000-0005-0000-0000-000015240000}"/>
    <cellStyle name="20% - uthevingsfarge 6 30 6 2" xfId="6393" xr:uid="{00000000-0005-0000-0000-000016240000}"/>
    <cellStyle name="20% - uthevingsfarge 6 30 6 2 2" xfId="9803" xr:uid="{00000000-0005-0000-0000-000017240000}"/>
    <cellStyle name="20% - uthevingsfarge 6 30 6 2 2 2" xfId="21490" xr:uid="{00000000-0005-0000-0000-000018240000}"/>
    <cellStyle name="20% - uthevingsfarge 6 30 6 2 2 2 2" xfId="37570" xr:uid="{00000000-0005-0000-0000-000019240000}"/>
    <cellStyle name="20% - uthevingsfarge 6 30 6 2 2 3" xfId="27996" xr:uid="{00000000-0005-0000-0000-00001A240000}"/>
    <cellStyle name="20% - uthevingsfarge 6 30 6 2 3" xfId="24033" xr:uid="{00000000-0005-0000-0000-00001B240000}"/>
    <cellStyle name="20% - uthevingsfarge 6 30 6 2 3 2" xfId="40086" xr:uid="{00000000-0005-0000-0000-00001C240000}"/>
    <cellStyle name="20% - uthevingsfarge 6 30 6 2 4" xfId="31397" xr:uid="{00000000-0005-0000-0000-00001D240000}"/>
    <cellStyle name="20% - uthevingsfarge 6 30 6 3" xfId="8099" xr:uid="{00000000-0005-0000-0000-00001E240000}"/>
    <cellStyle name="20% - uthevingsfarge 6 30 6 3 2" xfId="11894" xr:uid="{00000000-0005-0000-0000-00001F240000}"/>
    <cellStyle name="20% - uthevingsfarge 6 30 6 3 2 2" xfId="34930" xr:uid="{00000000-0005-0000-0000-000020240000}"/>
    <cellStyle name="20% - uthevingsfarge 6 30 6 3 3" xfId="29699" xr:uid="{00000000-0005-0000-0000-000021240000}"/>
    <cellStyle name="20% - uthevingsfarge 6 30 6 4" xfId="20032" xr:uid="{00000000-0005-0000-0000-000022240000}"/>
    <cellStyle name="20% - uthevingsfarge 6 30 6 4 2" xfId="36136" xr:uid="{00000000-0005-0000-0000-000023240000}"/>
    <cellStyle name="20% - uthevingsfarge 6 30 6 5" xfId="33090" xr:uid="{00000000-0005-0000-0000-000024240000}"/>
    <cellStyle name="20% - uthevingsfarge 6 30 7" xfId="5037" xr:uid="{00000000-0005-0000-0000-000025240000}"/>
    <cellStyle name="20% - uthevingsfarge 6 30 7 2" xfId="6756" xr:uid="{00000000-0005-0000-0000-000026240000}"/>
    <cellStyle name="20% - uthevingsfarge 6 30 7 2 2" xfId="10162" xr:uid="{00000000-0005-0000-0000-000027240000}"/>
    <cellStyle name="20% - uthevingsfarge 6 30 7 2 2 2" xfId="23631" xr:uid="{00000000-0005-0000-0000-000028240000}"/>
    <cellStyle name="20% - uthevingsfarge 6 30 7 2 2 2 2" xfId="39687" xr:uid="{00000000-0005-0000-0000-000029240000}"/>
    <cellStyle name="20% - uthevingsfarge 6 30 7 2 2 3" xfId="27637" xr:uid="{00000000-0005-0000-0000-00002A240000}"/>
    <cellStyle name="20% - uthevingsfarge 6 30 7 2 3" xfId="24093" xr:uid="{00000000-0005-0000-0000-00002B240000}"/>
    <cellStyle name="20% - uthevingsfarge 6 30 7 2 3 2" xfId="40146" xr:uid="{00000000-0005-0000-0000-00002C240000}"/>
    <cellStyle name="20% - uthevingsfarge 6 30 7 2 4" xfId="31038" xr:uid="{00000000-0005-0000-0000-00002D240000}"/>
    <cellStyle name="20% - uthevingsfarge 6 30 7 3" xfId="8459" xr:uid="{00000000-0005-0000-0000-00002E240000}"/>
    <cellStyle name="20% - uthevingsfarge 6 30 7 3 2" xfId="21099" xr:uid="{00000000-0005-0000-0000-00002F240000}"/>
    <cellStyle name="20% - uthevingsfarge 6 30 7 3 2 2" xfId="37183" xr:uid="{00000000-0005-0000-0000-000030240000}"/>
    <cellStyle name="20% - uthevingsfarge 6 30 7 3 3" xfId="29339" xr:uid="{00000000-0005-0000-0000-000031240000}"/>
    <cellStyle name="20% - uthevingsfarge 6 30 7 4" xfId="12200" xr:uid="{00000000-0005-0000-0000-000032240000}"/>
    <cellStyle name="20% - uthevingsfarge 6 30 7 4 2" xfId="35123" xr:uid="{00000000-0005-0000-0000-000033240000}"/>
    <cellStyle name="20% - uthevingsfarge 6 30 7 5" xfId="32730" xr:uid="{00000000-0005-0000-0000-000034240000}"/>
    <cellStyle name="20% - uthevingsfarge 6 30 8" xfId="5244" xr:uid="{00000000-0005-0000-0000-000035240000}"/>
    <cellStyle name="20% - uthevingsfarge 6 30 8 2" xfId="8659" xr:uid="{00000000-0005-0000-0000-000036240000}"/>
    <cellStyle name="20% - uthevingsfarge 6 30 8 2 2" xfId="24396" xr:uid="{00000000-0005-0000-0000-000037240000}"/>
    <cellStyle name="20% - uthevingsfarge 6 30 8 2 2 2" xfId="40440" xr:uid="{00000000-0005-0000-0000-000038240000}"/>
    <cellStyle name="20% - uthevingsfarge 6 30 8 2 3" xfId="29139" xr:uid="{00000000-0005-0000-0000-000039240000}"/>
    <cellStyle name="20% - uthevingsfarge 6 30 8 3" xfId="19783" xr:uid="{00000000-0005-0000-0000-00003A240000}"/>
    <cellStyle name="20% - uthevingsfarge 6 30 8 3 2" xfId="35897" xr:uid="{00000000-0005-0000-0000-00003B240000}"/>
    <cellStyle name="20% - uthevingsfarge 6 30 8 4" xfId="32530" xr:uid="{00000000-0005-0000-0000-00003C240000}"/>
    <cellStyle name="20% - uthevingsfarge 6 30 9" xfId="6925" xr:uid="{00000000-0005-0000-0000-00003D240000}"/>
    <cellStyle name="20% - uthevingsfarge 6 30 9 2" xfId="19437" xr:uid="{00000000-0005-0000-0000-00003E240000}"/>
    <cellStyle name="20% - uthevingsfarge 6 30 9 2 2" xfId="35551" xr:uid="{00000000-0005-0000-0000-00003F240000}"/>
    <cellStyle name="20% - uthevingsfarge 6 30 9 3" xfId="30873" xr:uid="{00000000-0005-0000-0000-000040240000}"/>
    <cellStyle name="20% - uthevingsfarge 6 31" xfId="3453" xr:uid="{00000000-0005-0000-0000-000041240000}"/>
    <cellStyle name="20% - uthevingsfarge 6 31 2" xfId="3642" xr:uid="{00000000-0005-0000-0000-000042240000}"/>
    <cellStyle name="20% - uthevingsfarge 6 31 2 2" xfId="4070" xr:uid="{00000000-0005-0000-0000-000043240000}"/>
    <cellStyle name="20% - uthevingsfarge 6 31 2 2 2" xfId="5958" xr:uid="{00000000-0005-0000-0000-000044240000}"/>
    <cellStyle name="20% - uthevingsfarge 6 31 2 2 2 2" xfId="9373" xr:uid="{00000000-0005-0000-0000-000045240000}"/>
    <cellStyle name="20% - uthevingsfarge 6 31 2 2 2 2 2" xfId="21366" xr:uid="{00000000-0005-0000-0000-000046240000}"/>
    <cellStyle name="20% - uthevingsfarge 6 31 2 2 2 2 2 2" xfId="37446" xr:uid="{00000000-0005-0000-0000-000047240000}"/>
    <cellStyle name="20% - uthevingsfarge 6 31 2 2 2 2 3" xfId="28425" xr:uid="{00000000-0005-0000-0000-000048240000}"/>
    <cellStyle name="20% - uthevingsfarge 6 31 2 2 2 3" xfId="20266" xr:uid="{00000000-0005-0000-0000-000049240000}"/>
    <cellStyle name="20% - uthevingsfarge 6 31 2 2 2 3 2" xfId="36365" xr:uid="{00000000-0005-0000-0000-00004A240000}"/>
    <cellStyle name="20% - uthevingsfarge 6 31 2 2 2 4" xfId="31820" xr:uid="{00000000-0005-0000-0000-00004B240000}"/>
    <cellStyle name="20% - uthevingsfarge 6 31 2 2 3" xfId="7676" xr:uid="{00000000-0005-0000-0000-00004C240000}"/>
    <cellStyle name="20% - uthevingsfarge 6 31 2 2 3 2" xfId="20861" xr:uid="{00000000-0005-0000-0000-00004D240000}"/>
    <cellStyle name="20% - uthevingsfarge 6 31 2 2 3 2 2" xfId="36960" xr:uid="{00000000-0005-0000-0000-00004E240000}"/>
    <cellStyle name="20% - uthevingsfarge 6 31 2 2 3 3" xfId="30122" xr:uid="{00000000-0005-0000-0000-00004F240000}"/>
    <cellStyle name="20% - uthevingsfarge 6 31 2 2 4" xfId="19970" xr:uid="{00000000-0005-0000-0000-000050240000}"/>
    <cellStyle name="20% - uthevingsfarge 6 31 2 2 4 2" xfId="36074" xr:uid="{00000000-0005-0000-0000-000051240000}"/>
    <cellStyle name="20% - uthevingsfarge 6 31 2 2 5" xfId="33509" xr:uid="{00000000-0005-0000-0000-000052240000}"/>
    <cellStyle name="20% - uthevingsfarge 6 31 2 3" xfId="5010" xr:uid="{00000000-0005-0000-0000-000053240000}"/>
    <cellStyle name="20% - uthevingsfarge 6 31 2 3 2" xfId="6729" xr:uid="{00000000-0005-0000-0000-000054240000}"/>
    <cellStyle name="20% - uthevingsfarge 6 31 2 3 2 2" xfId="10135" xr:uid="{00000000-0005-0000-0000-000055240000}"/>
    <cellStyle name="20% - uthevingsfarge 6 31 2 3 2 2 2" xfId="24631" xr:uid="{00000000-0005-0000-0000-000056240000}"/>
    <cellStyle name="20% - uthevingsfarge 6 31 2 3 2 2 2 2" xfId="40675" xr:uid="{00000000-0005-0000-0000-000057240000}"/>
    <cellStyle name="20% - uthevingsfarge 6 31 2 3 2 2 3" xfId="27664" xr:uid="{00000000-0005-0000-0000-000058240000}"/>
    <cellStyle name="20% - uthevingsfarge 6 31 2 3 2 3" xfId="11957" xr:uid="{00000000-0005-0000-0000-000059240000}"/>
    <cellStyle name="20% - uthevingsfarge 6 31 2 3 2 3 2" xfId="34979" xr:uid="{00000000-0005-0000-0000-00005A240000}"/>
    <cellStyle name="20% - uthevingsfarge 6 31 2 3 2 4" xfId="31065" xr:uid="{00000000-0005-0000-0000-00005B240000}"/>
    <cellStyle name="20% - uthevingsfarge 6 31 2 3 3" xfId="8432" xr:uid="{00000000-0005-0000-0000-00005C240000}"/>
    <cellStyle name="20% - uthevingsfarge 6 31 2 3 3 2" xfId="23360" xr:uid="{00000000-0005-0000-0000-00005D240000}"/>
    <cellStyle name="20% - uthevingsfarge 6 31 2 3 3 2 2" xfId="39419" xr:uid="{00000000-0005-0000-0000-00005E240000}"/>
    <cellStyle name="20% - uthevingsfarge 6 31 2 3 3 3" xfId="29366" xr:uid="{00000000-0005-0000-0000-00005F240000}"/>
    <cellStyle name="20% - uthevingsfarge 6 31 2 3 4" xfId="12229" xr:uid="{00000000-0005-0000-0000-000060240000}"/>
    <cellStyle name="20% - uthevingsfarge 6 31 2 3 4 2" xfId="35129" xr:uid="{00000000-0005-0000-0000-000061240000}"/>
    <cellStyle name="20% - uthevingsfarge 6 31 2 3 5" xfId="32757" xr:uid="{00000000-0005-0000-0000-000062240000}"/>
    <cellStyle name="20% - uthevingsfarge 6 31 2 4" xfId="5564" xr:uid="{00000000-0005-0000-0000-000063240000}"/>
    <cellStyle name="20% - uthevingsfarge 6 31 2 4 2" xfId="8979" xr:uid="{00000000-0005-0000-0000-000064240000}"/>
    <cellStyle name="20% - uthevingsfarge 6 31 2 4 2 2" xfId="24440" xr:uid="{00000000-0005-0000-0000-000065240000}"/>
    <cellStyle name="20% - uthevingsfarge 6 31 2 4 2 2 2" xfId="40484" xr:uid="{00000000-0005-0000-0000-000066240000}"/>
    <cellStyle name="20% - uthevingsfarge 6 31 2 4 2 3" xfId="28819" xr:uid="{00000000-0005-0000-0000-000067240000}"/>
    <cellStyle name="20% - uthevingsfarge 6 31 2 4 3" xfId="20121" xr:uid="{00000000-0005-0000-0000-000068240000}"/>
    <cellStyle name="20% - uthevingsfarge 6 31 2 4 3 2" xfId="36224" xr:uid="{00000000-0005-0000-0000-000069240000}"/>
    <cellStyle name="20% - uthevingsfarge 6 31 2 4 4" xfId="32210" xr:uid="{00000000-0005-0000-0000-00006A240000}"/>
    <cellStyle name="20% - uthevingsfarge 6 31 2 5" xfId="7282" xr:uid="{00000000-0005-0000-0000-00006B240000}"/>
    <cellStyle name="20% - uthevingsfarge 6 31 2 5 2" xfId="20723" xr:uid="{00000000-0005-0000-0000-00006C240000}"/>
    <cellStyle name="20% - uthevingsfarge 6 31 2 5 2 2" xfId="36822" xr:uid="{00000000-0005-0000-0000-00006D240000}"/>
    <cellStyle name="20% - uthevingsfarge 6 31 2 5 3" xfId="30516" xr:uid="{00000000-0005-0000-0000-00006E240000}"/>
    <cellStyle name="20% - uthevingsfarge 6 31 2 6" xfId="12599" xr:uid="{00000000-0005-0000-0000-00006F240000}"/>
    <cellStyle name="20% - uthevingsfarge 6 31 2 6 2" xfId="35291" xr:uid="{00000000-0005-0000-0000-000070240000}"/>
    <cellStyle name="20% - uthevingsfarge 6 31 2 7" xfId="33903" xr:uid="{00000000-0005-0000-0000-000071240000}"/>
    <cellStyle name="20% - uthevingsfarge 6 31 3" xfId="3890" xr:uid="{00000000-0005-0000-0000-000072240000}"/>
    <cellStyle name="20% - uthevingsfarge 6 31 3 2" xfId="5778" xr:uid="{00000000-0005-0000-0000-000073240000}"/>
    <cellStyle name="20% - uthevingsfarge 6 31 3 2 2" xfId="9193" xr:uid="{00000000-0005-0000-0000-000074240000}"/>
    <cellStyle name="20% - uthevingsfarge 6 31 3 2 2 2" xfId="21309" xr:uid="{00000000-0005-0000-0000-000075240000}"/>
    <cellStyle name="20% - uthevingsfarge 6 31 3 2 2 2 2" xfId="37389" xr:uid="{00000000-0005-0000-0000-000076240000}"/>
    <cellStyle name="20% - uthevingsfarge 6 31 3 2 2 3" xfId="28605" xr:uid="{00000000-0005-0000-0000-000077240000}"/>
    <cellStyle name="20% - uthevingsfarge 6 31 3 2 3" xfId="23916" xr:uid="{00000000-0005-0000-0000-000078240000}"/>
    <cellStyle name="20% - uthevingsfarge 6 31 3 2 3 2" xfId="39970" xr:uid="{00000000-0005-0000-0000-000079240000}"/>
    <cellStyle name="20% - uthevingsfarge 6 31 3 2 4" xfId="31996" xr:uid="{00000000-0005-0000-0000-00007A240000}"/>
    <cellStyle name="20% - uthevingsfarge 6 31 3 3" xfId="7496" xr:uid="{00000000-0005-0000-0000-00007B240000}"/>
    <cellStyle name="20% - uthevingsfarge 6 31 3 3 2" xfId="22462" xr:uid="{00000000-0005-0000-0000-00007C240000}"/>
    <cellStyle name="20% - uthevingsfarge 6 31 3 3 2 2" xfId="38534" xr:uid="{00000000-0005-0000-0000-00007D240000}"/>
    <cellStyle name="20% - uthevingsfarge 6 31 3 3 3" xfId="30302" xr:uid="{00000000-0005-0000-0000-00007E240000}"/>
    <cellStyle name="20% - uthevingsfarge 6 31 3 4" xfId="21717" xr:uid="{00000000-0005-0000-0000-00007F240000}"/>
    <cellStyle name="20% - uthevingsfarge 6 31 3 4 2" xfId="37795" xr:uid="{00000000-0005-0000-0000-000080240000}"/>
    <cellStyle name="20% - uthevingsfarge 6 31 3 5" xfId="33689" xr:uid="{00000000-0005-0000-0000-000081240000}"/>
    <cellStyle name="20% - uthevingsfarge 6 31 4" xfId="4830" xr:uid="{00000000-0005-0000-0000-000082240000}"/>
    <cellStyle name="20% - uthevingsfarge 6 31 4 2" xfId="6549" xr:uid="{00000000-0005-0000-0000-000083240000}"/>
    <cellStyle name="20% - uthevingsfarge 6 31 4 2 2" xfId="9955" xr:uid="{00000000-0005-0000-0000-000084240000}"/>
    <cellStyle name="20% - uthevingsfarge 6 31 4 2 2 2" xfId="21549" xr:uid="{00000000-0005-0000-0000-000085240000}"/>
    <cellStyle name="20% - uthevingsfarge 6 31 4 2 2 2 2" xfId="37629" xr:uid="{00000000-0005-0000-0000-000086240000}"/>
    <cellStyle name="20% - uthevingsfarge 6 31 4 2 2 3" xfId="27844" xr:uid="{00000000-0005-0000-0000-000087240000}"/>
    <cellStyle name="20% - uthevingsfarge 6 31 4 2 3" xfId="24062" xr:uid="{00000000-0005-0000-0000-000088240000}"/>
    <cellStyle name="20% - uthevingsfarge 6 31 4 2 3 2" xfId="40115" xr:uid="{00000000-0005-0000-0000-000089240000}"/>
    <cellStyle name="20% - uthevingsfarge 6 31 4 2 4" xfId="31245" xr:uid="{00000000-0005-0000-0000-00008A240000}"/>
    <cellStyle name="20% - uthevingsfarge 6 31 4 3" xfId="8252" xr:uid="{00000000-0005-0000-0000-00008B240000}"/>
    <cellStyle name="20% - uthevingsfarge 6 31 4 3 2" xfId="21044" xr:uid="{00000000-0005-0000-0000-00008C240000}"/>
    <cellStyle name="20% - uthevingsfarge 6 31 4 3 2 2" xfId="37135" xr:uid="{00000000-0005-0000-0000-00008D240000}"/>
    <cellStyle name="20% - uthevingsfarge 6 31 4 3 3" xfId="29545" xr:uid="{00000000-0005-0000-0000-00008E240000}"/>
    <cellStyle name="20% - uthevingsfarge 6 31 4 4" xfId="23838" xr:uid="{00000000-0005-0000-0000-00008F240000}"/>
    <cellStyle name="20% - uthevingsfarge 6 31 4 4 2" xfId="39894" xr:uid="{00000000-0005-0000-0000-000090240000}"/>
    <cellStyle name="20% - uthevingsfarge 6 31 4 5" xfId="32937" xr:uid="{00000000-0005-0000-0000-000091240000}"/>
    <cellStyle name="20% - uthevingsfarge 6 31 5" xfId="5394" xr:uid="{00000000-0005-0000-0000-000092240000}"/>
    <cellStyle name="20% - uthevingsfarge 6 31 5 2" xfId="8809" xr:uid="{00000000-0005-0000-0000-000093240000}"/>
    <cellStyle name="20% - uthevingsfarge 6 31 5 2 2" xfId="19385" xr:uid="{00000000-0005-0000-0000-000094240000}"/>
    <cellStyle name="20% - uthevingsfarge 6 31 5 2 2 2" xfId="35499" xr:uid="{00000000-0005-0000-0000-000095240000}"/>
    <cellStyle name="20% - uthevingsfarge 6 31 5 2 3" xfId="28989" xr:uid="{00000000-0005-0000-0000-000096240000}"/>
    <cellStyle name="20% - uthevingsfarge 6 31 5 3" xfId="10716" xr:uid="{00000000-0005-0000-0000-000097240000}"/>
    <cellStyle name="20% - uthevingsfarge 6 31 5 3 2" xfId="34564" xr:uid="{00000000-0005-0000-0000-000098240000}"/>
    <cellStyle name="20% - uthevingsfarge 6 31 5 4" xfId="32380" xr:uid="{00000000-0005-0000-0000-000099240000}"/>
    <cellStyle name="20% - uthevingsfarge 6 31 6" xfId="7102" xr:uid="{00000000-0005-0000-0000-00009A240000}"/>
    <cellStyle name="20% - uthevingsfarge 6 31 6 2" xfId="20668" xr:uid="{00000000-0005-0000-0000-00009B240000}"/>
    <cellStyle name="20% - uthevingsfarge 6 31 6 2 2" xfId="36767" xr:uid="{00000000-0005-0000-0000-00009C240000}"/>
    <cellStyle name="20% - uthevingsfarge 6 31 6 3" xfId="30696" xr:uid="{00000000-0005-0000-0000-00009D240000}"/>
    <cellStyle name="20% - uthevingsfarge 6 31 7" xfId="12621" xr:uid="{00000000-0005-0000-0000-00009E240000}"/>
    <cellStyle name="20% - uthevingsfarge 6 31 7 2" xfId="35292" xr:uid="{00000000-0005-0000-0000-00009F240000}"/>
    <cellStyle name="20% - uthevingsfarge 6 31 8" xfId="34083" xr:uid="{00000000-0005-0000-0000-0000A0240000}"/>
    <cellStyle name="20% - uthevingsfarge 6 32" xfId="4454" xr:uid="{00000000-0005-0000-0000-0000A1240000}"/>
    <cellStyle name="20% - uthevingsfarge 6 32 2" xfId="6251" xr:uid="{00000000-0005-0000-0000-0000A2240000}"/>
    <cellStyle name="20% - uthevingsfarge 6 32 2 2" xfId="9661" xr:uid="{00000000-0005-0000-0000-0000A3240000}"/>
    <cellStyle name="20% - uthevingsfarge 6 32 2 2 2" xfId="19417" xr:uid="{00000000-0005-0000-0000-0000A4240000}"/>
    <cellStyle name="20% - uthevingsfarge 6 32 2 2 2 2" xfId="35531" xr:uid="{00000000-0005-0000-0000-0000A5240000}"/>
    <cellStyle name="20% - uthevingsfarge 6 32 2 2 3" xfId="28138" xr:uid="{00000000-0005-0000-0000-0000A6240000}"/>
    <cellStyle name="20% - uthevingsfarge 6 32 2 3" xfId="20380" xr:uid="{00000000-0005-0000-0000-0000A7240000}"/>
    <cellStyle name="20% - uthevingsfarge 6 32 2 3 2" xfId="36479" xr:uid="{00000000-0005-0000-0000-0000A8240000}"/>
    <cellStyle name="20% - uthevingsfarge 6 32 2 4" xfId="31539" xr:uid="{00000000-0005-0000-0000-0000A9240000}"/>
    <cellStyle name="20% - uthevingsfarge 6 32 3" xfId="7957" xr:uid="{00000000-0005-0000-0000-0000AA240000}"/>
    <cellStyle name="20% - uthevingsfarge 6 32 3 2" xfId="20959" xr:uid="{00000000-0005-0000-0000-0000AB240000}"/>
    <cellStyle name="20% - uthevingsfarge 6 32 3 2 2" xfId="37055" xr:uid="{00000000-0005-0000-0000-0000AC240000}"/>
    <cellStyle name="20% - uthevingsfarge 6 32 3 3" xfId="29842" xr:uid="{00000000-0005-0000-0000-0000AD240000}"/>
    <cellStyle name="20% - uthevingsfarge 6 32 4" xfId="10960" xr:uid="{00000000-0005-0000-0000-0000AE240000}"/>
    <cellStyle name="20% - uthevingsfarge 6 32 4 2" xfId="34702" xr:uid="{00000000-0005-0000-0000-0000AF240000}"/>
    <cellStyle name="20% - uthevingsfarge 6 32 5" xfId="33232" xr:uid="{00000000-0005-0000-0000-0000B0240000}"/>
    <cellStyle name="20% - uthevingsfarge 6 33" xfId="5359" xr:uid="{00000000-0005-0000-0000-0000B1240000}"/>
    <cellStyle name="20% - uthevingsfarge 6 33 2" xfId="8774" xr:uid="{00000000-0005-0000-0000-0000B2240000}"/>
    <cellStyle name="20% - uthevingsfarge 6 33 2 2" xfId="11784" xr:uid="{00000000-0005-0000-0000-0000B3240000}"/>
    <cellStyle name="20% - uthevingsfarge 6 33 2 2 2" xfId="34862" xr:uid="{00000000-0005-0000-0000-0000B4240000}"/>
    <cellStyle name="20% - uthevingsfarge 6 33 2 3" xfId="29024" xr:uid="{00000000-0005-0000-0000-0000B5240000}"/>
    <cellStyle name="20% - uthevingsfarge 6 33 3" xfId="12056" xr:uid="{00000000-0005-0000-0000-0000B6240000}"/>
    <cellStyle name="20% - uthevingsfarge 6 33 3 2" xfId="35048" xr:uid="{00000000-0005-0000-0000-0000B7240000}"/>
    <cellStyle name="20% - uthevingsfarge 6 33 4" xfId="32415" xr:uid="{00000000-0005-0000-0000-0000B8240000}"/>
    <cellStyle name="20% - uthevingsfarge 6 34" xfId="40962" xr:uid="{00000000-0005-0000-0000-0000B9240000}"/>
    <cellStyle name="20% - uthevingsfarge 6 35" xfId="43160" xr:uid="{00000000-0005-0000-0000-0000BA240000}"/>
    <cellStyle name="20% - uthevingsfarge 6 36" xfId="40913" xr:uid="{00000000-0005-0000-0000-0000BB240000}"/>
    <cellStyle name="20% - uthevingsfarge 6 37" xfId="40802" xr:uid="{00000000-0005-0000-0000-0000BC240000}"/>
    <cellStyle name="20% - uthevingsfarge 6 38" xfId="40879" xr:uid="{00000000-0005-0000-0000-0000BD240000}"/>
    <cellStyle name="20% - uthevingsfarge 6 39" xfId="40832" xr:uid="{00000000-0005-0000-0000-0000BE240000}"/>
    <cellStyle name="20% - uthevingsfarge 6 4" xfId="567" xr:uid="{00000000-0005-0000-0000-0000BF240000}"/>
    <cellStyle name="20% - uthevingsfarge 6 4 2" xfId="568" xr:uid="{00000000-0005-0000-0000-0000C0240000}"/>
    <cellStyle name="20% - uthevingsfarge 6 40" xfId="40922" xr:uid="{00000000-0005-0000-0000-0000C1240000}"/>
    <cellStyle name="20% - uthevingsfarge 6 41" xfId="43223" xr:uid="{00000000-0005-0000-0000-0000C2240000}"/>
    <cellStyle name="20% - uthevingsfarge 6 42" xfId="43437" xr:uid="{00000000-0005-0000-0000-0000C3240000}"/>
    <cellStyle name="20% - uthevingsfarge 6 43" xfId="43489" xr:uid="{00000000-0005-0000-0000-0000C4240000}"/>
    <cellStyle name="20% - uthevingsfarge 6 44" xfId="46282" xr:uid="{00000000-0005-0000-0000-0000C5240000}"/>
    <cellStyle name="20% - uthevingsfarge 6 45" xfId="43669" xr:uid="{00000000-0005-0000-0000-0000C6240000}"/>
    <cellStyle name="20% - uthevingsfarge 6 46" xfId="46325" xr:uid="{00000000-0005-0000-0000-0000C7240000}"/>
    <cellStyle name="20% - uthevingsfarge 6 47" xfId="46840" xr:uid="{00000000-0005-0000-0000-0000C8240000}"/>
    <cellStyle name="20% - uthevingsfarge 6 48" xfId="46353" xr:uid="{00000000-0005-0000-0000-0000C9240000}"/>
    <cellStyle name="20% - uthevingsfarge 6 49" xfId="46864" xr:uid="{00000000-0005-0000-0000-0000CA240000}"/>
    <cellStyle name="20% - uthevingsfarge 6 5" xfId="569" xr:uid="{00000000-0005-0000-0000-0000CB240000}"/>
    <cellStyle name="20% - uthevingsfarge 6 5 2" xfId="570" xr:uid="{00000000-0005-0000-0000-0000CC240000}"/>
    <cellStyle name="20% - uthevingsfarge 6 50" xfId="46343" xr:uid="{00000000-0005-0000-0000-0000CD240000}"/>
    <cellStyle name="20% - uthevingsfarge 6 51" xfId="46582" xr:uid="{00000000-0005-0000-0000-0000CE240000}"/>
    <cellStyle name="20% - uthevingsfarge 6 6" xfId="571" xr:uid="{00000000-0005-0000-0000-0000CF240000}"/>
    <cellStyle name="20% - uthevingsfarge 6 6 2" xfId="572" xr:uid="{00000000-0005-0000-0000-0000D0240000}"/>
    <cellStyle name="20% - uthevingsfarge 6 7" xfId="573" xr:uid="{00000000-0005-0000-0000-0000D1240000}"/>
    <cellStyle name="20% - uthevingsfarge 6 7 2" xfId="574" xr:uid="{00000000-0005-0000-0000-0000D2240000}"/>
    <cellStyle name="20% - uthevingsfarge 6 8" xfId="575" xr:uid="{00000000-0005-0000-0000-0000D3240000}"/>
    <cellStyle name="20% - uthevingsfarge 6 8 2" xfId="576" xr:uid="{00000000-0005-0000-0000-0000D4240000}"/>
    <cellStyle name="20% - uthevingsfarge 6 9" xfId="577" xr:uid="{00000000-0005-0000-0000-0000D5240000}"/>
    <cellStyle name="20% - uthevingsfarge 6 9 2" xfId="578" xr:uid="{00000000-0005-0000-0000-0000D6240000}"/>
    <cellStyle name="40% - Accent1" xfId="4085" xr:uid="{00000000-0005-0000-0000-0000D7240000}"/>
    <cellStyle name="40% - Accent1 10" xfId="580" xr:uid="{00000000-0005-0000-0000-0000D8240000}"/>
    <cellStyle name="40% - Accent1 11" xfId="581" xr:uid="{00000000-0005-0000-0000-0000D9240000}"/>
    <cellStyle name="40% - Accent1 12" xfId="582" xr:uid="{00000000-0005-0000-0000-0000DA240000}"/>
    <cellStyle name="40% - Accent1 13" xfId="583" xr:uid="{00000000-0005-0000-0000-0000DB240000}"/>
    <cellStyle name="40% - Accent1 14" xfId="584" xr:uid="{00000000-0005-0000-0000-0000DC240000}"/>
    <cellStyle name="40% - Accent1 15" xfId="585" xr:uid="{00000000-0005-0000-0000-0000DD240000}"/>
    <cellStyle name="40% - Accent1 16" xfId="586" xr:uid="{00000000-0005-0000-0000-0000DE240000}"/>
    <cellStyle name="40% - Accent1 17" xfId="587" xr:uid="{00000000-0005-0000-0000-0000DF240000}"/>
    <cellStyle name="40% - Accent1 18" xfId="588" xr:uid="{00000000-0005-0000-0000-0000E0240000}"/>
    <cellStyle name="40% - Accent1 19" xfId="589" xr:uid="{00000000-0005-0000-0000-0000E1240000}"/>
    <cellStyle name="40% - Accent1 2" xfId="590" xr:uid="{00000000-0005-0000-0000-0000E2240000}"/>
    <cellStyle name="40% - Accent1 20" xfId="1004" xr:uid="{00000000-0005-0000-0000-0000E3240000}"/>
    <cellStyle name="40% - Accent1 20 2" xfId="5368" xr:uid="{00000000-0005-0000-0000-0000E4240000}"/>
    <cellStyle name="40% - Accent1 20 2 2" xfId="8783" xr:uid="{00000000-0005-0000-0000-0000E5240000}"/>
    <cellStyle name="40% - Accent1 20 2 2 2" xfId="21189" xr:uid="{00000000-0005-0000-0000-0000E6240000}"/>
    <cellStyle name="40% - Accent1 20 2 2 2 2" xfId="37269" xr:uid="{00000000-0005-0000-0000-0000E7240000}"/>
    <cellStyle name="40% - Accent1 20 2 2 3" xfId="29015" xr:uid="{00000000-0005-0000-0000-0000E8240000}"/>
    <cellStyle name="40% - Accent1 20 2 3" xfId="20085" xr:uid="{00000000-0005-0000-0000-0000E9240000}"/>
    <cellStyle name="40% - Accent1 20 2 3 2" xfId="36189" xr:uid="{00000000-0005-0000-0000-0000EA240000}"/>
    <cellStyle name="40% - Accent1 20 2 4" xfId="32406" xr:uid="{00000000-0005-0000-0000-0000EB240000}"/>
    <cellStyle name="40% - Accent1 20 3" xfId="6962" xr:uid="{00000000-0005-0000-0000-0000EC240000}"/>
    <cellStyle name="40% - Accent1 20 3 2" xfId="24122" xr:uid="{00000000-0005-0000-0000-0000ED240000}"/>
    <cellStyle name="40% - Accent1 20 3 2 2" xfId="40175" xr:uid="{00000000-0005-0000-0000-0000EE240000}"/>
    <cellStyle name="40% - Accent1 20 3 3" xfId="30836" xr:uid="{00000000-0005-0000-0000-0000EF240000}"/>
    <cellStyle name="40% - Accent1 20 4" xfId="12879" xr:uid="{00000000-0005-0000-0000-0000F0240000}"/>
    <cellStyle name="40% - Accent1 20 4 2" xfId="35301" xr:uid="{00000000-0005-0000-0000-0000F1240000}"/>
    <cellStyle name="40% - Accent1 20 5" xfId="34224" xr:uid="{00000000-0005-0000-0000-0000F2240000}"/>
    <cellStyle name="40% - Accent1 21" xfId="1069" xr:uid="{00000000-0005-0000-0000-0000F3240000}"/>
    <cellStyle name="40% - Accent1 21 2" xfId="6221" xr:uid="{00000000-0005-0000-0000-0000F4240000}"/>
    <cellStyle name="40% - Accent1 21 2 2" xfId="9635" xr:uid="{00000000-0005-0000-0000-0000F5240000}"/>
    <cellStyle name="40% - Accent1 21 2 2 2" xfId="21442" xr:uid="{00000000-0005-0000-0000-0000F6240000}"/>
    <cellStyle name="40% - Accent1 21 2 2 2 2" xfId="37522" xr:uid="{00000000-0005-0000-0000-0000F7240000}"/>
    <cellStyle name="40% - Accent1 21 2 2 3" xfId="28164" xr:uid="{00000000-0005-0000-0000-0000F8240000}"/>
    <cellStyle name="40% - Accent1 21 2 3" xfId="20369" xr:uid="{00000000-0005-0000-0000-0000F9240000}"/>
    <cellStyle name="40% - Accent1 21 2 3 2" xfId="36468" xr:uid="{00000000-0005-0000-0000-0000FA240000}"/>
    <cellStyle name="40% - Accent1 21 2 4" xfId="31565" xr:uid="{00000000-0005-0000-0000-0000FB240000}"/>
    <cellStyle name="40% - Accent1 21 3" xfId="6966" xr:uid="{00000000-0005-0000-0000-0000FC240000}"/>
    <cellStyle name="40% - Accent1 21 3 2" xfId="24123" xr:uid="{00000000-0005-0000-0000-0000FD240000}"/>
    <cellStyle name="40% - Accent1 21 3 2 2" xfId="40176" xr:uid="{00000000-0005-0000-0000-0000FE240000}"/>
    <cellStyle name="40% - Accent1 21 3 3" xfId="30832" xr:uid="{00000000-0005-0000-0000-0000FF240000}"/>
    <cellStyle name="40% - Accent1 21 4" xfId="19912" xr:uid="{00000000-0005-0000-0000-000000250000}"/>
    <cellStyle name="40% - Accent1 21 4 2" xfId="36017" xr:uid="{00000000-0005-0000-0000-000001250000}"/>
    <cellStyle name="40% - Accent1 21 5" xfId="34220" xr:uid="{00000000-0005-0000-0000-000002250000}"/>
    <cellStyle name="40% - Accent1 22" xfId="4510" xr:uid="{00000000-0005-0000-0000-000003250000}"/>
    <cellStyle name="40% - Accent1 22 2" xfId="6302" xr:uid="{00000000-0005-0000-0000-000004250000}"/>
    <cellStyle name="40% - Accent1 22 2 2" xfId="9712" xr:uid="{00000000-0005-0000-0000-000005250000}"/>
    <cellStyle name="40% - Accent1 22 2 2 2" xfId="21465" xr:uid="{00000000-0005-0000-0000-000006250000}"/>
    <cellStyle name="40% - Accent1 22 2 2 2 2" xfId="37545" xr:uid="{00000000-0005-0000-0000-000007250000}"/>
    <cellStyle name="40% - Accent1 22 2 2 3" xfId="28087" xr:uid="{00000000-0005-0000-0000-000008250000}"/>
    <cellStyle name="40% - Accent1 22 2 3" xfId="20401" xr:uid="{00000000-0005-0000-0000-000009250000}"/>
    <cellStyle name="40% - Accent1 22 2 3 2" xfId="36500" xr:uid="{00000000-0005-0000-0000-00000A250000}"/>
    <cellStyle name="40% - Accent1 22 2 4" xfId="31488" xr:uid="{00000000-0005-0000-0000-00000B250000}"/>
    <cellStyle name="40% - Accent1 22 3" xfId="8008" xr:uid="{00000000-0005-0000-0000-00000C250000}"/>
    <cellStyle name="40% - Accent1 22 3 2" xfId="24302" xr:uid="{00000000-0005-0000-0000-00000D250000}"/>
    <cellStyle name="40% - Accent1 22 3 2 2" xfId="40354" xr:uid="{00000000-0005-0000-0000-00000E250000}"/>
    <cellStyle name="40% - Accent1 22 3 3" xfId="29790" xr:uid="{00000000-0005-0000-0000-00000F250000}"/>
    <cellStyle name="40% - Accent1 22 4" xfId="10949" xr:uid="{00000000-0005-0000-0000-000010250000}"/>
    <cellStyle name="40% - Accent1 22 4 2" xfId="34691" xr:uid="{00000000-0005-0000-0000-000011250000}"/>
    <cellStyle name="40% - Accent1 22 5" xfId="33181" xr:uid="{00000000-0005-0000-0000-000012250000}"/>
    <cellStyle name="40% - Accent1 23" xfId="7679" xr:uid="{00000000-0005-0000-0000-000013250000}"/>
    <cellStyle name="40% - Accent1 23 2" xfId="23247" xr:uid="{00000000-0005-0000-0000-000014250000}"/>
    <cellStyle name="40% - Accent1 23 2 2" xfId="39315" xr:uid="{00000000-0005-0000-0000-000015250000}"/>
    <cellStyle name="40% - Accent1 23 3" xfId="34306" xr:uid="{00000000-0005-0000-0000-000016250000}"/>
    <cellStyle name="40% - Accent1 24" xfId="15114" xr:uid="{00000000-0005-0000-0000-000017250000}"/>
    <cellStyle name="40% - Accent1 24 2" xfId="35309" xr:uid="{00000000-0005-0000-0000-000018250000}"/>
    <cellStyle name="40% - Accent1 25" xfId="24938" xr:uid="{00000000-0005-0000-0000-000019250000}"/>
    <cellStyle name="40% - Accent1 26" xfId="33506" xr:uid="{00000000-0005-0000-0000-00001A250000}"/>
    <cellStyle name="40% - Accent1 27" xfId="47029" xr:uid="{00000000-0005-0000-0000-00001B250000}"/>
    <cellStyle name="40% - Accent1 3" xfId="591" xr:uid="{00000000-0005-0000-0000-00001C250000}"/>
    <cellStyle name="40% - Accent1 4" xfId="592" xr:uid="{00000000-0005-0000-0000-00001D250000}"/>
    <cellStyle name="40% - Accent1 5" xfId="593" xr:uid="{00000000-0005-0000-0000-00001E250000}"/>
    <cellStyle name="40% - Accent1 6" xfId="594" xr:uid="{00000000-0005-0000-0000-00001F250000}"/>
    <cellStyle name="40% - Accent1 7" xfId="595" xr:uid="{00000000-0005-0000-0000-000020250000}"/>
    <cellStyle name="40% - Accent1 8" xfId="596" xr:uid="{00000000-0005-0000-0000-000021250000}"/>
    <cellStyle name="40% - Accent1 9" xfId="597" xr:uid="{00000000-0005-0000-0000-000022250000}"/>
    <cellStyle name="40% - Accent2" xfId="4089" xr:uid="{00000000-0005-0000-0000-000023250000}"/>
    <cellStyle name="40% - Accent2 10" xfId="599" xr:uid="{00000000-0005-0000-0000-000024250000}"/>
    <cellStyle name="40% - Accent2 11" xfId="600" xr:uid="{00000000-0005-0000-0000-000025250000}"/>
    <cellStyle name="40% - Accent2 12" xfId="601" xr:uid="{00000000-0005-0000-0000-000026250000}"/>
    <cellStyle name="40% - Accent2 13" xfId="602" xr:uid="{00000000-0005-0000-0000-000027250000}"/>
    <cellStyle name="40% - Accent2 14" xfId="603" xr:uid="{00000000-0005-0000-0000-000028250000}"/>
    <cellStyle name="40% - Accent2 15" xfId="604" xr:uid="{00000000-0005-0000-0000-000029250000}"/>
    <cellStyle name="40% - Accent2 16" xfId="605" xr:uid="{00000000-0005-0000-0000-00002A250000}"/>
    <cellStyle name="40% - Accent2 17" xfId="606" xr:uid="{00000000-0005-0000-0000-00002B250000}"/>
    <cellStyle name="40% - Accent2 18" xfId="607" xr:uid="{00000000-0005-0000-0000-00002C250000}"/>
    <cellStyle name="40% - Accent2 19" xfId="608" xr:uid="{00000000-0005-0000-0000-00002D250000}"/>
    <cellStyle name="40% - Accent2 2" xfId="609" xr:uid="{00000000-0005-0000-0000-00002E250000}"/>
    <cellStyle name="40% - Accent2 20" xfId="674" xr:uid="{00000000-0005-0000-0000-00002F250000}"/>
    <cellStyle name="40% - Accent2 20 2" xfId="5366" xr:uid="{00000000-0005-0000-0000-000030250000}"/>
    <cellStyle name="40% - Accent2 20 2 2" xfId="8781" xr:uid="{00000000-0005-0000-0000-000031250000}"/>
    <cellStyle name="40% - Accent2 20 2 2 2" xfId="21897" xr:uid="{00000000-0005-0000-0000-000032250000}"/>
    <cellStyle name="40% - Accent2 20 2 2 2 2" xfId="37972" xr:uid="{00000000-0005-0000-0000-000033250000}"/>
    <cellStyle name="40% - Accent2 20 2 2 3" xfId="29017" xr:uid="{00000000-0005-0000-0000-000034250000}"/>
    <cellStyle name="40% - Accent2 20 2 3" xfId="19810" xr:uid="{00000000-0005-0000-0000-000035250000}"/>
    <cellStyle name="40% - Accent2 20 2 3 2" xfId="35923" xr:uid="{00000000-0005-0000-0000-000036250000}"/>
    <cellStyle name="40% - Accent2 20 2 4" xfId="32408" xr:uid="{00000000-0005-0000-0000-000037250000}"/>
    <cellStyle name="40% - Accent2 20 3" xfId="6928" xr:uid="{00000000-0005-0000-0000-000038250000}"/>
    <cellStyle name="40% - Accent2 20 3 2" xfId="10644" xr:uid="{00000000-0005-0000-0000-000039250000}"/>
    <cellStyle name="40% - Accent2 20 3 2 2" xfId="34492" xr:uid="{00000000-0005-0000-0000-00003A250000}"/>
    <cellStyle name="40% - Accent2 20 3 3" xfId="30870" xr:uid="{00000000-0005-0000-0000-00003B250000}"/>
    <cellStyle name="40% - Accent2 20 4" xfId="23759" xr:uid="{00000000-0005-0000-0000-00003C250000}"/>
    <cellStyle name="40% - Accent2 20 4 2" xfId="39815" xr:uid="{00000000-0005-0000-0000-00003D250000}"/>
    <cellStyle name="40% - Accent2 20 5" xfId="34258" xr:uid="{00000000-0005-0000-0000-00003E250000}"/>
    <cellStyle name="40% - Accent2 21" xfId="1019" xr:uid="{00000000-0005-0000-0000-00003F250000}"/>
    <cellStyle name="40% - Accent2 21 2" xfId="6219" xr:uid="{00000000-0005-0000-0000-000040250000}"/>
    <cellStyle name="40% - Accent2 21 2 2" xfId="9633" xr:uid="{00000000-0005-0000-0000-000041250000}"/>
    <cellStyle name="40% - Accent2 21 2 2 2" xfId="22618" xr:uid="{00000000-0005-0000-0000-000042250000}"/>
    <cellStyle name="40% - Accent2 21 2 2 2 2" xfId="38687" xr:uid="{00000000-0005-0000-0000-000043250000}"/>
    <cellStyle name="40% - Accent2 21 2 2 3" xfId="28166" xr:uid="{00000000-0005-0000-0000-000044250000}"/>
    <cellStyle name="40% - Accent2 21 2 3" xfId="22119" xr:uid="{00000000-0005-0000-0000-000045250000}"/>
    <cellStyle name="40% - Accent2 21 2 3 2" xfId="38193" xr:uid="{00000000-0005-0000-0000-000046250000}"/>
    <cellStyle name="40% - Accent2 21 2 4" xfId="31567" xr:uid="{00000000-0005-0000-0000-000047250000}"/>
    <cellStyle name="40% - Accent2 21 3" xfId="6964" xr:uid="{00000000-0005-0000-0000-000048250000}"/>
    <cellStyle name="40% - Accent2 21 3 2" xfId="23121" xr:uid="{00000000-0005-0000-0000-000049250000}"/>
    <cellStyle name="40% - Accent2 21 3 2 2" xfId="39190" xr:uid="{00000000-0005-0000-0000-00004A250000}"/>
    <cellStyle name="40% - Accent2 21 3 3" xfId="30834" xr:uid="{00000000-0005-0000-0000-00004B250000}"/>
    <cellStyle name="40% - Accent2 21 4" xfId="12876" xr:uid="{00000000-0005-0000-0000-00004C250000}"/>
    <cellStyle name="40% - Accent2 21 4 2" xfId="35300" xr:uid="{00000000-0005-0000-0000-00004D250000}"/>
    <cellStyle name="40% - Accent2 21 5" xfId="34222" xr:uid="{00000000-0005-0000-0000-00004E250000}"/>
    <cellStyle name="40% - Accent2 22" xfId="4513" xr:uid="{00000000-0005-0000-0000-00004F250000}"/>
    <cellStyle name="40% - Accent2 22 2" xfId="6305" xr:uid="{00000000-0005-0000-0000-000050250000}"/>
    <cellStyle name="40% - Accent2 22 2 2" xfId="9715" xr:uid="{00000000-0005-0000-0000-000051250000}"/>
    <cellStyle name="40% - Accent2 22 2 2 2" xfId="10397" xr:uid="{00000000-0005-0000-0000-000052250000}"/>
    <cellStyle name="40% - Accent2 22 2 2 2 2" xfId="34343" xr:uid="{00000000-0005-0000-0000-000053250000}"/>
    <cellStyle name="40% - Accent2 22 2 2 3" xfId="28084" xr:uid="{00000000-0005-0000-0000-000054250000}"/>
    <cellStyle name="40% - Accent2 22 2 3" xfId="23014" xr:uid="{00000000-0005-0000-0000-000055250000}"/>
    <cellStyle name="40% - Accent2 22 2 3 2" xfId="39083" xr:uid="{00000000-0005-0000-0000-000056250000}"/>
    <cellStyle name="40% - Accent2 22 2 4" xfId="31485" xr:uid="{00000000-0005-0000-0000-000057250000}"/>
    <cellStyle name="40% - Accent2 22 3" xfId="8011" xr:uid="{00000000-0005-0000-0000-000058250000}"/>
    <cellStyle name="40% - Accent2 22 3 2" xfId="20971" xr:uid="{00000000-0005-0000-0000-000059250000}"/>
    <cellStyle name="40% - Accent2 22 3 2 2" xfId="37067" xr:uid="{00000000-0005-0000-0000-00005A250000}"/>
    <cellStyle name="40% - Accent2 22 3 3" xfId="29787" xr:uid="{00000000-0005-0000-0000-00005B250000}"/>
    <cellStyle name="40% - Accent2 22 4" xfId="10958" xr:uid="{00000000-0005-0000-0000-00005C250000}"/>
    <cellStyle name="40% - Accent2 22 4 2" xfId="34700" xr:uid="{00000000-0005-0000-0000-00005D250000}"/>
    <cellStyle name="40% - Accent2 22 5" xfId="33178" xr:uid="{00000000-0005-0000-0000-00005E250000}"/>
    <cellStyle name="40% - Accent2 23" xfId="7681" xr:uid="{00000000-0005-0000-0000-00005F250000}"/>
    <cellStyle name="40% - Accent2 23 2" xfId="20863" xr:uid="{00000000-0005-0000-0000-000060250000}"/>
    <cellStyle name="40% - Accent2 23 2 2" xfId="36962" xr:uid="{00000000-0005-0000-0000-000061250000}"/>
    <cellStyle name="40% - Accent2 23 3" xfId="30118" xr:uid="{00000000-0005-0000-0000-000062250000}"/>
    <cellStyle name="40% - Accent2 24" xfId="15116" xr:uid="{00000000-0005-0000-0000-000063250000}"/>
    <cellStyle name="40% - Accent2 24 2" xfId="35311" xr:uid="{00000000-0005-0000-0000-000064250000}"/>
    <cellStyle name="40% - Accent2 25" xfId="24940" xr:uid="{00000000-0005-0000-0000-000065250000}"/>
    <cellStyle name="40% - Accent2 26" xfId="33504" xr:uid="{00000000-0005-0000-0000-000066250000}"/>
    <cellStyle name="40% - Accent2 27" xfId="47031" xr:uid="{00000000-0005-0000-0000-000067250000}"/>
    <cellStyle name="40% - Accent2 3" xfId="610" xr:uid="{00000000-0005-0000-0000-000068250000}"/>
    <cellStyle name="40% - Accent2 4" xfId="611" xr:uid="{00000000-0005-0000-0000-000069250000}"/>
    <cellStyle name="40% - Accent2 5" xfId="612" xr:uid="{00000000-0005-0000-0000-00006A250000}"/>
    <cellStyle name="40% - Accent2 6" xfId="613" xr:uid="{00000000-0005-0000-0000-00006B250000}"/>
    <cellStyle name="40% - Accent2 7" xfId="614" xr:uid="{00000000-0005-0000-0000-00006C250000}"/>
    <cellStyle name="40% - Accent2 8" xfId="615" xr:uid="{00000000-0005-0000-0000-00006D250000}"/>
    <cellStyle name="40% - Accent2 9" xfId="616" xr:uid="{00000000-0005-0000-0000-00006E250000}"/>
    <cellStyle name="40% - Accent3" xfId="4093" xr:uid="{00000000-0005-0000-0000-00006F250000}"/>
    <cellStyle name="40% - Accent3 10" xfId="618" xr:uid="{00000000-0005-0000-0000-000070250000}"/>
    <cellStyle name="40% - Accent3 11" xfId="619" xr:uid="{00000000-0005-0000-0000-000071250000}"/>
    <cellStyle name="40% - Accent3 12" xfId="620" xr:uid="{00000000-0005-0000-0000-000072250000}"/>
    <cellStyle name="40% - Accent3 13" xfId="621" xr:uid="{00000000-0005-0000-0000-000073250000}"/>
    <cellStyle name="40% - Accent3 14" xfId="622" xr:uid="{00000000-0005-0000-0000-000074250000}"/>
    <cellStyle name="40% - Accent3 15" xfId="623" xr:uid="{00000000-0005-0000-0000-000075250000}"/>
    <cellStyle name="40% - Accent3 16" xfId="624" xr:uid="{00000000-0005-0000-0000-000076250000}"/>
    <cellStyle name="40% - Accent3 17" xfId="625" xr:uid="{00000000-0005-0000-0000-000077250000}"/>
    <cellStyle name="40% - Accent3 18" xfId="626" xr:uid="{00000000-0005-0000-0000-000078250000}"/>
    <cellStyle name="40% - Accent3 19" xfId="627" xr:uid="{00000000-0005-0000-0000-000079250000}"/>
    <cellStyle name="40% - Accent3 2" xfId="628" xr:uid="{00000000-0005-0000-0000-00007A250000}"/>
    <cellStyle name="40% - Accent3 20" xfId="598" xr:uid="{00000000-0005-0000-0000-00007B250000}"/>
    <cellStyle name="40% - Accent3 20 2" xfId="5364" xr:uid="{00000000-0005-0000-0000-00007C250000}"/>
    <cellStyle name="40% - Accent3 20 2 2" xfId="8779" xr:uid="{00000000-0005-0000-0000-00007D250000}"/>
    <cellStyle name="40% - Accent3 20 2 2 2" xfId="21188" xr:uid="{00000000-0005-0000-0000-00007E250000}"/>
    <cellStyle name="40% - Accent3 20 2 2 2 2" xfId="37268" xr:uid="{00000000-0005-0000-0000-00007F250000}"/>
    <cellStyle name="40% - Accent3 20 2 2 3" xfId="29019" xr:uid="{00000000-0005-0000-0000-000080250000}"/>
    <cellStyle name="40% - Accent3 20 2 3" xfId="20084" xr:uid="{00000000-0005-0000-0000-000081250000}"/>
    <cellStyle name="40% - Accent3 20 2 3 2" xfId="36188" xr:uid="{00000000-0005-0000-0000-000082250000}"/>
    <cellStyle name="40% - Accent3 20 2 4" xfId="32410" xr:uid="{00000000-0005-0000-0000-000083250000}"/>
    <cellStyle name="40% - Accent3 20 3" xfId="6926" xr:uid="{00000000-0005-0000-0000-000084250000}"/>
    <cellStyle name="40% - Accent3 20 3 2" xfId="23671" xr:uid="{00000000-0005-0000-0000-000085250000}"/>
    <cellStyle name="40% - Accent3 20 3 2 2" xfId="39727" xr:uid="{00000000-0005-0000-0000-000086250000}"/>
    <cellStyle name="40% - Accent3 20 3 3" xfId="30872" xr:uid="{00000000-0005-0000-0000-000087250000}"/>
    <cellStyle name="40% - Accent3 20 4" xfId="19618" xr:uid="{00000000-0005-0000-0000-000088250000}"/>
    <cellStyle name="40% - Accent3 20 4 2" xfId="35732" xr:uid="{00000000-0005-0000-0000-000089250000}"/>
    <cellStyle name="40% - Accent3 20 5" xfId="34260" xr:uid="{00000000-0005-0000-0000-00008A250000}"/>
    <cellStyle name="40% - Accent3 21" xfId="845" xr:uid="{00000000-0005-0000-0000-00008B250000}"/>
    <cellStyle name="40% - Accent3 21 2" xfId="6216" xr:uid="{00000000-0005-0000-0000-00008C250000}"/>
    <cellStyle name="40% - Accent3 21 2 2" xfId="9630" xr:uid="{00000000-0005-0000-0000-00008D250000}"/>
    <cellStyle name="40% - Accent3 21 2 2 2" xfId="10410" xr:uid="{00000000-0005-0000-0000-00008E250000}"/>
    <cellStyle name="40% - Accent3 21 2 2 2 2" xfId="34350" xr:uid="{00000000-0005-0000-0000-00008F250000}"/>
    <cellStyle name="40% - Accent3 21 2 2 3" xfId="28169" xr:uid="{00000000-0005-0000-0000-000090250000}"/>
    <cellStyle name="40% - Accent3 21 2 3" xfId="20367" xr:uid="{00000000-0005-0000-0000-000091250000}"/>
    <cellStyle name="40% - Accent3 21 2 3 2" xfId="36466" xr:uid="{00000000-0005-0000-0000-000092250000}"/>
    <cellStyle name="40% - Accent3 21 2 4" xfId="31570" xr:uid="{00000000-0005-0000-0000-000093250000}"/>
    <cellStyle name="40% - Accent3 21 3" xfId="6943" xr:uid="{00000000-0005-0000-0000-000094250000}"/>
    <cellStyle name="40% - Accent3 21 3 2" xfId="22402" xr:uid="{00000000-0005-0000-0000-000095250000}"/>
    <cellStyle name="40% - Accent3 21 3 2 2" xfId="38474" xr:uid="{00000000-0005-0000-0000-000096250000}"/>
    <cellStyle name="40% - Accent3 21 3 3" xfId="30855" xr:uid="{00000000-0005-0000-0000-000097250000}"/>
    <cellStyle name="40% - Accent3 21 4" xfId="22672" xr:uid="{00000000-0005-0000-0000-000098250000}"/>
    <cellStyle name="40% - Accent3 21 4 2" xfId="38741" xr:uid="{00000000-0005-0000-0000-000099250000}"/>
    <cellStyle name="40% - Accent3 21 5" xfId="34243" xr:uid="{00000000-0005-0000-0000-00009A250000}"/>
    <cellStyle name="40% - Accent3 22" xfId="4515" xr:uid="{00000000-0005-0000-0000-00009B250000}"/>
    <cellStyle name="40% - Accent3 22 2" xfId="6307" xr:uid="{00000000-0005-0000-0000-00009C250000}"/>
    <cellStyle name="40% - Accent3 22 2 2" xfId="9717" xr:uid="{00000000-0005-0000-0000-00009D250000}"/>
    <cellStyle name="40% - Accent3 22 2 2 2" xfId="11627" xr:uid="{00000000-0005-0000-0000-00009E250000}"/>
    <cellStyle name="40% - Accent3 22 2 2 2 2" xfId="34810" xr:uid="{00000000-0005-0000-0000-00009F250000}"/>
    <cellStyle name="40% - Accent3 22 2 2 3" xfId="28082" xr:uid="{00000000-0005-0000-0000-0000A0250000}"/>
    <cellStyle name="40% - Accent3 22 2 3" xfId="19586" xr:uid="{00000000-0005-0000-0000-0000A1250000}"/>
    <cellStyle name="40% - Accent3 22 2 3 2" xfId="35700" xr:uid="{00000000-0005-0000-0000-0000A2250000}"/>
    <cellStyle name="40% - Accent3 22 2 4" xfId="31483" xr:uid="{00000000-0005-0000-0000-0000A3250000}"/>
    <cellStyle name="40% - Accent3 22 3" xfId="8013" xr:uid="{00000000-0005-0000-0000-0000A4250000}"/>
    <cellStyle name="40% - Accent3 22 3 2" xfId="22493" xr:uid="{00000000-0005-0000-0000-0000A5250000}"/>
    <cellStyle name="40% - Accent3 22 3 2 2" xfId="38565" xr:uid="{00000000-0005-0000-0000-0000A6250000}"/>
    <cellStyle name="40% - Accent3 22 3 3" xfId="29785" xr:uid="{00000000-0005-0000-0000-0000A7250000}"/>
    <cellStyle name="40% - Accent3 22 4" xfId="12309" xr:uid="{00000000-0005-0000-0000-0000A8250000}"/>
    <cellStyle name="40% - Accent3 22 4 2" xfId="35185" xr:uid="{00000000-0005-0000-0000-0000A9250000}"/>
    <cellStyle name="40% - Accent3 22 5" xfId="33176" xr:uid="{00000000-0005-0000-0000-0000AA250000}"/>
    <cellStyle name="40% - Accent3 23" xfId="7683" xr:uid="{00000000-0005-0000-0000-0000AB250000}"/>
    <cellStyle name="40% - Accent3 23 2" xfId="21749" xr:uid="{00000000-0005-0000-0000-0000AC250000}"/>
    <cellStyle name="40% - Accent3 23 2 2" xfId="37827" xr:uid="{00000000-0005-0000-0000-0000AD250000}"/>
    <cellStyle name="40% - Accent3 23 3" xfId="30116" xr:uid="{00000000-0005-0000-0000-0000AE250000}"/>
    <cellStyle name="40% - Accent3 24" xfId="15118" xr:uid="{00000000-0005-0000-0000-0000AF250000}"/>
    <cellStyle name="40% - Accent3 24 2" xfId="35313" xr:uid="{00000000-0005-0000-0000-0000B0250000}"/>
    <cellStyle name="40% - Accent3 25" xfId="24942" xr:uid="{00000000-0005-0000-0000-0000B1250000}"/>
    <cellStyle name="40% - Accent3 26" xfId="33502" xr:uid="{00000000-0005-0000-0000-0000B2250000}"/>
    <cellStyle name="40% - Accent3 27" xfId="47033" xr:uid="{00000000-0005-0000-0000-0000B3250000}"/>
    <cellStyle name="40% - Accent3 3" xfId="629" xr:uid="{00000000-0005-0000-0000-0000B4250000}"/>
    <cellStyle name="40% - Accent3 4" xfId="630" xr:uid="{00000000-0005-0000-0000-0000B5250000}"/>
    <cellStyle name="40% - Accent3 5" xfId="631" xr:uid="{00000000-0005-0000-0000-0000B6250000}"/>
    <cellStyle name="40% - Accent3 6" xfId="632" xr:uid="{00000000-0005-0000-0000-0000B7250000}"/>
    <cellStyle name="40% - Accent3 7" xfId="633" xr:uid="{00000000-0005-0000-0000-0000B8250000}"/>
    <cellStyle name="40% - Accent3 8" xfId="634" xr:uid="{00000000-0005-0000-0000-0000B9250000}"/>
    <cellStyle name="40% - Accent3 9" xfId="635" xr:uid="{00000000-0005-0000-0000-0000BA250000}"/>
    <cellStyle name="40% - Accent4" xfId="4097" xr:uid="{00000000-0005-0000-0000-0000BB250000}"/>
    <cellStyle name="40% - Accent4 10" xfId="637" xr:uid="{00000000-0005-0000-0000-0000BC250000}"/>
    <cellStyle name="40% - Accent4 11" xfId="638" xr:uid="{00000000-0005-0000-0000-0000BD250000}"/>
    <cellStyle name="40% - Accent4 12" xfId="639" xr:uid="{00000000-0005-0000-0000-0000BE250000}"/>
    <cellStyle name="40% - Accent4 13" xfId="640" xr:uid="{00000000-0005-0000-0000-0000BF250000}"/>
    <cellStyle name="40% - Accent4 14" xfId="641" xr:uid="{00000000-0005-0000-0000-0000C0250000}"/>
    <cellStyle name="40% - Accent4 15" xfId="642" xr:uid="{00000000-0005-0000-0000-0000C1250000}"/>
    <cellStyle name="40% - Accent4 16" xfId="643" xr:uid="{00000000-0005-0000-0000-0000C2250000}"/>
    <cellStyle name="40% - Accent4 17" xfId="644" xr:uid="{00000000-0005-0000-0000-0000C3250000}"/>
    <cellStyle name="40% - Accent4 18" xfId="645" xr:uid="{00000000-0005-0000-0000-0000C4250000}"/>
    <cellStyle name="40% - Accent4 19" xfId="646" xr:uid="{00000000-0005-0000-0000-0000C5250000}"/>
    <cellStyle name="40% - Accent4 2" xfId="647" xr:uid="{00000000-0005-0000-0000-0000C6250000}"/>
    <cellStyle name="40% - Accent4 20" xfId="216" xr:uid="{00000000-0005-0000-0000-0000C7250000}"/>
    <cellStyle name="40% - Accent4 20 2" xfId="5362" xr:uid="{00000000-0005-0000-0000-0000C8250000}"/>
    <cellStyle name="40% - Accent4 20 2 2" xfId="8777" xr:uid="{00000000-0005-0000-0000-0000C9250000}"/>
    <cellStyle name="40% - Accent4 20 2 2 2" xfId="23724" xr:uid="{00000000-0005-0000-0000-0000CA250000}"/>
    <cellStyle name="40% - Accent4 20 2 2 2 2" xfId="39780" xr:uid="{00000000-0005-0000-0000-0000CB250000}"/>
    <cellStyle name="40% - Accent4 20 2 2 3" xfId="29021" xr:uid="{00000000-0005-0000-0000-0000CC250000}"/>
    <cellStyle name="40% - Accent4 20 2 3" xfId="12058" xr:uid="{00000000-0005-0000-0000-0000CD250000}"/>
    <cellStyle name="40% - Accent4 20 2 3 2" xfId="35049" xr:uid="{00000000-0005-0000-0000-0000CE250000}"/>
    <cellStyle name="40% - Accent4 20 2 4" xfId="32412" xr:uid="{00000000-0005-0000-0000-0000CF250000}"/>
    <cellStyle name="40% - Accent4 20 3" xfId="6894" xr:uid="{00000000-0005-0000-0000-0000D0250000}"/>
    <cellStyle name="40% - Accent4 20 3 2" xfId="23111" xr:uid="{00000000-0005-0000-0000-0000D1250000}"/>
    <cellStyle name="40% - Accent4 20 3 2 2" xfId="39180" xr:uid="{00000000-0005-0000-0000-0000D2250000}"/>
    <cellStyle name="40% - Accent4 20 3 3" xfId="30904" xr:uid="{00000000-0005-0000-0000-0000D3250000}"/>
    <cellStyle name="40% - Accent4 20 4" xfId="19897" xr:uid="{00000000-0005-0000-0000-0000D4250000}"/>
    <cellStyle name="40% - Accent4 20 4 2" xfId="36010" xr:uid="{00000000-0005-0000-0000-0000D5250000}"/>
    <cellStyle name="40% - Accent4 20 5" xfId="34292" xr:uid="{00000000-0005-0000-0000-0000D6250000}"/>
    <cellStyle name="40% - Accent4 21" xfId="527" xr:uid="{00000000-0005-0000-0000-0000D7250000}"/>
    <cellStyle name="40% - Accent4 21 2" xfId="6212" xr:uid="{00000000-0005-0000-0000-0000D8250000}"/>
    <cellStyle name="40% - Accent4 21 2 2" xfId="9626" xr:uid="{00000000-0005-0000-0000-0000D9250000}"/>
    <cellStyle name="40% - Accent4 21 2 2 2" xfId="10413" xr:uid="{00000000-0005-0000-0000-0000DA250000}"/>
    <cellStyle name="40% - Accent4 21 2 2 2 2" xfId="34351" xr:uid="{00000000-0005-0000-0000-0000DB250000}"/>
    <cellStyle name="40% - Accent4 21 2 2 3" xfId="28173" xr:uid="{00000000-0005-0000-0000-0000DC250000}"/>
    <cellStyle name="40% - Accent4 21 2 3" xfId="23999" xr:uid="{00000000-0005-0000-0000-0000DD250000}"/>
    <cellStyle name="40% - Accent4 21 2 3 2" xfId="40052" xr:uid="{00000000-0005-0000-0000-0000DE250000}"/>
    <cellStyle name="40% - Accent4 21 2 4" xfId="31574" xr:uid="{00000000-0005-0000-0000-0000DF250000}"/>
    <cellStyle name="40% - Accent4 21 3" xfId="6920" xr:uid="{00000000-0005-0000-0000-0000E0250000}"/>
    <cellStyle name="40% - Accent4 21 3 2" xfId="11950" xr:uid="{00000000-0005-0000-0000-0000E1250000}"/>
    <cellStyle name="40% - Accent4 21 3 2 2" xfId="34972" xr:uid="{00000000-0005-0000-0000-0000E2250000}"/>
    <cellStyle name="40% - Accent4 21 3 3" xfId="30878" xr:uid="{00000000-0005-0000-0000-0000E3250000}"/>
    <cellStyle name="40% - Accent4 21 4" xfId="19423" xr:uid="{00000000-0005-0000-0000-0000E4250000}"/>
    <cellStyle name="40% - Accent4 21 4 2" xfId="35537" xr:uid="{00000000-0005-0000-0000-0000E5250000}"/>
    <cellStyle name="40% - Accent4 21 5" xfId="34266" xr:uid="{00000000-0005-0000-0000-0000E6250000}"/>
    <cellStyle name="40% - Accent4 22" xfId="4517" xr:uid="{00000000-0005-0000-0000-0000E7250000}"/>
    <cellStyle name="40% - Accent4 22 2" xfId="6309" xr:uid="{00000000-0005-0000-0000-0000E8250000}"/>
    <cellStyle name="40% - Accent4 22 2 2" xfId="9719" xr:uid="{00000000-0005-0000-0000-0000E9250000}"/>
    <cellStyle name="40% - Accent4 22 2 2 2" xfId="10394" xr:uid="{00000000-0005-0000-0000-0000EA250000}"/>
    <cellStyle name="40% - Accent4 22 2 2 2 2" xfId="34342" xr:uid="{00000000-0005-0000-0000-0000EB250000}"/>
    <cellStyle name="40% - Accent4 22 2 2 3" xfId="28080" xr:uid="{00000000-0005-0000-0000-0000EC250000}"/>
    <cellStyle name="40% - Accent4 22 2 3" xfId="20402" xr:uid="{00000000-0005-0000-0000-0000ED250000}"/>
    <cellStyle name="40% - Accent4 22 2 3 2" xfId="36501" xr:uid="{00000000-0005-0000-0000-0000EE250000}"/>
    <cellStyle name="40% - Accent4 22 2 4" xfId="31481" xr:uid="{00000000-0005-0000-0000-0000EF250000}"/>
    <cellStyle name="40% - Accent4 22 3" xfId="8015" xr:uid="{00000000-0005-0000-0000-0000F0250000}"/>
    <cellStyle name="40% - Accent4 22 3 2" xfId="20972" xr:uid="{00000000-0005-0000-0000-0000F1250000}"/>
    <cellStyle name="40% - Accent4 22 3 2 2" xfId="37068" xr:uid="{00000000-0005-0000-0000-0000F2250000}"/>
    <cellStyle name="40% - Accent4 22 3 3" xfId="29783" xr:uid="{00000000-0005-0000-0000-0000F3250000}"/>
    <cellStyle name="40% - Accent4 22 4" xfId="19663" xr:uid="{00000000-0005-0000-0000-0000F4250000}"/>
    <cellStyle name="40% - Accent4 22 4 2" xfId="35777" xr:uid="{00000000-0005-0000-0000-0000F5250000}"/>
    <cellStyle name="40% - Accent4 22 5" xfId="33174" xr:uid="{00000000-0005-0000-0000-0000F6250000}"/>
    <cellStyle name="40% - Accent4 23" xfId="7685" xr:uid="{00000000-0005-0000-0000-0000F7250000}"/>
    <cellStyle name="40% - Accent4 23 2" xfId="20864" xr:uid="{00000000-0005-0000-0000-0000F8250000}"/>
    <cellStyle name="40% - Accent4 23 2 2" xfId="36963" xr:uid="{00000000-0005-0000-0000-0000F9250000}"/>
    <cellStyle name="40% - Accent4 23 3" xfId="30114" xr:uid="{00000000-0005-0000-0000-0000FA250000}"/>
    <cellStyle name="40% - Accent4 24" xfId="15120" xr:uid="{00000000-0005-0000-0000-0000FB250000}"/>
    <cellStyle name="40% - Accent4 24 2" xfId="35315" xr:uid="{00000000-0005-0000-0000-0000FC250000}"/>
    <cellStyle name="40% - Accent4 25" xfId="24944" xr:uid="{00000000-0005-0000-0000-0000FD250000}"/>
    <cellStyle name="40% - Accent4 26" xfId="33500" xr:uid="{00000000-0005-0000-0000-0000FE250000}"/>
    <cellStyle name="40% - Accent4 27" xfId="47035" xr:uid="{00000000-0005-0000-0000-0000FF250000}"/>
    <cellStyle name="40% - Accent4 3" xfId="648" xr:uid="{00000000-0005-0000-0000-000000260000}"/>
    <cellStyle name="40% - Accent4 4" xfId="649" xr:uid="{00000000-0005-0000-0000-000001260000}"/>
    <cellStyle name="40% - Accent4 5" xfId="650" xr:uid="{00000000-0005-0000-0000-000002260000}"/>
    <cellStyle name="40% - Accent4 6" xfId="651" xr:uid="{00000000-0005-0000-0000-000003260000}"/>
    <cellStyle name="40% - Accent4 7" xfId="652" xr:uid="{00000000-0005-0000-0000-000004260000}"/>
    <cellStyle name="40% - Accent4 8" xfId="653" xr:uid="{00000000-0005-0000-0000-000005260000}"/>
    <cellStyle name="40% - Accent4 9" xfId="654" xr:uid="{00000000-0005-0000-0000-000006260000}"/>
    <cellStyle name="40% - Accent5" xfId="4101" xr:uid="{00000000-0005-0000-0000-000007260000}"/>
    <cellStyle name="40% - Accent5 10" xfId="656" xr:uid="{00000000-0005-0000-0000-000008260000}"/>
    <cellStyle name="40% - Accent5 11" xfId="657" xr:uid="{00000000-0005-0000-0000-000009260000}"/>
    <cellStyle name="40% - Accent5 12" xfId="658" xr:uid="{00000000-0005-0000-0000-00000A260000}"/>
    <cellStyle name="40% - Accent5 13" xfId="659" xr:uid="{00000000-0005-0000-0000-00000B260000}"/>
    <cellStyle name="40% - Accent5 14" xfId="660" xr:uid="{00000000-0005-0000-0000-00000C260000}"/>
    <cellStyle name="40% - Accent5 15" xfId="661" xr:uid="{00000000-0005-0000-0000-00000D260000}"/>
    <cellStyle name="40% - Accent5 16" xfId="662" xr:uid="{00000000-0005-0000-0000-00000E260000}"/>
    <cellStyle name="40% - Accent5 17" xfId="663" xr:uid="{00000000-0005-0000-0000-00000F260000}"/>
    <cellStyle name="40% - Accent5 18" xfId="664" xr:uid="{00000000-0005-0000-0000-000010260000}"/>
    <cellStyle name="40% - Accent5 19" xfId="665" xr:uid="{00000000-0005-0000-0000-000011260000}"/>
    <cellStyle name="40% - Accent5 2" xfId="666" xr:uid="{00000000-0005-0000-0000-000012260000}"/>
    <cellStyle name="40% - Accent5 20" xfId="3644" xr:uid="{00000000-0005-0000-0000-000013260000}"/>
    <cellStyle name="40% - Accent5 20 2" xfId="5566" xr:uid="{00000000-0005-0000-0000-000014260000}"/>
    <cellStyle name="40% - Accent5 20 2 2" xfId="8981" xr:uid="{00000000-0005-0000-0000-000015260000}"/>
    <cellStyle name="40% - Accent5 20 2 2 2" xfId="19391" xr:uid="{00000000-0005-0000-0000-000016260000}"/>
    <cellStyle name="40% - Accent5 20 2 2 2 2" xfId="35505" xr:uid="{00000000-0005-0000-0000-000017260000}"/>
    <cellStyle name="40% - Accent5 20 2 2 3" xfId="28817" xr:uid="{00000000-0005-0000-0000-000018260000}"/>
    <cellStyle name="40% - Accent5 20 2 3" xfId="20123" xr:uid="{00000000-0005-0000-0000-000019260000}"/>
    <cellStyle name="40% - Accent5 20 2 3 2" xfId="36226" xr:uid="{00000000-0005-0000-0000-00001A260000}"/>
    <cellStyle name="40% - Accent5 20 2 4" xfId="32208" xr:uid="{00000000-0005-0000-0000-00001B260000}"/>
    <cellStyle name="40% - Accent5 20 3" xfId="7284" xr:uid="{00000000-0005-0000-0000-00001C260000}"/>
    <cellStyle name="40% - Accent5 20 3 2" xfId="22188" xr:uid="{00000000-0005-0000-0000-00001D260000}"/>
    <cellStyle name="40% - Accent5 20 3 2 2" xfId="38262" xr:uid="{00000000-0005-0000-0000-00001E260000}"/>
    <cellStyle name="40% - Accent5 20 3 3" xfId="30514" xr:uid="{00000000-0005-0000-0000-00001F260000}"/>
    <cellStyle name="40% - Accent5 20 4" xfId="22769" xr:uid="{00000000-0005-0000-0000-000020260000}"/>
    <cellStyle name="40% - Accent5 20 4 2" xfId="38838" xr:uid="{00000000-0005-0000-0000-000021260000}"/>
    <cellStyle name="40% - Accent5 20 5" xfId="33901" xr:uid="{00000000-0005-0000-0000-000022260000}"/>
    <cellStyle name="40% - Accent5 21" xfId="324" xr:uid="{00000000-0005-0000-0000-000023260000}"/>
    <cellStyle name="40% - Accent5 21 2" xfId="6209" xr:uid="{00000000-0005-0000-0000-000024260000}"/>
    <cellStyle name="40% - Accent5 21 2 2" xfId="9623" xr:uid="{00000000-0005-0000-0000-000025260000}"/>
    <cellStyle name="40% - Accent5 21 2 2 2" xfId="21439" xr:uid="{00000000-0005-0000-0000-000026260000}"/>
    <cellStyle name="40% - Accent5 21 2 2 2 2" xfId="37519" xr:uid="{00000000-0005-0000-0000-000027260000}"/>
    <cellStyle name="40% - Accent5 21 2 2 3" xfId="28176" xr:uid="{00000000-0005-0000-0000-000028260000}"/>
    <cellStyle name="40% - Accent5 21 2 3" xfId="22327" xr:uid="{00000000-0005-0000-0000-000029260000}"/>
    <cellStyle name="40% - Accent5 21 2 3 2" xfId="38399" xr:uid="{00000000-0005-0000-0000-00002A260000}"/>
    <cellStyle name="40% - Accent5 21 2 4" xfId="31577" xr:uid="{00000000-0005-0000-0000-00002B260000}"/>
    <cellStyle name="40% - Accent5 21 3" xfId="6901" xr:uid="{00000000-0005-0000-0000-00002C260000}"/>
    <cellStyle name="40% - Accent5 21 3 2" xfId="22160" xr:uid="{00000000-0005-0000-0000-00002D260000}"/>
    <cellStyle name="40% - Accent5 21 3 2 2" xfId="38234" xr:uid="{00000000-0005-0000-0000-00002E260000}"/>
    <cellStyle name="40% - Accent5 21 3 3" xfId="30897" xr:uid="{00000000-0005-0000-0000-00002F260000}"/>
    <cellStyle name="40% - Accent5 21 4" xfId="13084" xr:uid="{00000000-0005-0000-0000-000030260000}"/>
    <cellStyle name="40% - Accent5 21 4 2" xfId="35303" xr:uid="{00000000-0005-0000-0000-000031260000}"/>
    <cellStyle name="40% - Accent5 21 5" xfId="34285" xr:uid="{00000000-0005-0000-0000-000032260000}"/>
    <cellStyle name="40% - Accent5 22" xfId="4519" xr:uid="{00000000-0005-0000-0000-000033260000}"/>
    <cellStyle name="40% - Accent5 22 2" xfId="6311" xr:uid="{00000000-0005-0000-0000-000034260000}"/>
    <cellStyle name="40% - Accent5 22 2 2" xfId="9721" xr:uid="{00000000-0005-0000-0000-000035260000}"/>
    <cellStyle name="40% - Accent5 22 2 2 2" xfId="11626" xr:uid="{00000000-0005-0000-0000-000036260000}"/>
    <cellStyle name="40% - Accent5 22 2 2 2 2" xfId="34809" xr:uid="{00000000-0005-0000-0000-000037260000}"/>
    <cellStyle name="40% - Accent5 22 2 2 3" xfId="28078" xr:uid="{00000000-0005-0000-0000-000038260000}"/>
    <cellStyle name="40% - Accent5 22 2 3" xfId="10361" xr:uid="{00000000-0005-0000-0000-000039260000}"/>
    <cellStyle name="40% - Accent5 22 2 3 2" xfId="34327" xr:uid="{00000000-0005-0000-0000-00003A260000}"/>
    <cellStyle name="40% - Accent5 22 2 4" xfId="31479" xr:uid="{00000000-0005-0000-0000-00003B260000}"/>
    <cellStyle name="40% - Accent5 22 3" xfId="8017" xr:uid="{00000000-0005-0000-0000-00003C260000}"/>
    <cellStyle name="40% - Accent5 22 3 2" xfId="24304" xr:uid="{00000000-0005-0000-0000-00003D260000}"/>
    <cellStyle name="40% - Accent5 22 3 2 2" xfId="40356" xr:uid="{00000000-0005-0000-0000-00003E260000}"/>
    <cellStyle name="40% - Accent5 22 3 3" xfId="29781" xr:uid="{00000000-0005-0000-0000-00003F260000}"/>
    <cellStyle name="40% - Accent5 22 4" xfId="22055" xr:uid="{00000000-0005-0000-0000-000040260000}"/>
    <cellStyle name="40% - Accent5 22 4 2" xfId="38129" xr:uid="{00000000-0005-0000-0000-000041260000}"/>
    <cellStyle name="40% - Accent5 22 5" xfId="33172" xr:uid="{00000000-0005-0000-0000-000042260000}"/>
    <cellStyle name="40% - Accent5 23" xfId="7687" xr:uid="{00000000-0005-0000-0000-000043260000}"/>
    <cellStyle name="40% - Accent5 23 2" xfId="20866" xr:uid="{00000000-0005-0000-0000-000044260000}"/>
    <cellStyle name="40% - Accent5 23 2 2" xfId="36965" xr:uid="{00000000-0005-0000-0000-000045260000}"/>
    <cellStyle name="40% - Accent5 23 3" xfId="30112" xr:uid="{00000000-0005-0000-0000-000046260000}"/>
    <cellStyle name="40% - Accent5 24" xfId="15122" xr:uid="{00000000-0005-0000-0000-000047260000}"/>
    <cellStyle name="40% - Accent5 24 2" xfId="35317" xr:uid="{00000000-0005-0000-0000-000048260000}"/>
    <cellStyle name="40% - Accent5 25" xfId="24946" xr:uid="{00000000-0005-0000-0000-000049260000}"/>
    <cellStyle name="40% - Accent5 26" xfId="33498" xr:uid="{00000000-0005-0000-0000-00004A260000}"/>
    <cellStyle name="40% - Accent5 27" xfId="47037" xr:uid="{00000000-0005-0000-0000-00004B260000}"/>
    <cellStyle name="40% - Accent5 3" xfId="667" xr:uid="{00000000-0005-0000-0000-00004C260000}"/>
    <cellStyle name="40% - Accent5 4" xfId="668" xr:uid="{00000000-0005-0000-0000-00004D260000}"/>
    <cellStyle name="40% - Accent5 5" xfId="669" xr:uid="{00000000-0005-0000-0000-00004E260000}"/>
    <cellStyle name="40% - Accent5 6" xfId="670" xr:uid="{00000000-0005-0000-0000-00004F260000}"/>
    <cellStyle name="40% - Accent5 7" xfId="671" xr:uid="{00000000-0005-0000-0000-000050260000}"/>
    <cellStyle name="40% - Accent5 8" xfId="672" xr:uid="{00000000-0005-0000-0000-000051260000}"/>
    <cellStyle name="40% - Accent5 9" xfId="673" xr:uid="{00000000-0005-0000-0000-000052260000}"/>
    <cellStyle name="40% - Accent6" xfId="4105" xr:uid="{00000000-0005-0000-0000-000053260000}"/>
    <cellStyle name="40% - Accent6 10" xfId="675" xr:uid="{00000000-0005-0000-0000-000054260000}"/>
    <cellStyle name="40% - Accent6 11" xfId="676" xr:uid="{00000000-0005-0000-0000-000055260000}"/>
    <cellStyle name="40% - Accent6 12" xfId="677" xr:uid="{00000000-0005-0000-0000-000056260000}"/>
    <cellStyle name="40% - Accent6 13" xfId="678" xr:uid="{00000000-0005-0000-0000-000057260000}"/>
    <cellStyle name="40% - Accent6 14" xfId="679" xr:uid="{00000000-0005-0000-0000-000058260000}"/>
    <cellStyle name="40% - Accent6 15" xfId="680" xr:uid="{00000000-0005-0000-0000-000059260000}"/>
    <cellStyle name="40% - Accent6 16" xfId="681" xr:uid="{00000000-0005-0000-0000-00005A260000}"/>
    <cellStyle name="40% - Accent6 17" xfId="682" xr:uid="{00000000-0005-0000-0000-00005B260000}"/>
    <cellStyle name="40% - Accent6 18" xfId="683" xr:uid="{00000000-0005-0000-0000-00005C260000}"/>
    <cellStyle name="40% - Accent6 19" xfId="684" xr:uid="{00000000-0005-0000-0000-00005D260000}"/>
    <cellStyle name="40% - Accent6 2" xfId="685" xr:uid="{00000000-0005-0000-0000-00005E260000}"/>
    <cellStyle name="40% - Accent6 20" xfId="3648" xr:uid="{00000000-0005-0000-0000-00005F260000}"/>
    <cellStyle name="40% - Accent6 20 2" xfId="5568" xr:uid="{00000000-0005-0000-0000-000060260000}"/>
    <cellStyle name="40% - Accent6 20 2 2" xfId="8983" xr:uid="{00000000-0005-0000-0000-000061260000}"/>
    <cellStyle name="40% - Accent6 20 2 2 2" xfId="21903" xr:uid="{00000000-0005-0000-0000-000062260000}"/>
    <cellStyle name="40% - Accent6 20 2 2 2 2" xfId="37978" xr:uid="{00000000-0005-0000-0000-000063260000}"/>
    <cellStyle name="40% - Accent6 20 2 2 3" xfId="28815" xr:uid="{00000000-0005-0000-0000-000064260000}"/>
    <cellStyle name="40% - Accent6 20 2 3" xfId="22076" xr:uid="{00000000-0005-0000-0000-000065260000}"/>
    <cellStyle name="40% - Accent6 20 2 3 2" xfId="38150" xr:uid="{00000000-0005-0000-0000-000066260000}"/>
    <cellStyle name="40% - Accent6 20 2 4" xfId="32206" xr:uid="{00000000-0005-0000-0000-000067260000}"/>
    <cellStyle name="40% - Accent6 20 3" xfId="7286" xr:uid="{00000000-0005-0000-0000-000068260000}"/>
    <cellStyle name="40% - Accent6 20 3 2" xfId="20724" xr:uid="{00000000-0005-0000-0000-000069260000}"/>
    <cellStyle name="40% - Accent6 20 3 2 2" xfId="36823" xr:uid="{00000000-0005-0000-0000-00006A260000}"/>
    <cellStyle name="40% - Accent6 20 3 3" xfId="30512" xr:uid="{00000000-0005-0000-0000-00006B260000}"/>
    <cellStyle name="40% - Accent6 20 4" xfId="12597" xr:uid="{00000000-0005-0000-0000-00006C260000}"/>
    <cellStyle name="40% - Accent6 20 4 2" xfId="35290" xr:uid="{00000000-0005-0000-0000-00006D260000}"/>
    <cellStyle name="40% - Accent6 20 5" xfId="33899" xr:uid="{00000000-0005-0000-0000-00006E260000}"/>
    <cellStyle name="40% - Accent6 21" xfId="4468" xr:uid="{00000000-0005-0000-0000-00006F260000}"/>
    <cellStyle name="40% - Accent6 21 2" xfId="6265" xr:uid="{00000000-0005-0000-0000-000070260000}"/>
    <cellStyle name="40% - Accent6 21 2 2" xfId="9675" xr:uid="{00000000-0005-0000-0000-000071260000}"/>
    <cellStyle name="40% - Accent6 21 2 2 2" xfId="21969" xr:uid="{00000000-0005-0000-0000-000072260000}"/>
    <cellStyle name="40% - Accent6 21 2 2 2 2" xfId="38044" xr:uid="{00000000-0005-0000-0000-000073260000}"/>
    <cellStyle name="40% - Accent6 21 2 2 3" xfId="28124" xr:uid="{00000000-0005-0000-0000-000074260000}"/>
    <cellStyle name="40% - Accent6 21 2 3" xfId="20385" xr:uid="{00000000-0005-0000-0000-000075260000}"/>
    <cellStyle name="40% - Accent6 21 2 3 2" xfId="36484" xr:uid="{00000000-0005-0000-0000-000076260000}"/>
    <cellStyle name="40% - Accent6 21 2 4" xfId="31525" xr:uid="{00000000-0005-0000-0000-000077260000}"/>
    <cellStyle name="40% - Accent6 21 3" xfId="7971" xr:uid="{00000000-0005-0000-0000-000078260000}"/>
    <cellStyle name="40% - Accent6 21 3 2" xfId="20964" xr:uid="{00000000-0005-0000-0000-000079260000}"/>
    <cellStyle name="40% - Accent6 21 3 2 2" xfId="37060" xr:uid="{00000000-0005-0000-0000-00007A260000}"/>
    <cellStyle name="40% - Accent6 21 3 3" xfId="29828" xr:uid="{00000000-0005-0000-0000-00007B260000}"/>
    <cellStyle name="40% - Accent6 21 4" xfId="22754" xr:uid="{00000000-0005-0000-0000-00007C260000}"/>
    <cellStyle name="40% - Accent6 21 4 2" xfId="38823" xr:uid="{00000000-0005-0000-0000-00007D260000}"/>
    <cellStyle name="40% - Accent6 21 5" xfId="33218" xr:uid="{00000000-0005-0000-0000-00007E260000}"/>
    <cellStyle name="40% - Accent6 22" xfId="4521" xr:uid="{00000000-0005-0000-0000-00007F260000}"/>
    <cellStyle name="40% - Accent6 22 2" xfId="6313" xr:uid="{00000000-0005-0000-0000-000080260000}"/>
    <cellStyle name="40% - Accent6 22 2 2" xfId="9723" xr:uid="{00000000-0005-0000-0000-000081260000}"/>
    <cellStyle name="40% - Accent6 22 2 2 2" xfId="21467" xr:uid="{00000000-0005-0000-0000-000082260000}"/>
    <cellStyle name="40% - Accent6 22 2 2 2 2" xfId="37547" xr:uid="{00000000-0005-0000-0000-000083260000}"/>
    <cellStyle name="40% - Accent6 22 2 2 3" xfId="28076" xr:uid="{00000000-0005-0000-0000-000084260000}"/>
    <cellStyle name="40% - Accent6 22 2 3" xfId="20403" xr:uid="{00000000-0005-0000-0000-000085260000}"/>
    <cellStyle name="40% - Accent6 22 2 3 2" xfId="36502" xr:uid="{00000000-0005-0000-0000-000086260000}"/>
    <cellStyle name="40% - Accent6 22 2 4" xfId="31477" xr:uid="{00000000-0005-0000-0000-000087260000}"/>
    <cellStyle name="40% - Accent6 22 3" xfId="8019" xr:uid="{00000000-0005-0000-0000-000088260000}"/>
    <cellStyle name="40% - Accent6 22 3 2" xfId="23302" xr:uid="{00000000-0005-0000-0000-000089260000}"/>
    <cellStyle name="40% - Accent6 22 3 2 2" xfId="39369" xr:uid="{00000000-0005-0000-0000-00008A260000}"/>
    <cellStyle name="40% - Accent6 22 3 3" xfId="29779" xr:uid="{00000000-0005-0000-0000-00008B260000}"/>
    <cellStyle name="40% - Accent6 22 4" xfId="10956" xr:uid="{00000000-0005-0000-0000-00008C260000}"/>
    <cellStyle name="40% - Accent6 22 4 2" xfId="34698" xr:uid="{00000000-0005-0000-0000-00008D260000}"/>
    <cellStyle name="40% - Accent6 22 5" xfId="33170" xr:uid="{00000000-0005-0000-0000-00008E260000}"/>
    <cellStyle name="40% - Accent6 23" xfId="7689" xr:uid="{00000000-0005-0000-0000-00008F260000}"/>
    <cellStyle name="40% - Accent6 23 2" xfId="21846" xr:uid="{00000000-0005-0000-0000-000090260000}"/>
    <cellStyle name="40% - Accent6 23 2 2" xfId="37922" xr:uid="{00000000-0005-0000-0000-000091260000}"/>
    <cellStyle name="40% - Accent6 23 3" xfId="30110" xr:uid="{00000000-0005-0000-0000-000092260000}"/>
    <cellStyle name="40% - Accent6 24" xfId="15124" xr:uid="{00000000-0005-0000-0000-000093260000}"/>
    <cellStyle name="40% - Accent6 24 2" xfId="35319" xr:uid="{00000000-0005-0000-0000-000094260000}"/>
    <cellStyle name="40% - Accent6 25" xfId="24948" xr:uid="{00000000-0005-0000-0000-000095260000}"/>
    <cellStyle name="40% - Accent6 26" xfId="33496" xr:uid="{00000000-0005-0000-0000-000096260000}"/>
    <cellStyle name="40% - Accent6 27" xfId="47039" xr:uid="{00000000-0005-0000-0000-000097260000}"/>
    <cellStyle name="40% - Accent6 3" xfId="686" xr:uid="{00000000-0005-0000-0000-000098260000}"/>
    <cellStyle name="40% - Accent6 4" xfId="687" xr:uid="{00000000-0005-0000-0000-000099260000}"/>
    <cellStyle name="40% - Accent6 5" xfId="688" xr:uid="{00000000-0005-0000-0000-00009A260000}"/>
    <cellStyle name="40% - Accent6 6" xfId="689" xr:uid="{00000000-0005-0000-0000-00009B260000}"/>
    <cellStyle name="40% - Accent6 7" xfId="690" xr:uid="{00000000-0005-0000-0000-00009C260000}"/>
    <cellStyle name="40% - Accent6 8" xfId="691" xr:uid="{00000000-0005-0000-0000-00009D260000}"/>
    <cellStyle name="40% - Accent6 9" xfId="692" xr:uid="{00000000-0005-0000-0000-00009E260000}"/>
    <cellStyle name="40% - uthevingsfarge 1" xfId="4570" xr:uid="{00000000-0005-0000-0000-00009F260000}"/>
    <cellStyle name="40% - uthevingsfarge 1 10" xfId="694" xr:uid="{00000000-0005-0000-0000-0000A0260000}"/>
    <cellStyle name="40% - uthevingsfarge 1 10 2" xfId="695" xr:uid="{00000000-0005-0000-0000-0000A1260000}"/>
    <cellStyle name="40% - uthevingsfarge 1 11" xfId="696" xr:uid="{00000000-0005-0000-0000-0000A2260000}"/>
    <cellStyle name="40% - uthevingsfarge 1 11 2" xfId="697" xr:uid="{00000000-0005-0000-0000-0000A3260000}"/>
    <cellStyle name="40% - uthevingsfarge 1 12" xfId="698" xr:uid="{00000000-0005-0000-0000-0000A4260000}"/>
    <cellStyle name="40% - uthevingsfarge 1 12 2" xfId="699" xr:uid="{00000000-0005-0000-0000-0000A5260000}"/>
    <cellStyle name="40% - uthevingsfarge 1 13" xfId="700" xr:uid="{00000000-0005-0000-0000-0000A6260000}"/>
    <cellStyle name="40% - uthevingsfarge 1 13 2" xfId="701" xr:uid="{00000000-0005-0000-0000-0000A7260000}"/>
    <cellStyle name="40% - uthevingsfarge 1 14" xfId="702" xr:uid="{00000000-0005-0000-0000-0000A8260000}"/>
    <cellStyle name="40% - uthevingsfarge 1 14 2" xfId="703" xr:uid="{00000000-0005-0000-0000-0000A9260000}"/>
    <cellStyle name="40% - uthevingsfarge 1 15" xfId="704" xr:uid="{00000000-0005-0000-0000-0000AA260000}"/>
    <cellStyle name="40% - uthevingsfarge 1 15 2" xfId="705" xr:uid="{00000000-0005-0000-0000-0000AB260000}"/>
    <cellStyle name="40% - uthevingsfarge 1 16" xfId="706" xr:uid="{00000000-0005-0000-0000-0000AC260000}"/>
    <cellStyle name="40% - uthevingsfarge 1 16 2" xfId="707" xr:uid="{00000000-0005-0000-0000-0000AD260000}"/>
    <cellStyle name="40% - uthevingsfarge 1 17" xfId="708" xr:uid="{00000000-0005-0000-0000-0000AE260000}"/>
    <cellStyle name="40% - uthevingsfarge 1 17 2" xfId="709" xr:uid="{00000000-0005-0000-0000-0000AF260000}"/>
    <cellStyle name="40% - uthevingsfarge 1 18" xfId="710" xr:uid="{00000000-0005-0000-0000-0000B0260000}"/>
    <cellStyle name="40% - uthevingsfarge 1 18 2" xfId="711" xr:uid="{00000000-0005-0000-0000-0000B1260000}"/>
    <cellStyle name="40% - uthevingsfarge 1 19" xfId="712" xr:uid="{00000000-0005-0000-0000-0000B2260000}"/>
    <cellStyle name="40% - uthevingsfarge 1 19 2" xfId="713" xr:uid="{00000000-0005-0000-0000-0000B3260000}"/>
    <cellStyle name="40% - uthevingsfarge 1 2" xfId="714" xr:uid="{00000000-0005-0000-0000-0000B4260000}"/>
    <cellStyle name="40% - uthevingsfarge 1 2 2" xfId="715" xr:uid="{00000000-0005-0000-0000-0000B5260000}"/>
    <cellStyle name="40% - uthevingsfarge 1 2 3" xfId="716" xr:uid="{00000000-0005-0000-0000-0000B6260000}"/>
    <cellStyle name="40% - uthevingsfarge 1 2 4" xfId="717" xr:uid="{00000000-0005-0000-0000-0000B7260000}"/>
    <cellStyle name="40% - uthevingsfarge 1 2 5" xfId="11101" xr:uid="{00000000-0005-0000-0000-0000B8260000}"/>
    <cellStyle name="40% - uthevingsfarge 1 2 6" xfId="11102" xr:uid="{00000000-0005-0000-0000-0000B9260000}"/>
    <cellStyle name="40% - uthevingsfarge 1 2 7" xfId="11103" xr:uid="{00000000-0005-0000-0000-0000BA260000}"/>
    <cellStyle name="40% - uthevingsfarge 1 2 8" xfId="11104" xr:uid="{00000000-0005-0000-0000-0000BB260000}"/>
    <cellStyle name="40% - uthevingsfarge 1 2 9" xfId="11105" xr:uid="{00000000-0005-0000-0000-0000BC260000}"/>
    <cellStyle name="40% - uthevingsfarge 1 20" xfId="718" xr:uid="{00000000-0005-0000-0000-0000BD260000}"/>
    <cellStyle name="40% - uthevingsfarge 1 20 2" xfId="719" xr:uid="{00000000-0005-0000-0000-0000BE260000}"/>
    <cellStyle name="40% - uthevingsfarge 1 21" xfId="720" xr:uid="{00000000-0005-0000-0000-0000BF260000}"/>
    <cellStyle name="40% - uthevingsfarge 1 22" xfId="721" xr:uid="{00000000-0005-0000-0000-0000C0260000}"/>
    <cellStyle name="40% - uthevingsfarge 1 23" xfId="722" xr:uid="{00000000-0005-0000-0000-0000C1260000}"/>
    <cellStyle name="40% - uthevingsfarge 1 24" xfId="723" xr:uid="{00000000-0005-0000-0000-0000C2260000}"/>
    <cellStyle name="40% - uthevingsfarge 1 25" xfId="724" xr:uid="{00000000-0005-0000-0000-0000C3260000}"/>
    <cellStyle name="40% - uthevingsfarge 1 26" xfId="725" xr:uid="{00000000-0005-0000-0000-0000C4260000}"/>
    <cellStyle name="40% - uthevingsfarge 1 26 10" xfId="6930" xr:uid="{00000000-0005-0000-0000-0000C5260000}"/>
    <cellStyle name="40% - uthevingsfarge 1 26 10 2" xfId="22647" xr:uid="{00000000-0005-0000-0000-0000C6260000}"/>
    <cellStyle name="40% - uthevingsfarge 1 26 10 2 2" xfId="38716" xr:uid="{00000000-0005-0000-0000-0000C7260000}"/>
    <cellStyle name="40% - uthevingsfarge 1 26 10 3" xfId="30868" xr:uid="{00000000-0005-0000-0000-0000C8260000}"/>
    <cellStyle name="40% - uthevingsfarge 1 26 11" xfId="11107" xr:uid="{00000000-0005-0000-0000-0000C9260000}"/>
    <cellStyle name="40% - uthevingsfarge 1 26 12" xfId="34256" xr:uid="{00000000-0005-0000-0000-0000CA260000}"/>
    <cellStyle name="40% - uthevingsfarge 1 26 2" xfId="726" xr:uid="{00000000-0005-0000-0000-0000CB260000}"/>
    <cellStyle name="40% - uthevingsfarge 1 26 3" xfId="3335" xr:uid="{00000000-0005-0000-0000-0000CC260000}"/>
    <cellStyle name="40% - uthevingsfarge 1 26 3 10" xfId="34156" xr:uid="{00000000-0005-0000-0000-0000CD260000}"/>
    <cellStyle name="40% - uthevingsfarge 1 26 3 2" xfId="3567" xr:uid="{00000000-0005-0000-0000-0000CE260000}"/>
    <cellStyle name="40% - uthevingsfarge 1 26 3 2 10" xfId="47166" xr:uid="{00000000-0005-0000-0000-0000CF260000}"/>
    <cellStyle name="40% - uthevingsfarge 1 26 3 2 2" xfId="3997" xr:uid="{00000000-0005-0000-0000-0000D0260000}"/>
    <cellStyle name="40% - uthevingsfarge 1 26 3 2 2 2" xfId="5885" xr:uid="{00000000-0005-0000-0000-0000D1260000}"/>
    <cellStyle name="40% - uthevingsfarge 1 26 3 2 2 2 2" xfId="9300" xr:uid="{00000000-0005-0000-0000-0000D2260000}"/>
    <cellStyle name="40% - uthevingsfarge 1 26 3 2 2 2 2 2" xfId="23486" xr:uid="{00000000-0005-0000-0000-0000D3260000}"/>
    <cellStyle name="40% - uthevingsfarge 1 26 3 2 2 2 2 2 2" xfId="39542" xr:uid="{00000000-0005-0000-0000-0000D4260000}"/>
    <cellStyle name="40% - uthevingsfarge 1 26 3 2 2 2 2 3" xfId="28498" xr:uid="{00000000-0005-0000-0000-0000D5260000}"/>
    <cellStyle name="40% - uthevingsfarge 1 26 3 2 2 2 3" xfId="23935" xr:uid="{00000000-0005-0000-0000-0000D6260000}"/>
    <cellStyle name="40% - uthevingsfarge 1 26 3 2 2 2 3 2" xfId="39989" xr:uid="{00000000-0005-0000-0000-0000D7260000}"/>
    <cellStyle name="40% - uthevingsfarge 1 26 3 2 2 2 4" xfId="31891" xr:uid="{00000000-0005-0000-0000-0000D8260000}"/>
    <cellStyle name="40% - uthevingsfarge 1 26 3 2 2 3" xfId="7603" xr:uid="{00000000-0005-0000-0000-0000D9260000}"/>
    <cellStyle name="40% - uthevingsfarge 1 26 3 2 2 3 2" xfId="23232" xr:uid="{00000000-0005-0000-0000-0000DA260000}"/>
    <cellStyle name="40% - uthevingsfarge 1 26 3 2 2 3 2 2" xfId="39300" xr:uid="{00000000-0005-0000-0000-0000DB260000}"/>
    <cellStyle name="40% - uthevingsfarge 1 26 3 2 2 3 3" xfId="30195" xr:uid="{00000000-0005-0000-0000-0000DC260000}"/>
    <cellStyle name="40% - uthevingsfarge 1 26 3 2 2 4" xfId="18003" xr:uid="{00000000-0005-0000-0000-0000DD260000}"/>
    <cellStyle name="40% - uthevingsfarge 1 26 3 2 2 5" xfId="23699" xr:uid="{00000000-0005-0000-0000-0000DE260000}"/>
    <cellStyle name="40% - uthevingsfarge 1 26 3 2 2 5 2" xfId="39755" xr:uid="{00000000-0005-0000-0000-0000DF260000}"/>
    <cellStyle name="40% - uthevingsfarge 1 26 3 2 2 6" xfId="33582" xr:uid="{00000000-0005-0000-0000-0000E0260000}"/>
    <cellStyle name="40% - uthevingsfarge 1 26 3 2 3" xfId="4937" xr:uid="{00000000-0005-0000-0000-0000E1260000}"/>
    <cellStyle name="40% - uthevingsfarge 1 26 3 2 3 10" xfId="47356" xr:uid="{00000000-0005-0000-0000-0000E2260000}"/>
    <cellStyle name="40% - uthevingsfarge 1 26 3 2 3 2" xfId="6656" xr:uid="{00000000-0005-0000-0000-0000E3260000}"/>
    <cellStyle name="40% - uthevingsfarge 1 26 3 2 3 2 2" xfId="10062" xr:uid="{00000000-0005-0000-0000-0000E4260000}"/>
    <cellStyle name="40% - uthevingsfarge 1 26 3 2 3 2 2 2" xfId="22630" xr:uid="{00000000-0005-0000-0000-0000E5260000}"/>
    <cellStyle name="40% - uthevingsfarge 1 26 3 2 3 2 2 2 2" xfId="38699" xr:uid="{00000000-0005-0000-0000-0000E6260000}"/>
    <cellStyle name="40% - uthevingsfarge 1 26 3 2 3 2 2 3" xfId="27737" xr:uid="{00000000-0005-0000-0000-0000E7260000}"/>
    <cellStyle name="40% - uthevingsfarge 1 26 3 2 3 2 3" xfId="20534" xr:uid="{00000000-0005-0000-0000-0000E8260000}"/>
    <cellStyle name="40% - uthevingsfarge 1 26 3 2 3 2 3 2" xfId="36633" xr:uid="{00000000-0005-0000-0000-0000E9260000}"/>
    <cellStyle name="40% - uthevingsfarge 1 26 3 2 3 2 4" xfId="31138" xr:uid="{00000000-0005-0000-0000-0000EA260000}"/>
    <cellStyle name="40% - uthevingsfarge 1 26 3 2 3 2 5" xfId="43050" xr:uid="{00000000-0005-0000-0000-0000EB260000}"/>
    <cellStyle name="40% - uthevingsfarge 1 26 3 2 3 2 6" xfId="43347" xr:uid="{00000000-0005-0000-0000-0000EC260000}"/>
    <cellStyle name="40% - uthevingsfarge 1 26 3 2 3 2 7" xfId="46195" xr:uid="{00000000-0005-0000-0000-0000ED260000}"/>
    <cellStyle name="40% - uthevingsfarge 1 26 3 2 3 2 8" xfId="46967" xr:uid="{00000000-0005-0000-0000-0000EE260000}"/>
    <cellStyle name="40% - uthevingsfarge 1 26 3 2 3 2 9" xfId="47552" xr:uid="{00000000-0005-0000-0000-0000EF260000}"/>
    <cellStyle name="40% - uthevingsfarge 1 26 3 2 3 3" xfId="8359" xr:uid="{00000000-0005-0000-0000-0000F0260000}"/>
    <cellStyle name="40% - uthevingsfarge 1 26 3 2 3 3 2" xfId="24353" xr:uid="{00000000-0005-0000-0000-0000F1260000}"/>
    <cellStyle name="40% - uthevingsfarge 1 26 3 2 3 3 2 2" xfId="40400" xr:uid="{00000000-0005-0000-0000-0000F2260000}"/>
    <cellStyle name="40% - uthevingsfarge 1 26 3 2 3 3 3" xfId="29439" xr:uid="{00000000-0005-0000-0000-0000F3260000}"/>
    <cellStyle name="40% - uthevingsfarge 1 26 3 2 3 3 4" xfId="43921" xr:uid="{00000000-0005-0000-0000-0000F4260000}"/>
    <cellStyle name="40% - uthevingsfarge 1 26 3 2 3 4" xfId="16495" xr:uid="{00000000-0005-0000-0000-0000F5260000}"/>
    <cellStyle name="40% - uthevingsfarge 1 26 3 2 3 4 2" xfId="35442" xr:uid="{00000000-0005-0000-0000-0000F6260000}"/>
    <cellStyle name="40% - uthevingsfarge 1 26 3 2 3 5" xfId="25104" xr:uid="{00000000-0005-0000-0000-0000F7260000}"/>
    <cellStyle name="40% - uthevingsfarge 1 26 3 2 3 6" xfId="25286" xr:uid="{00000000-0005-0000-0000-0000F8260000}"/>
    <cellStyle name="40% - uthevingsfarge 1 26 3 2 3 7" xfId="32830" xr:uid="{00000000-0005-0000-0000-0000F9260000}"/>
    <cellStyle name="40% - uthevingsfarge 1 26 3 2 3 8" xfId="43808" xr:uid="{00000000-0005-0000-0000-0000FA260000}"/>
    <cellStyle name="40% - uthevingsfarge 1 26 3 2 3 9" xfId="46733" xr:uid="{00000000-0005-0000-0000-0000FB260000}"/>
    <cellStyle name="40% - uthevingsfarge 1 26 3 2 4" xfId="5491" xr:uid="{00000000-0005-0000-0000-0000FC260000}"/>
    <cellStyle name="40% - uthevingsfarge 1 26 3 2 4 2" xfId="8906" xr:uid="{00000000-0005-0000-0000-0000FD260000}"/>
    <cellStyle name="40% - uthevingsfarge 1 26 3 2 4 2 2" xfId="22748" xr:uid="{00000000-0005-0000-0000-0000FE260000}"/>
    <cellStyle name="40% - uthevingsfarge 1 26 3 2 4 2 2 2" xfId="38817" xr:uid="{00000000-0005-0000-0000-0000FF260000}"/>
    <cellStyle name="40% - uthevingsfarge 1 26 3 2 4 2 3" xfId="28892" xr:uid="{00000000-0005-0000-0000-000000270000}"/>
    <cellStyle name="40% - uthevingsfarge 1 26 3 2 4 3" xfId="10690" xr:uid="{00000000-0005-0000-0000-000001270000}"/>
    <cellStyle name="40% - uthevingsfarge 1 26 3 2 4 3 2" xfId="34538" xr:uid="{00000000-0005-0000-0000-000002270000}"/>
    <cellStyle name="40% - uthevingsfarge 1 26 3 2 4 4" xfId="32283" xr:uid="{00000000-0005-0000-0000-000003270000}"/>
    <cellStyle name="40% - uthevingsfarge 1 26 3 2 5" xfId="7209" xr:uid="{00000000-0005-0000-0000-000004270000}"/>
    <cellStyle name="40% - uthevingsfarge 1 26 3 2 5 2" xfId="23163" xr:uid="{00000000-0005-0000-0000-000005270000}"/>
    <cellStyle name="40% - uthevingsfarge 1 26 3 2 5 2 2" xfId="39232" xr:uid="{00000000-0005-0000-0000-000006270000}"/>
    <cellStyle name="40% - uthevingsfarge 1 26 3 2 5 3" xfId="30589" xr:uid="{00000000-0005-0000-0000-000007270000}"/>
    <cellStyle name="40% - uthevingsfarge 1 26 3 2 6" xfId="11109" xr:uid="{00000000-0005-0000-0000-000008270000}"/>
    <cellStyle name="40% - uthevingsfarge 1 26 3 2 7" xfId="33976" xr:uid="{00000000-0005-0000-0000-000009270000}"/>
    <cellStyle name="40% - uthevingsfarge 1 26 3 2 8" xfId="43599" xr:uid="{00000000-0005-0000-0000-00000A270000}"/>
    <cellStyle name="40% - uthevingsfarge 1 26 3 2 9" xfId="46505" xr:uid="{00000000-0005-0000-0000-00000B270000}"/>
    <cellStyle name="40% - uthevingsfarge 1 26 3 2_Avviksanalyse løpende RNB15 (1)" xfId="16611" xr:uid="{00000000-0005-0000-0000-00000C270000}"/>
    <cellStyle name="40% - uthevingsfarge 1 26 3 3" xfId="3817" xr:uid="{00000000-0005-0000-0000-00000D270000}"/>
    <cellStyle name="40% - uthevingsfarge 1 26 3 3 2" xfId="5705" xr:uid="{00000000-0005-0000-0000-00000E270000}"/>
    <cellStyle name="40% - uthevingsfarge 1 26 3 3 2 2" xfId="9120" xr:uid="{00000000-0005-0000-0000-00000F270000}"/>
    <cellStyle name="40% - uthevingsfarge 1 26 3 3 2 2 2" xfId="21281" xr:uid="{00000000-0005-0000-0000-000010270000}"/>
    <cellStyle name="40% - uthevingsfarge 1 26 3 3 2 2 2 2" xfId="37361" xr:uid="{00000000-0005-0000-0000-000011270000}"/>
    <cellStyle name="40% - uthevingsfarge 1 26 3 3 2 2 3" xfId="28678" xr:uid="{00000000-0005-0000-0000-000012270000}"/>
    <cellStyle name="40% - uthevingsfarge 1 26 3 3 2 3" xfId="20177" xr:uid="{00000000-0005-0000-0000-000013270000}"/>
    <cellStyle name="40% - uthevingsfarge 1 26 3 3 2 3 2" xfId="36277" xr:uid="{00000000-0005-0000-0000-000014270000}"/>
    <cellStyle name="40% - uthevingsfarge 1 26 3 3 2 4" xfId="32069" xr:uid="{00000000-0005-0000-0000-000015270000}"/>
    <cellStyle name="40% - uthevingsfarge 1 26 3 3 3" xfId="7423" xr:uid="{00000000-0005-0000-0000-000016270000}"/>
    <cellStyle name="40% - uthevingsfarge 1 26 3 3 3 2" xfId="20776" xr:uid="{00000000-0005-0000-0000-000017270000}"/>
    <cellStyle name="40% - uthevingsfarge 1 26 3 3 3 2 2" xfId="36875" xr:uid="{00000000-0005-0000-0000-000018270000}"/>
    <cellStyle name="40% - uthevingsfarge 1 26 3 3 3 3" xfId="30375" xr:uid="{00000000-0005-0000-0000-000019270000}"/>
    <cellStyle name="40% - uthevingsfarge 1 26 3 3 4" xfId="21718" xr:uid="{00000000-0005-0000-0000-00001A270000}"/>
    <cellStyle name="40% - uthevingsfarge 1 26 3 3 4 2" xfId="37796" xr:uid="{00000000-0005-0000-0000-00001B270000}"/>
    <cellStyle name="40% - uthevingsfarge 1 26 3 3 5" xfId="33762" xr:uid="{00000000-0005-0000-0000-00001C270000}"/>
    <cellStyle name="40% - uthevingsfarge 1 26 3 4" xfId="4302" xr:uid="{00000000-0005-0000-0000-00001D270000}"/>
    <cellStyle name="40% - uthevingsfarge 1 26 3 4 2" xfId="6131" xr:uid="{00000000-0005-0000-0000-00001E270000}"/>
    <cellStyle name="40% - uthevingsfarge 1 26 3 4 2 2" xfId="9545" xr:uid="{00000000-0005-0000-0000-00001F270000}"/>
    <cellStyle name="40% - uthevingsfarge 1 26 3 4 2 2 2" xfId="10425" xr:uid="{00000000-0005-0000-0000-000020270000}"/>
    <cellStyle name="40% - uthevingsfarge 1 26 3 4 2 2 2 2" xfId="34357" xr:uid="{00000000-0005-0000-0000-000021270000}"/>
    <cellStyle name="40% - uthevingsfarge 1 26 3 4 2 2 3" xfId="28253" xr:uid="{00000000-0005-0000-0000-000022270000}"/>
    <cellStyle name="40% - uthevingsfarge 1 26 3 4 2 3" xfId="20333" xr:uid="{00000000-0005-0000-0000-000023270000}"/>
    <cellStyle name="40% - uthevingsfarge 1 26 3 4 2 3 2" xfId="36432" xr:uid="{00000000-0005-0000-0000-000024270000}"/>
    <cellStyle name="40% - uthevingsfarge 1 26 3 4 2 4" xfId="31648" xr:uid="{00000000-0005-0000-0000-000025270000}"/>
    <cellStyle name="40% - uthevingsfarge 1 26 3 4 3" xfId="7864" xr:uid="{00000000-0005-0000-0000-000026270000}"/>
    <cellStyle name="40% - uthevingsfarge 1 26 3 4 3 2" xfId="10624" xr:uid="{00000000-0005-0000-0000-000027270000}"/>
    <cellStyle name="40% - uthevingsfarge 1 26 3 4 3 2 2" xfId="34472" xr:uid="{00000000-0005-0000-0000-000028270000}"/>
    <cellStyle name="40% - uthevingsfarge 1 26 3 4 3 3" xfId="29935" xr:uid="{00000000-0005-0000-0000-000029270000}"/>
    <cellStyle name="40% - uthevingsfarge 1 26 3 4 4" xfId="20000" xr:uid="{00000000-0005-0000-0000-00002A270000}"/>
    <cellStyle name="40% - uthevingsfarge 1 26 3 4 4 2" xfId="36104" xr:uid="{00000000-0005-0000-0000-00002B270000}"/>
    <cellStyle name="40% - uthevingsfarge 1 26 3 4 5" xfId="33323" xr:uid="{00000000-0005-0000-0000-00002C270000}"/>
    <cellStyle name="40% - uthevingsfarge 1 26 3 5" xfId="4757" xr:uid="{00000000-0005-0000-0000-00002D270000}"/>
    <cellStyle name="40% - uthevingsfarge 1 26 3 5 2" xfId="6477" xr:uid="{00000000-0005-0000-0000-00002E270000}"/>
    <cellStyle name="40% - uthevingsfarge 1 26 3 5 2 2" xfId="9883" xr:uid="{00000000-0005-0000-0000-00002F270000}"/>
    <cellStyle name="40% - uthevingsfarge 1 26 3 5 2 2 2" xfId="24581" xr:uid="{00000000-0005-0000-0000-000030270000}"/>
    <cellStyle name="40% - uthevingsfarge 1 26 3 5 2 2 2 2" xfId="40625" xr:uid="{00000000-0005-0000-0000-000031270000}"/>
    <cellStyle name="40% - uthevingsfarge 1 26 3 5 2 2 3" xfId="27916" xr:uid="{00000000-0005-0000-0000-000032270000}"/>
    <cellStyle name="40% - uthevingsfarge 1 26 3 5 2 3" xfId="22133" xr:uid="{00000000-0005-0000-0000-000033270000}"/>
    <cellStyle name="40% - uthevingsfarge 1 26 3 5 2 3 2" xfId="38207" xr:uid="{00000000-0005-0000-0000-000034270000}"/>
    <cellStyle name="40% - uthevingsfarge 1 26 3 5 2 4" xfId="31317" xr:uid="{00000000-0005-0000-0000-000035270000}"/>
    <cellStyle name="40% - uthevingsfarge 1 26 3 5 3" xfId="8179" xr:uid="{00000000-0005-0000-0000-000036270000}"/>
    <cellStyle name="40% - uthevingsfarge 1 26 3 5 3 2" xfId="23325" xr:uid="{00000000-0005-0000-0000-000037270000}"/>
    <cellStyle name="40% - uthevingsfarge 1 26 3 5 3 2 2" xfId="39390" xr:uid="{00000000-0005-0000-0000-000038270000}"/>
    <cellStyle name="40% - uthevingsfarge 1 26 3 5 3 3" xfId="29618" xr:uid="{00000000-0005-0000-0000-000039270000}"/>
    <cellStyle name="40% - uthevingsfarge 1 26 3 5 4" xfId="22732" xr:uid="{00000000-0005-0000-0000-00003A270000}"/>
    <cellStyle name="40% - uthevingsfarge 1 26 3 5 4 2" xfId="38801" xr:uid="{00000000-0005-0000-0000-00003B270000}"/>
    <cellStyle name="40% - uthevingsfarge 1 26 3 5 5" xfId="33010" xr:uid="{00000000-0005-0000-0000-00003C270000}"/>
    <cellStyle name="40% - uthevingsfarge 1 26 3 6" xfId="5117" xr:uid="{00000000-0005-0000-0000-00003D270000}"/>
    <cellStyle name="40% - uthevingsfarge 1 26 3 6 2" xfId="6836" xr:uid="{00000000-0005-0000-0000-00003E270000}"/>
    <cellStyle name="40% - uthevingsfarge 1 26 3 6 2 2" xfId="10242" xr:uid="{00000000-0005-0000-0000-00003F270000}"/>
    <cellStyle name="40% - uthevingsfarge 1 26 3 6 2 2 2" xfId="24685" xr:uid="{00000000-0005-0000-0000-000040270000}"/>
    <cellStyle name="40% - uthevingsfarge 1 26 3 6 2 2 2 2" xfId="40728" xr:uid="{00000000-0005-0000-0000-000041270000}"/>
    <cellStyle name="40% - uthevingsfarge 1 26 3 6 2 2 3" xfId="27557" xr:uid="{00000000-0005-0000-0000-000042270000}"/>
    <cellStyle name="40% - uthevingsfarge 1 26 3 6 2 3" xfId="24104" xr:uid="{00000000-0005-0000-0000-000043270000}"/>
    <cellStyle name="40% - uthevingsfarge 1 26 3 6 2 3 2" xfId="40157" xr:uid="{00000000-0005-0000-0000-000044270000}"/>
    <cellStyle name="40% - uthevingsfarge 1 26 3 6 2 4" xfId="30958" xr:uid="{00000000-0005-0000-0000-000045270000}"/>
    <cellStyle name="40% - uthevingsfarge 1 26 3 6 3" xfId="8539" xr:uid="{00000000-0005-0000-0000-000046270000}"/>
    <cellStyle name="40% - uthevingsfarge 1 26 3 6 3 2" xfId="11837" xr:uid="{00000000-0005-0000-0000-000047270000}"/>
    <cellStyle name="40% - uthevingsfarge 1 26 3 6 3 2 2" xfId="34889" xr:uid="{00000000-0005-0000-0000-000048270000}"/>
    <cellStyle name="40% - uthevingsfarge 1 26 3 6 3 3" xfId="29259" xr:uid="{00000000-0005-0000-0000-000049270000}"/>
    <cellStyle name="40% - uthevingsfarge 1 26 3 6 4" xfId="21659" xr:uid="{00000000-0005-0000-0000-00004A270000}"/>
    <cellStyle name="40% - uthevingsfarge 1 26 3 6 4 2" xfId="37739" xr:uid="{00000000-0005-0000-0000-00004B270000}"/>
    <cellStyle name="40% - uthevingsfarge 1 26 3 6 5" xfId="32650" xr:uid="{00000000-0005-0000-0000-00004C270000}"/>
    <cellStyle name="40% - uthevingsfarge 1 26 3 7" xfId="5296" xr:uid="{00000000-0005-0000-0000-00004D270000}"/>
    <cellStyle name="40% - uthevingsfarge 1 26 3 7 2" xfId="8711" xr:uid="{00000000-0005-0000-0000-00004E270000}"/>
    <cellStyle name="40% - uthevingsfarge 1 26 3 7 2 2" xfId="21165" xr:uid="{00000000-0005-0000-0000-00004F270000}"/>
    <cellStyle name="40% - uthevingsfarge 1 26 3 7 2 2 2" xfId="37245" xr:uid="{00000000-0005-0000-0000-000050270000}"/>
    <cellStyle name="40% - uthevingsfarge 1 26 3 7 2 3" xfId="29087" xr:uid="{00000000-0005-0000-0000-000051270000}"/>
    <cellStyle name="40% - uthevingsfarge 1 26 3 7 3" xfId="20076" xr:uid="{00000000-0005-0000-0000-000052270000}"/>
    <cellStyle name="40% - uthevingsfarge 1 26 3 7 3 2" xfId="36180" xr:uid="{00000000-0005-0000-0000-000053270000}"/>
    <cellStyle name="40% - uthevingsfarge 1 26 3 7 4" xfId="32478" xr:uid="{00000000-0005-0000-0000-000054270000}"/>
    <cellStyle name="40% - uthevingsfarge 1 26 3 8" xfId="7029" xr:uid="{00000000-0005-0000-0000-000055270000}"/>
    <cellStyle name="40% - uthevingsfarge 1 26 3 8 2" xfId="24135" xr:uid="{00000000-0005-0000-0000-000056270000}"/>
    <cellStyle name="40% - uthevingsfarge 1 26 3 8 2 2" xfId="40188" xr:uid="{00000000-0005-0000-0000-000057270000}"/>
    <cellStyle name="40% - uthevingsfarge 1 26 3 8 3" xfId="30769" xr:uid="{00000000-0005-0000-0000-000058270000}"/>
    <cellStyle name="40% - uthevingsfarge 1 26 3 9" xfId="11108" xr:uid="{00000000-0005-0000-0000-000059270000}"/>
    <cellStyle name="40% - uthevingsfarge 1 26 4" xfId="3482" xr:uid="{00000000-0005-0000-0000-00005A270000}"/>
    <cellStyle name="40% - uthevingsfarge 1 26 4 10" xfId="47098" xr:uid="{00000000-0005-0000-0000-00005B270000}"/>
    <cellStyle name="40% - uthevingsfarge 1 26 4 2" xfId="3918" xr:uid="{00000000-0005-0000-0000-00005C270000}"/>
    <cellStyle name="40% - uthevingsfarge 1 26 4 2 2" xfId="5806" xr:uid="{00000000-0005-0000-0000-00005D270000}"/>
    <cellStyle name="40% - uthevingsfarge 1 26 4 2 2 2" xfId="9221" xr:uid="{00000000-0005-0000-0000-00005E270000}"/>
    <cellStyle name="40% - uthevingsfarge 1 26 4 2 2 2 2" xfId="21320" xr:uid="{00000000-0005-0000-0000-00005F270000}"/>
    <cellStyle name="40% - uthevingsfarge 1 26 4 2 2 2 2 2" xfId="37400" xr:uid="{00000000-0005-0000-0000-000060270000}"/>
    <cellStyle name="40% - uthevingsfarge 1 26 4 2 2 2 3" xfId="28577" xr:uid="{00000000-0005-0000-0000-000061270000}"/>
    <cellStyle name="40% - uthevingsfarge 1 26 4 2 2 3" xfId="22918" xr:uid="{00000000-0005-0000-0000-000062270000}"/>
    <cellStyle name="40% - uthevingsfarge 1 26 4 2 2 3 2" xfId="38987" xr:uid="{00000000-0005-0000-0000-000063270000}"/>
    <cellStyle name="40% - uthevingsfarge 1 26 4 2 2 4" xfId="31968" xr:uid="{00000000-0005-0000-0000-000064270000}"/>
    <cellStyle name="40% - uthevingsfarge 1 26 4 2 3" xfId="7524" xr:uid="{00000000-0005-0000-0000-000065270000}"/>
    <cellStyle name="40% - uthevingsfarge 1 26 4 2 3 2" xfId="10630" xr:uid="{00000000-0005-0000-0000-000066270000}"/>
    <cellStyle name="40% - uthevingsfarge 1 26 4 2 3 2 2" xfId="34478" xr:uid="{00000000-0005-0000-0000-000067270000}"/>
    <cellStyle name="40% - uthevingsfarge 1 26 4 2 3 3" xfId="30274" xr:uid="{00000000-0005-0000-0000-000068270000}"/>
    <cellStyle name="40% - uthevingsfarge 1 26 4 2 4" xfId="18004" xr:uid="{00000000-0005-0000-0000-000069270000}"/>
    <cellStyle name="40% - uthevingsfarge 1 26 4 2 5" xfId="19557" xr:uid="{00000000-0005-0000-0000-00006A270000}"/>
    <cellStyle name="40% - uthevingsfarge 1 26 4 2 5 2" xfId="35671" xr:uid="{00000000-0005-0000-0000-00006B270000}"/>
    <cellStyle name="40% - uthevingsfarge 1 26 4 2 6" xfId="33661" xr:uid="{00000000-0005-0000-0000-00006C270000}"/>
    <cellStyle name="40% - uthevingsfarge 1 26 4 3" xfId="4858" xr:uid="{00000000-0005-0000-0000-00006D270000}"/>
    <cellStyle name="40% - uthevingsfarge 1 26 4 3 10" xfId="47288" xr:uid="{00000000-0005-0000-0000-00006E270000}"/>
    <cellStyle name="40% - uthevingsfarge 1 26 4 3 2" xfId="6577" xr:uid="{00000000-0005-0000-0000-00006F270000}"/>
    <cellStyle name="40% - uthevingsfarge 1 26 4 3 2 2" xfId="9983" xr:uid="{00000000-0005-0000-0000-000070270000}"/>
    <cellStyle name="40% - uthevingsfarge 1 26 4 3 2 2 2" xfId="21559" xr:uid="{00000000-0005-0000-0000-000071270000}"/>
    <cellStyle name="40% - uthevingsfarge 1 26 4 3 2 2 2 2" xfId="37639" xr:uid="{00000000-0005-0000-0000-000072270000}"/>
    <cellStyle name="40% - uthevingsfarge 1 26 4 3 2 2 3" xfId="27816" xr:uid="{00000000-0005-0000-0000-000073270000}"/>
    <cellStyle name="40% - uthevingsfarge 1 26 4 3 2 3" xfId="20504" xr:uid="{00000000-0005-0000-0000-000074270000}"/>
    <cellStyle name="40% - uthevingsfarge 1 26 4 3 2 3 2" xfId="36603" xr:uid="{00000000-0005-0000-0000-000075270000}"/>
    <cellStyle name="40% - uthevingsfarge 1 26 4 3 2 4" xfId="31217" xr:uid="{00000000-0005-0000-0000-000076270000}"/>
    <cellStyle name="40% - uthevingsfarge 1 26 4 3 2 5" xfId="42843" xr:uid="{00000000-0005-0000-0000-000077270000}"/>
    <cellStyle name="40% - uthevingsfarge 1 26 4 3 2 6" xfId="43281" xr:uid="{00000000-0005-0000-0000-000078270000}"/>
    <cellStyle name="40% - uthevingsfarge 1 26 4 3 2 7" xfId="46129" xr:uid="{00000000-0005-0000-0000-000079270000}"/>
    <cellStyle name="40% - uthevingsfarge 1 26 4 3 2 8" xfId="46898" xr:uid="{00000000-0005-0000-0000-00007A270000}"/>
    <cellStyle name="40% - uthevingsfarge 1 26 4 3 2 9" xfId="47484" xr:uid="{00000000-0005-0000-0000-00007B270000}"/>
    <cellStyle name="40% - uthevingsfarge 1 26 4 3 3" xfId="8280" xr:uid="{00000000-0005-0000-0000-00007C270000}"/>
    <cellStyle name="40% - uthevingsfarge 1 26 4 3 3 2" xfId="21050" xr:uid="{00000000-0005-0000-0000-00007D270000}"/>
    <cellStyle name="40% - uthevingsfarge 1 26 4 3 3 2 2" xfId="37140" xr:uid="{00000000-0005-0000-0000-00007E270000}"/>
    <cellStyle name="40% - uthevingsfarge 1 26 4 3 3 3" xfId="29517" xr:uid="{00000000-0005-0000-0000-00007F270000}"/>
    <cellStyle name="40% - uthevingsfarge 1 26 4 3 3 4" xfId="43922" xr:uid="{00000000-0005-0000-0000-000080270000}"/>
    <cellStyle name="40% - uthevingsfarge 1 26 4 3 4" xfId="16288" xr:uid="{00000000-0005-0000-0000-000081270000}"/>
    <cellStyle name="40% - uthevingsfarge 1 26 4 3 4 2" xfId="35376" xr:uid="{00000000-0005-0000-0000-000082270000}"/>
    <cellStyle name="40% - uthevingsfarge 1 26 4 3 5" xfId="25035" xr:uid="{00000000-0005-0000-0000-000083270000}"/>
    <cellStyle name="40% - uthevingsfarge 1 26 4 3 6" xfId="25287" xr:uid="{00000000-0005-0000-0000-000084270000}"/>
    <cellStyle name="40% - uthevingsfarge 1 26 4 3 7" xfId="32909" xr:uid="{00000000-0005-0000-0000-000085270000}"/>
    <cellStyle name="40% - uthevingsfarge 1 26 4 3 8" xfId="43741" xr:uid="{00000000-0005-0000-0000-000086270000}"/>
    <cellStyle name="40% - uthevingsfarge 1 26 4 3 9" xfId="46667" xr:uid="{00000000-0005-0000-0000-000087270000}"/>
    <cellStyle name="40% - uthevingsfarge 1 26 4 4" xfId="5417" xr:uid="{00000000-0005-0000-0000-000088270000}"/>
    <cellStyle name="40% - uthevingsfarge 1 26 4 4 2" xfId="8832" xr:uid="{00000000-0005-0000-0000-000089270000}"/>
    <cellStyle name="40% - uthevingsfarge 1 26 4 4 2 2" xfId="21677" xr:uid="{00000000-0005-0000-0000-00008A270000}"/>
    <cellStyle name="40% - uthevingsfarge 1 26 4 4 2 2 2" xfId="37757" xr:uid="{00000000-0005-0000-0000-00008B270000}"/>
    <cellStyle name="40% - uthevingsfarge 1 26 4 4 2 3" xfId="28966" xr:uid="{00000000-0005-0000-0000-00008C270000}"/>
    <cellStyle name="40% - uthevingsfarge 1 26 4 4 3" xfId="20089" xr:uid="{00000000-0005-0000-0000-00008D270000}"/>
    <cellStyle name="40% - uthevingsfarge 1 26 4 4 3 2" xfId="36193" xr:uid="{00000000-0005-0000-0000-00008E270000}"/>
    <cellStyle name="40% - uthevingsfarge 1 26 4 4 4" xfId="32357" xr:uid="{00000000-0005-0000-0000-00008F270000}"/>
    <cellStyle name="40% - uthevingsfarge 1 26 4 5" xfId="7130" xr:uid="{00000000-0005-0000-0000-000090270000}"/>
    <cellStyle name="40% - uthevingsfarge 1 26 4 5 2" xfId="22177" xr:uid="{00000000-0005-0000-0000-000091270000}"/>
    <cellStyle name="40% - uthevingsfarge 1 26 4 5 2 2" xfId="38251" xr:uid="{00000000-0005-0000-0000-000092270000}"/>
    <cellStyle name="40% - uthevingsfarge 1 26 4 5 3" xfId="30668" xr:uid="{00000000-0005-0000-0000-000093270000}"/>
    <cellStyle name="40% - uthevingsfarge 1 26 4 6" xfId="11110" xr:uid="{00000000-0005-0000-0000-000094270000}"/>
    <cellStyle name="40% - uthevingsfarge 1 26 4 7" xfId="34055" xr:uid="{00000000-0005-0000-0000-000095270000}"/>
    <cellStyle name="40% - uthevingsfarge 1 26 4 8" xfId="43533" xr:uid="{00000000-0005-0000-0000-000096270000}"/>
    <cellStyle name="40% - uthevingsfarge 1 26 4 9" xfId="46437" xr:uid="{00000000-0005-0000-0000-000097270000}"/>
    <cellStyle name="40% - uthevingsfarge 1 26 4_Avviksanalyse løpende RNB15 (1)" xfId="16612" xr:uid="{00000000-0005-0000-0000-000098270000}"/>
    <cellStyle name="40% - uthevingsfarge 1 26 5" xfId="3739" xr:uid="{00000000-0005-0000-0000-000099270000}"/>
    <cellStyle name="40% - uthevingsfarge 1 26 5 2" xfId="5627" xr:uid="{00000000-0005-0000-0000-00009A270000}"/>
    <cellStyle name="40% - uthevingsfarge 1 26 5 2 2" xfId="9042" xr:uid="{00000000-0005-0000-0000-00009B270000}"/>
    <cellStyle name="40% - uthevingsfarge 1 26 5 2 2 2" xfId="21260" xr:uid="{00000000-0005-0000-0000-00009C270000}"/>
    <cellStyle name="40% - uthevingsfarge 1 26 5 2 2 2 2" xfId="37340" xr:uid="{00000000-0005-0000-0000-00009D270000}"/>
    <cellStyle name="40% - uthevingsfarge 1 26 5 2 2 3" xfId="28756" xr:uid="{00000000-0005-0000-0000-00009E270000}"/>
    <cellStyle name="40% - uthevingsfarge 1 26 5 2 3" xfId="20145" xr:uid="{00000000-0005-0000-0000-00009F270000}"/>
    <cellStyle name="40% - uthevingsfarge 1 26 5 2 3 2" xfId="36247" xr:uid="{00000000-0005-0000-0000-0000A0270000}"/>
    <cellStyle name="40% - uthevingsfarge 1 26 5 2 4" xfId="32147" xr:uid="{00000000-0005-0000-0000-0000A1270000}"/>
    <cellStyle name="40% - uthevingsfarge 1 26 5 3" xfId="7345" xr:uid="{00000000-0005-0000-0000-0000A2270000}"/>
    <cellStyle name="40% - uthevingsfarge 1 26 5 3 2" xfId="22439" xr:uid="{00000000-0005-0000-0000-0000A3270000}"/>
    <cellStyle name="40% - uthevingsfarge 1 26 5 3 2 2" xfId="38511" xr:uid="{00000000-0005-0000-0000-0000A4270000}"/>
    <cellStyle name="40% - uthevingsfarge 1 26 5 3 3" xfId="30453" xr:uid="{00000000-0005-0000-0000-0000A5270000}"/>
    <cellStyle name="40% - uthevingsfarge 1 26 5 4" xfId="12585" xr:uid="{00000000-0005-0000-0000-0000A6270000}"/>
    <cellStyle name="40% - uthevingsfarge 1 26 5 4 2" xfId="35285" xr:uid="{00000000-0005-0000-0000-0000A7270000}"/>
    <cellStyle name="40% - uthevingsfarge 1 26 5 5" xfId="33840" xr:uid="{00000000-0005-0000-0000-0000A8270000}"/>
    <cellStyle name="40% - uthevingsfarge 1 26 6" xfId="4209" xr:uid="{00000000-0005-0000-0000-0000A9270000}"/>
    <cellStyle name="40% - uthevingsfarge 1 26 6 2" xfId="6046" xr:uid="{00000000-0005-0000-0000-0000AA270000}"/>
    <cellStyle name="40% - uthevingsfarge 1 26 6 2 2" xfId="9461" xr:uid="{00000000-0005-0000-0000-0000AB270000}"/>
    <cellStyle name="40% - uthevingsfarge 1 26 6 2 2 2" xfId="23511" xr:uid="{00000000-0005-0000-0000-0000AC270000}"/>
    <cellStyle name="40% - uthevingsfarge 1 26 6 2 2 2 2" xfId="39567" xr:uid="{00000000-0005-0000-0000-0000AD270000}"/>
    <cellStyle name="40% - uthevingsfarge 1 26 6 2 2 3" xfId="28337" xr:uid="{00000000-0005-0000-0000-0000AE270000}"/>
    <cellStyle name="40% - uthevingsfarge 1 26 6 2 3" xfId="20300" xr:uid="{00000000-0005-0000-0000-0000AF270000}"/>
    <cellStyle name="40% - uthevingsfarge 1 26 6 2 3 2" xfId="36399" xr:uid="{00000000-0005-0000-0000-0000B0270000}"/>
    <cellStyle name="40% - uthevingsfarge 1 26 6 2 4" xfId="31732" xr:uid="{00000000-0005-0000-0000-0000B1270000}"/>
    <cellStyle name="40% - uthevingsfarge 1 26 6 3" xfId="7779" xr:uid="{00000000-0005-0000-0000-0000B2270000}"/>
    <cellStyle name="40% - uthevingsfarge 1 26 6 3 2" xfId="24269" xr:uid="{00000000-0005-0000-0000-0000B3270000}"/>
    <cellStyle name="40% - uthevingsfarge 1 26 6 3 2 2" xfId="40322" xr:uid="{00000000-0005-0000-0000-0000B4270000}"/>
    <cellStyle name="40% - uthevingsfarge 1 26 6 3 3" xfId="30020" xr:uid="{00000000-0005-0000-0000-0000B5270000}"/>
    <cellStyle name="40% - uthevingsfarge 1 26 6 4" xfId="23655" xr:uid="{00000000-0005-0000-0000-0000B6270000}"/>
    <cellStyle name="40% - uthevingsfarge 1 26 6 4 2" xfId="39711" xr:uid="{00000000-0005-0000-0000-0000B7270000}"/>
    <cellStyle name="40% - uthevingsfarge 1 26 6 5" xfId="33408" xr:uid="{00000000-0005-0000-0000-0000B8270000}"/>
    <cellStyle name="40% - uthevingsfarge 1 26 7" xfId="4674" xr:uid="{00000000-0005-0000-0000-0000B9270000}"/>
    <cellStyle name="40% - uthevingsfarge 1 26 7 2" xfId="6394" xr:uid="{00000000-0005-0000-0000-0000BA270000}"/>
    <cellStyle name="40% - uthevingsfarge 1 26 7 2 2" xfId="9804" xr:uid="{00000000-0005-0000-0000-0000BB270000}"/>
    <cellStyle name="40% - uthevingsfarge 1 26 7 2 2 2" xfId="21491" xr:uid="{00000000-0005-0000-0000-0000BC270000}"/>
    <cellStyle name="40% - uthevingsfarge 1 26 7 2 2 2 2" xfId="37571" xr:uid="{00000000-0005-0000-0000-0000BD270000}"/>
    <cellStyle name="40% - uthevingsfarge 1 26 7 2 2 3" xfId="27995" xr:uid="{00000000-0005-0000-0000-0000BE270000}"/>
    <cellStyle name="40% - uthevingsfarge 1 26 7 2 3" xfId="22348" xr:uid="{00000000-0005-0000-0000-0000BF270000}"/>
    <cellStyle name="40% - uthevingsfarge 1 26 7 2 3 2" xfId="38420" xr:uid="{00000000-0005-0000-0000-0000C0270000}"/>
    <cellStyle name="40% - uthevingsfarge 1 26 7 2 4" xfId="31396" xr:uid="{00000000-0005-0000-0000-0000C1270000}"/>
    <cellStyle name="40% - uthevingsfarge 1 26 7 3" xfId="8100" xr:uid="{00000000-0005-0000-0000-0000C2270000}"/>
    <cellStyle name="40% - uthevingsfarge 1 26 7 3 2" xfId="21000" xr:uid="{00000000-0005-0000-0000-0000C3270000}"/>
    <cellStyle name="40% - uthevingsfarge 1 26 7 3 2 2" xfId="37095" xr:uid="{00000000-0005-0000-0000-0000C4270000}"/>
    <cellStyle name="40% - uthevingsfarge 1 26 7 3 3" xfId="29698" xr:uid="{00000000-0005-0000-0000-0000C5270000}"/>
    <cellStyle name="40% - uthevingsfarge 1 26 7 4" xfId="23830" xr:uid="{00000000-0005-0000-0000-0000C6270000}"/>
    <cellStyle name="40% - uthevingsfarge 1 26 7 4 2" xfId="39886" xr:uid="{00000000-0005-0000-0000-0000C7270000}"/>
    <cellStyle name="40% - uthevingsfarge 1 26 7 5" xfId="33089" xr:uid="{00000000-0005-0000-0000-0000C8270000}"/>
    <cellStyle name="40% - uthevingsfarge 1 26 8" xfId="5038" xr:uid="{00000000-0005-0000-0000-0000C9270000}"/>
    <cellStyle name="40% - uthevingsfarge 1 26 8 2" xfId="6757" xr:uid="{00000000-0005-0000-0000-0000CA270000}"/>
    <cellStyle name="40% - uthevingsfarge 1 26 8 2 2" xfId="10163" xr:uid="{00000000-0005-0000-0000-0000CB270000}"/>
    <cellStyle name="40% - uthevingsfarge 1 26 8 2 2 2" xfId="21631" xr:uid="{00000000-0005-0000-0000-0000CC270000}"/>
    <cellStyle name="40% - uthevingsfarge 1 26 8 2 2 2 2" xfId="37711" xr:uid="{00000000-0005-0000-0000-0000CD270000}"/>
    <cellStyle name="40% - uthevingsfarge 1 26 8 2 2 3" xfId="27636" xr:uid="{00000000-0005-0000-0000-0000CE270000}"/>
    <cellStyle name="40% - uthevingsfarge 1 26 8 2 3" xfId="22384" xr:uid="{00000000-0005-0000-0000-0000CF270000}"/>
    <cellStyle name="40% - uthevingsfarge 1 26 8 2 3 2" xfId="38456" xr:uid="{00000000-0005-0000-0000-0000D0270000}"/>
    <cellStyle name="40% - uthevingsfarge 1 26 8 2 4" xfId="31037" xr:uid="{00000000-0005-0000-0000-0000D1270000}"/>
    <cellStyle name="40% - uthevingsfarge 1 26 8 3" xfId="8460" xr:uid="{00000000-0005-0000-0000-0000D2270000}"/>
    <cellStyle name="40% - uthevingsfarge 1 26 8 3 2" xfId="24368" xr:uid="{00000000-0005-0000-0000-0000D3270000}"/>
    <cellStyle name="40% - uthevingsfarge 1 26 8 3 2 2" xfId="40414" xr:uid="{00000000-0005-0000-0000-0000D4270000}"/>
    <cellStyle name="40% - uthevingsfarge 1 26 8 3 3" xfId="29338" xr:uid="{00000000-0005-0000-0000-0000D5270000}"/>
    <cellStyle name="40% - uthevingsfarge 1 26 8 4" xfId="22232" xr:uid="{00000000-0005-0000-0000-0000D6270000}"/>
    <cellStyle name="40% - uthevingsfarge 1 26 8 4 2" xfId="38306" xr:uid="{00000000-0005-0000-0000-0000D7270000}"/>
    <cellStyle name="40% - uthevingsfarge 1 26 8 5" xfId="32729" xr:uid="{00000000-0005-0000-0000-0000D8270000}"/>
    <cellStyle name="40% - uthevingsfarge 1 26 9" xfId="5199" xr:uid="{00000000-0005-0000-0000-0000D9270000}"/>
    <cellStyle name="40% - uthevingsfarge 1 26 9 2" xfId="8618" xr:uid="{00000000-0005-0000-0000-0000DA270000}"/>
    <cellStyle name="40% - uthevingsfarge 1 26 9 2 2" xfId="11811" xr:uid="{00000000-0005-0000-0000-0000DB270000}"/>
    <cellStyle name="40% - uthevingsfarge 1 26 9 2 2 2" xfId="34877" xr:uid="{00000000-0005-0000-0000-0000DC270000}"/>
    <cellStyle name="40% - uthevingsfarge 1 26 9 2 3" xfId="29180" xr:uid="{00000000-0005-0000-0000-0000DD270000}"/>
    <cellStyle name="40% - uthevingsfarge 1 26 9 3" xfId="19773" xr:uid="{00000000-0005-0000-0000-0000DE270000}"/>
    <cellStyle name="40% - uthevingsfarge 1 26 9 3 2" xfId="35887" xr:uid="{00000000-0005-0000-0000-0000DF270000}"/>
    <cellStyle name="40% - uthevingsfarge 1 26 9 4" xfId="32571" xr:uid="{00000000-0005-0000-0000-0000E0270000}"/>
    <cellStyle name="40% - uthevingsfarge 1 27" xfId="727" xr:uid="{00000000-0005-0000-0000-0000E1270000}"/>
    <cellStyle name="40% - uthevingsfarge 1 27 10" xfId="11111" xr:uid="{00000000-0005-0000-0000-0000E2270000}"/>
    <cellStyle name="40% - uthevingsfarge 1 27 11" xfId="34255" xr:uid="{00000000-0005-0000-0000-0000E3270000}"/>
    <cellStyle name="40% - uthevingsfarge 1 27 2" xfId="3336" xr:uid="{00000000-0005-0000-0000-0000E4270000}"/>
    <cellStyle name="40% - uthevingsfarge 1 27 2 10" xfId="34155" xr:uid="{00000000-0005-0000-0000-0000E5270000}"/>
    <cellStyle name="40% - uthevingsfarge 1 27 2 2" xfId="3568" xr:uid="{00000000-0005-0000-0000-0000E6270000}"/>
    <cellStyle name="40% - uthevingsfarge 1 27 2 2 10" xfId="47167" xr:uid="{00000000-0005-0000-0000-0000E7270000}"/>
    <cellStyle name="40% - uthevingsfarge 1 27 2 2 2" xfId="3998" xr:uid="{00000000-0005-0000-0000-0000E8270000}"/>
    <cellStyle name="40% - uthevingsfarge 1 27 2 2 2 2" xfId="5886" xr:uid="{00000000-0005-0000-0000-0000E9270000}"/>
    <cellStyle name="40% - uthevingsfarge 1 27 2 2 2 2 2" xfId="9301" xr:uid="{00000000-0005-0000-0000-0000EA270000}"/>
    <cellStyle name="40% - uthevingsfarge 1 27 2 2 2 2 2 2" xfId="21339" xr:uid="{00000000-0005-0000-0000-0000EB270000}"/>
    <cellStyle name="40% - uthevingsfarge 1 27 2 2 2 2 2 2 2" xfId="37419" xr:uid="{00000000-0005-0000-0000-0000EC270000}"/>
    <cellStyle name="40% - uthevingsfarge 1 27 2 2 2 2 2 3" xfId="28497" xr:uid="{00000000-0005-0000-0000-0000ED270000}"/>
    <cellStyle name="40% - uthevingsfarge 1 27 2 2 2 2 3" xfId="22287" xr:uid="{00000000-0005-0000-0000-0000EE270000}"/>
    <cellStyle name="40% - uthevingsfarge 1 27 2 2 2 2 3 2" xfId="38359" xr:uid="{00000000-0005-0000-0000-0000EF270000}"/>
    <cellStyle name="40% - uthevingsfarge 1 27 2 2 2 2 4" xfId="31890" xr:uid="{00000000-0005-0000-0000-0000F0270000}"/>
    <cellStyle name="40% - uthevingsfarge 1 27 2 2 2 3" xfId="7604" xr:uid="{00000000-0005-0000-0000-0000F1270000}"/>
    <cellStyle name="40% - uthevingsfarge 1 27 2 2 2 3 2" xfId="20833" xr:uid="{00000000-0005-0000-0000-0000F2270000}"/>
    <cellStyle name="40% - uthevingsfarge 1 27 2 2 2 3 2 2" xfId="36932" xr:uid="{00000000-0005-0000-0000-0000F3270000}"/>
    <cellStyle name="40% - uthevingsfarge 1 27 2 2 2 3 3" xfId="30194" xr:uid="{00000000-0005-0000-0000-0000F4270000}"/>
    <cellStyle name="40% - uthevingsfarge 1 27 2 2 2 4" xfId="18005" xr:uid="{00000000-0005-0000-0000-0000F5270000}"/>
    <cellStyle name="40% - uthevingsfarge 1 27 2 2 2 5" xfId="19570" xr:uid="{00000000-0005-0000-0000-0000F6270000}"/>
    <cellStyle name="40% - uthevingsfarge 1 27 2 2 2 5 2" xfId="35684" xr:uid="{00000000-0005-0000-0000-0000F7270000}"/>
    <cellStyle name="40% - uthevingsfarge 1 27 2 2 2 6" xfId="33581" xr:uid="{00000000-0005-0000-0000-0000F8270000}"/>
    <cellStyle name="40% - uthevingsfarge 1 27 2 2 3" xfId="4938" xr:uid="{00000000-0005-0000-0000-0000F9270000}"/>
    <cellStyle name="40% - uthevingsfarge 1 27 2 2 3 10" xfId="47357" xr:uid="{00000000-0005-0000-0000-0000FA270000}"/>
    <cellStyle name="40% - uthevingsfarge 1 27 2 2 3 2" xfId="6657" xr:uid="{00000000-0005-0000-0000-0000FB270000}"/>
    <cellStyle name="40% - uthevingsfarge 1 27 2 2 3 2 2" xfId="10063" xr:uid="{00000000-0005-0000-0000-0000FC270000}"/>
    <cellStyle name="40% - uthevingsfarge 1 27 2 2 3 2 2 2" xfId="23611" xr:uid="{00000000-0005-0000-0000-0000FD270000}"/>
    <cellStyle name="40% - uthevingsfarge 1 27 2 2 3 2 2 2 2" xfId="39667" xr:uid="{00000000-0005-0000-0000-0000FE270000}"/>
    <cellStyle name="40% - uthevingsfarge 1 27 2 2 3 2 2 3" xfId="27736" xr:uid="{00000000-0005-0000-0000-0000FF270000}"/>
    <cellStyle name="40% - uthevingsfarge 1 27 2 2 3 2 3" xfId="10669" xr:uid="{00000000-0005-0000-0000-000000280000}"/>
    <cellStyle name="40% - uthevingsfarge 1 27 2 2 3 2 3 2" xfId="34517" xr:uid="{00000000-0005-0000-0000-000001280000}"/>
    <cellStyle name="40% - uthevingsfarge 1 27 2 2 3 2 4" xfId="31137" xr:uid="{00000000-0005-0000-0000-000002280000}"/>
    <cellStyle name="40% - uthevingsfarge 1 27 2 2 3 2 5" xfId="43051" xr:uid="{00000000-0005-0000-0000-000003280000}"/>
    <cellStyle name="40% - uthevingsfarge 1 27 2 2 3 2 6" xfId="43348" xr:uid="{00000000-0005-0000-0000-000004280000}"/>
    <cellStyle name="40% - uthevingsfarge 1 27 2 2 3 2 7" xfId="46196" xr:uid="{00000000-0005-0000-0000-000005280000}"/>
    <cellStyle name="40% - uthevingsfarge 1 27 2 2 3 2 8" xfId="46968" xr:uid="{00000000-0005-0000-0000-000006280000}"/>
    <cellStyle name="40% - uthevingsfarge 1 27 2 2 3 2 9" xfId="47553" xr:uid="{00000000-0005-0000-0000-000007280000}"/>
    <cellStyle name="40% - uthevingsfarge 1 27 2 2 3 3" xfId="8360" xr:uid="{00000000-0005-0000-0000-000008280000}"/>
    <cellStyle name="40% - uthevingsfarge 1 27 2 2 3 3 2" xfId="22673" xr:uid="{00000000-0005-0000-0000-000009280000}"/>
    <cellStyle name="40% - uthevingsfarge 1 27 2 2 3 3 2 2" xfId="38742" xr:uid="{00000000-0005-0000-0000-00000A280000}"/>
    <cellStyle name="40% - uthevingsfarge 1 27 2 2 3 3 3" xfId="29438" xr:uid="{00000000-0005-0000-0000-00000B280000}"/>
    <cellStyle name="40% - uthevingsfarge 1 27 2 2 3 3 4" xfId="43923" xr:uid="{00000000-0005-0000-0000-00000C280000}"/>
    <cellStyle name="40% - uthevingsfarge 1 27 2 2 3 4" xfId="16496" xr:uid="{00000000-0005-0000-0000-00000D280000}"/>
    <cellStyle name="40% - uthevingsfarge 1 27 2 2 3 4 2" xfId="35443" xr:uid="{00000000-0005-0000-0000-00000E280000}"/>
    <cellStyle name="40% - uthevingsfarge 1 27 2 2 3 5" xfId="25105" xr:uid="{00000000-0005-0000-0000-00000F280000}"/>
    <cellStyle name="40% - uthevingsfarge 1 27 2 2 3 6" xfId="25288" xr:uid="{00000000-0005-0000-0000-000010280000}"/>
    <cellStyle name="40% - uthevingsfarge 1 27 2 2 3 7" xfId="32829" xr:uid="{00000000-0005-0000-0000-000011280000}"/>
    <cellStyle name="40% - uthevingsfarge 1 27 2 2 3 8" xfId="43809" xr:uid="{00000000-0005-0000-0000-000012280000}"/>
    <cellStyle name="40% - uthevingsfarge 1 27 2 2 3 9" xfId="46734" xr:uid="{00000000-0005-0000-0000-000013280000}"/>
    <cellStyle name="40% - uthevingsfarge 1 27 2 2 4" xfId="5492" xr:uid="{00000000-0005-0000-0000-000014280000}"/>
    <cellStyle name="40% - uthevingsfarge 1 27 2 2 4 2" xfId="8907" xr:uid="{00000000-0005-0000-0000-000015280000}"/>
    <cellStyle name="40% - uthevingsfarge 1 27 2 2 4 2 2" xfId="23682" xr:uid="{00000000-0005-0000-0000-000016280000}"/>
    <cellStyle name="40% - uthevingsfarge 1 27 2 2 4 2 2 2" xfId="39738" xr:uid="{00000000-0005-0000-0000-000017280000}"/>
    <cellStyle name="40% - uthevingsfarge 1 27 2 2 4 2 3" xfId="28891" xr:uid="{00000000-0005-0000-0000-000018280000}"/>
    <cellStyle name="40% - uthevingsfarge 1 27 2 2 4 3" xfId="19844" xr:uid="{00000000-0005-0000-0000-000019280000}"/>
    <cellStyle name="40% - uthevingsfarge 1 27 2 2 4 3 2" xfId="35957" xr:uid="{00000000-0005-0000-0000-00001A280000}"/>
    <cellStyle name="40% - uthevingsfarge 1 27 2 2 4 4" xfId="32282" xr:uid="{00000000-0005-0000-0000-00001B280000}"/>
    <cellStyle name="40% - uthevingsfarge 1 27 2 2 5" xfId="7210" xr:uid="{00000000-0005-0000-0000-00001C280000}"/>
    <cellStyle name="40% - uthevingsfarge 1 27 2 2 5 2" xfId="20696" xr:uid="{00000000-0005-0000-0000-00001D280000}"/>
    <cellStyle name="40% - uthevingsfarge 1 27 2 2 5 2 2" xfId="36795" xr:uid="{00000000-0005-0000-0000-00001E280000}"/>
    <cellStyle name="40% - uthevingsfarge 1 27 2 2 5 3" xfId="30588" xr:uid="{00000000-0005-0000-0000-00001F280000}"/>
    <cellStyle name="40% - uthevingsfarge 1 27 2 2 6" xfId="11113" xr:uid="{00000000-0005-0000-0000-000020280000}"/>
    <cellStyle name="40% - uthevingsfarge 1 27 2 2 7" xfId="33975" xr:uid="{00000000-0005-0000-0000-000021280000}"/>
    <cellStyle name="40% - uthevingsfarge 1 27 2 2 8" xfId="43600" xr:uid="{00000000-0005-0000-0000-000022280000}"/>
    <cellStyle name="40% - uthevingsfarge 1 27 2 2 9" xfId="46506" xr:uid="{00000000-0005-0000-0000-000023280000}"/>
    <cellStyle name="40% - uthevingsfarge 1 27 2 2_Avviksanalyse løpende RNB15 (1)" xfId="16613" xr:uid="{00000000-0005-0000-0000-000024280000}"/>
    <cellStyle name="40% - uthevingsfarge 1 27 2 3" xfId="3818" xr:uid="{00000000-0005-0000-0000-000025280000}"/>
    <cellStyle name="40% - uthevingsfarge 1 27 2 3 2" xfId="5706" xr:uid="{00000000-0005-0000-0000-000026280000}"/>
    <cellStyle name="40% - uthevingsfarge 1 27 2 3 2 2" xfId="9121" xr:uid="{00000000-0005-0000-0000-000027280000}"/>
    <cellStyle name="40% - uthevingsfarge 1 27 2 3 2 2 2" xfId="21282" xr:uid="{00000000-0005-0000-0000-000028280000}"/>
    <cellStyle name="40% - uthevingsfarge 1 27 2 3 2 2 2 2" xfId="37362" xr:uid="{00000000-0005-0000-0000-000029280000}"/>
    <cellStyle name="40% - uthevingsfarge 1 27 2 3 2 2 3" xfId="28677" xr:uid="{00000000-0005-0000-0000-00002A280000}"/>
    <cellStyle name="40% - uthevingsfarge 1 27 2 3 2 3" xfId="23904" xr:uid="{00000000-0005-0000-0000-00002B280000}"/>
    <cellStyle name="40% - uthevingsfarge 1 27 2 3 2 3 2" xfId="39960" xr:uid="{00000000-0005-0000-0000-00002C280000}"/>
    <cellStyle name="40% - uthevingsfarge 1 27 2 3 2 4" xfId="32068" xr:uid="{00000000-0005-0000-0000-00002D280000}"/>
    <cellStyle name="40% - uthevingsfarge 1 27 2 3 3" xfId="7424" xr:uid="{00000000-0005-0000-0000-00002E280000}"/>
    <cellStyle name="40% - uthevingsfarge 1 27 2 3 3 2" xfId="20777" xr:uid="{00000000-0005-0000-0000-00002F280000}"/>
    <cellStyle name="40% - uthevingsfarge 1 27 2 3 3 2 2" xfId="36876" xr:uid="{00000000-0005-0000-0000-000030280000}"/>
    <cellStyle name="40% - uthevingsfarge 1 27 2 3 3 3" xfId="30374" xr:uid="{00000000-0005-0000-0000-000031280000}"/>
    <cellStyle name="40% - uthevingsfarge 1 27 2 3 4" xfId="11066" xr:uid="{00000000-0005-0000-0000-000032280000}"/>
    <cellStyle name="40% - uthevingsfarge 1 27 2 3 4 2" xfId="34772" xr:uid="{00000000-0005-0000-0000-000033280000}"/>
    <cellStyle name="40% - uthevingsfarge 1 27 2 3 5" xfId="33761" xr:uid="{00000000-0005-0000-0000-000034280000}"/>
    <cellStyle name="40% - uthevingsfarge 1 27 2 4" xfId="4303" xr:uid="{00000000-0005-0000-0000-000035280000}"/>
    <cellStyle name="40% - uthevingsfarge 1 27 2 4 2" xfId="6132" xr:uid="{00000000-0005-0000-0000-000036280000}"/>
    <cellStyle name="40% - uthevingsfarge 1 27 2 4 2 2" xfId="9546" xr:uid="{00000000-0005-0000-0000-000037280000}"/>
    <cellStyle name="40% - uthevingsfarge 1 27 2 4 2 2 2" xfId="19532" xr:uid="{00000000-0005-0000-0000-000038280000}"/>
    <cellStyle name="40% - uthevingsfarge 1 27 2 4 2 2 2 2" xfId="35646" xr:uid="{00000000-0005-0000-0000-000039280000}"/>
    <cellStyle name="40% - uthevingsfarge 1 27 2 4 2 2 3" xfId="28252" xr:uid="{00000000-0005-0000-0000-00003A280000}"/>
    <cellStyle name="40% - uthevingsfarge 1 27 2 4 2 3" xfId="20334" xr:uid="{00000000-0005-0000-0000-00003B280000}"/>
    <cellStyle name="40% - uthevingsfarge 1 27 2 4 2 3 2" xfId="36433" xr:uid="{00000000-0005-0000-0000-00003C280000}"/>
    <cellStyle name="40% - uthevingsfarge 1 27 2 4 2 4" xfId="31647" xr:uid="{00000000-0005-0000-0000-00003D280000}"/>
    <cellStyle name="40% - uthevingsfarge 1 27 2 4 3" xfId="7865" xr:uid="{00000000-0005-0000-0000-00003E280000}"/>
    <cellStyle name="40% - uthevingsfarge 1 27 2 4 3 2" xfId="10313" xr:uid="{00000000-0005-0000-0000-00003F280000}"/>
    <cellStyle name="40% - uthevingsfarge 1 27 2 4 3 2 2" xfId="27494" xr:uid="{00000000-0005-0000-0000-000040280000}"/>
    <cellStyle name="40% - uthevingsfarge 1 27 2 4 3 3" xfId="29934" xr:uid="{00000000-0005-0000-0000-000041280000}"/>
    <cellStyle name="40% - uthevingsfarge 1 27 2 4 4" xfId="23704" xr:uid="{00000000-0005-0000-0000-000042280000}"/>
    <cellStyle name="40% - uthevingsfarge 1 27 2 4 4 2" xfId="39760" xr:uid="{00000000-0005-0000-0000-000043280000}"/>
    <cellStyle name="40% - uthevingsfarge 1 27 2 4 5" xfId="33322" xr:uid="{00000000-0005-0000-0000-000044280000}"/>
    <cellStyle name="40% - uthevingsfarge 1 27 2 5" xfId="4758" xr:uid="{00000000-0005-0000-0000-000045280000}"/>
    <cellStyle name="40% - uthevingsfarge 1 27 2 5 2" xfId="6478" xr:uid="{00000000-0005-0000-0000-000046280000}"/>
    <cellStyle name="40% - uthevingsfarge 1 27 2 5 2 2" xfId="9884" xr:uid="{00000000-0005-0000-0000-000047280000}"/>
    <cellStyle name="40% - uthevingsfarge 1 27 2 5 2 2 2" xfId="21995" xr:uid="{00000000-0005-0000-0000-000048280000}"/>
    <cellStyle name="40% - uthevingsfarge 1 27 2 5 2 2 2 2" xfId="38070" xr:uid="{00000000-0005-0000-0000-000049280000}"/>
    <cellStyle name="40% - uthevingsfarge 1 27 2 5 2 2 3" xfId="27915" xr:uid="{00000000-0005-0000-0000-00004A280000}"/>
    <cellStyle name="40% - uthevingsfarge 1 27 2 5 2 3" xfId="23047" xr:uid="{00000000-0005-0000-0000-00004B280000}"/>
    <cellStyle name="40% - uthevingsfarge 1 27 2 5 2 3 2" xfId="39116" xr:uid="{00000000-0005-0000-0000-00004C280000}"/>
    <cellStyle name="40% - uthevingsfarge 1 27 2 5 2 4" xfId="31316" xr:uid="{00000000-0005-0000-0000-00004D280000}"/>
    <cellStyle name="40% - uthevingsfarge 1 27 2 5 3" xfId="8180" xr:uid="{00000000-0005-0000-0000-00004E280000}"/>
    <cellStyle name="40% - uthevingsfarge 1 27 2 5 3 2" xfId="10598" xr:uid="{00000000-0005-0000-0000-00004F280000}"/>
    <cellStyle name="40% - uthevingsfarge 1 27 2 5 3 2 2" xfId="34446" xr:uid="{00000000-0005-0000-0000-000050280000}"/>
    <cellStyle name="40% - uthevingsfarge 1 27 2 5 3 3" xfId="29617" xr:uid="{00000000-0005-0000-0000-000051280000}"/>
    <cellStyle name="40% - uthevingsfarge 1 27 2 5 4" xfId="19698" xr:uid="{00000000-0005-0000-0000-000052280000}"/>
    <cellStyle name="40% - uthevingsfarge 1 27 2 5 4 2" xfId="35812" xr:uid="{00000000-0005-0000-0000-000053280000}"/>
    <cellStyle name="40% - uthevingsfarge 1 27 2 5 5" xfId="33009" xr:uid="{00000000-0005-0000-0000-000054280000}"/>
    <cellStyle name="40% - uthevingsfarge 1 27 2 6" xfId="5118" xr:uid="{00000000-0005-0000-0000-000055280000}"/>
    <cellStyle name="40% - uthevingsfarge 1 27 2 6 2" xfId="6837" xr:uid="{00000000-0005-0000-0000-000056280000}"/>
    <cellStyle name="40% - uthevingsfarge 1 27 2 6 2 2" xfId="10243" xr:uid="{00000000-0005-0000-0000-000057280000}"/>
    <cellStyle name="40% - uthevingsfarge 1 27 2 6 2 2 2" xfId="24686" xr:uid="{00000000-0005-0000-0000-000058280000}"/>
    <cellStyle name="40% - uthevingsfarge 1 27 2 6 2 2 2 2" xfId="40729" xr:uid="{00000000-0005-0000-0000-000059280000}"/>
    <cellStyle name="40% - uthevingsfarge 1 27 2 6 2 2 3" xfId="27556" xr:uid="{00000000-0005-0000-0000-00005A280000}"/>
    <cellStyle name="40% - uthevingsfarge 1 27 2 6 2 3" xfId="22392" xr:uid="{00000000-0005-0000-0000-00005B280000}"/>
    <cellStyle name="40% - uthevingsfarge 1 27 2 6 2 3 2" xfId="38464" xr:uid="{00000000-0005-0000-0000-00005C280000}"/>
    <cellStyle name="40% - uthevingsfarge 1 27 2 6 2 4" xfId="30957" xr:uid="{00000000-0005-0000-0000-00005D280000}"/>
    <cellStyle name="40% - uthevingsfarge 1 27 2 6 3" xfId="8540" xr:uid="{00000000-0005-0000-0000-00005E280000}"/>
    <cellStyle name="40% - uthevingsfarge 1 27 2 6 3 2" xfId="21124" xr:uid="{00000000-0005-0000-0000-00005F280000}"/>
    <cellStyle name="40% - uthevingsfarge 1 27 2 6 3 2 2" xfId="37205" xr:uid="{00000000-0005-0000-0000-000060280000}"/>
    <cellStyle name="40% - uthevingsfarge 1 27 2 6 3 3" xfId="29258" xr:uid="{00000000-0005-0000-0000-000061280000}"/>
    <cellStyle name="40% - uthevingsfarge 1 27 2 6 4" xfId="10835" xr:uid="{00000000-0005-0000-0000-000062280000}"/>
    <cellStyle name="40% - uthevingsfarge 1 27 2 6 4 2" xfId="34633" xr:uid="{00000000-0005-0000-0000-000063280000}"/>
    <cellStyle name="40% - uthevingsfarge 1 27 2 6 5" xfId="32649" xr:uid="{00000000-0005-0000-0000-000064280000}"/>
    <cellStyle name="40% - uthevingsfarge 1 27 2 7" xfId="5297" xr:uid="{00000000-0005-0000-0000-000065280000}"/>
    <cellStyle name="40% - uthevingsfarge 1 27 2 7 2" xfId="8712" xr:uid="{00000000-0005-0000-0000-000066280000}"/>
    <cellStyle name="40% - uthevingsfarge 1 27 2 7 2 2" xfId="21166" xr:uid="{00000000-0005-0000-0000-000067280000}"/>
    <cellStyle name="40% - uthevingsfarge 1 27 2 7 2 2 2" xfId="37246" xr:uid="{00000000-0005-0000-0000-000068280000}"/>
    <cellStyle name="40% - uthevingsfarge 1 27 2 7 2 3" xfId="29086" xr:uid="{00000000-0005-0000-0000-000069280000}"/>
    <cellStyle name="40% - uthevingsfarge 1 27 2 7 3" xfId="20077" xr:uid="{00000000-0005-0000-0000-00006A280000}"/>
    <cellStyle name="40% - uthevingsfarge 1 27 2 7 3 2" xfId="36181" xr:uid="{00000000-0005-0000-0000-00006B280000}"/>
    <cellStyle name="40% - uthevingsfarge 1 27 2 7 4" xfId="32477" xr:uid="{00000000-0005-0000-0000-00006C280000}"/>
    <cellStyle name="40% - uthevingsfarge 1 27 2 8" xfId="7030" xr:uid="{00000000-0005-0000-0000-00006D280000}"/>
    <cellStyle name="40% - uthevingsfarge 1 27 2 8 2" xfId="22410" xr:uid="{00000000-0005-0000-0000-00006E280000}"/>
    <cellStyle name="40% - uthevingsfarge 1 27 2 8 2 2" xfId="38482" xr:uid="{00000000-0005-0000-0000-00006F280000}"/>
    <cellStyle name="40% - uthevingsfarge 1 27 2 8 3" xfId="30768" xr:uid="{00000000-0005-0000-0000-000070280000}"/>
    <cellStyle name="40% - uthevingsfarge 1 27 2 9" xfId="11112" xr:uid="{00000000-0005-0000-0000-000071280000}"/>
    <cellStyle name="40% - uthevingsfarge 1 27 3" xfId="3483" xr:uid="{00000000-0005-0000-0000-000072280000}"/>
    <cellStyle name="40% - uthevingsfarge 1 27 3 10" xfId="47099" xr:uid="{00000000-0005-0000-0000-000073280000}"/>
    <cellStyle name="40% - uthevingsfarge 1 27 3 2" xfId="3919" xr:uid="{00000000-0005-0000-0000-000074280000}"/>
    <cellStyle name="40% - uthevingsfarge 1 27 3 2 2" xfId="5807" xr:uid="{00000000-0005-0000-0000-000075280000}"/>
    <cellStyle name="40% - uthevingsfarge 1 27 3 2 2 2" xfId="9222" xr:uid="{00000000-0005-0000-0000-000076280000}"/>
    <cellStyle name="40% - uthevingsfarge 1 27 3 2 2 2 2" xfId="24481" xr:uid="{00000000-0005-0000-0000-000077280000}"/>
    <cellStyle name="40% - uthevingsfarge 1 27 3 2 2 2 2 2" xfId="40525" xr:uid="{00000000-0005-0000-0000-000078280000}"/>
    <cellStyle name="40% - uthevingsfarge 1 27 3 2 2 2 3" xfId="28576" xr:uid="{00000000-0005-0000-0000-000079280000}"/>
    <cellStyle name="40% - uthevingsfarge 1 27 3 2 2 3" xfId="20211" xr:uid="{00000000-0005-0000-0000-00007A280000}"/>
    <cellStyle name="40% - uthevingsfarge 1 27 3 2 2 3 2" xfId="36310" xr:uid="{00000000-0005-0000-0000-00007B280000}"/>
    <cellStyle name="40% - uthevingsfarge 1 27 3 2 2 4" xfId="31967" xr:uid="{00000000-0005-0000-0000-00007C280000}"/>
    <cellStyle name="40% - uthevingsfarge 1 27 3 2 3" xfId="7525" xr:uid="{00000000-0005-0000-0000-00007D280000}"/>
    <cellStyle name="40% - uthevingsfarge 1 27 3 2 3 2" xfId="10318" xr:uid="{00000000-0005-0000-0000-00007E280000}"/>
    <cellStyle name="40% - uthevingsfarge 1 27 3 2 3 2 2" xfId="27491" xr:uid="{00000000-0005-0000-0000-00007F280000}"/>
    <cellStyle name="40% - uthevingsfarge 1 27 3 2 3 3" xfId="30273" xr:uid="{00000000-0005-0000-0000-000080280000}"/>
    <cellStyle name="40% - uthevingsfarge 1 27 3 2 4" xfId="18006" xr:uid="{00000000-0005-0000-0000-000081280000}"/>
    <cellStyle name="40% - uthevingsfarge 1 27 3 2 5" xfId="12489" xr:uid="{00000000-0005-0000-0000-000082280000}"/>
    <cellStyle name="40% - uthevingsfarge 1 27 3 2 5 2" xfId="35255" xr:uid="{00000000-0005-0000-0000-000083280000}"/>
    <cellStyle name="40% - uthevingsfarge 1 27 3 2 6" xfId="33660" xr:uid="{00000000-0005-0000-0000-000084280000}"/>
    <cellStyle name="40% - uthevingsfarge 1 27 3 3" xfId="4859" xr:uid="{00000000-0005-0000-0000-000085280000}"/>
    <cellStyle name="40% - uthevingsfarge 1 27 3 3 10" xfId="47289" xr:uid="{00000000-0005-0000-0000-000086280000}"/>
    <cellStyle name="40% - uthevingsfarge 1 27 3 3 2" xfId="6578" xr:uid="{00000000-0005-0000-0000-000087280000}"/>
    <cellStyle name="40% - uthevingsfarge 1 27 3 3 2 2" xfId="9984" xr:uid="{00000000-0005-0000-0000-000088280000}"/>
    <cellStyle name="40% - uthevingsfarge 1 27 3 3 2 2 2" xfId="21560" xr:uid="{00000000-0005-0000-0000-000089280000}"/>
    <cellStyle name="40% - uthevingsfarge 1 27 3 3 2 2 2 2" xfId="37640" xr:uid="{00000000-0005-0000-0000-00008A280000}"/>
    <cellStyle name="40% - uthevingsfarge 1 27 3 3 2 2 3" xfId="27815" xr:uid="{00000000-0005-0000-0000-00008B280000}"/>
    <cellStyle name="40% - uthevingsfarge 1 27 3 3 2 3" xfId="24068" xr:uid="{00000000-0005-0000-0000-00008C280000}"/>
    <cellStyle name="40% - uthevingsfarge 1 27 3 3 2 3 2" xfId="40121" xr:uid="{00000000-0005-0000-0000-00008D280000}"/>
    <cellStyle name="40% - uthevingsfarge 1 27 3 3 2 4" xfId="31216" xr:uid="{00000000-0005-0000-0000-00008E280000}"/>
    <cellStyle name="40% - uthevingsfarge 1 27 3 3 2 5" xfId="42844" xr:uid="{00000000-0005-0000-0000-00008F280000}"/>
    <cellStyle name="40% - uthevingsfarge 1 27 3 3 2 6" xfId="43282" xr:uid="{00000000-0005-0000-0000-000090280000}"/>
    <cellStyle name="40% - uthevingsfarge 1 27 3 3 2 7" xfId="46130" xr:uid="{00000000-0005-0000-0000-000091280000}"/>
    <cellStyle name="40% - uthevingsfarge 1 27 3 3 2 8" xfId="46899" xr:uid="{00000000-0005-0000-0000-000092280000}"/>
    <cellStyle name="40% - uthevingsfarge 1 27 3 3 2 9" xfId="47485" xr:uid="{00000000-0005-0000-0000-000093280000}"/>
    <cellStyle name="40% - uthevingsfarge 1 27 3 3 3" xfId="8281" xr:uid="{00000000-0005-0000-0000-000094280000}"/>
    <cellStyle name="40% - uthevingsfarge 1 27 3 3 3 2" xfId="21051" xr:uid="{00000000-0005-0000-0000-000095280000}"/>
    <cellStyle name="40% - uthevingsfarge 1 27 3 3 3 2 2" xfId="37141" xr:uid="{00000000-0005-0000-0000-000096280000}"/>
    <cellStyle name="40% - uthevingsfarge 1 27 3 3 3 3" xfId="29516" xr:uid="{00000000-0005-0000-0000-000097280000}"/>
    <cellStyle name="40% - uthevingsfarge 1 27 3 3 3 4" xfId="43924" xr:uid="{00000000-0005-0000-0000-000098280000}"/>
    <cellStyle name="40% - uthevingsfarge 1 27 3 3 4" xfId="16289" xr:uid="{00000000-0005-0000-0000-000099280000}"/>
    <cellStyle name="40% - uthevingsfarge 1 27 3 3 4 2" xfId="35377" xr:uid="{00000000-0005-0000-0000-00009A280000}"/>
    <cellStyle name="40% - uthevingsfarge 1 27 3 3 5" xfId="25036" xr:uid="{00000000-0005-0000-0000-00009B280000}"/>
    <cellStyle name="40% - uthevingsfarge 1 27 3 3 6" xfId="25289" xr:uid="{00000000-0005-0000-0000-00009C280000}"/>
    <cellStyle name="40% - uthevingsfarge 1 27 3 3 7" xfId="32908" xr:uid="{00000000-0005-0000-0000-00009D280000}"/>
    <cellStyle name="40% - uthevingsfarge 1 27 3 3 8" xfId="43742" xr:uid="{00000000-0005-0000-0000-00009E280000}"/>
    <cellStyle name="40% - uthevingsfarge 1 27 3 3 9" xfId="46668" xr:uid="{00000000-0005-0000-0000-00009F280000}"/>
    <cellStyle name="40% - uthevingsfarge 1 27 3 4" xfId="5418" xr:uid="{00000000-0005-0000-0000-0000A0280000}"/>
    <cellStyle name="40% - uthevingsfarge 1 27 3 4 2" xfId="8833" xr:uid="{00000000-0005-0000-0000-0000A1280000}"/>
    <cellStyle name="40% - uthevingsfarge 1 27 3 4 2 2" xfId="23414" xr:uid="{00000000-0005-0000-0000-0000A2280000}"/>
    <cellStyle name="40% - uthevingsfarge 1 27 3 4 2 2 2" xfId="39470" xr:uid="{00000000-0005-0000-0000-0000A3280000}"/>
    <cellStyle name="40% - uthevingsfarge 1 27 3 4 2 3" xfId="28965" xr:uid="{00000000-0005-0000-0000-0000A4280000}"/>
    <cellStyle name="40% - uthevingsfarge 1 27 3 4 3" xfId="20090" xr:uid="{00000000-0005-0000-0000-0000A5280000}"/>
    <cellStyle name="40% - uthevingsfarge 1 27 3 4 3 2" xfId="36194" xr:uid="{00000000-0005-0000-0000-0000A6280000}"/>
    <cellStyle name="40% - uthevingsfarge 1 27 3 4 4" xfId="32356" xr:uid="{00000000-0005-0000-0000-0000A7280000}"/>
    <cellStyle name="40% - uthevingsfarge 1 27 3 5" xfId="7131" xr:uid="{00000000-0005-0000-0000-0000A8280000}"/>
    <cellStyle name="40% - uthevingsfarge 1 27 3 5 2" xfId="23154" xr:uid="{00000000-0005-0000-0000-0000A9280000}"/>
    <cellStyle name="40% - uthevingsfarge 1 27 3 5 2 2" xfId="39223" xr:uid="{00000000-0005-0000-0000-0000AA280000}"/>
    <cellStyle name="40% - uthevingsfarge 1 27 3 5 3" xfId="30667" xr:uid="{00000000-0005-0000-0000-0000AB280000}"/>
    <cellStyle name="40% - uthevingsfarge 1 27 3 6" xfId="11114" xr:uid="{00000000-0005-0000-0000-0000AC280000}"/>
    <cellStyle name="40% - uthevingsfarge 1 27 3 7" xfId="34054" xr:uid="{00000000-0005-0000-0000-0000AD280000}"/>
    <cellStyle name="40% - uthevingsfarge 1 27 3 8" xfId="43534" xr:uid="{00000000-0005-0000-0000-0000AE280000}"/>
    <cellStyle name="40% - uthevingsfarge 1 27 3 9" xfId="46438" xr:uid="{00000000-0005-0000-0000-0000AF280000}"/>
    <cellStyle name="40% - uthevingsfarge 1 27 3_Avviksanalyse løpende RNB15 (1)" xfId="16614" xr:uid="{00000000-0005-0000-0000-0000B0280000}"/>
    <cellStyle name="40% - uthevingsfarge 1 27 4" xfId="3740" xr:uid="{00000000-0005-0000-0000-0000B1280000}"/>
    <cellStyle name="40% - uthevingsfarge 1 27 4 2" xfId="5628" xr:uid="{00000000-0005-0000-0000-0000B2280000}"/>
    <cellStyle name="40% - uthevingsfarge 1 27 4 2 2" xfId="9043" xr:uid="{00000000-0005-0000-0000-0000B3280000}"/>
    <cellStyle name="40% - uthevingsfarge 1 27 4 2 2 2" xfId="21261" xr:uid="{00000000-0005-0000-0000-0000B4280000}"/>
    <cellStyle name="40% - uthevingsfarge 1 27 4 2 2 2 2" xfId="37341" xr:uid="{00000000-0005-0000-0000-0000B5280000}"/>
    <cellStyle name="40% - uthevingsfarge 1 27 4 2 2 3" xfId="28755" xr:uid="{00000000-0005-0000-0000-0000B6280000}"/>
    <cellStyle name="40% - uthevingsfarge 1 27 4 2 3" xfId="20146" xr:uid="{00000000-0005-0000-0000-0000B7280000}"/>
    <cellStyle name="40% - uthevingsfarge 1 27 4 2 3 2" xfId="36248" xr:uid="{00000000-0005-0000-0000-0000B8280000}"/>
    <cellStyle name="40% - uthevingsfarge 1 27 4 2 4" xfId="32146" xr:uid="{00000000-0005-0000-0000-0000B9280000}"/>
    <cellStyle name="40% - uthevingsfarge 1 27 4 3" xfId="7346" xr:uid="{00000000-0005-0000-0000-0000BA280000}"/>
    <cellStyle name="40% - uthevingsfarge 1 27 4 3 2" xfId="23189" xr:uid="{00000000-0005-0000-0000-0000BB280000}"/>
    <cellStyle name="40% - uthevingsfarge 1 27 4 3 2 2" xfId="39258" xr:uid="{00000000-0005-0000-0000-0000BC280000}"/>
    <cellStyle name="40% - uthevingsfarge 1 27 4 3 3" xfId="30452" xr:uid="{00000000-0005-0000-0000-0000BD280000}"/>
    <cellStyle name="40% - uthevingsfarge 1 27 4 4" xfId="23771" xr:uid="{00000000-0005-0000-0000-0000BE280000}"/>
    <cellStyle name="40% - uthevingsfarge 1 27 4 4 2" xfId="39827" xr:uid="{00000000-0005-0000-0000-0000BF280000}"/>
    <cellStyle name="40% - uthevingsfarge 1 27 4 5" xfId="33839" xr:uid="{00000000-0005-0000-0000-0000C0280000}"/>
    <cellStyle name="40% - uthevingsfarge 1 27 5" xfId="4210" xr:uid="{00000000-0005-0000-0000-0000C1280000}"/>
    <cellStyle name="40% - uthevingsfarge 1 27 5 2" xfId="6047" xr:uid="{00000000-0005-0000-0000-0000C2280000}"/>
    <cellStyle name="40% - uthevingsfarge 1 27 5 2 2" xfId="9462" xr:uid="{00000000-0005-0000-0000-0000C3280000}"/>
    <cellStyle name="40% - uthevingsfarge 1 27 5 2 2 2" xfId="21389" xr:uid="{00000000-0005-0000-0000-0000C4280000}"/>
    <cellStyle name="40% - uthevingsfarge 1 27 5 2 2 2 2" xfId="37469" xr:uid="{00000000-0005-0000-0000-0000C5280000}"/>
    <cellStyle name="40% - uthevingsfarge 1 27 5 2 2 3" xfId="28336" xr:uid="{00000000-0005-0000-0000-0000C6280000}"/>
    <cellStyle name="40% - uthevingsfarge 1 27 5 2 3" xfId="20301" xr:uid="{00000000-0005-0000-0000-0000C7280000}"/>
    <cellStyle name="40% - uthevingsfarge 1 27 5 2 3 2" xfId="36400" xr:uid="{00000000-0005-0000-0000-0000C8280000}"/>
    <cellStyle name="40% - uthevingsfarge 1 27 5 2 4" xfId="31731" xr:uid="{00000000-0005-0000-0000-0000C9280000}"/>
    <cellStyle name="40% - uthevingsfarge 1 27 5 3" xfId="7780" xr:uid="{00000000-0005-0000-0000-0000CA280000}"/>
    <cellStyle name="40% - uthevingsfarge 1 27 5 3 2" xfId="21821" xr:uid="{00000000-0005-0000-0000-0000CB280000}"/>
    <cellStyle name="40% - uthevingsfarge 1 27 5 3 2 2" xfId="37897" xr:uid="{00000000-0005-0000-0000-0000CC280000}"/>
    <cellStyle name="40% - uthevingsfarge 1 27 5 3 3" xfId="30019" xr:uid="{00000000-0005-0000-0000-0000CD280000}"/>
    <cellStyle name="40% - uthevingsfarge 1 27 5 4" xfId="19984" xr:uid="{00000000-0005-0000-0000-0000CE280000}"/>
    <cellStyle name="40% - uthevingsfarge 1 27 5 4 2" xfId="36088" xr:uid="{00000000-0005-0000-0000-0000CF280000}"/>
    <cellStyle name="40% - uthevingsfarge 1 27 5 5" xfId="33407" xr:uid="{00000000-0005-0000-0000-0000D0280000}"/>
    <cellStyle name="40% - uthevingsfarge 1 27 6" xfId="4675" xr:uid="{00000000-0005-0000-0000-0000D1280000}"/>
    <cellStyle name="40% - uthevingsfarge 1 27 6 2" xfId="6395" xr:uid="{00000000-0005-0000-0000-0000D2280000}"/>
    <cellStyle name="40% - uthevingsfarge 1 27 6 2 2" xfId="9805" xr:uid="{00000000-0005-0000-0000-0000D3280000}"/>
    <cellStyle name="40% - uthevingsfarge 1 27 6 2 2 2" xfId="24566" xr:uid="{00000000-0005-0000-0000-0000D4280000}"/>
    <cellStyle name="40% - uthevingsfarge 1 27 6 2 2 2 2" xfId="40610" xr:uid="{00000000-0005-0000-0000-0000D5280000}"/>
    <cellStyle name="40% - uthevingsfarge 1 27 6 2 2 3" xfId="27994" xr:uid="{00000000-0005-0000-0000-0000D6280000}"/>
    <cellStyle name="40% - uthevingsfarge 1 27 6 2 3" xfId="23031" xr:uid="{00000000-0005-0000-0000-0000D7280000}"/>
    <cellStyle name="40% - uthevingsfarge 1 27 6 2 3 2" xfId="39100" xr:uid="{00000000-0005-0000-0000-0000D8280000}"/>
    <cellStyle name="40% - uthevingsfarge 1 27 6 2 4" xfId="31395" xr:uid="{00000000-0005-0000-0000-0000D9280000}"/>
    <cellStyle name="40% - uthevingsfarge 1 27 6 3" xfId="8101" xr:uid="{00000000-0005-0000-0000-0000DA280000}"/>
    <cellStyle name="40% - uthevingsfarge 1 27 6 3 2" xfId="24315" xr:uid="{00000000-0005-0000-0000-0000DB280000}"/>
    <cellStyle name="40% - uthevingsfarge 1 27 6 3 2 2" xfId="40365" xr:uid="{00000000-0005-0000-0000-0000DC280000}"/>
    <cellStyle name="40% - uthevingsfarge 1 27 6 3 3" xfId="29697" xr:uid="{00000000-0005-0000-0000-0000DD280000}"/>
    <cellStyle name="40% - uthevingsfarge 1 27 6 4" xfId="10915" xr:uid="{00000000-0005-0000-0000-0000DE280000}"/>
    <cellStyle name="40% - uthevingsfarge 1 27 6 4 2" xfId="34680" xr:uid="{00000000-0005-0000-0000-0000DF280000}"/>
    <cellStyle name="40% - uthevingsfarge 1 27 6 5" xfId="33088" xr:uid="{00000000-0005-0000-0000-0000E0280000}"/>
    <cellStyle name="40% - uthevingsfarge 1 27 7" xfId="5039" xr:uid="{00000000-0005-0000-0000-0000E1280000}"/>
    <cellStyle name="40% - uthevingsfarge 1 27 7 2" xfId="6758" xr:uid="{00000000-0005-0000-0000-0000E2280000}"/>
    <cellStyle name="40% - uthevingsfarge 1 27 7 2 2" xfId="10164" xr:uid="{00000000-0005-0000-0000-0000E3280000}"/>
    <cellStyle name="40% - uthevingsfarge 1 27 7 2 2 2" xfId="21632" xr:uid="{00000000-0005-0000-0000-0000E4280000}"/>
    <cellStyle name="40% - uthevingsfarge 1 27 7 2 2 2 2" xfId="37712" xr:uid="{00000000-0005-0000-0000-0000E5280000}"/>
    <cellStyle name="40% - uthevingsfarge 1 27 7 2 2 3" xfId="27635" xr:uid="{00000000-0005-0000-0000-0000E6280000}"/>
    <cellStyle name="40% - uthevingsfarge 1 27 7 2 3" xfId="23091" xr:uid="{00000000-0005-0000-0000-0000E7280000}"/>
    <cellStyle name="40% - uthevingsfarge 1 27 7 2 3 2" xfId="39160" xr:uid="{00000000-0005-0000-0000-0000E8280000}"/>
    <cellStyle name="40% - uthevingsfarge 1 27 7 2 4" xfId="31036" xr:uid="{00000000-0005-0000-0000-0000E9280000}"/>
    <cellStyle name="40% - uthevingsfarge 1 27 7 3" xfId="8461" xr:uid="{00000000-0005-0000-0000-0000EA280000}"/>
    <cellStyle name="40% - uthevingsfarge 1 27 7 3 2" xfId="10543" xr:uid="{00000000-0005-0000-0000-0000EB280000}"/>
    <cellStyle name="40% - uthevingsfarge 1 27 7 3 2 2" xfId="34416" xr:uid="{00000000-0005-0000-0000-0000EC280000}"/>
    <cellStyle name="40% - uthevingsfarge 1 27 7 3 3" xfId="29337" xr:uid="{00000000-0005-0000-0000-0000ED280000}"/>
    <cellStyle name="40% - uthevingsfarge 1 27 7 4" xfId="22838" xr:uid="{00000000-0005-0000-0000-0000EE280000}"/>
    <cellStyle name="40% - uthevingsfarge 1 27 7 4 2" xfId="38907" xr:uid="{00000000-0005-0000-0000-0000EF280000}"/>
    <cellStyle name="40% - uthevingsfarge 1 27 7 5" xfId="32728" xr:uid="{00000000-0005-0000-0000-0000F0280000}"/>
    <cellStyle name="40% - uthevingsfarge 1 27 8" xfId="5200" xr:uid="{00000000-0005-0000-0000-0000F1280000}"/>
    <cellStyle name="40% - uthevingsfarge 1 27 8 2" xfId="8619" xr:uid="{00000000-0005-0000-0000-0000F2280000}"/>
    <cellStyle name="40% - uthevingsfarge 1 27 8 2 2" xfId="24388" xr:uid="{00000000-0005-0000-0000-0000F3280000}"/>
    <cellStyle name="40% - uthevingsfarge 1 27 8 2 2 2" xfId="40432" xr:uid="{00000000-0005-0000-0000-0000F4280000}"/>
    <cellStyle name="40% - uthevingsfarge 1 27 8 2 3" xfId="29179" xr:uid="{00000000-0005-0000-0000-0000F5280000}"/>
    <cellStyle name="40% - uthevingsfarge 1 27 8 3" xfId="12129" xr:uid="{00000000-0005-0000-0000-0000F6280000}"/>
    <cellStyle name="40% - uthevingsfarge 1 27 8 3 2" xfId="35085" xr:uid="{00000000-0005-0000-0000-0000F7280000}"/>
    <cellStyle name="40% - uthevingsfarge 1 27 8 4" xfId="32570" xr:uid="{00000000-0005-0000-0000-0000F8280000}"/>
    <cellStyle name="40% - uthevingsfarge 1 27 9" xfId="6931" xr:uid="{00000000-0005-0000-0000-0000F9280000}"/>
    <cellStyle name="40% - uthevingsfarge 1 27 9 2" xfId="22399" xr:uid="{00000000-0005-0000-0000-0000FA280000}"/>
    <cellStyle name="40% - uthevingsfarge 1 27 9 2 2" xfId="38471" xr:uid="{00000000-0005-0000-0000-0000FB280000}"/>
    <cellStyle name="40% - uthevingsfarge 1 27 9 3" xfId="30867" xr:uid="{00000000-0005-0000-0000-0000FC280000}"/>
    <cellStyle name="40% - uthevingsfarge 1 28" xfId="728" xr:uid="{00000000-0005-0000-0000-0000FD280000}"/>
    <cellStyle name="40% - uthevingsfarge 1 28 10" xfId="6932" xr:uid="{00000000-0005-0000-0000-0000FE280000}"/>
    <cellStyle name="40% - uthevingsfarge 1 28 10 2" xfId="23116" xr:uid="{00000000-0005-0000-0000-0000FF280000}"/>
    <cellStyle name="40% - uthevingsfarge 1 28 10 2 2" xfId="39185" xr:uid="{00000000-0005-0000-0000-000000290000}"/>
    <cellStyle name="40% - uthevingsfarge 1 28 10 3" xfId="30866" xr:uid="{00000000-0005-0000-0000-000001290000}"/>
    <cellStyle name="40% - uthevingsfarge 1 28 11" xfId="11115" xr:uid="{00000000-0005-0000-0000-000002290000}"/>
    <cellStyle name="40% - uthevingsfarge 1 28 12" xfId="34254" xr:uid="{00000000-0005-0000-0000-000003290000}"/>
    <cellStyle name="40% - uthevingsfarge 1 28 2" xfId="3337" xr:uid="{00000000-0005-0000-0000-000004290000}"/>
    <cellStyle name="40% - uthevingsfarge 1 28 2 10" xfId="34154" xr:uid="{00000000-0005-0000-0000-000005290000}"/>
    <cellStyle name="40% - uthevingsfarge 1 28 2 2" xfId="3569" xr:uid="{00000000-0005-0000-0000-000006290000}"/>
    <cellStyle name="40% - uthevingsfarge 1 28 2 2 10" xfId="47168" xr:uid="{00000000-0005-0000-0000-000007290000}"/>
    <cellStyle name="40% - uthevingsfarge 1 28 2 2 2" xfId="3999" xr:uid="{00000000-0005-0000-0000-000008290000}"/>
    <cellStyle name="40% - uthevingsfarge 1 28 2 2 2 2" xfId="5887" xr:uid="{00000000-0005-0000-0000-000009290000}"/>
    <cellStyle name="40% - uthevingsfarge 1 28 2 2 2 2 2" xfId="9302" xr:uid="{00000000-0005-0000-0000-00000A290000}"/>
    <cellStyle name="40% - uthevingsfarge 1 28 2 2 2 2 2 2" xfId="21340" xr:uid="{00000000-0005-0000-0000-00000B290000}"/>
    <cellStyle name="40% - uthevingsfarge 1 28 2 2 2 2 2 2 2" xfId="37420" xr:uid="{00000000-0005-0000-0000-00000C290000}"/>
    <cellStyle name="40% - uthevingsfarge 1 28 2 2 2 2 2 3" xfId="28496" xr:uid="{00000000-0005-0000-0000-00000D290000}"/>
    <cellStyle name="40% - uthevingsfarge 1 28 2 2 2 2 3" xfId="22932" xr:uid="{00000000-0005-0000-0000-00000E290000}"/>
    <cellStyle name="40% - uthevingsfarge 1 28 2 2 2 2 3 2" xfId="39001" xr:uid="{00000000-0005-0000-0000-00000F290000}"/>
    <cellStyle name="40% - uthevingsfarge 1 28 2 2 2 2 4" xfId="31889" xr:uid="{00000000-0005-0000-0000-000010290000}"/>
    <cellStyle name="40% - uthevingsfarge 1 28 2 2 2 3" xfId="7605" xr:uid="{00000000-0005-0000-0000-000011290000}"/>
    <cellStyle name="40% - uthevingsfarge 1 28 2 2 2 3 2" xfId="24235" xr:uid="{00000000-0005-0000-0000-000012290000}"/>
    <cellStyle name="40% - uthevingsfarge 1 28 2 2 2 3 2 2" xfId="40288" xr:uid="{00000000-0005-0000-0000-000013290000}"/>
    <cellStyle name="40% - uthevingsfarge 1 28 2 2 2 3 3" xfId="30193" xr:uid="{00000000-0005-0000-0000-000014290000}"/>
    <cellStyle name="40% - uthevingsfarge 1 28 2 2 2 4" xfId="18007" xr:uid="{00000000-0005-0000-0000-000015290000}"/>
    <cellStyle name="40% - uthevingsfarge 1 28 2 2 2 5" xfId="12445" xr:uid="{00000000-0005-0000-0000-000016290000}"/>
    <cellStyle name="40% - uthevingsfarge 1 28 2 2 2 5 2" xfId="35239" xr:uid="{00000000-0005-0000-0000-000017290000}"/>
    <cellStyle name="40% - uthevingsfarge 1 28 2 2 2 6" xfId="33580" xr:uid="{00000000-0005-0000-0000-000018290000}"/>
    <cellStyle name="40% - uthevingsfarge 1 28 2 2 3" xfId="4939" xr:uid="{00000000-0005-0000-0000-000019290000}"/>
    <cellStyle name="40% - uthevingsfarge 1 28 2 2 3 10" xfId="47358" xr:uid="{00000000-0005-0000-0000-00001A290000}"/>
    <cellStyle name="40% - uthevingsfarge 1 28 2 2 3 2" xfId="6658" xr:uid="{00000000-0005-0000-0000-00001B290000}"/>
    <cellStyle name="40% - uthevingsfarge 1 28 2 2 3 2 2" xfId="10064" xr:uid="{00000000-0005-0000-0000-00001C290000}"/>
    <cellStyle name="40% - uthevingsfarge 1 28 2 2 3 2 2 2" xfId="21592" xr:uid="{00000000-0005-0000-0000-00001D290000}"/>
    <cellStyle name="40% - uthevingsfarge 1 28 2 2 3 2 2 2 2" xfId="37672" xr:uid="{00000000-0005-0000-0000-00001E290000}"/>
    <cellStyle name="40% - uthevingsfarge 1 28 2 2 3 2 2 3" xfId="27735" xr:uid="{00000000-0005-0000-0000-00001F290000}"/>
    <cellStyle name="40% - uthevingsfarge 1 28 2 2 3 2 3" xfId="19646" xr:uid="{00000000-0005-0000-0000-000020290000}"/>
    <cellStyle name="40% - uthevingsfarge 1 28 2 2 3 2 3 2" xfId="35760" xr:uid="{00000000-0005-0000-0000-000021290000}"/>
    <cellStyle name="40% - uthevingsfarge 1 28 2 2 3 2 4" xfId="31136" xr:uid="{00000000-0005-0000-0000-000022290000}"/>
    <cellStyle name="40% - uthevingsfarge 1 28 2 2 3 2 5" xfId="43052" xr:uid="{00000000-0005-0000-0000-000023290000}"/>
    <cellStyle name="40% - uthevingsfarge 1 28 2 2 3 2 6" xfId="43349" xr:uid="{00000000-0005-0000-0000-000024290000}"/>
    <cellStyle name="40% - uthevingsfarge 1 28 2 2 3 2 7" xfId="46197" xr:uid="{00000000-0005-0000-0000-000025290000}"/>
    <cellStyle name="40% - uthevingsfarge 1 28 2 2 3 2 8" xfId="46969" xr:uid="{00000000-0005-0000-0000-000026290000}"/>
    <cellStyle name="40% - uthevingsfarge 1 28 2 2 3 2 9" xfId="47554" xr:uid="{00000000-0005-0000-0000-000027290000}"/>
    <cellStyle name="40% - uthevingsfarge 1 28 2 2 3 3" xfId="8361" xr:uid="{00000000-0005-0000-0000-000028290000}"/>
    <cellStyle name="40% - uthevingsfarge 1 28 2 2 3 3 2" xfId="23351" xr:uid="{00000000-0005-0000-0000-000029290000}"/>
    <cellStyle name="40% - uthevingsfarge 1 28 2 2 3 3 2 2" xfId="39412" xr:uid="{00000000-0005-0000-0000-00002A290000}"/>
    <cellStyle name="40% - uthevingsfarge 1 28 2 2 3 3 3" xfId="29437" xr:uid="{00000000-0005-0000-0000-00002B290000}"/>
    <cellStyle name="40% - uthevingsfarge 1 28 2 2 3 3 4" xfId="43925" xr:uid="{00000000-0005-0000-0000-00002C290000}"/>
    <cellStyle name="40% - uthevingsfarge 1 28 2 2 3 4" xfId="16497" xr:uid="{00000000-0005-0000-0000-00002D290000}"/>
    <cellStyle name="40% - uthevingsfarge 1 28 2 2 3 4 2" xfId="35444" xr:uid="{00000000-0005-0000-0000-00002E290000}"/>
    <cellStyle name="40% - uthevingsfarge 1 28 2 2 3 5" xfId="25106" xr:uid="{00000000-0005-0000-0000-00002F290000}"/>
    <cellStyle name="40% - uthevingsfarge 1 28 2 2 3 6" xfId="25290" xr:uid="{00000000-0005-0000-0000-000030290000}"/>
    <cellStyle name="40% - uthevingsfarge 1 28 2 2 3 7" xfId="32828" xr:uid="{00000000-0005-0000-0000-000031290000}"/>
    <cellStyle name="40% - uthevingsfarge 1 28 2 2 3 8" xfId="43810" xr:uid="{00000000-0005-0000-0000-000032290000}"/>
    <cellStyle name="40% - uthevingsfarge 1 28 2 2 3 9" xfId="46735" xr:uid="{00000000-0005-0000-0000-000033290000}"/>
    <cellStyle name="40% - uthevingsfarge 1 28 2 2 4" xfId="5493" xr:uid="{00000000-0005-0000-0000-000034290000}"/>
    <cellStyle name="40% - uthevingsfarge 1 28 2 2 4 2" xfId="8908" xr:uid="{00000000-0005-0000-0000-000035290000}"/>
    <cellStyle name="40% - uthevingsfarge 1 28 2 2 4 2 2" xfId="24429" xr:uid="{00000000-0005-0000-0000-000036290000}"/>
    <cellStyle name="40% - uthevingsfarge 1 28 2 2 4 2 2 2" xfId="40473" xr:uid="{00000000-0005-0000-0000-000037290000}"/>
    <cellStyle name="40% - uthevingsfarge 1 28 2 2 4 2 3" xfId="28890" xr:uid="{00000000-0005-0000-0000-000038290000}"/>
    <cellStyle name="40% - uthevingsfarge 1 28 2 2 4 3" xfId="11993" xr:uid="{00000000-0005-0000-0000-000039290000}"/>
    <cellStyle name="40% - uthevingsfarge 1 28 2 2 4 3 2" xfId="35014" xr:uid="{00000000-0005-0000-0000-00003A290000}"/>
    <cellStyle name="40% - uthevingsfarge 1 28 2 2 4 4" xfId="32281" xr:uid="{00000000-0005-0000-0000-00003B290000}"/>
    <cellStyle name="40% - uthevingsfarge 1 28 2 2 5" xfId="7211" xr:uid="{00000000-0005-0000-0000-00003C290000}"/>
    <cellStyle name="40% - uthevingsfarge 1 28 2 2 5 2" xfId="20697" xr:uid="{00000000-0005-0000-0000-00003D290000}"/>
    <cellStyle name="40% - uthevingsfarge 1 28 2 2 5 2 2" xfId="36796" xr:uid="{00000000-0005-0000-0000-00003E290000}"/>
    <cellStyle name="40% - uthevingsfarge 1 28 2 2 5 3" xfId="30587" xr:uid="{00000000-0005-0000-0000-00003F290000}"/>
    <cellStyle name="40% - uthevingsfarge 1 28 2 2 6" xfId="11117" xr:uid="{00000000-0005-0000-0000-000040290000}"/>
    <cellStyle name="40% - uthevingsfarge 1 28 2 2 7" xfId="33974" xr:uid="{00000000-0005-0000-0000-000041290000}"/>
    <cellStyle name="40% - uthevingsfarge 1 28 2 2 8" xfId="43601" xr:uid="{00000000-0005-0000-0000-000042290000}"/>
    <cellStyle name="40% - uthevingsfarge 1 28 2 2 9" xfId="46507" xr:uid="{00000000-0005-0000-0000-000043290000}"/>
    <cellStyle name="40% - uthevingsfarge 1 28 2 2_Avviksanalyse løpende RNB15 (1)" xfId="16615" xr:uid="{00000000-0005-0000-0000-000044290000}"/>
    <cellStyle name="40% - uthevingsfarge 1 28 2 3" xfId="3819" xr:uid="{00000000-0005-0000-0000-000045290000}"/>
    <cellStyle name="40% - uthevingsfarge 1 28 2 3 2" xfId="5707" xr:uid="{00000000-0005-0000-0000-000046290000}"/>
    <cellStyle name="40% - uthevingsfarge 1 28 2 3 2 2" xfId="9122" xr:uid="{00000000-0005-0000-0000-000047290000}"/>
    <cellStyle name="40% - uthevingsfarge 1 28 2 3 2 2 2" xfId="21283" xr:uid="{00000000-0005-0000-0000-000048290000}"/>
    <cellStyle name="40% - uthevingsfarge 1 28 2 3 2 2 2 2" xfId="37363" xr:uid="{00000000-0005-0000-0000-000049290000}"/>
    <cellStyle name="40% - uthevingsfarge 1 28 2 3 2 2 3" xfId="28676" xr:uid="{00000000-0005-0000-0000-00004A290000}"/>
    <cellStyle name="40% - uthevingsfarge 1 28 2 3 2 3" xfId="22270" xr:uid="{00000000-0005-0000-0000-00004B290000}"/>
    <cellStyle name="40% - uthevingsfarge 1 28 2 3 2 3 2" xfId="38344" xr:uid="{00000000-0005-0000-0000-00004C290000}"/>
    <cellStyle name="40% - uthevingsfarge 1 28 2 3 2 4" xfId="32067" xr:uid="{00000000-0005-0000-0000-00004D290000}"/>
    <cellStyle name="40% - uthevingsfarge 1 28 2 3 3" xfId="7425" xr:uid="{00000000-0005-0000-0000-00004E290000}"/>
    <cellStyle name="40% - uthevingsfarge 1 28 2 3 3 2" xfId="24205" xr:uid="{00000000-0005-0000-0000-00004F290000}"/>
    <cellStyle name="40% - uthevingsfarge 1 28 2 3 3 2 2" xfId="40258" xr:uid="{00000000-0005-0000-0000-000050290000}"/>
    <cellStyle name="40% - uthevingsfarge 1 28 2 3 3 3" xfId="30373" xr:uid="{00000000-0005-0000-0000-000051290000}"/>
    <cellStyle name="40% - uthevingsfarge 1 28 2 3 4" xfId="19596" xr:uid="{00000000-0005-0000-0000-000052290000}"/>
    <cellStyle name="40% - uthevingsfarge 1 28 2 3 4 2" xfId="35710" xr:uid="{00000000-0005-0000-0000-000053290000}"/>
    <cellStyle name="40% - uthevingsfarge 1 28 2 3 5" xfId="33760" xr:uid="{00000000-0005-0000-0000-000054290000}"/>
    <cellStyle name="40% - uthevingsfarge 1 28 2 4" xfId="4304" xr:uid="{00000000-0005-0000-0000-000055290000}"/>
    <cellStyle name="40% - uthevingsfarge 1 28 2 4 2" xfId="6133" xr:uid="{00000000-0005-0000-0000-000056290000}"/>
    <cellStyle name="40% - uthevingsfarge 1 28 2 4 2 2" xfId="9547" xr:uid="{00000000-0005-0000-0000-000057290000}"/>
    <cellStyle name="40% - uthevingsfarge 1 28 2 4 2 2 2" xfId="11655" xr:uid="{00000000-0005-0000-0000-000058290000}"/>
    <cellStyle name="40% - uthevingsfarge 1 28 2 4 2 2 2 2" xfId="34824" xr:uid="{00000000-0005-0000-0000-000059290000}"/>
    <cellStyle name="40% - uthevingsfarge 1 28 2 4 2 2 3" xfId="28251" xr:uid="{00000000-0005-0000-0000-00005A290000}"/>
    <cellStyle name="40% - uthevingsfarge 1 28 2 4 2 3" xfId="20335" xr:uid="{00000000-0005-0000-0000-00005B290000}"/>
    <cellStyle name="40% - uthevingsfarge 1 28 2 4 2 3 2" xfId="36434" xr:uid="{00000000-0005-0000-0000-00005C290000}"/>
    <cellStyle name="40% - uthevingsfarge 1 28 2 4 2 4" xfId="31646" xr:uid="{00000000-0005-0000-0000-00005D290000}"/>
    <cellStyle name="40% - uthevingsfarge 1 28 2 4 3" xfId="7866" xr:uid="{00000000-0005-0000-0000-00005E290000}"/>
    <cellStyle name="40% - uthevingsfarge 1 28 2 4 3 2" xfId="11929" xr:uid="{00000000-0005-0000-0000-00005F290000}"/>
    <cellStyle name="40% - uthevingsfarge 1 28 2 4 3 2 2" xfId="34952" xr:uid="{00000000-0005-0000-0000-000060290000}"/>
    <cellStyle name="40% - uthevingsfarge 1 28 2 4 3 3" xfId="29933" xr:uid="{00000000-0005-0000-0000-000061290000}"/>
    <cellStyle name="40% - uthevingsfarge 1 28 2 4 4" xfId="19628" xr:uid="{00000000-0005-0000-0000-000062290000}"/>
    <cellStyle name="40% - uthevingsfarge 1 28 2 4 4 2" xfId="35742" xr:uid="{00000000-0005-0000-0000-000063290000}"/>
    <cellStyle name="40% - uthevingsfarge 1 28 2 4 5" xfId="33321" xr:uid="{00000000-0005-0000-0000-000064290000}"/>
    <cellStyle name="40% - uthevingsfarge 1 28 2 5" xfId="4759" xr:uid="{00000000-0005-0000-0000-000065290000}"/>
    <cellStyle name="40% - uthevingsfarge 1 28 2 5 2" xfId="6479" xr:uid="{00000000-0005-0000-0000-000066290000}"/>
    <cellStyle name="40% - uthevingsfarge 1 28 2 5 2 2" xfId="9885" xr:uid="{00000000-0005-0000-0000-000067290000}"/>
    <cellStyle name="40% - uthevingsfarge 1 28 2 5 2 2 2" xfId="23576" xr:uid="{00000000-0005-0000-0000-000068290000}"/>
    <cellStyle name="40% - uthevingsfarge 1 28 2 5 2 2 2 2" xfId="39632" xr:uid="{00000000-0005-0000-0000-000069290000}"/>
    <cellStyle name="40% - uthevingsfarge 1 28 2 5 2 2 3" xfId="27914" xr:uid="{00000000-0005-0000-0000-00006A290000}"/>
    <cellStyle name="40% - uthevingsfarge 1 28 2 5 2 3" xfId="20466" xr:uid="{00000000-0005-0000-0000-00006B290000}"/>
    <cellStyle name="40% - uthevingsfarge 1 28 2 5 2 3 2" xfId="36565" xr:uid="{00000000-0005-0000-0000-00006C290000}"/>
    <cellStyle name="40% - uthevingsfarge 1 28 2 5 2 4" xfId="31315" xr:uid="{00000000-0005-0000-0000-00006D290000}"/>
    <cellStyle name="40% - uthevingsfarge 1 28 2 5 3" xfId="8181" xr:uid="{00000000-0005-0000-0000-00006E290000}"/>
    <cellStyle name="40% - uthevingsfarge 1 28 2 5 3 2" xfId="19616" xr:uid="{00000000-0005-0000-0000-00006F290000}"/>
    <cellStyle name="40% - uthevingsfarge 1 28 2 5 3 2 2" xfId="35730" xr:uid="{00000000-0005-0000-0000-000070290000}"/>
    <cellStyle name="40% - uthevingsfarge 1 28 2 5 3 3" xfId="29616" xr:uid="{00000000-0005-0000-0000-000071290000}"/>
    <cellStyle name="40% - uthevingsfarge 1 28 2 5 4" xfId="12272" xr:uid="{00000000-0005-0000-0000-000072290000}"/>
    <cellStyle name="40% - uthevingsfarge 1 28 2 5 4 2" xfId="35148" xr:uid="{00000000-0005-0000-0000-000073290000}"/>
    <cellStyle name="40% - uthevingsfarge 1 28 2 5 5" xfId="33008" xr:uid="{00000000-0005-0000-0000-000074290000}"/>
    <cellStyle name="40% - uthevingsfarge 1 28 2 6" xfId="5119" xr:uid="{00000000-0005-0000-0000-000075290000}"/>
    <cellStyle name="40% - uthevingsfarge 1 28 2 6 2" xfId="6838" xr:uid="{00000000-0005-0000-0000-000076290000}"/>
    <cellStyle name="40% - uthevingsfarge 1 28 2 6 2 2" xfId="10244" xr:uid="{00000000-0005-0000-0000-000077290000}"/>
    <cellStyle name="40% - uthevingsfarge 1 28 2 6 2 2 2" xfId="24687" xr:uid="{00000000-0005-0000-0000-000078290000}"/>
    <cellStyle name="40% - uthevingsfarge 1 28 2 6 2 2 2 2" xfId="40730" xr:uid="{00000000-0005-0000-0000-000079290000}"/>
    <cellStyle name="40% - uthevingsfarge 1 28 2 6 2 2 3" xfId="27555" xr:uid="{00000000-0005-0000-0000-00007A290000}"/>
    <cellStyle name="40% - uthevingsfarge 1 28 2 6 2 3" xfId="23102" xr:uid="{00000000-0005-0000-0000-00007B290000}"/>
    <cellStyle name="40% - uthevingsfarge 1 28 2 6 2 3 2" xfId="39171" xr:uid="{00000000-0005-0000-0000-00007C290000}"/>
    <cellStyle name="40% - uthevingsfarge 1 28 2 6 2 4" xfId="30956" xr:uid="{00000000-0005-0000-0000-00007D290000}"/>
    <cellStyle name="40% - uthevingsfarge 1 28 2 6 3" xfId="8541" xr:uid="{00000000-0005-0000-0000-00007E290000}"/>
    <cellStyle name="40% - uthevingsfarge 1 28 2 6 3 2" xfId="21125" xr:uid="{00000000-0005-0000-0000-00007F290000}"/>
    <cellStyle name="40% - uthevingsfarge 1 28 2 6 3 2 2" xfId="37206" xr:uid="{00000000-0005-0000-0000-000080290000}"/>
    <cellStyle name="40% - uthevingsfarge 1 28 2 6 3 3" xfId="29257" xr:uid="{00000000-0005-0000-0000-000081290000}"/>
    <cellStyle name="40% - uthevingsfarge 1 28 2 6 4" xfId="19753" xr:uid="{00000000-0005-0000-0000-000082290000}"/>
    <cellStyle name="40% - uthevingsfarge 1 28 2 6 4 2" xfId="35867" xr:uid="{00000000-0005-0000-0000-000083290000}"/>
    <cellStyle name="40% - uthevingsfarge 1 28 2 6 5" xfId="32648" xr:uid="{00000000-0005-0000-0000-000084290000}"/>
    <cellStyle name="40% - uthevingsfarge 1 28 2 7" xfId="5298" xr:uid="{00000000-0005-0000-0000-000085290000}"/>
    <cellStyle name="40% - uthevingsfarge 1 28 2 7 2" xfId="8713" xr:uid="{00000000-0005-0000-0000-000086290000}"/>
    <cellStyle name="40% - uthevingsfarge 1 28 2 7 2 2" xfId="22555" xr:uid="{00000000-0005-0000-0000-000087290000}"/>
    <cellStyle name="40% - uthevingsfarge 1 28 2 7 2 2 2" xfId="38624" xr:uid="{00000000-0005-0000-0000-000088290000}"/>
    <cellStyle name="40% - uthevingsfarge 1 28 2 7 2 3" xfId="29085" xr:uid="{00000000-0005-0000-0000-000089290000}"/>
    <cellStyle name="40% - uthevingsfarge 1 28 2 7 3" xfId="10765" xr:uid="{00000000-0005-0000-0000-00008A290000}"/>
    <cellStyle name="40% - uthevingsfarge 1 28 2 7 3 2" xfId="34588" xr:uid="{00000000-0005-0000-0000-00008B290000}"/>
    <cellStyle name="40% - uthevingsfarge 1 28 2 7 4" xfId="32476" xr:uid="{00000000-0005-0000-0000-00008C290000}"/>
    <cellStyle name="40% - uthevingsfarge 1 28 2 8" xfId="7031" xr:uid="{00000000-0005-0000-0000-00008D290000}"/>
    <cellStyle name="40% - uthevingsfarge 1 28 2 8 2" xfId="23134" xr:uid="{00000000-0005-0000-0000-00008E290000}"/>
    <cellStyle name="40% - uthevingsfarge 1 28 2 8 2 2" xfId="39203" xr:uid="{00000000-0005-0000-0000-00008F290000}"/>
    <cellStyle name="40% - uthevingsfarge 1 28 2 8 3" xfId="30767" xr:uid="{00000000-0005-0000-0000-000090290000}"/>
    <cellStyle name="40% - uthevingsfarge 1 28 2 9" xfId="11116" xr:uid="{00000000-0005-0000-0000-000091290000}"/>
    <cellStyle name="40% - uthevingsfarge 1 28 3" xfId="3484" xr:uid="{00000000-0005-0000-0000-000092290000}"/>
    <cellStyle name="40% - uthevingsfarge 1 28 3 10" xfId="46439" xr:uid="{00000000-0005-0000-0000-000093290000}"/>
    <cellStyle name="40% - uthevingsfarge 1 28 3 11" xfId="47100" xr:uid="{00000000-0005-0000-0000-000094290000}"/>
    <cellStyle name="40% - uthevingsfarge 1 28 3 2" xfId="3920" xr:uid="{00000000-0005-0000-0000-000095290000}"/>
    <cellStyle name="40% - uthevingsfarge 1 28 3 2 2" xfId="5808" xr:uid="{00000000-0005-0000-0000-000096290000}"/>
    <cellStyle name="40% - uthevingsfarge 1 28 3 2 2 2" xfId="9223" xr:uid="{00000000-0005-0000-0000-000097290000}"/>
    <cellStyle name="40% - uthevingsfarge 1 28 3 2 2 2 2" xfId="21789" xr:uid="{00000000-0005-0000-0000-000098290000}"/>
    <cellStyle name="40% - uthevingsfarge 1 28 3 2 2 2 2 2" xfId="37865" xr:uid="{00000000-0005-0000-0000-000099290000}"/>
    <cellStyle name="40% - uthevingsfarge 1 28 3 2 2 2 3" xfId="28575" xr:uid="{00000000-0005-0000-0000-00009A290000}"/>
    <cellStyle name="40% - uthevingsfarge 1 28 3 2 2 3" xfId="23922" xr:uid="{00000000-0005-0000-0000-00009B290000}"/>
    <cellStyle name="40% - uthevingsfarge 1 28 3 2 2 3 2" xfId="39976" xr:uid="{00000000-0005-0000-0000-00009C290000}"/>
    <cellStyle name="40% - uthevingsfarge 1 28 3 2 2 4" xfId="31966" xr:uid="{00000000-0005-0000-0000-00009D290000}"/>
    <cellStyle name="40% - uthevingsfarge 1 28 3 2 3" xfId="7526" xr:uid="{00000000-0005-0000-0000-00009E290000}"/>
    <cellStyle name="40% - uthevingsfarge 1 28 3 2 3 2" xfId="11937" xr:uid="{00000000-0005-0000-0000-00009F290000}"/>
    <cellStyle name="40% - uthevingsfarge 1 28 3 2 3 2 2" xfId="34960" xr:uid="{00000000-0005-0000-0000-0000A0290000}"/>
    <cellStyle name="40% - uthevingsfarge 1 28 3 2 3 3" xfId="30272" xr:uid="{00000000-0005-0000-0000-0000A1290000}"/>
    <cellStyle name="40% - uthevingsfarge 1 28 3 2 4" xfId="18008" xr:uid="{00000000-0005-0000-0000-0000A2290000}"/>
    <cellStyle name="40% - uthevingsfarge 1 28 3 2 5" xfId="19947" xr:uid="{00000000-0005-0000-0000-0000A3290000}"/>
    <cellStyle name="40% - uthevingsfarge 1 28 3 2 5 2" xfId="36051" xr:uid="{00000000-0005-0000-0000-0000A4290000}"/>
    <cellStyle name="40% - uthevingsfarge 1 28 3 2 6" xfId="33659" xr:uid="{00000000-0005-0000-0000-0000A5290000}"/>
    <cellStyle name="40% - uthevingsfarge 1 28 3 3" xfId="4406" xr:uid="{00000000-0005-0000-0000-0000A6290000}"/>
    <cellStyle name="40% - uthevingsfarge 1 28 3 3 10" xfId="47290" xr:uid="{00000000-0005-0000-0000-0000A7290000}"/>
    <cellStyle name="40% - uthevingsfarge 1 28 3 3 2" xfId="6203" xr:uid="{00000000-0005-0000-0000-0000A8290000}"/>
    <cellStyle name="40% - uthevingsfarge 1 28 3 3 2 2" xfId="9617" xr:uid="{00000000-0005-0000-0000-0000A9290000}"/>
    <cellStyle name="40% - uthevingsfarge 1 28 3 3 2 2 2" xfId="24540" xr:uid="{00000000-0005-0000-0000-0000AA290000}"/>
    <cellStyle name="40% - uthevingsfarge 1 28 3 3 2 2 2 2" xfId="40584" xr:uid="{00000000-0005-0000-0000-0000AB290000}"/>
    <cellStyle name="40% - uthevingsfarge 1 28 3 3 2 2 3" xfId="28181" xr:uid="{00000000-0005-0000-0000-0000AC290000}"/>
    <cellStyle name="40% - uthevingsfarge 1 28 3 3 2 3" xfId="20363" xr:uid="{00000000-0005-0000-0000-0000AD290000}"/>
    <cellStyle name="40% - uthevingsfarge 1 28 3 3 2 3 2" xfId="36462" xr:uid="{00000000-0005-0000-0000-0000AE290000}"/>
    <cellStyle name="40% - uthevingsfarge 1 28 3 3 2 4" xfId="31582" xr:uid="{00000000-0005-0000-0000-0000AF290000}"/>
    <cellStyle name="40% - uthevingsfarge 1 28 3 3 2 5" xfId="42845" xr:uid="{00000000-0005-0000-0000-0000B0290000}"/>
    <cellStyle name="40% - uthevingsfarge 1 28 3 3 2 6" xfId="43283" xr:uid="{00000000-0005-0000-0000-0000B1290000}"/>
    <cellStyle name="40% - uthevingsfarge 1 28 3 3 2 7" xfId="46131" xr:uid="{00000000-0005-0000-0000-0000B2290000}"/>
    <cellStyle name="40% - uthevingsfarge 1 28 3 3 2 8" xfId="46900" xr:uid="{00000000-0005-0000-0000-0000B3290000}"/>
    <cellStyle name="40% - uthevingsfarge 1 28 3 3 2 9" xfId="47486" xr:uid="{00000000-0005-0000-0000-0000B4290000}"/>
    <cellStyle name="40% - uthevingsfarge 1 28 3 3 3" xfId="7937" xr:uid="{00000000-0005-0000-0000-0000B5290000}"/>
    <cellStyle name="40% - uthevingsfarge 1 28 3 3 3 2" xfId="20951" xr:uid="{00000000-0005-0000-0000-0000B6290000}"/>
    <cellStyle name="40% - uthevingsfarge 1 28 3 3 3 2 2" xfId="37047" xr:uid="{00000000-0005-0000-0000-0000B7290000}"/>
    <cellStyle name="40% - uthevingsfarge 1 28 3 3 3 3" xfId="29862" xr:uid="{00000000-0005-0000-0000-0000B8290000}"/>
    <cellStyle name="40% - uthevingsfarge 1 28 3 3 3 4" xfId="43926" xr:uid="{00000000-0005-0000-0000-0000B9290000}"/>
    <cellStyle name="40% - uthevingsfarge 1 28 3 3 4" xfId="16290" xr:uid="{00000000-0005-0000-0000-0000BA290000}"/>
    <cellStyle name="40% - uthevingsfarge 1 28 3 3 4 2" xfId="35378" xr:uid="{00000000-0005-0000-0000-0000BB290000}"/>
    <cellStyle name="40% - uthevingsfarge 1 28 3 3 5" xfId="25037" xr:uid="{00000000-0005-0000-0000-0000BC290000}"/>
    <cellStyle name="40% - uthevingsfarge 1 28 3 3 6" xfId="25291" xr:uid="{00000000-0005-0000-0000-0000BD290000}"/>
    <cellStyle name="40% - uthevingsfarge 1 28 3 3 7" xfId="33251" xr:uid="{00000000-0005-0000-0000-0000BE290000}"/>
    <cellStyle name="40% - uthevingsfarge 1 28 3 3 8" xfId="43743" xr:uid="{00000000-0005-0000-0000-0000BF290000}"/>
    <cellStyle name="40% - uthevingsfarge 1 28 3 3 9" xfId="46669" xr:uid="{00000000-0005-0000-0000-0000C0290000}"/>
    <cellStyle name="40% - uthevingsfarge 1 28 3 4" xfId="4860" xr:uid="{00000000-0005-0000-0000-0000C1290000}"/>
    <cellStyle name="40% - uthevingsfarge 1 28 3 4 2" xfId="6579" xr:uid="{00000000-0005-0000-0000-0000C2290000}"/>
    <cellStyle name="40% - uthevingsfarge 1 28 3 4 2 2" xfId="9985" xr:uid="{00000000-0005-0000-0000-0000C3290000}"/>
    <cellStyle name="40% - uthevingsfarge 1 28 3 4 2 2 2" xfId="24601" xr:uid="{00000000-0005-0000-0000-0000C4290000}"/>
    <cellStyle name="40% - uthevingsfarge 1 28 3 4 2 2 2 2" xfId="40645" xr:uid="{00000000-0005-0000-0000-0000C5290000}"/>
    <cellStyle name="40% - uthevingsfarge 1 28 3 4 2 2 3" xfId="27814" xr:uid="{00000000-0005-0000-0000-0000C6290000}"/>
    <cellStyle name="40% - uthevingsfarge 1 28 3 4 2 3" xfId="22145" xr:uid="{00000000-0005-0000-0000-0000C7290000}"/>
    <cellStyle name="40% - uthevingsfarge 1 28 3 4 2 3 2" xfId="38219" xr:uid="{00000000-0005-0000-0000-0000C8290000}"/>
    <cellStyle name="40% - uthevingsfarge 1 28 3 4 2 4" xfId="31215" xr:uid="{00000000-0005-0000-0000-0000C9290000}"/>
    <cellStyle name="40% - uthevingsfarge 1 28 3 4 3" xfId="8282" xr:uid="{00000000-0005-0000-0000-0000CA290000}"/>
    <cellStyle name="40% - uthevingsfarge 1 28 3 4 3 2" xfId="10582" xr:uid="{00000000-0005-0000-0000-0000CB290000}"/>
    <cellStyle name="40% - uthevingsfarge 1 28 3 4 3 2 2" xfId="34436" xr:uid="{00000000-0005-0000-0000-0000CC290000}"/>
    <cellStyle name="40% - uthevingsfarge 1 28 3 4 3 3" xfId="29515" xr:uid="{00000000-0005-0000-0000-0000CD290000}"/>
    <cellStyle name="40% - uthevingsfarge 1 28 3 4 4" xfId="10892" xr:uid="{00000000-0005-0000-0000-0000CE290000}"/>
    <cellStyle name="40% - uthevingsfarge 1 28 3 4 4 2" xfId="34665" xr:uid="{00000000-0005-0000-0000-0000CF290000}"/>
    <cellStyle name="40% - uthevingsfarge 1 28 3 4 5" xfId="32907" xr:uid="{00000000-0005-0000-0000-0000D0290000}"/>
    <cellStyle name="40% - uthevingsfarge 1 28 3 5" xfId="5245" xr:uid="{00000000-0005-0000-0000-0000D1290000}"/>
    <cellStyle name="40% - uthevingsfarge 1 28 3 5 2" xfId="8660" xr:uid="{00000000-0005-0000-0000-0000D2290000}"/>
    <cellStyle name="40% - uthevingsfarge 1 28 3 5 2 2" xfId="21887" xr:uid="{00000000-0005-0000-0000-0000D3290000}"/>
    <cellStyle name="40% - uthevingsfarge 1 28 3 5 2 2 2" xfId="37962" xr:uid="{00000000-0005-0000-0000-0000D4290000}"/>
    <cellStyle name="40% - uthevingsfarge 1 28 3 5 2 3" xfId="29138" xr:uid="{00000000-0005-0000-0000-0000D5290000}"/>
    <cellStyle name="40% - uthevingsfarge 1 28 3 5 3" xfId="12108" xr:uid="{00000000-0005-0000-0000-0000D6290000}"/>
    <cellStyle name="40% - uthevingsfarge 1 28 3 5 3 2" xfId="35075" xr:uid="{00000000-0005-0000-0000-0000D7290000}"/>
    <cellStyle name="40% - uthevingsfarge 1 28 3 5 4" xfId="32529" xr:uid="{00000000-0005-0000-0000-0000D8290000}"/>
    <cellStyle name="40% - uthevingsfarge 1 28 3 6" xfId="7132" xr:uid="{00000000-0005-0000-0000-0000D9290000}"/>
    <cellStyle name="40% - uthevingsfarge 1 28 3 6 2" xfId="20678" xr:uid="{00000000-0005-0000-0000-0000DA290000}"/>
    <cellStyle name="40% - uthevingsfarge 1 28 3 6 2 2" xfId="36777" xr:uid="{00000000-0005-0000-0000-0000DB290000}"/>
    <cellStyle name="40% - uthevingsfarge 1 28 3 6 3" xfId="30666" xr:uid="{00000000-0005-0000-0000-0000DC290000}"/>
    <cellStyle name="40% - uthevingsfarge 1 28 3 7" xfId="11118" xr:uid="{00000000-0005-0000-0000-0000DD290000}"/>
    <cellStyle name="40% - uthevingsfarge 1 28 3 8" xfId="34053" xr:uid="{00000000-0005-0000-0000-0000DE290000}"/>
    <cellStyle name="40% - uthevingsfarge 1 28 3 9" xfId="43535" xr:uid="{00000000-0005-0000-0000-0000DF290000}"/>
    <cellStyle name="40% - uthevingsfarge 1 28 3_Avviksanalyse løpende RNB15 (1)" xfId="16616" xr:uid="{00000000-0005-0000-0000-0000E0290000}"/>
    <cellStyle name="40% - uthevingsfarge 1 28 4" xfId="3741" xr:uid="{00000000-0005-0000-0000-0000E1290000}"/>
    <cellStyle name="40% - uthevingsfarge 1 28 4 2" xfId="5629" xr:uid="{00000000-0005-0000-0000-0000E2290000}"/>
    <cellStyle name="40% - uthevingsfarge 1 28 4 2 2" xfId="9044" xr:uid="{00000000-0005-0000-0000-0000E3290000}"/>
    <cellStyle name="40% - uthevingsfarge 1 28 4 2 2 2" xfId="24451" xr:uid="{00000000-0005-0000-0000-0000E4290000}"/>
    <cellStyle name="40% - uthevingsfarge 1 28 4 2 2 2 2" xfId="40495" xr:uid="{00000000-0005-0000-0000-0000E5290000}"/>
    <cellStyle name="40% - uthevingsfarge 1 28 4 2 2 3" xfId="28754" xr:uid="{00000000-0005-0000-0000-0000E6290000}"/>
    <cellStyle name="40% - uthevingsfarge 1 28 4 2 3" xfId="23890" xr:uid="{00000000-0005-0000-0000-0000E7290000}"/>
    <cellStyle name="40% - uthevingsfarge 1 28 4 2 3 2" xfId="39946" xr:uid="{00000000-0005-0000-0000-0000E8290000}"/>
    <cellStyle name="40% - uthevingsfarge 1 28 4 2 4" xfId="32145" xr:uid="{00000000-0005-0000-0000-0000E9290000}"/>
    <cellStyle name="40% - uthevingsfarge 1 28 4 3" xfId="7347" xr:uid="{00000000-0005-0000-0000-0000EA290000}"/>
    <cellStyle name="40% - uthevingsfarge 1 28 4 3 2" xfId="20749" xr:uid="{00000000-0005-0000-0000-0000EB290000}"/>
    <cellStyle name="40% - uthevingsfarge 1 28 4 3 2 2" xfId="36848" xr:uid="{00000000-0005-0000-0000-0000EC290000}"/>
    <cellStyle name="40% - uthevingsfarge 1 28 4 3 3" xfId="30451" xr:uid="{00000000-0005-0000-0000-0000ED290000}"/>
    <cellStyle name="40% - uthevingsfarge 1 28 4 4" xfId="21715" xr:uid="{00000000-0005-0000-0000-0000EE290000}"/>
    <cellStyle name="40% - uthevingsfarge 1 28 4 4 2" xfId="37793" xr:uid="{00000000-0005-0000-0000-0000EF290000}"/>
    <cellStyle name="40% - uthevingsfarge 1 28 4 5" xfId="33838" xr:uid="{00000000-0005-0000-0000-0000F0290000}"/>
    <cellStyle name="40% - uthevingsfarge 1 28 5" xfId="4245" xr:uid="{00000000-0005-0000-0000-0000F1290000}"/>
    <cellStyle name="40% - uthevingsfarge 1 28 5 2" xfId="6077" xr:uid="{00000000-0005-0000-0000-0000F2290000}"/>
    <cellStyle name="40% - uthevingsfarge 1 28 5 2 2" xfId="9492" xr:uid="{00000000-0005-0000-0000-0000F3290000}"/>
    <cellStyle name="40% - uthevingsfarge 1 28 5 2 2 2" xfId="21401" xr:uid="{00000000-0005-0000-0000-0000F4290000}"/>
    <cellStyle name="40% - uthevingsfarge 1 28 5 2 2 2 2" xfId="37481" xr:uid="{00000000-0005-0000-0000-0000F5290000}"/>
    <cellStyle name="40% - uthevingsfarge 1 28 5 2 2 3" xfId="28306" xr:uid="{00000000-0005-0000-0000-0000F6290000}"/>
    <cellStyle name="40% - uthevingsfarge 1 28 5 2 3" xfId="20313" xr:uid="{00000000-0005-0000-0000-0000F7290000}"/>
    <cellStyle name="40% - uthevingsfarge 1 28 5 2 3 2" xfId="36412" xr:uid="{00000000-0005-0000-0000-0000F8290000}"/>
    <cellStyle name="40% - uthevingsfarge 1 28 5 2 4" xfId="31701" xr:uid="{00000000-0005-0000-0000-0000F9290000}"/>
    <cellStyle name="40% - uthevingsfarge 1 28 5 3" xfId="7811" xr:uid="{00000000-0005-0000-0000-0000FA290000}"/>
    <cellStyle name="40% - uthevingsfarge 1 28 5 3 2" xfId="20911" xr:uid="{00000000-0005-0000-0000-0000FB290000}"/>
    <cellStyle name="40% - uthevingsfarge 1 28 5 3 2 2" xfId="37010" xr:uid="{00000000-0005-0000-0000-0000FC290000}"/>
    <cellStyle name="40% - uthevingsfarge 1 28 5 3 3" xfId="29988" xr:uid="{00000000-0005-0000-0000-0000FD290000}"/>
    <cellStyle name="40% - uthevingsfarge 1 28 5 4" xfId="22753" xr:uid="{00000000-0005-0000-0000-0000FE290000}"/>
    <cellStyle name="40% - uthevingsfarge 1 28 5 4 2" xfId="38822" xr:uid="{00000000-0005-0000-0000-0000FF290000}"/>
    <cellStyle name="40% - uthevingsfarge 1 28 5 5" xfId="33376" xr:uid="{00000000-0005-0000-0000-0000002A0000}"/>
    <cellStyle name="40% - uthevingsfarge 1 28 6" xfId="4380" xr:uid="{00000000-0005-0000-0000-0000012A0000}"/>
    <cellStyle name="40% - uthevingsfarge 1 28 6 2" xfId="6189" xr:uid="{00000000-0005-0000-0000-0000022A0000}"/>
    <cellStyle name="40% - uthevingsfarge 1 28 6 2 2" xfId="9603" xr:uid="{00000000-0005-0000-0000-0000032A0000}"/>
    <cellStyle name="40% - uthevingsfarge 1 28 6 2 2 2" xfId="21434" xr:uid="{00000000-0005-0000-0000-0000042A0000}"/>
    <cellStyle name="40% - uthevingsfarge 1 28 6 2 2 2 2" xfId="37514" xr:uid="{00000000-0005-0000-0000-0000052A0000}"/>
    <cellStyle name="40% - uthevingsfarge 1 28 6 2 2 3" xfId="28195" xr:uid="{00000000-0005-0000-0000-0000062A0000}"/>
    <cellStyle name="40% - uthevingsfarge 1 28 6 2 3" xfId="22117" xr:uid="{00000000-0005-0000-0000-0000072A0000}"/>
    <cellStyle name="40% - uthevingsfarge 1 28 6 2 3 2" xfId="38191" xr:uid="{00000000-0005-0000-0000-0000082A0000}"/>
    <cellStyle name="40% - uthevingsfarge 1 28 6 2 4" xfId="31594" xr:uid="{00000000-0005-0000-0000-0000092A0000}"/>
    <cellStyle name="40% - uthevingsfarge 1 28 6 3" xfId="7923" xr:uid="{00000000-0005-0000-0000-00000A2A0000}"/>
    <cellStyle name="40% - uthevingsfarge 1 28 6 3 2" xfId="24291" xr:uid="{00000000-0005-0000-0000-00000B2A0000}"/>
    <cellStyle name="40% - uthevingsfarge 1 28 6 3 2 2" xfId="40343" xr:uid="{00000000-0005-0000-0000-00000C2A0000}"/>
    <cellStyle name="40% - uthevingsfarge 1 28 6 3 3" xfId="29876" xr:uid="{00000000-0005-0000-0000-00000D2A0000}"/>
    <cellStyle name="40% - uthevingsfarge 1 28 6 4" xfId="19636" xr:uid="{00000000-0005-0000-0000-00000E2A0000}"/>
    <cellStyle name="40% - uthevingsfarge 1 28 6 4 2" xfId="35750" xr:uid="{00000000-0005-0000-0000-00000F2A0000}"/>
    <cellStyle name="40% - uthevingsfarge 1 28 6 5" xfId="33264" xr:uid="{00000000-0005-0000-0000-0000102A0000}"/>
    <cellStyle name="40% - uthevingsfarge 1 28 7" xfId="4676" xr:uid="{00000000-0005-0000-0000-0000112A0000}"/>
    <cellStyle name="40% - uthevingsfarge 1 28 7 2" xfId="6396" xr:uid="{00000000-0005-0000-0000-0000122A0000}"/>
    <cellStyle name="40% - uthevingsfarge 1 28 7 2 2" xfId="9806" xr:uid="{00000000-0005-0000-0000-0000132A0000}"/>
    <cellStyle name="40% - uthevingsfarge 1 28 7 2 2 2" xfId="22622" xr:uid="{00000000-0005-0000-0000-0000142A0000}"/>
    <cellStyle name="40% - uthevingsfarge 1 28 7 2 2 2 2" xfId="38691" xr:uid="{00000000-0005-0000-0000-0000152A0000}"/>
    <cellStyle name="40% - uthevingsfarge 1 28 7 2 2 3" xfId="27993" xr:uid="{00000000-0005-0000-0000-0000162A0000}"/>
    <cellStyle name="40% - uthevingsfarge 1 28 7 2 3" xfId="20435" xr:uid="{00000000-0005-0000-0000-0000172A0000}"/>
    <cellStyle name="40% - uthevingsfarge 1 28 7 2 3 2" xfId="36534" xr:uid="{00000000-0005-0000-0000-0000182A0000}"/>
    <cellStyle name="40% - uthevingsfarge 1 28 7 2 4" xfId="31394" xr:uid="{00000000-0005-0000-0000-0000192A0000}"/>
    <cellStyle name="40% - uthevingsfarge 1 28 7 3" xfId="8102" xr:uid="{00000000-0005-0000-0000-00001A2A0000}"/>
    <cellStyle name="40% - uthevingsfarge 1 28 7 3 2" xfId="10604" xr:uid="{00000000-0005-0000-0000-00001B2A0000}"/>
    <cellStyle name="40% - uthevingsfarge 1 28 7 3 2 2" xfId="34452" xr:uid="{00000000-0005-0000-0000-00001C2A0000}"/>
    <cellStyle name="40% - uthevingsfarge 1 28 7 3 3" xfId="29696" xr:uid="{00000000-0005-0000-0000-00001D2A0000}"/>
    <cellStyle name="40% - uthevingsfarge 1 28 7 4" xfId="19685" xr:uid="{00000000-0005-0000-0000-00001E2A0000}"/>
    <cellStyle name="40% - uthevingsfarge 1 28 7 4 2" xfId="35799" xr:uid="{00000000-0005-0000-0000-00001F2A0000}"/>
    <cellStyle name="40% - uthevingsfarge 1 28 7 5" xfId="33087" xr:uid="{00000000-0005-0000-0000-0000202A0000}"/>
    <cellStyle name="40% - uthevingsfarge 1 28 8" xfId="5040" xr:uid="{00000000-0005-0000-0000-0000212A0000}"/>
    <cellStyle name="40% - uthevingsfarge 1 28 8 2" xfId="6759" xr:uid="{00000000-0005-0000-0000-0000222A0000}"/>
    <cellStyle name="40% - uthevingsfarge 1 28 8 2 2" xfId="10165" xr:uid="{00000000-0005-0000-0000-0000232A0000}"/>
    <cellStyle name="40% - uthevingsfarge 1 28 8 2 2 2" xfId="24637" xr:uid="{00000000-0005-0000-0000-0000242A0000}"/>
    <cellStyle name="40% - uthevingsfarge 1 28 8 2 2 2 2" xfId="40681" xr:uid="{00000000-0005-0000-0000-0000252A0000}"/>
    <cellStyle name="40% - uthevingsfarge 1 28 8 2 2 3" xfId="27634" xr:uid="{00000000-0005-0000-0000-0000262A0000}"/>
    <cellStyle name="40% - uthevingsfarge 1 28 8 2 3" xfId="20556" xr:uid="{00000000-0005-0000-0000-0000272A0000}"/>
    <cellStyle name="40% - uthevingsfarge 1 28 8 2 3 2" xfId="36655" xr:uid="{00000000-0005-0000-0000-0000282A0000}"/>
    <cellStyle name="40% - uthevingsfarge 1 28 8 2 4" xfId="31035" xr:uid="{00000000-0005-0000-0000-0000292A0000}"/>
    <cellStyle name="40% - uthevingsfarge 1 28 8 3" xfId="8462" xr:uid="{00000000-0005-0000-0000-00002A2A0000}"/>
    <cellStyle name="40% - uthevingsfarge 1 28 8 3 2" xfId="19499" xr:uid="{00000000-0005-0000-0000-00002B2A0000}"/>
    <cellStyle name="40% - uthevingsfarge 1 28 8 3 2 2" xfId="35613" xr:uid="{00000000-0005-0000-0000-00002C2A0000}"/>
    <cellStyle name="40% - uthevingsfarge 1 28 8 3 3" xfId="29336" xr:uid="{00000000-0005-0000-0000-00002D2A0000}"/>
    <cellStyle name="40% - uthevingsfarge 1 28 8 4" xfId="10848" xr:uid="{00000000-0005-0000-0000-00002E2A0000}"/>
    <cellStyle name="40% - uthevingsfarge 1 28 8 4 2" xfId="34646" xr:uid="{00000000-0005-0000-0000-00002F2A0000}"/>
    <cellStyle name="40% - uthevingsfarge 1 28 8 5" xfId="32727" xr:uid="{00000000-0005-0000-0000-0000302A0000}"/>
    <cellStyle name="40% - uthevingsfarge 1 28 9" xfId="5221" xr:uid="{00000000-0005-0000-0000-0000312A0000}"/>
    <cellStyle name="40% - uthevingsfarge 1 28 9 2" xfId="8636" xr:uid="{00000000-0005-0000-0000-0000322A0000}"/>
    <cellStyle name="40% - uthevingsfarge 1 28 9 2 2" xfId="22589" xr:uid="{00000000-0005-0000-0000-0000332A0000}"/>
    <cellStyle name="40% - uthevingsfarge 1 28 9 2 2 2" xfId="38658" xr:uid="{00000000-0005-0000-0000-0000342A0000}"/>
    <cellStyle name="40% - uthevingsfarge 1 28 9 2 3" xfId="29162" xr:uid="{00000000-0005-0000-0000-0000352A0000}"/>
    <cellStyle name="40% - uthevingsfarge 1 28 9 3" xfId="10785" xr:uid="{00000000-0005-0000-0000-0000362A0000}"/>
    <cellStyle name="40% - uthevingsfarge 1 28 9 3 2" xfId="34608" xr:uid="{00000000-0005-0000-0000-0000372A0000}"/>
    <cellStyle name="40% - uthevingsfarge 1 28 9 4" xfId="32553" xr:uid="{00000000-0005-0000-0000-0000382A0000}"/>
    <cellStyle name="40% - uthevingsfarge 1 29" xfId="729" xr:uid="{00000000-0005-0000-0000-0000392A0000}"/>
    <cellStyle name="40% - uthevingsfarge 1 29 10" xfId="11119" xr:uid="{00000000-0005-0000-0000-00003A2A0000}"/>
    <cellStyle name="40% - uthevingsfarge 1 29 11" xfId="34253" xr:uid="{00000000-0005-0000-0000-00003B2A0000}"/>
    <cellStyle name="40% - uthevingsfarge 1 29 2" xfId="3338" xr:uid="{00000000-0005-0000-0000-00003C2A0000}"/>
    <cellStyle name="40% - uthevingsfarge 1 29 2 10" xfId="34153" xr:uid="{00000000-0005-0000-0000-00003D2A0000}"/>
    <cellStyle name="40% - uthevingsfarge 1 29 2 2" xfId="3570" xr:uid="{00000000-0005-0000-0000-00003E2A0000}"/>
    <cellStyle name="40% - uthevingsfarge 1 29 2 2 10" xfId="47169" xr:uid="{00000000-0005-0000-0000-00003F2A0000}"/>
    <cellStyle name="40% - uthevingsfarge 1 29 2 2 2" xfId="4000" xr:uid="{00000000-0005-0000-0000-0000402A0000}"/>
    <cellStyle name="40% - uthevingsfarge 1 29 2 2 2 2" xfId="5888" xr:uid="{00000000-0005-0000-0000-0000412A0000}"/>
    <cellStyle name="40% - uthevingsfarge 1 29 2 2 2 2 2" xfId="9303" xr:uid="{00000000-0005-0000-0000-0000422A0000}"/>
    <cellStyle name="40% - uthevingsfarge 1 29 2 2 2 2 2 2" xfId="21341" xr:uid="{00000000-0005-0000-0000-0000432A0000}"/>
    <cellStyle name="40% - uthevingsfarge 1 29 2 2 2 2 2 2 2" xfId="37421" xr:uid="{00000000-0005-0000-0000-0000442A0000}"/>
    <cellStyle name="40% - uthevingsfarge 1 29 2 2 2 2 2 3" xfId="28495" xr:uid="{00000000-0005-0000-0000-0000452A0000}"/>
    <cellStyle name="40% - uthevingsfarge 1 29 2 2 2 2 3" xfId="20238" xr:uid="{00000000-0005-0000-0000-0000462A0000}"/>
    <cellStyle name="40% - uthevingsfarge 1 29 2 2 2 2 3 2" xfId="36337" xr:uid="{00000000-0005-0000-0000-0000472A0000}"/>
    <cellStyle name="40% - uthevingsfarge 1 29 2 2 2 2 4" xfId="31888" xr:uid="{00000000-0005-0000-0000-0000482A0000}"/>
    <cellStyle name="40% - uthevingsfarge 1 29 2 2 2 3" xfId="7606" xr:uid="{00000000-0005-0000-0000-0000492A0000}"/>
    <cellStyle name="40% - uthevingsfarge 1 29 2 2 2 3 2" xfId="22202" xr:uid="{00000000-0005-0000-0000-00004A2A0000}"/>
    <cellStyle name="40% - uthevingsfarge 1 29 2 2 2 3 2 2" xfId="38276" xr:uid="{00000000-0005-0000-0000-00004B2A0000}"/>
    <cellStyle name="40% - uthevingsfarge 1 29 2 2 2 3 3" xfId="30192" xr:uid="{00000000-0005-0000-0000-00004C2A0000}"/>
    <cellStyle name="40% - uthevingsfarge 1 29 2 2 2 4" xfId="18009" xr:uid="{00000000-0005-0000-0000-00004D2A0000}"/>
    <cellStyle name="40% - uthevingsfarge 1 29 2 2 2 5" xfId="23793" xr:uid="{00000000-0005-0000-0000-00004E2A0000}"/>
    <cellStyle name="40% - uthevingsfarge 1 29 2 2 2 5 2" xfId="39849" xr:uid="{00000000-0005-0000-0000-00004F2A0000}"/>
    <cellStyle name="40% - uthevingsfarge 1 29 2 2 2 6" xfId="33579" xr:uid="{00000000-0005-0000-0000-0000502A0000}"/>
    <cellStyle name="40% - uthevingsfarge 1 29 2 2 3" xfId="4940" xr:uid="{00000000-0005-0000-0000-0000512A0000}"/>
    <cellStyle name="40% - uthevingsfarge 1 29 2 2 3 10" xfId="47359" xr:uid="{00000000-0005-0000-0000-0000522A0000}"/>
    <cellStyle name="40% - uthevingsfarge 1 29 2 2 3 2" xfId="6659" xr:uid="{00000000-0005-0000-0000-0000532A0000}"/>
    <cellStyle name="40% - uthevingsfarge 1 29 2 2 3 2 2" xfId="10065" xr:uid="{00000000-0005-0000-0000-0000542A0000}"/>
    <cellStyle name="40% - uthevingsfarge 1 29 2 2 3 2 2 2" xfId="24617" xr:uid="{00000000-0005-0000-0000-0000552A0000}"/>
    <cellStyle name="40% - uthevingsfarge 1 29 2 2 3 2 2 2 2" xfId="40661" xr:uid="{00000000-0005-0000-0000-0000562A0000}"/>
    <cellStyle name="40% - uthevingsfarge 1 29 2 2 3 2 2 3" xfId="27734" xr:uid="{00000000-0005-0000-0000-0000572A0000}"/>
    <cellStyle name="40% - uthevingsfarge 1 29 2 2 3 2 3" xfId="11968" xr:uid="{00000000-0005-0000-0000-0000582A0000}"/>
    <cellStyle name="40% - uthevingsfarge 1 29 2 2 3 2 3 2" xfId="34990" xr:uid="{00000000-0005-0000-0000-0000592A0000}"/>
    <cellStyle name="40% - uthevingsfarge 1 29 2 2 3 2 4" xfId="31135" xr:uid="{00000000-0005-0000-0000-00005A2A0000}"/>
    <cellStyle name="40% - uthevingsfarge 1 29 2 2 3 2 5" xfId="43053" xr:uid="{00000000-0005-0000-0000-00005B2A0000}"/>
    <cellStyle name="40% - uthevingsfarge 1 29 2 2 3 2 6" xfId="43350" xr:uid="{00000000-0005-0000-0000-00005C2A0000}"/>
    <cellStyle name="40% - uthevingsfarge 1 29 2 2 3 2 7" xfId="46198" xr:uid="{00000000-0005-0000-0000-00005D2A0000}"/>
    <cellStyle name="40% - uthevingsfarge 1 29 2 2 3 2 8" xfId="46970" xr:uid="{00000000-0005-0000-0000-00005E2A0000}"/>
    <cellStyle name="40% - uthevingsfarge 1 29 2 2 3 2 9" xfId="47555" xr:uid="{00000000-0005-0000-0000-00005F2A0000}"/>
    <cellStyle name="40% - uthevingsfarge 1 29 2 2 3 3" xfId="8362" xr:uid="{00000000-0005-0000-0000-0000602A0000}"/>
    <cellStyle name="40% - uthevingsfarge 1 29 2 2 3 3 2" xfId="21073" xr:uid="{00000000-0005-0000-0000-0000612A0000}"/>
    <cellStyle name="40% - uthevingsfarge 1 29 2 2 3 3 2 2" xfId="37160" xr:uid="{00000000-0005-0000-0000-0000622A0000}"/>
    <cellStyle name="40% - uthevingsfarge 1 29 2 2 3 3 3" xfId="29436" xr:uid="{00000000-0005-0000-0000-0000632A0000}"/>
    <cellStyle name="40% - uthevingsfarge 1 29 2 2 3 3 4" xfId="43927" xr:uid="{00000000-0005-0000-0000-0000642A0000}"/>
    <cellStyle name="40% - uthevingsfarge 1 29 2 2 3 4" xfId="16498" xr:uid="{00000000-0005-0000-0000-0000652A0000}"/>
    <cellStyle name="40% - uthevingsfarge 1 29 2 2 3 4 2" xfId="35445" xr:uid="{00000000-0005-0000-0000-0000662A0000}"/>
    <cellStyle name="40% - uthevingsfarge 1 29 2 2 3 5" xfId="25107" xr:uid="{00000000-0005-0000-0000-0000672A0000}"/>
    <cellStyle name="40% - uthevingsfarge 1 29 2 2 3 6" xfId="25292" xr:uid="{00000000-0005-0000-0000-0000682A0000}"/>
    <cellStyle name="40% - uthevingsfarge 1 29 2 2 3 7" xfId="32827" xr:uid="{00000000-0005-0000-0000-0000692A0000}"/>
    <cellStyle name="40% - uthevingsfarge 1 29 2 2 3 8" xfId="43811" xr:uid="{00000000-0005-0000-0000-00006A2A0000}"/>
    <cellStyle name="40% - uthevingsfarge 1 29 2 2 3 9" xfId="46736" xr:uid="{00000000-0005-0000-0000-00006B2A0000}"/>
    <cellStyle name="40% - uthevingsfarge 1 29 2 2 4" xfId="5494" xr:uid="{00000000-0005-0000-0000-00006C2A0000}"/>
    <cellStyle name="40% - uthevingsfarge 1 29 2 2 4 2" xfId="8909" xr:uid="{00000000-0005-0000-0000-00006D2A0000}"/>
    <cellStyle name="40% - uthevingsfarge 1 29 2 2 4 2 2" xfId="22741" xr:uid="{00000000-0005-0000-0000-00006E2A0000}"/>
    <cellStyle name="40% - uthevingsfarge 1 29 2 2 4 2 2 2" xfId="38810" xr:uid="{00000000-0005-0000-0000-00006F2A0000}"/>
    <cellStyle name="40% - uthevingsfarge 1 29 2 2 4 2 3" xfId="28889" xr:uid="{00000000-0005-0000-0000-0000702A0000}"/>
    <cellStyle name="40% - uthevingsfarge 1 29 2 2 4 3" xfId="10691" xr:uid="{00000000-0005-0000-0000-0000712A0000}"/>
    <cellStyle name="40% - uthevingsfarge 1 29 2 2 4 3 2" xfId="34539" xr:uid="{00000000-0005-0000-0000-0000722A0000}"/>
    <cellStyle name="40% - uthevingsfarge 1 29 2 2 4 4" xfId="32280" xr:uid="{00000000-0005-0000-0000-0000732A0000}"/>
    <cellStyle name="40% - uthevingsfarge 1 29 2 2 5" xfId="7212" xr:uid="{00000000-0005-0000-0000-0000742A0000}"/>
    <cellStyle name="40% - uthevingsfarge 1 29 2 2 5 2" xfId="20698" xr:uid="{00000000-0005-0000-0000-0000752A0000}"/>
    <cellStyle name="40% - uthevingsfarge 1 29 2 2 5 2 2" xfId="36797" xr:uid="{00000000-0005-0000-0000-0000762A0000}"/>
    <cellStyle name="40% - uthevingsfarge 1 29 2 2 5 3" xfId="30586" xr:uid="{00000000-0005-0000-0000-0000772A0000}"/>
    <cellStyle name="40% - uthevingsfarge 1 29 2 2 6" xfId="11121" xr:uid="{00000000-0005-0000-0000-0000782A0000}"/>
    <cellStyle name="40% - uthevingsfarge 1 29 2 2 7" xfId="33973" xr:uid="{00000000-0005-0000-0000-0000792A0000}"/>
    <cellStyle name="40% - uthevingsfarge 1 29 2 2 8" xfId="43602" xr:uid="{00000000-0005-0000-0000-00007A2A0000}"/>
    <cellStyle name="40% - uthevingsfarge 1 29 2 2 9" xfId="46508" xr:uid="{00000000-0005-0000-0000-00007B2A0000}"/>
    <cellStyle name="40% - uthevingsfarge 1 29 2 2_Avviksanalyse løpende RNB15 (1)" xfId="16617" xr:uid="{00000000-0005-0000-0000-00007C2A0000}"/>
    <cellStyle name="40% - uthevingsfarge 1 29 2 3" xfId="3820" xr:uid="{00000000-0005-0000-0000-00007D2A0000}"/>
    <cellStyle name="40% - uthevingsfarge 1 29 2 3 2" xfId="5708" xr:uid="{00000000-0005-0000-0000-00007E2A0000}"/>
    <cellStyle name="40% - uthevingsfarge 1 29 2 3 2 2" xfId="9123" xr:uid="{00000000-0005-0000-0000-00007F2A0000}"/>
    <cellStyle name="40% - uthevingsfarge 1 29 2 3 2 2 2" xfId="24462" xr:uid="{00000000-0005-0000-0000-0000802A0000}"/>
    <cellStyle name="40% - uthevingsfarge 1 29 2 3 2 2 2 2" xfId="40506" xr:uid="{00000000-0005-0000-0000-0000812A0000}"/>
    <cellStyle name="40% - uthevingsfarge 1 29 2 3 2 2 3" xfId="28675" xr:uid="{00000000-0005-0000-0000-0000822A0000}"/>
    <cellStyle name="40% - uthevingsfarge 1 29 2 3 2 3" xfId="22901" xr:uid="{00000000-0005-0000-0000-0000832A0000}"/>
    <cellStyle name="40% - uthevingsfarge 1 29 2 3 2 3 2" xfId="38970" xr:uid="{00000000-0005-0000-0000-0000842A0000}"/>
    <cellStyle name="40% - uthevingsfarge 1 29 2 3 2 4" xfId="32066" xr:uid="{00000000-0005-0000-0000-0000852A0000}"/>
    <cellStyle name="40% - uthevingsfarge 1 29 2 3 3" xfId="7426" xr:uid="{00000000-0005-0000-0000-0000862A0000}"/>
    <cellStyle name="40% - uthevingsfarge 1 29 2 3 3 2" xfId="22199" xr:uid="{00000000-0005-0000-0000-0000872A0000}"/>
    <cellStyle name="40% - uthevingsfarge 1 29 2 3 3 2 2" xfId="38273" xr:uid="{00000000-0005-0000-0000-0000882A0000}"/>
    <cellStyle name="40% - uthevingsfarge 1 29 2 3 3 3" xfId="30372" xr:uid="{00000000-0005-0000-0000-0000892A0000}"/>
    <cellStyle name="40% - uthevingsfarge 1 29 2 3 4" xfId="12554" xr:uid="{00000000-0005-0000-0000-00008A2A0000}"/>
    <cellStyle name="40% - uthevingsfarge 1 29 2 3 4 2" xfId="35275" xr:uid="{00000000-0005-0000-0000-00008B2A0000}"/>
    <cellStyle name="40% - uthevingsfarge 1 29 2 3 5" xfId="33759" xr:uid="{00000000-0005-0000-0000-00008C2A0000}"/>
    <cellStyle name="40% - uthevingsfarge 1 29 2 4" xfId="4305" xr:uid="{00000000-0005-0000-0000-00008D2A0000}"/>
    <cellStyle name="40% - uthevingsfarge 1 29 2 4 2" xfId="6134" xr:uid="{00000000-0005-0000-0000-00008E2A0000}"/>
    <cellStyle name="40% - uthevingsfarge 1 29 2 4 2 2" xfId="9548" xr:uid="{00000000-0005-0000-0000-00008F2A0000}"/>
    <cellStyle name="40% - uthevingsfarge 1 29 2 4 2 2 2" xfId="21415" xr:uid="{00000000-0005-0000-0000-0000902A0000}"/>
    <cellStyle name="40% - uthevingsfarge 1 29 2 4 2 2 2 2" xfId="37495" xr:uid="{00000000-0005-0000-0000-0000912A0000}"/>
    <cellStyle name="40% - uthevingsfarge 1 29 2 4 2 2 3" xfId="28250" xr:uid="{00000000-0005-0000-0000-0000922A0000}"/>
    <cellStyle name="40% - uthevingsfarge 1 29 2 4 2 3" xfId="23984" xr:uid="{00000000-0005-0000-0000-0000932A0000}"/>
    <cellStyle name="40% - uthevingsfarge 1 29 2 4 2 3 2" xfId="40037" xr:uid="{00000000-0005-0000-0000-0000942A0000}"/>
    <cellStyle name="40% - uthevingsfarge 1 29 2 4 2 4" xfId="31645" xr:uid="{00000000-0005-0000-0000-0000952A0000}"/>
    <cellStyle name="40% - uthevingsfarge 1 29 2 4 3" xfId="7867" xr:uid="{00000000-0005-0000-0000-0000962A0000}"/>
    <cellStyle name="40% - uthevingsfarge 1 29 2 4 3 2" xfId="23281" xr:uid="{00000000-0005-0000-0000-0000972A0000}"/>
    <cellStyle name="40% - uthevingsfarge 1 29 2 4 3 2 2" xfId="39349" xr:uid="{00000000-0005-0000-0000-0000982A0000}"/>
    <cellStyle name="40% - uthevingsfarge 1 29 2 4 3 3" xfId="29932" xr:uid="{00000000-0005-0000-0000-0000992A0000}"/>
    <cellStyle name="40% - uthevingsfarge 1 29 2 4 4" xfId="22689" xr:uid="{00000000-0005-0000-0000-00009A2A0000}"/>
    <cellStyle name="40% - uthevingsfarge 1 29 2 4 4 2" xfId="38758" xr:uid="{00000000-0005-0000-0000-00009B2A0000}"/>
    <cellStyle name="40% - uthevingsfarge 1 29 2 4 5" xfId="33320" xr:uid="{00000000-0005-0000-0000-00009C2A0000}"/>
    <cellStyle name="40% - uthevingsfarge 1 29 2 5" xfId="4760" xr:uid="{00000000-0005-0000-0000-00009D2A0000}"/>
    <cellStyle name="40% - uthevingsfarge 1 29 2 5 2" xfId="6480" xr:uid="{00000000-0005-0000-0000-00009E2A0000}"/>
    <cellStyle name="40% - uthevingsfarge 1 29 2 5 2 2" xfId="9886" xr:uid="{00000000-0005-0000-0000-00009F2A0000}"/>
    <cellStyle name="40% - uthevingsfarge 1 29 2 5 2 2 2" xfId="21521" xr:uid="{00000000-0005-0000-0000-0000A02A0000}"/>
    <cellStyle name="40% - uthevingsfarge 1 29 2 5 2 2 2 2" xfId="37601" xr:uid="{00000000-0005-0000-0000-0000A12A0000}"/>
    <cellStyle name="40% - uthevingsfarge 1 29 2 5 2 2 3" xfId="27913" xr:uid="{00000000-0005-0000-0000-0000A22A0000}"/>
    <cellStyle name="40% - uthevingsfarge 1 29 2 5 2 3" xfId="20467" xr:uid="{00000000-0005-0000-0000-0000A32A0000}"/>
    <cellStyle name="40% - uthevingsfarge 1 29 2 5 2 3 2" xfId="36566" xr:uid="{00000000-0005-0000-0000-0000A42A0000}"/>
    <cellStyle name="40% - uthevingsfarge 1 29 2 5 2 4" xfId="31314" xr:uid="{00000000-0005-0000-0000-0000A52A0000}"/>
    <cellStyle name="40% - uthevingsfarge 1 29 2 5 3" xfId="8182" xr:uid="{00000000-0005-0000-0000-0000A62A0000}"/>
    <cellStyle name="40% - uthevingsfarge 1 29 2 5 3 2" xfId="11885" xr:uid="{00000000-0005-0000-0000-0000A72A0000}"/>
    <cellStyle name="40% - uthevingsfarge 1 29 2 5 3 2 2" xfId="34922" xr:uid="{00000000-0005-0000-0000-0000A82A0000}"/>
    <cellStyle name="40% - uthevingsfarge 1 29 2 5 3 3" xfId="29615" xr:uid="{00000000-0005-0000-0000-0000A92A0000}"/>
    <cellStyle name="40% - uthevingsfarge 1 29 2 5 4" xfId="23834" xr:uid="{00000000-0005-0000-0000-0000AA2A0000}"/>
    <cellStyle name="40% - uthevingsfarge 1 29 2 5 4 2" xfId="39890" xr:uid="{00000000-0005-0000-0000-0000AB2A0000}"/>
    <cellStyle name="40% - uthevingsfarge 1 29 2 5 5" xfId="33007" xr:uid="{00000000-0005-0000-0000-0000AC2A0000}"/>
    <cellStyle name="40% - uthevingsfarge 1 29 2 6" xfId="5120" xr:uid="{00000000-0005-0000-0000-0000AD2A0000}"/>
    <cellStyle name="40% - uthevingsfarge 1 29 2 6 2" xfId="6839" xr:uid="{00000000-0005-0000-0000-0000AE2A0000}"/>
    <cellStyle name="40% - uthevingsfarge 1 29 2 6 2 2" xfId="10245" xr:uid="{00000000-0005-0000-0000-0000AF2A0000}"/>
    <cellStyle name="40% - uthevingsfarge 1 29 2 6 2 2 2" xfId="24688" xr:uid="{00000000-0005-0000-0000-0000B02A0000}"/>
    <cellStyle name="40% - uthevingsfarge 1 29 2 6 2 2 2 2" xfId="40731" xr:uid="{00000000-0005-0000-0000-0000B12A0000}"/>
    <cellStyle name="40% - uthevingsfarge 1 29 2 6 2 2 3" xfId="27554" xr:uid="{00000000-0005-0000-0000-0000B22A0000}"/>
    <cellStyle name="40% - uthevingsfarge 1 29 2 6 2 3" xfId="20577" xr:uid="{00000000-0005-0000-0000-0000B32A0000}"/>
    <cellStyle name="40% - uthevingsfarge 1 29 2 6 2 3 2" xfId="36676" xr:uid="{00000000-0005-0000-0000-0000B42A0000}"/>
    <cellStyle name="40% - uthevingsfarge 1 29 2 6 2 4" xfId="30955" xr:uid="{00000000-0005-0000-0000-0000B52A0000}"/>
    <cellStyle name="40% - uthevingsfarge 1 29 2 6 3" xfId="8542" xr:uid="{00000000-0005-0000-0000-0000B62A0000}"/>
    <cellStyle name="40% - uthevingsfarge 1 29 2 6 3 2" xfId="10525" xr:uid="{00000000-0005-0000-0000-0000B72A0000}"/>
    <cellStyle name="40% - uthevingsfarge 1 29 2 6 3 2 2" xfId="34407" xr:uid="{00000000-0005-0000-0000-0000B82A0000}"/>
    <cellStyle name="40% - uthevingsfarge 1 29 2 6 3 3" xfId="29256" xr:uid="{00000000-0005-0000-0000-0000B92A0000}"/>
    <cellStyle name="40% - uthevingsfarge 1 29 2 6 4" xfId="12168" xr:uid="{00000000-0005-0000-0000-0000BA2A0000}"/>
    <cellStyle name="40% - uthevingsfarge 1 29 2 6 4 2" xfId="35104" xr:uid="{00000000-0005-0000-0000-0000BB2A0000}"/>
    <cellStyle name="40% - uthevingsfarge 1 29 2 6 5" xfId="32647" xr:uid="{00000000-0005-0000-0000-0000BC2A0000}"/>
    <cellStyle name="40% - uthevingsfarge 1 29 2 7" xfId="5299" xr:uid="{00000000-0005-0000-0000-0000BD2A0000}"/>
    <cellStyle name="40% - uthevingsfarge 1 29 2 7 2" xfId="8714" xr:uid="{00000000-0005-0000-0000-0000BE2A0000}"/>
    <cellStyle name="40% - uthevingsfarge 1 29 2 7 2 2" xfId="19513" xr:uid="{00000000-0005-0000-0000-0000BF2A0000}"/>
    <cellStyle name="40% - uthevingsfarge 1 29 2 7 2 2 2" xfId="35627" xr:uid="{00000000-0005-0000-0000-0000C02A0000}"/>
    <cellStyle name="40% - uthevingsfarge 1 29 2 7 2 3" xfId="29084" xr:uid="{00000000-0005-0000-0000-0000C12A0000}"/>
    <cellStyle name="40% - uthevingsfarge 1 29 2 7 3" xfId="23758" xr:uid="{00000000-0005-0000-0000-0000C22A0000}"/>
    <cellStyle name="40% - uthevingsfarge 1 29 2 7 3 2" xfId="39814" xr:uid="{00000000-0005-0000-0000-0000C32A0000}"/>
    <cellStyle name="40% - uthevingsfarge 1 29 2 7 4" xfId="32475" xr:uid="{00000000-0005-0000-0000-0000C42A0000}"/>
    <cellStyle name="40% - uthevingsfarge 1 29 2 8" xfId="7032" xr:uid="{00000000-0005-0000-0000-0000C52A0000}"/>
    <cellStyle name="40% - uthevingsfarge 1 29 2 8 2" xfId="20640" xr:uid="{00000000-0005-0000-0000-0000C62A0000}"/>
    <cellStyle name="40% - uthevingsfarge 1 29 2 8 2 2" xfId="36739" xr:uid="{00000000-0005-0000-0000-0000C72A0000}"/>
    <cellStyle name="40% - uthevingsfarge 1 29 2 8 3" xfId="30766" xr:uid="{00000000-0005-0000-0000-0000C82A0000}"/>
    <cellStyle name="40% - uthevingsfarge 1 29 2 9" xfId="11120" xr:uid="{00000000-0005-0000-0000-0000C92A0000}"/>
    <cellStyle name="40% - uthevingsfarge 1 29 3" xfId="3485" xr:uid="{00000000-0005-0000-0000-0000CA2A0000}"/>
    <cellStyle name="40% - uthevingsfarge 1 29 3 10" xfId="47101" xr:uid="{00000000-0005-0000-0000-0000CB2A0000}"/>
    <cellStyle name="40% - uthevingsfarge 1 29 3 2" xfId="3921" xr:uid="{00000000-0005-0000-0000-0000CC2A0000}"/>
    <cellStyle name="40% - uthevingsfarge 1 29 3 2 2" xfId="5809" xr:uid="{00000000-0005-0000-0000-0000CD2A0000}"/>
    <cellStyle name="40% - uthevingsfarge 1 29 3 2 2 2" xfId="9224" xr:uid="{00000000-0005-0000-0000-0000CE2A0000}"/>
    <cellStyle name="40% - uthevingsfarge 1 29 3 2 2 2 2" xfId="23477" xr:uid="{00000000-0005-0000-0000-0000CF2A0000}"/>
    <cellStyle name="40% - uthevingsfarge 1 29 3 2 2 2 2 2" xfId="39533" xr:uid="{00000000-0005-0000-0000-0000D02A0000}"/>
    <cellStyle name="40% - uthevingsfarge 1 29 3 2 2 2 3" xfId="28574" xr:uid="{00000000-0005-0000-0000-0000D12A0000}"/>
    <cellStyle name="40% - uthevingsfarge 1 29 3 2 2 3" xfId="22281" xr:uid="{00000000-0005-0000-0000-0000D22A0000}"/>
    <cellStyle name="40% - uthevingsfarge 1 29 3 2 2 3 2" xfId="38353" xr:uid="{00000000-0005-0000-0000-0000D32A0000}"/>
    <cellStyle name="40% - uthevingsfarge 1 29 3 2 2 4" xfId="31965" xr:uid="{00000000-0005-0000-0000-0000D42A0000}"/>
    <cellStyle name="40% - uthevingsfarge 1 29 3 2 3" xfId="7527" xr:uid="{00000000-0005-0000-0000-0000D52A0000}"/>
    <cellStyle name="40% - uthevingsfarge 1 29 3 2 3 2" xfId="23220" xr:uid="{00000000-0005-0000-0000-0000D62A0000}"/>
    <cellStyle name="40% - uthevingsfarge 1 29 3 2 3 2 2" xfId="39289" xr:uid="{00000000-0005-0000-0000-0000D72A0000}"/>
    <cellStyle name="40% - uthevingsfarge 1 29 3 2 3 3" xfId="30271" xr:uid="{00000000-0005-0000-0000-0000D82A0000}"/>
    <cellStyle name="40% - uthevingsfarge 1 29 3 2 4" xfId="18010" xr:uid="{00000000-0005-0000-0000-0000D92A0000}"/>
    <cellStyle name="40% - uthevingsfarge 1 29 3 2 5" xfId="19948" xr:uid="{00000000-0005-0000-0000-0000DA2A0000}"/>
    <cellStyle name="40% - uthevingsfarge 1 29 3 2 5 2" xfId="36052" xr:uid="{00000000-0005-0000-0000-0000DB2A0000}"/>
    <cellStyle name="40% - uthevingsfarge 1 29 3 2 6" xfId="33658" xr:uid="{00000000-0005-0000-0000-0000DC2A0000}"/>
    <cellStyle name="40% - uthevingsfarge 1 29 3 3" xfId="4861" xr:uid="{00000000-0005-0000-0000-0000DD2A0000}"/>
    <cellStyle name="40% - uthevingsfarge 1 29 3 3 10" xfId="47291" xr:uid="{00000000-0005-0000-0000-0000DE2A0000}"/>
    <cellStyle name="40% - uthevingsfarge 1 29 3 3 2" xfId="6580" xr:uid="{00000000-0005-0000-0000-0000DF2A0000}"/>
    <cellStyle name="40% - uthevingsfarge 1 29 3 3 2 2" xfId="9986" xr:uid="{00000000-0005-0000-0000-0000E02A0000}"/>
    <cellStyle name="40% - uthevingsfarge 1 29 3 3 2 2 2" xfId="21810" xr:uid="{00000000-0005-0000-0000-0000E12A0000}"/>
    <cellStyle name="40% - uthevingsfarge 1 29 3 3 2 2 2 2" xfId="37886" xr:uid="{00000000-0005-0000-0000-0000E22A0000}"/>
    <cellStyle name="40% - uthevingsfarge 1 29 3 3 2 2 3" xfId="27813" xr:uid="{00000000-0005-0000-0000-0000E32A0000}"/>
    <cellStyle name="40% - uthevingsfarge 1 29 3 3 2 3" xfId="23066" xr:uid="{00000000-0005-0000-0000-0000E42A0000}"/>
    <cellStyle name="40% - uthevingsfarge 1 29 3 3 2 3 2" xfId="39135" xr:uid="{00000000-0005-0000-0000-0000E52A0000}"/>
    <cellStyle name="40% - uthevingsfarge 1 29 3 3 2 4" xfId="31214" xr:uid="{00000000-0005-0000-0000-0000E62A0000}"/>
    <cellStyle name="40% - uthevingsfarge 1 29 3 3 2 5" xfId="42846" xr:uid="{00000000-0005-0000-0000-0000E72A0000}"/>
    <cellStyle name="40% - uthevingsfarge 1 29 3 3 2 6" xfId="43284" xr:uid="{00000000-0005-0000-0000-0000E82A0000}"/>
    <cellStyle name="40% - uthevingsfarge 1 29 3 3 2 7" xfId="46132" xr:uid="{00000000-0005-0000-0000-0000E92A0000}"/>
    <cellStyle name="40% - uthevingsfarge 1 29 3 3 2 8" xfId="46901" xr:uid="{00000000-0005-0000-0000-0000EA2A0000}"/>
    <cellStyle name="40% - uthevingsfarge 1 29 3 3 2 9" xfId="47487" xr:uid="{00000000-0005-0000-0000-0000EB2A0000}"/>
    <cellStyle name="40% - uthevingsfarge 1 29 3 3 3" xfId="8283" xr:uid="{00000000-0005-0000-0000-0000EC2A0000}"/>
    <cellStyle name="40% - uthevingsfarge 1 29 3 3 3 2" xfId="19479" xr:uid="{00000000-0005-0000-0000-0000ED2A0000}"/>
    <cellStyle name="40% - uthevingsfarge 1 29 3 3 3 2 2" xfId="35593" xr:uid="{00000000-0005-0000-0000-0000EE2A0000}"/>
    <cellStyle name="40% - uthevingsfarge 1 29 3 3 3 3" xfId="29514" xr:uid="{00000000-0005-0000-0000-0000EF2A0000}"/>
    <cellStyle name="40% - uthevingsfarge 1 29 3 3 3 4" xfId="43928" xr:uid="{00000000-0005-0000-0000-0000F02A0000}"/>
    <cellStyle name="40% - uthevingsfarge 1 29 3 3 4" xfId="16291" xr:uid="{00000000-0005-0000-0000-0000F12A0000}"/>
    <cellStyle name="40% - uthevingsfarge 1 29 3 3 4 2" xfId="35379" xr:uid="{00000000-0005-0000-0000-0000F22A0000}"/>
    <cellStyle name="40% - uthevingsfarge 1 29 3 3 5" xfId="25038" xr:uid="{00000000-0005-0000-0000-0000F32A0000}"/>
    <cellStyle name="40% - uthevingsfarge 1 29 3 3 6" xfId="25293" xr:uid="{00000000-0005-0000-0000-0000F42A0000}"/>
    <cellStyle name="40% - uthevingsfarge 1 29 3 3 7" xfId="32906" xr:uid="{00000000-0005-0000-0000-0000F52A0000}"/>
    <cellStyle name="40% - uthevingsfarge 1 29 3 3 8" xfId="43744" xr:uid="{00000000-0005-0000-0000-0000F62A0000}"/>
    <cellStyle name="40% - uthevingsfarge 1 29 3 3 9" xfId="46670" xr:uid="{00000000-0005-0000-0000-0000F72A0000}"/>
    <cellStyle name="40% - uthevingsfarge 1 29 3 4" xfId="5419" xr:uid="{00000000-0005-0000-0000-0000F82A0000}"/>
    <cellStyle name="40% - uthevingsfarge 1 29 3 4 2" xfId="8834" xr:uid="{00000000-0005-0000-0000-0000F92A0000}"/>
    <cellStyle name="40% - uthevingsfarge 1 29 3 4 2 2" xfId="21198" xr:uid="{00000000-0005-0000-0000-0000FA2A0000}"/>
    <cellStyle name="40% - uthevingsfarge 1 29 3 4 2 2 2" xfId="37278" xr:uid="{00000000-0005-0000-0000-0000FB2A0000}"/>
    <cellStyle name="40% - uthevingsfarge 1 29 3 4 2 3" xfId="28964" xr:uid="{00000000-0005-0000-0000-0000FC2A0000}"/>
    <cellStyle name="40% - uthevingsfarge 1 29 3 4 3" xfId="10708" xr:uid="{00000000-0005-0000-0000-0000FD2A0000}"/>
    <cellStyle name="40% - uthevingsfarge 1 29 3 4 3 2" xfId="34556" xr:uid="{00000000-0005-0000-0000-0000FE2A0000}"/>
    <cellStyle name="40% - uthevingsfarge 1 29 3 4 4" xfId="32355" xr:uid="{00000000-0005-0000-0000-0000FF2A0000}"/>
    <cellStyle name="40% - uthevingsfarge 1 29 3 5" xfId="7133" xr:uid="{00000000-0005-0000-0000-0000002B0000}"/>
    <cellStyle name="40% - uthevingsfarge 1 29 3 5 2" xfId="20679" xr:uid="{00000000-0005-0000-0000-0000012B0000}"/>
    <cellStyle name="40% - uthevingsfarge 1 29 3 5 2 2" xfId="36778" xr:uid="{00000000-0005-0000-0000-0000022B0000}"/>
    <cellStyle name="40% - uthevingsfarge 1 29 3 5 3" xfId="30665" xr:uid="{00000000-0005-0000-0000-0000032B0000}"/>
    <cellStyle name="40% - uthevingsfarge 1 29 3 6" xfId="11122" xr:uid="{00000000-0005-0000-0000-0000042B0000}"/>
    <cellStyle name="40% - uthevingsfarge 1 29 3 7" xfId="34052" xr:uid="{00000000-0005-0000-0000-0000052B0000}"/>
    <cellStyle name="40% - uthevingsfarge 1 29 3 8" xfId="43536" xr:uid="{00000000-0005-0000-0000-0000062B0000}"/>
    <cellStyle name="40% - uthevingsfarge 1 29 3 9" xfId="46440" xr:uid="{00000000-0005-0000-0000-0000072B0000}"/>
    <cellStyle name="40% - uthevingsfarge 1 29 3_Avviksanalyse løpende RNB15 (1)" xfId="16618" xr:uid="{00000000-0005-0000-0000-0000082B0000}"/>
    <cellStyle name="40% - uthevingsfarge 1 29 4" xfId="3742" xr:uid="{00000000-0005-0000-0000-0000092B0000}"/>
    <cellStyle name="40% - uthevingsfarge 1 29 4 2" xfId="5630" xr:uid="{00000000-0005-0000-0000-00000A2B0000}"/>
    <cellStyle name="40% - uthevingsfarge 1 29 4 2 2" xfId="9045" xr:uid="{00000000-0005-0000-0000-00000B2B0000}"/>
    <cellStyle name="40% - uthevingsfarge 1 29 4 2 2 2" xfId="22482" xr:uid="{00000000-0005-0000-0000-00000C2B0000}"/>
    <cellStyle name="40% - uthevingsfarge 1 29 4 2 2 2 2" xfId="38554" xr:uid="{00000000-0005-0000-0000-00000D2B0000}"/>
    <cellStyle name="40% - uthevingsfarge 1 29 4 2 2 3" xfId="28753" xr:uid="{00000000-0005-0000-0000-00000E2B0000}"/>
    <cellStyle name="40% - uthevingsfarge 1 29 4 2 3" xfId="22077" xr:uid="{00000000-0005-0000-0000-00000F2B0000}"/>
    <cellStyle name="40% - uthevingsfarge 1 29 4 2 3 2" xfId="38151" xr:uid="{00000000-0005-0000-0000-0000102B0000}"/>
    <cellStyle name="40% - uthevingsfarge 1 29 4 2 4" xfId="32144" xr:uid="{00000000-0005-0000-0000-0000112B0000}"/>
    <cellStyle name="40% - uthevingsfarge 1 29 4 3" xfId="7348" xr:uid="{00000000-0005-0000-0000-0000122B0000}"/>
    <cellStyle name="40% - uthevingsfarge 1 29 4 3 2" xfId="20750" xr:uid="{00000000-0005-0000-0000-0000132B0000}"/>
    <cellStyle name="40% - uthevingsfarge 1 29 4 3 2 2" xfId="36849" xr:uid="{00000000-0005-0000-0000-0000142B0000}"/>
    <cellStyle name="40% - uthevingsfarge 1 29 4 3 3" xfId="30450" xr:uid="{00000000-0005-0000-0000-0000152B0000}"/>
    <cellStyle name="40% - uthevingsfarge 1 29 4 4" xfId="22774" xr:uid="{00000000-0005-0000-0000-0000162B0000}"/>
    <cellStyle name="40% - uthevingsfarge 1 29 4 4 2" xfId="38843" xr:uid="{00000000-0005-0000-0000-0000172B0000}"/>
    <cellStyle name="40% - uthevingsfarge 1 29 4 5" xfId="33837" xr:uid="{00000000-0005-0000-0000-0000182B0000}"/>
    <cellStyle name="40% - uthevingsfarge 1 29 5" xfId="4246" xr:uid="{00000000-0005-0000-0000-0000192B0000}"/>
    <cellStyle name="40% - uthevingsfarge 1 29 5 2" xfId="6078" xr:uid="{00000000-0005-0000-0000-00001A2B0000}"/>
    <cellStyle name="40% - uthevingsfarge 1 29 5 2 2" xfId="9493" xr:uid="{00000000-0005-0000-0000-00001B2B0000}"/>
    <cellStyle name="40% - uthevingsfarge 1 29 5 2 2 2" xfId="21402" xr:uid="{00000000-0005-0000-0000-00001C2B0000}"/>
    <cellStyle name="40% - uthevingsfarge 1 29 5 2 2 2 2" xfId="37482" xr:uid="{00000000-0005-0000-0000-00001D2B0000}"/>
    <cellStyle name="40% - uthevingsfarge 1 29 5 2 2 3" xfId="28305" xr:uid="{00000000-0005-0000-0000-00001E2B0000}"/>
    <cellStyle name="40% - uthevingsfarge 1 29 5 2 3" xfId="20314" xr:uid="{00000000-0005-0000-0000-00001F2B0000}"/>
    <cellStyle name="40% - uthevingsfarge 1 29 5 2 3 2" xfId="36413" xr:uid="{00000000-0005-0000-0000-0000202B0000}"/>
    <cellStyle name="40% - uthevingsfarge 1 29 5 2 4" xfId="31700" xr:uid="{00000000-0005-0000-0000-0000212B0000}"/>
    <cellStyle name="40% - uthevingsfarge 1 29 5 3" xfId="7812" xr:uid="{00000000-0005-0000-0000-0000222B0000}"/>
    <cellStyle name="40% - uthevingsfarge 1 29 5 3 2" xfId="20912" xr:uid="{00000000-0005-0000-0000-0000232B0000}"/>
    <cellStyle name="40% - uthevingsfarge 1 29 5 3 2 2" xfId="37011" xr:uid="{00000000-0005-0000-0000-0000242B0000}"/>
    <cellStyle name="40% - uthevingsfarge 1 29 5 3 3" xfId="29987" xr:uid="{00000000-0005-0000-0000-0000252B0000}"/>
    <cellStyle name="40% - uthevingsfarge 1 29 5 4" xfId="12391" xr:uid="{00000000-0005-0000-0000-0000262B0000}"/>
    <cellStyle name="40% - uthevingsfarge 1 29 5 4 2" xfId="35220" xr:uid="{00000000-0005-0000-0000-0000272B0000}"/>
    <cellStyle name="40% - uthevingsfarge 1 29 5 5" xfId="33375" xr:uid="{00000000-0005-0000-0000-0000282B0000}"/>
    <cellStyle name="40% - uthevingsfarge 1 29 6" xfId="4677" xr:uid="{00000000-0005-0000-0000-0000292B0000}"/>
    <cellStyle name="40% - uthevingsfarge 1 29 6 2" xfId="6397" xr:uid="{00000000-0005-0000-0000-00002A2B0000}"/>
    <cellStyle name="40% - uthevingsfarge 1 29 6 2 2" xfId="9807" xr:uid="{00000000-0005-0000-0000-00002B2B0000}"/>
    <cellStyle name="40% - uthevingsfarge 1 29 6 2 2 2" xfId="23561" xr:uid="{00000000-0005-0000-0000-00002C2B0000}"/>
    <cellStyle name="40% - uthevingsfarge 1 29 6 2 2 2 2" xfId="39617" xr:uid="{00000000-0005-0000-0000-00002D2B0000}"/>
    <cellStyle name="40% - uthevingsfarge 1 29 6 2 2 3" xfId="27992" xr:uid="{00000000-0005-0000-0000-00002E2B0000}"/>
    <cellStyle name="40% - uthevingsfarge 1 29 6 2 3" xfId="20436" xr:uid="{00000000-0005-0000-0000-00002F2B0000}"/>
    <cellStyle name="40% - uthevingsfarge 1 29 6 2 3 2" xfId="36535" xr:uid="{00000000-0005-0000-0000-0000302B0000}"/>
    <cellStyle name="40% - uthevingsfarge 1 29 6 2 4" xfId="31393" xr:uid="{00000000-0005-0000-0000-0000312B0000}"/>
    <cellStyle name="40% - uthevingsfarge 1 29 6 3" xfId="8103" xr:uid="{00000000-0005-0000-0000-0000322B0000}"/>
    <cellStyle name="40% - uthevingsfarge 1 29 6 3 2" xfId="19466" xr:uid="{00000000-0005-0000-0000-0000332B0000}"/>
    <cellStyle name="40% - uthevingsfarge 1 29 6 3 2 2" xfId="35580" xr:uid="{00000000-0005-0000-0000-0000342B0000}"/>
    <cellStyle name="40% - uthevingsfarge 1 29 6 3 3" xfId="29695" xr:uid="{00000000-0005-0000-0000-0000352B0000}"/>
    <cellStyle name="40% - uthevingsfarge 1 29 6 4" xfId="12285" xr:uid="{00000000-0005-0000-0000-0000362B0000}"/>
    <cellStyle name="40% - uthevingsfarge 1 29 6 4 2" xfId="35161" xr:uid="{00000000-0005-0000-0000-0000372B0000}"/>
    <cellStyle name="40% - uthevingsfarge 1 29 6 5" xfId="33086" xr:uid="{00000000-0005-0000-0000-0000382B0000}"/>
    <cellStyle name="40% - uthevingsfarge 1 29 7" xfId="5041" xr:uid="{00000000-0005-0000-0000-0000392B0000}"/>
    <cellStyle name="40% - uthevingsfarge 1 29 7 2" xfId="6760" xr:uid="{00000000-0005-0000-0000-00003A2B0000}"/>
    <cellStyle name="40% - uthevingsfarge 1 29 7 2 2" xfId="10166" xr:uid="{00000000-0005-0000-0000-00003B2B0000}"/>
    <cellStyle name="40% - uthevingsfarge 1 29 7 2 2 2" xfId="22032" xr:uid="{00000000-0005-0000-0000-00003C2B0000}"/>
    <cellStyle name="40% - uthevingsfarge 1 29 7 2 2 2 2" xfId="38107" xr:uid="{00000000-0005-0000-0000-00003D2B0000}"/>
    <cellStyle name="40% - uthevingsfarge 1 29 7 2 2 3" xfId="27633" xr:uid="{00000000-0005-0000-0000-00003E2B0000}"/>
    <cellStyle name="40% - uthevingsfarge 1 29 7 2 3" xfId="24094" xr:uid="{00000000-0005-0000-0000-00003F2B0000}"/>
    <cellStyle name="40% - uthevingsfarge 1 29 7 2 3 2" xfId="40147" xr:uid="{00000000-0005-0000-0000-0000402B0000}"/>
    <cellStyle name="40% - uthevingsfarge 1 29 7 2 4" xfId="31034" xr:uid="{00000000-0005-0000-0000-0000412B0000}"/>
    <cellStyle name="40% - uthevingsfarge 1 29 7 3" xfId="8463" xr:uid="{00000000-0005-0000-0000-0000422B0000}"/>
    <cellStyle name="40% - uthevingsfarge 1 29 7 3 2" xfId="11853" xr:uid="{00000000-0005-0000-0000-0000432B0000}"/>
    <cellStyle name="40% - uthevingsfarge 1 29 7 3 2 2" xfId="34897" xr:uid="{00000000-0005-0000-0000-0000442B0000}"/>
    <cellStyle name="40% - uthevingsfarge 1 29 7 3 3" xfId="29335" xr:uid="{00000000-0005-0000-0000-0000452B0000}"/>
    <cellStyle name="40% - uthevingsfarge 1 29 7 4" xfId="19740" xr:uid="{00000000-0005-0000-0000-0000462B0000}"/>
    <cellStyle name="40% - uthevingsfarge 1 29 7 4 2" xfId="35854" xr:uid="{00000000-0005-0000-0000-0000472B0000}"/>
    <cellStyle name="40% - uthevingsfarge 1 29 7 5" xfId="32726" xr:uid="{00000000-0005-0000-0000-0000482B0000}"/>
    <cellStyle name="40% - uthevingsfarge 1 29 8" xfId="5246" xr:uid="{00000000-0005-0000-0000-0000492B0000}"/>
    <cellStyle name="40% - uthevingsfarge 1 29 8 2" xfId="8661" xr:uid="{00000000-0005-0000-0000-00004A2B0000}"/>
    <cellStyle name="40% - uthevingsfarge 1 29 8 2 2" xfId="23393" xr:uid="{00000000-0005-0000-0000-00004B2B0000}"/>
    <cellStyle name="40% - uthevingsfarge 1 29 8 2 2 2" xfId="39449" xr:uid="{00000000-0005-0000-0000-00004C2B0000}"/>
    <cellStyle name="40% - uthevingsfarge 1 29 8 2 3" xfId="29137" xr:uid="{00000000-0005-0000-0000-00004D2B0000}"/>
    <cellStyle name="40% - uthevingsfarge 1 29 8 3" xfId="22849" xr:uid="{00000000-0005-0000-0000-00004E2B0000}"/>
    <cellStyle name="40% - uthevingsfarge 1 29 8 3 2" xfId="38918" xr:uid="{00000000-0005-0000-0000-00004F2B0000}"/>
    <cellStyle name="40% - uthevingsfarge 1 29 8 4" xfId="32528" xr:uid="{00000000-0005-0000-0000-0000502B0000}"/>
    <cellStyle name="40% - uthevingsfarge 1 29 9" xfId="6933" xr:uid="{00000000-0005-0000-0000-0000512B0000}"/>
    <cellStyle name="40% - uthevingsfarge 1 29 9 2" xfId="20603" xr:uid="{00000000-0005-0000-0000-0000522B0000}"/>
    <cellStyle name="40% - uthevingsfarge 1 29 9 2 2" xfId="36702" xr:uid="{00000000-0005-0000-0000-0000532B0000}"/>
    <cellStyle name="40% - uthevingsfarge 1 29 9 3" xfId="30865" xr:uid="{00000000-0005-0000-0000-0000542B0000}"/>
    <cellStyle name="40% - uthevingsfarge 1 3" xfId="730" xr:uid="{00000000-0005-0000-0000-0000552B0000}"/>
    <cellStyle name="40% - uthevingsfarge 1 3 2" xfId="731" xr:uid="{00000000-0005-0000-0000-0000562B0000}"/>
    <cellStyle name="40% - uthevingsfarge 1 30" xfId="732" xr:uid="{00000000-0005-0000-0000-0000572B0000}"/>
    <cellStyle name="40% - uthevingsfarge 1 30 10" xfId="11123" xr:uid="{00000000-0005-0000-0000-0000582B0000}"/>
    <cellStyle name="40% - uthevingsfarge 1 30 11" xfId="34252" xr:uid="{00000000-0005-0000-0000-0000592B0000}"/>
    <cellStyle name="40% - uthevingsfarge 1 30 2" xfId="3339" xr:uid="{00000000-0005-0000-0000-00005A2B0000}"/>
    <cellStyle name="40% - uthevingsfarge 1 30 2 10" xfId="34152" xr:uid="{00000000-0005-0000-0000-00005B2B0000}"/>
    <cellStyle name="40% - uthevingsfarge 1 30 2 2" xfId="3571" xr:uid="{00000000-0005-0000-0000-00005C2B0000}"/>
    <cellStyle name="40% - uthevingsfarge 1 30 2 2 10" xfId="47170" xr:uid="{00000000-0005-0000-0000-00005D2B0000}"/>
    <cellStyle name="40% - uthevingsfarge 1 30 2 2 2" xfId="4001" xr:uid="{00000000-0005-0000-0000-00005E2B0000}"/>
    <cellStyle name="40% - uthevingsfarge 1 30 2 2 2 2" xfId="5889" xr:uid="{00000000-0005-0000-0000-00005F2B0000}"/>
    <cellStyle name="40% - uthevingsfarge 1 30 2 2 2 2 2" xfId="9304" xr:uid="{00000000-0005-0000-0000-0000602B0000}"/>
    <cellStyle name="40% - uthevingsfarge 1 30 2 2 2 2 2 2" xfId="24491" xr:uid="{00000000-0005-0000-0000-0000612B0000}"/>
    <cellStyle name="40% - uthevingsfarge 1 30 2 2 2 2 2 2 2" xfId="40535" xr:uid="{00000000-0005-0000-0000-0000622B0000}"/>
    <cellStyle name="40% - uthevingsfarge 1 30 2 2 2 2 2 3" xfId="28494" xr:uid="{00000000-0005-0000-0000-0000632B0000}"/>
    <cellStyle name="40% - uthevingsfarge 1 30 2 2 2 2 3" xfId="20239" xr:uid="{00000000-0005-0000-0000-0000642B0000}"/>
    <cellStyle name="40% - uthevingsfarge 1 30 2 2 2 2 3 2" xfId="36338" xr:uid="{00000000-0005-0000-0000-0000652B0000}"/>
    <cellStyle name="40% - uthevingsfarge 1 30 2 2 2 2 4" xfId="31887" xr:uid="{00000000-0005-0000-0000-0000662B0000}"/>
    <cellStyle name="40% - uthevingsfarge 1 30 2 2 2 3" xfId="7607" xr:uid="{00000000-0005-0000-0000-0000672B0000}"/>
    <cellStyle name="40% - uthevingsfarge 1 30 2 2 2 3 2" xfId="23233" xr:uid="{00000000-0005-0000-0000-0000682B0000}"/>
    <cellStyle name="40% - uthevingsfarge 1 30 2 2 2 3 2 2" xfId="39301" xr:uid="{00000000-0005-0000-0000-0000692B0000}"/>
    <cellStyle name="40% - uthevingsfarge 1 30 2 2 2 3 3" xfId="30191" xr:uid="{00000000-0005-0000-0000-00006A2B0000}"/>
    <cellStyle name="40% - uthevingsfarge 1 30 2 2 2 4" xfId="18011" xr:uid="{00000000-0005-0000-0000-00006B2B0000}"/>
    <cellStyle name="40% - uthevingsfarge 1 30 2 2 2 5" xfId="22545" xr:uid="{00000000-0005-0000-0000-00006C2B0000}"/>
    <cellStyle name="40% - uthevingsfarge 1 30 2 2 2 5 2" xfId="38614" xr:uid="{00000000-0005-0000-0000-00006D2B0000}"/>
    <cellStyle name="40% - uthevingsfarge 1 30 2 2 2 6" xfId="33578" xr:uid="{00000000-0005-0000-0000-00006E2B0000}"/>
    <cellStyle name="40% - uthevingsfarge 1 30 2 2 3" xfId="4941" xr:uid="{00000000-0005-0000-0000-00006F2B0000}"/>
    <cellStyle name="40% - uthevingsfarge 1 30 2 2 3 10" xfId="47360" xr:uid="{00000000-0005-0000-0000-0000702B0000}"/>
    <cellStyle name="40% - uthevingsfarge 1 30 2 2 3 2" xfId="6660" xr:uid="{00000000-0005-0000-0000-0000712B0000}"/>
    <cellStyle name="40% - uthevingsfarge 1 30 2 2 3 2 2" xfId="10066" xr:uid="{00000000-0005-0000-0000-0000722B0000}"/>
    <cellStyle name="40% - uthevingsfarge 1 30 2 2 3 2 2 2" xfId="22017" xr:uid="{00000000-0005-0000-0000-0000732B0000}"/>
    <cellStyle name="40% - uthevingsfarge 1 30 2 2 3 2 2 2 2" xfId="38092" xr:uid="{00000000-0005-0000-0000-0000742B0000}"/>
    <cellStyle name="40% - uthevingsfarge 1 30 2 2 3 2 2 3" xfId="27733" xr:uid="{00000000-0005-0000-0000-0000752B0000}"/>
    <cellStyle name="40% - uthevingsfarge 1 30 2 2 3 2 3" xfId="20535" xr:uid="{00000000-0005-0000-0000-0000762B0000}"/>
    <cellStyle name="40% - uthevingsfarge 1 30 2 2 3 2 3 2" xfId="36634" xr:uid="{00000000-0005-0000-0000-0000772B0000}"/>
    <cellStyle name="40% - uthevingsfarge 1 30 2 2 3 2 4" xfId="31134" xr:uid="{00000000-0005-0000-0000-0000782B0000}"/>
    <cellStyle name="40% - uthevingsfarge 1 30 2 2 3 2 5" xfId="43054" xr:uid="{00000000-0005-0000-0000-0000792B0000}"/>
    <cellStyle name="40% - uthevingsfarge 1 30 2 2 3 2 6" xfId="43351" xr:uid="{00000000-0005-0000-0000-00007A2B0000}"/>
    <cellStyle name="40% - uthevingsfarge 1 30 2 2 3 2 7" xfId="46199" xr:uid="{00000000-0005-0000-0000-00007B2B0000}"/>
    <cellStyle name="40% - uthevingsfarge 1 30 2 2 3 2 8" xfId="46971" xr:uid="{00000000-0005-0000-0000-00007C2B0000}"/>
    <cellStyle name="40% - uthevingsfarge 1 30 2 2 3 2 9" xfId="47556" xr:uid="{00000000-0005-0000-0000-00007D2B0000}"/>
    <cellStyle name="40% - uthevingsfarge 1 30 2 2 3 3" xfId="8363" xr:uid="{00000000-0005-0000-0000-00007E2B0000}"/>
    <cellStyle name="40% - uthevingsfarge 1 30 2 2 3 3 2" xfId="21074" xr:uid="{00000000-0005-0000-0000-00007F2B0000}"/>
    <cellStyle name="40% - uthevingsfarge 1 30 2 2 3 3 2 2" xfId="37161" xr:uid="{00000000-0005-0000-0000-0000802B0000}"/>
    <cellStyle name="40% - uthevingsfarge 1 30 2 2 3 3 3" xfId="29435" xr:uid="{00000000-0005-0000-0000-0000812B0000}"/>
    <cellStyle name="40% - uthevingsfarge 1 30 2 2 3 3 4" xfId="43929" xr:uid="{00000000-0005-0000-0000-0000822B0000}"/>
    <cellStyle name="40% - uthevingsfarge 1 30 2 2 3 4" xfId="16499" xr:uid="{00000000-0005-0000-0000-0000832B0000}"/>
    <cellStyle name="40% - uthevingsfarge 1 30 2 2 3 4 2" xfId="35446" xr:uid="{00000000-0005-0000-0000-0000842B0000}"/>
    <cellStyle name="40% - uthevingsfarge 1 30 2 2 3 5" xfId="25108" xr:uid="{00000000-0005-0000-0000-0000852B0000}"/>
    <cellStyle name="40% - uthevingsfarge 1 30 2 2 3 6" xfId="25294" xr:uid="{00000000-0005-0000-0000-0000862B0000}"/>
    <cellStyle name="40% - uthevingsfarge 1 30 2 2 3 7" xfId="32826" xr:uid="{00000000-0005-0000-0000-0000872B0000}"/>
    <cellStyle name="40% - uthevingsfarge 1 30 2 2 3 8" xfId="43812" xr:uid="{00000000-0005-0000-0000-0000882B0000}"/>
    <cellStyle name="40% - uthevingsfarge 1 30 2 2 3 9" xfId="46737" xr:uid="{00000000-0005-0000-0000-0000892B0000}"/>
    <cellStyle name="40% - uthevingsfarge 1 30 2 2 4" xfId="5495" xr:uid="{00000000-0005-0000-0000-00008A2B0000}"/>
    <cellStyle name="40% - uthevingsfarge 1 30 2 2 4 2" xfId="8910" xr:uid="{00000000-0005-0000-0000-00008B2B0000}"/>
    <cellStyle name="40% - uthevingsfarge 1 30 2 2 4 2 2" xfId="19389" xr:uid="{00000000-0005-0000-0000-00008C2B0000}"/>
    <cellStyle name="40% - uthevingsfarge 1 30 2 2 4 2 2 2" xfId="35503" xr:uid="{00000000-0005-0000-0000-00008D2B0000}"/>
    <cellStyle name="40% - uthevingsfarge 1 30 2 2 4 2 3" xfId="28888" xr:uid="{00000000-0005-0000-0000-00008E2B0000}"/>
    <cellStyle name="40% - uthevingsfarge 1 30 2 2 4 3" xfId="19843" xr:uid="{00000000-0005-0000-0000-00008F2B0000}"/>
    <cellStyle name="40% - uthevingsfarge 1 30 2 2 4 3 2" xfId="35956" xr:uid="{00000000-0005-0000-0000-0000902B0000}"/>
    <cellStyle name="40% - uthevingsfarge 1 30 2 2 4 4" xfId="32279" xr:uid="{00000000-0005-0000-0000-0000912B0000}"/>
    <cellStyle name="40% - uthevingsfarge 1 30 2 2 5" xfId="7213" xr:uid="{00000000-0005-0000-0000-0000922B0000}"/>
    <cellStyle name="40% - uthevingsfarge 1 30 2 2 5 2" xfId="10635" xr:uid="{00000000-0005-0000-0000-0000932B0000}"/>
    <cellStyle name="40% - uthevingsfarge 1 30 2 2 5 2 2" xfId="34483" xr:uid="{00000000-0005-0000-0000-0000942B0000}"/>
    <cellStyle name="40% - uthevingsfarge 1 30 2 2 5 3" xfId="30585" xr:uid="{00000000-0005-0000-0000-0000952B0000}"/>
    <cellStyle name="40% - uthevingsfarge 1 30 2 2 6" xfId="11125" xr:uid="{00000000-0005-0000-0000-0000962B0000}"/>
    <cellStyle name="40% - uthevingsfarge 1 30 2 2 7" xfId="33972" xr:uid="{00000000-0005-0000-0000-0000972B0000}"/>
    <cellStyle name="40% - uthevingsfarge 1 30 2 2 8" xfId="43603" xr:uid="{00000000-0005-0000-0000-0000982B0000}"/>
    <cellStyle name="40% - uthevingsfarge 1 30 2 2 9" xfId="46509" xr:uid="{00000000-0005-0000-0000-0000992B0000}"/>
    <cellStyle name="40% - uthevingsfarge 1 30 2 2_Avviksanalyse løpende RNB15 (1)" xfId="16619" xr:uid="{00000000-0005-0000-0000-00009A2B0000}"/>
    <cellStyle name="40% - uthevingsfarge 1 30 2 3" xfId="3821" xr:uid="{00000000-0005-0000-0000-00009B2B0000}"/>
    <cellStyle name="40% - uthevingsfarge 1 30 2 3 2" xfId="5709" xr:uid="{00000000-0005-0000-0000-00009C2B0000}"/>
    <cellStyle name="40% - uthevingsfarge 1 30 2 3 2 2" xfId="9124" xr:uid="{00000000-0005-0000-0000-00009D2B0000}"/>
    <cellStyle name="40% - uthevingsfarge 1 30 2 3 2 2 2" xfId="22601" xr:uid="{00000000-0005-0000-0000-00009E2B0000}"/>
    <cellStyle name="40% - uthevingsfarge 1 30 2 3 2 2 2 2" xfId="38670" xr:uid="{00000000-0005-0000-0000-00009F2B0000}"/>
    <cellStyle name="40% - uthevingsfarge 1 30 2 3 2 2 3" xfId="28674" xr:uid="{00000000-0005-0000-0000-0000A02B0000}"/>
    <cellStyle name="40% - uthevingsfarge 1 30 2 3 2 3" xfId="20178" xr:uid="{00000000-0005-0000-0000-0000A12B0000}"/>
    <cellStyle name="40% - uthevingsfarge 1 30 2 3 2 3 2" xfId="36278" xr:uid="{00000000-0005-0000-0000-0000A22B0000}"/>
    <cellStyle name="40% - uthevingsfarge 1 30 2 3 2 4" xfId="32065" xr:uid="{00000000-0005-0000-0000-0000A32B0000}"/>
    <cellStyle name="40% - uthevingsfarge 1 30 2 3 3" xfId="7427" xr:uid="{00000000-0005-0000-0000-0000A42B0000}"/>
    <cellStyle name="40% - uthevingsfarge 1 30 2 3 3 2" xfId="23204" xr:uid="{00000000-0005-0000-0000-0000A52B0000}"/>
    <cellStyle name="40% - uthevingsfarge 1 30 2 3 3 2 2" xfId="39273" xr:uid="{00000000-0005-0000-0000-0000A62B0000}"/>
    <cellStyle name="40% - uthevingsfarge 1 30 2 3 3 3" xfId="30371" xr:uid="{00000000-0005-0000-0000-0000A72B0000}"/>
    <cellStyle name="40% - uthevingsfarge 1 30 2 3 4" xfId="22777" xr:uid="{00000000-0005-0000-0000-0000A82B0000}"/>
    <cellStyle name="40% - uthevingsfarge 1 30 2 3 4 2" xfId="38846" xr:uid="{00000000-0005-0000-0000-0000A92B0000}"/>
    <cellStyle name="40% - uthevingsfarge 1 30 2 3 5" xfId="33758" xr:uid="{00000000-0005-0000-0000-0000AA2B0000}"/>
    <cellStyle name="40% - uthevingsfarge 1 30 2 4" xfId="4306" xr:uid="{00000000-0005-0000-0000-0000AB2B0000}"/>
    <cellStyle name="40% - uthevingsfarge 1 30 2 4 2" xfId="6135" xr:uid="{00000000-0005-0000-0000-0000AC2B0000}"/>
    <cellStyle name="40% - uthevingsfarge 1 30 2 4 2 2" xfId="9549" xr:uid="{00000000-0005-0000-0000-0000AD2B0000}"/>
    <cellStyle name="40% - uthevingsfarge 1 30 2 4 2 2 2" xfId="10422" xr:uid="{00000000-0005-0000-0000-0000AE2B0000}"/>
    <cellStyle name="40% - uthevingsfarge 1 30 2 4 2 2 2 2" xfId="34356" xr:uid="{00000000-0005-0000-0000-0000AF2B0000}"/>
    <cellStyle name="40% - uthevingsfarge 1 30 2 4 2 2 3" xfId="28249" xr:uid="{00000000-0005-0000-0000-0000B02B0000}"/>
    <cellStyle name="40% - uthevingsfarge 1 30 2 4 2 3" xfId="22115" xr:uid="{00000000-0005-0000-0000-0000B12B0000}"/>
    <cellStyle name="40% - uthevingsfarge 1 30 2 4 2 3 2" xfId="38189" xr:uid="{00000000-0005-0000-0000-0000B22B0000}"/>
    <cellStyle name="40% - uthevingsfarge 1 30 2 4 2 4" xfId="31644" xr:uid="{00000000-0005-0000-0000-0000B32B0000}"/>
    <cellStyle name="40% - uthevingsfarge 1 30 2 4 3" xfId="7868" xr:uid="{00000000-0005-0000-0000-0000B42B0000}"/>
    <cellStyle name="40% - uthevingsfarge 1 30 2 4 3 2" xfId="20930" xr:uid="{00000000-0005-0000-0000-0000B52B0000}"/>
    <cellStyle name="40% - uthevingsfarge 1 30 2 4 3 2 2" xfId="37029" xr:uid="{00000000-0005-0000-0000-0000B62B0000}"/>
    <cellStyle name="40% - uthevingsfarge 1 30 2 4 3 3" xfId="29931" xr:uid="{00000000-0005-0000-0000-0000B72B0000}"/>
    <cellStyle name="40% - uthevingsfarge 1 30 2 4 4" xfId="20001" xr:uid="{00000000-0005-0000-0000-0000B82B0000}"/>
    <cellStyle name="40% - uthevingsfarge 1 30 2 4 4 2" xfId="36105" xr:uid="{00000000-0005-0000-0000-0000B92B0000}"/>
    <cellStyle name="40% - uthevingsfarge 1 30 2 4 5" xfId="33319" xr:uid="{00000000-0005-0000-0000-0000BA2B0000}"/>
    <cellStyle name="40% - uthevingsfarge 1 30 2 5" xfId="4761" xr:uid="{00000000-0005-0000-0000-0000BB2B0000}"/>
    <cellStyle name="40% - uthevingsfarge 1 30 2 5 2" xfId="6481" xr:uid="{00000000-0005-0000-0000-0000BC2B0000}"/>
    <cellStyle name="40% - uthevingsfarge 1 30 2 5 2 2" xfId="9887" xr:uid="{00000000-0005-0000-0000-0000BD2B0000}"/>
    <cellStyle name="40% - uthevingsfarge 1 30 2 5 2 2 2" xfId="21522" xr:uid="{00000000-0005-0000-0000-0000BE2B0000}"/>
    <cellStyle name="40% - uthevingsfarge 1 30 2 5 2 2 2 2" xfId="37602" xr:uid="{00000000-0005-0000-0000-0000BF2B0000}"/>
    <cellStyle name="40% - uthevingsfarge 1 30 2 5 2 2 3" xfId="27912" xr:uid="{00000000-0005-0000-0000-0000C02B0000}"/>
    <cellStyle name="40% - uthevingsfarge 1 30 2 5 2 3" xfId="20468" xr:uid="{00000000-0005-0000-0000-0000C12B0000}"/>
    <cellStyle name="40% - uthevingsfarge 1 30 2 5 2 3 2" xfId="36567" xr:uid="{00000000-0005-0000-0000-0000C22B0000}"/>
    <cellStyle name="40% - uthevingsfarge 1 30 2 5 2 4" xfId="31313" xr:uid="{00000000-0005-0000-0000-0000C32B0000}"/>
    <cellStyle name="40% - uthevingsfarge 1 30 2 5 3" xfId="8183" xr:uid="{00000000-0005-0000-0000-0000C42B0000}"/>
    <cellStyle name="40% - uthevingsfarge 1 30 2 5 3 2" xfId="24328" xr:uid="{00000000-0005-0000-0000-0000C52B0000}"/>
    <cellStyle name="40% - uthevingsfarge 1 30 2 5 3 2 2" xfId="40378" xr:uid="{00000000-0005-0000-0000-0000C62B0000}"/>
    <cellStyle name="40% - uthevingsfarge 1 30 2 5 3 3" xfId="29614" xr:uid="{00000000-0005-0000-0000-0000C72B0000}"/>
    <cellStyle name="40% - uthevingsfarge 1 30 2 5 4" xfId="22227" xr:uid="{00000000-0005-0000-0000-0000C82B0000}"/>
    <cellStyle name="40% - uthevingsfarge 1 30 2 5 4 2" xfId="38301" xr:uid="{00000000-0005-0000-0000-0000C92B0000}"/>
    <cellStyle name="40% - uthevingsfarge 1 30 2 5 5" xfId="33006" xr:uid="{00000000-0005-0000-0000-0000CA2B0000}"/>
    <cellStyle name="40% - uthevingsfarge 1 30 2 6" xfId="5121" xr:uid="{00000000-0005-0000-0000-0000CB2B0000}"/>
    <cellStyle name="40% - uthevingsfarge 1 30 2 6 2" xfId="6840" xr:uid="{00000000-0005-0000-0000-0000CC2B0000}"/>
    <cellStyle name="40% - uthevingsfarge 1 30 2 6 2 2" xfId="10246" xr:uid="{00000000-0005-0000-0000-0000CD2B0000}"/>
    <cellStyle name="40% - uthevingsfarge 1 30 2 6 2 2 2" xfId="24689" xr:uid="{00000000-0005-0000-0000-0000CE2B0000}"/>
    <cellStyle name="40% - uthevingsfarge 1 30 2 6 2 2 2 2" xfId="40732" xr:uid="{00000000-0005-0000-0000-0000CF2B0000}"/>
    <cellStyle name="40% - uthevingsfarge 1 30 2 6 2 2 3" xfId="27553" xr:uid="{00000000-0005-0000-0000-0000D02B0000}"/>
    <cellStyle name="40% - uthevingsfarge 1 30 2 6 2 3" xfId="24105" xr:uid="{00000000-0005-0000-0000-0000D12B0000}"/>
    <cellStyle name="40% - uthevingsfarge 1 30 2 6 2 3 2" xfId="40158" xr:uid="{00000000-0005-0000-0000-0000D22B0000}"/>
    <cellStyle name="40% - uthevingsfarge 1 30 2 6 2 4" xfId="30954" xr:uid="{00000000-0005-0000-0000-0000D32B0000}"/>
    <cellStyle name="40% - uthevingsfarge 1 30 2 6 3" xfId="8543" xr:uid="{00000000-0005-0000-0000-0000D42B0000}"/>
    <cellStyle name="40% - uthevingsfarge 1 30 2 6 3 2" xfId="22214" xr:uid="{00000000-0005-0000-0000-0000D52B0000}"/>
    <cellStyle name="40% - uthevingsfarge 1 30 2 6 3 2 2" xfId="38288" xr:uid="{00000000-0005-0000-0000-0000D62B0000}"/>
    <cellStyle name="40% - uthevingsfarge 1 30 2 6 3 3" xfId="29255" xr:uid="{00000000-0005-0000-0000-0000D72B0000}"/>
    <cellStyle name="40% - uthevingsfarge 1 30 2 6 4" xfId="20060" xr:uid="{00000000-0005-0000-0000-0000D82B0000}"/>
    <cellStyle name="40% - uthevingsfarge 1 30 2 6 4 2" xfId="36164" xr:uid="{00000000-0005-0000-0000-0000D92B0000}"/>
    <cellStyle name="40% - uthevingsfarge 1 30 2 6 5" xfId="32646" xr:uid="{00000000-0005-0000-0000-0000DA2B0000}"/>
    <cellStyle name="40% - uthevingsfarge 1 30 2 7" xfId="5300" xr:uid="{00000000-0005-0000-0000-0000DB2B0000}"/>
    <cellStyle name="40% - uthevingsfarge 1 30 2 7 2" xfId="8715" xr:uid="{00000000-0005-0000-0000-0000DC2B0000}"/>
    <cellStyle name="40% - uthevingsfarge 1 30 2 7 2 2" xfId="11786" xr:uid="{00000000-0005-0000-0000-0000DD2B0000}"/>
    <cellStyle name="40% - uthevingsfarge 1 30 2 7 2 2 2" xfId="34864" xr:uid="{00000000-0005-0000-0000-0000DE2B0000}"/>
    <cellStyle name="40% - uthevingsfarge 1 30 2 7 2 3" xfId="29083" xr:uid="{00000000-0005-0000-0000-0000DF2B0000}"/>
    <cellStyle name="40% - uthevingsfarge 1 30 2 7 3" xfId="12083" xr:uid="{00000000-0005-0000-0000-0000E02B0000}"/>
    <cellStyle name="40% - uthevingsfarge 1 30 2 7 3 2" xfId="35062" xr:uid="{00000000-0005-0000-0000-0000E12B0000}"/>
    <cellStyle name="40% - uthevingsfarge 1 30 2 7 4" xfId="32474" xr:uid="{00000000-0005-0000-0000-0000E22B0000}"/>
    <cellStyle name="40% - uthevingsfarge 1 30 2 8" xfId="7033" xr:uid="{00000000-0005-0000-0000-0000E32B0000}"/>
    <cellStyle name="40% - uthevingsfarge 1 30 2 8 2" xfId="24136" xr:uid="{00000000-0005-0000-0000-0000E42B0000}"/>
    <cellStyle name="40% - uthevingsfarge 1 30 2 8 2 2" xfId="40189" xr:uid="{00000000-0005-0000-0000-0000E52B0000}"/>
    <cellStyle name="40% - uthevingsfarge 1 30 2 8 3" xfId="30765" xr:uid="{00000000-0005-0000-0000-0000E62B0000}"/>
    <cellStyle name="40% - uthevingsfarge 1 30 2 9" xfId="11124" xr:uid="{00000000-0005-0000-0000-0000E72B0000}"/>
    <cellStyle name="40% - uthevingsfarge 1 30 3" xfId="3486" xr:uid="{00000000-0005-0000-0000-0000E82B0000}"/>
    <cellStyle name="40% - uthevingsfarge 1 30 3 10" xfId="47102" xr:uid="{00000000-0005-0000-0000-0000E92B0000}"/>
    <cellStyle name="40% - uthevingsfarge 1 30 3 2" xfId="3922" xr:uid="{00000000-0005-0000-0000-0000EA2B0000}"/>
    <cellStyle name="40% - uthevingsfarge 1 30 3 2 2" xfId="5810" xr:uid="{00000000-0005-0000-0000-0000EB2B0000}"/>
    <cellStyle name="40% - uthevingsfarge 1 30 3 2 2 2" xfId="9225" xr:uid="{00000000-0005-0000-0000-0000EC2B0000}"/>
    <cellStyle name="40% - uthevingsfarge 1 30 3 2 2 2 2" xfId="21321" xr:uid="{00000000-0005-0000-0000-0000ED2B0000}"/>
    <cellStyle name="40% - uthevingsfarge 1 30 3 2 2 2 2 2" xfId="37401" xr:uid="{00000000-0005-0000-0000-0000EE2B0000}"/>
    <cellStyle name="40% - uthevingsfarge 1 30 3 2 2 2 3" xfId="28573" xr:uid="{00000000-0005-0000-0000-0000EF2B0000}"/>
    <cellStyle name="40% - uthevingsfarge 1 30 3 2 2 3" xfId="22919" xr:uid="{00000000-0005-0000-0000-0000F02B0000}"/>
    <cellStyle name="40% - uthevingsfarge 1 30 3 2 2 3 2" xfId="38988" xr:uid="{00000000-0005-0000-0000-0000F12B0000}"/>
    <cellStyle name="40% - uthevingsfarge 1 30 3 2 2 4" xfId="31964" xr:uid="{00000000-0005-0000-0000-0000F22B0000}"/>
    <cellStyle name="40% - uthevingsfarge 1 30 3 2 3" xfId="7528" xr:uid="{00000000-0005-0000-0000-0000F32B0000}"/>
    <cellStyle name="40% - uthevingsfarge 1 30 3 2 3 2" xfId="20810" xr:uid="{00000000-0005-0000-0000-0000F42B0000}"/>
    <cellStyle name="40% - uthevingsfarge 1 30 3 2 3 2 2" xfId="36909" xr:uid="{00000000-0005-0000-0000-0000F52B0000}"/>
    <cellStyle name="40% - uthevingsfarge 1 30 3 2 3 3" xfId="30270" xr:uid="{00000000-0005-0000-0000-0000F62B0000}"/>
    <cellStyle name="40% - uthevingsfarge 1 30 3 2 4" xfId="18012" xr:uid="{00000000-0005-0000-0000-0000F72B0000}"/>
    <cellStyle name="40% - uthevingsfarge 1 30 3 2 5" xfId="23787" xr:uid="{00000000-0005-0000-0000-0000F82B0000}"/>
    <cellStyle name="40% - uthevingsfarge 1 30 3 2 5 2" xfId="39843" xr:uid="{00000000-0005-0000-0000-0000F92B0000}"/>
    <cellStyle name="40% - uthevingsfarge 1 30 3 2 6" xfId="33657" xr:uid="{00000000-0005-0000-0000-0000FA2B0000}"/>
    <cellStyle name="40% - uthevingsfarge 1 30 3 3" xfId="4862" xr:uid="{00000000-0005-0000-0000-0000FB2B0000}"/>
    <cellStyle name="40% - uthevingsfarge 1 30 3 3 10" xfId="47292" xr:uid="{00000000-0005-0000-0000-0000FC2B0000}"/>
    <cellStyle name="40% - uthevingsfarge 1 30 3 3 2" xfId="6581" xr:uid="{00000000-0005-0000-0000-0000FD2B0000}"/>
    <cellStyle name="40% - uthevingsfarge 1 30 3 3 2 2" xfId="9987" xr:uid="{00000000-0005-0000-0000-0000FE2B0000}"/>
    <cellStyle name="40% - uthevingsfarge 1 30 3 3 2 2 2" xfId="23596" xr:uid="{00000000-0005-0000-0000-0000FF2B0000}"/>
    <cellStyle name="40% - uthevingsfarge 1 30 3 3 2 2 2 2" xfId="39652" xr:uid="{00000000-0005-0000-0000-0000002C0000}"/>
    <cellStyle name="40% - uthevingsfarge 1 30 3 3 2 2 3" xfId="27812" xr:uid="{00000000-0005-0000-0000-0000012C0000}"/>
    <cellStyle name="40% - uthevingsfarge 1 30 3 3 2 3" xfId="20505" xr:uid="{00000000-0005-0000-0000-0000022C0000}"/>
    <cellStyle name="40% - uthevingsfarge 1 30 3 3 2 3 2" xfId="36604" xr:uid="{00000000-0005-0000-0000-0000032C0000}"/>
    <cellStyle name="40% - uthevingsfarge 1 30 3 3 2 4" xfId="31213" xr:uid="{00000000-0005-0000-0000-0000042C0000}"/>
    <cellStyle name="40% - uthevingsfarge 1 30 3 3 2 5" xfId="42847" xr:uid="{00000000-0005-0000-0000-0000052C0000}"/>
    <cellStyle name="40% - uthevingsfarge 1 30 3 3 2 6" xfId="43285" xr:uid="{00000000-0005-0000-0000-0000062C0000}"/>
    <cellStyle name="40% - uthevingsfarge 1 30 3 3 2 7" xfId="46133" xr:uid="{00000000-0005-0000-0000-0000072C0000}"/>
    <cellStyle name="40% - uthevingsfarge 1 30 3 3 2 8" xfId="46902" xr:uid="{00000000-0005-0000-0000-0000082C0000}"/>
    <cellStyle name="40% - uthevingsfarge 1 30 3 3 2 9" xfId="47488" xr:uid="{00000000-0005-0000-0000-0000092C0000}"/>
    <cellStyle name="40% - uthevingsfarge 1 30 3 3 3" xfId="8284" xr:uid="{00000000-0005-0000-0000-00000A2C0000}"/>
    <cellStyle name="40% - uthevingsfarge 1 30 3 3 3 2" xfId="11874" xr:uid="{00000000-0005-0000-0000-00000B2C0000}"/>
    <cellStyle name="40% - uthevingsfarge 1 30 3 3 3 2 2" xfId="34911" xr:uid="{00000000-0005-0000-0000-00000C2C0000}"/>
    <cellStyle name="40% - uthevingsfarge 1 30 3 3 3 3" xfId="29513" xr:uid="{00000000-0005-0000-0000-00000D2C0000}"/>
    <cellStyle name="40% - uthevingsfarge 1 30 3 3 3 4" xfId="43930" xr:uid="{00000000-0005-0000-0000-00000E2C0000}"/>
    <cellStyle name="40% - uthevingsfarge 1 30 3 3 4" xfId="16292" xr:uid="{00000000-0005-0000-0000-00000F2C0000}"/>
    <cellStyle name="40% - uthevingsfarge 1 30 3 3 4 2" xfId="35380" xr:uid="{00000000-0005-0000-0000-0000102C0000}"/>
    <cellStyle name="40% - uthevingsfarge 1 30 3 3 5" xfId="25039" xr:uid="{00000000-0005-0000-0000-0000112C0000}"/>
    <cellStyle name="40% - uthevingsfarge 1 30 3 3 6" xfId="25295" xr:uid="{00000000-0005-0000-0000-0000122C0000}"/>
    <cellStyle name="40% - uthevingsfarge 1 30 3 3 7" xfId="32905" xr:uid="{00000000-0005-0000-0000-0000132C0000}"/>
    <cellStyle name="40% - uthevingsfarge 1 30 3 3 8" xfId="43745" xr:uid="{00000000-0005-0000-0000-0000142C0000}"/>
    <cellStyle name="40% - uthevingsfarge 1 30 3 3 9" xfId="46671" xr:uid="{00000000-0005-0000-0000-0000152C0000}"/>
    <cellStyle name="40% - uthevingsfarge 1 30 3 4" xfId="5420" xr:uid="{00000000-0005-0000-0000-0000162C0000}"/>
    <cellStyle name="40% - uthevingsfarge 1 30 3 4 2" xfId="8835" xr:uid="{00000000-0005-0000-0000-0000172C0000}"/>
    <cellStyle name="40% - uthevingsfarge 1 30 3 4 2 2" xfId="24419" xr:uid="{00000000-0005-0000-0000-0000182C0000}"/>
    <cellStyle name="40% - uthevingsfarge 1 30 3 4 2 2 2" xfId="40463" xr:uid="{00000000-0005-0000-0000-0000192C0000}"/>
    <cellStyle name="40% - uthevingsfarge 1 30 3 4 2 3" xfId="28963" xr:uid="{00000000-0005-0000-0000-00001A2C0000}"/>
    <cellStyle name="40% - uthevingsfarge 1 30 3 4 3" xfId="19826" xr:uid="{00000000-0005-0000-0000-00001B2C0000}"/>
    <cellStyle name="40% - uthevingsfarge 1 30 3 4 3 2" xfId="35939" xr:uid="{00000000-0005-0000-0000-00001C2C0000}"/>
    <cellStyle name="40% - uthevingsfarge 1 30 3 4 4" xfId="32354" xr:uid="{00000000-0005-0000-0000-00001D2C0000}"/>
    <cellStyle name="40% - uthevingsfarge 1 30 3 5" xfId="7134" xr:uid="{00000000-0005-0000-0000-00001E2C0000}"/>
    <cellStyle name="40% - uthevingsfarge 1 30 3 5 2" xfId="20680" xr:uid="{00000000-0005-0000-0000-00001F2C0000}"/>
    <cellStyle name="40% - uthevingsfarge 1 30 3 5 2 2" xfId="36779" xr:uid="{00000000-0005-0000-0000-0000202C0000}"/>
    <cellStyle name="40% - uthevingsfarge 1 30 3 5 3" xfId="30664" xr:uid="{00000000-0005-0000-0000-0000212C0000}"/>
    <cellStyle name="40% - uthevingsfarge 1 30 3 6" xfId="11126" xr:uid="{00000000-0005-0000-0000-0000222C0000}"/>
    <cellStyle name="40% - uthevingsfarge 1 30 3 7" xfId="34051" xr:uid="{00000000-0005-0000-0000-0000232C0000}"/>
    <cellStyle name="40% - uthevingsfarge 1 30 3 8" xfId="43537" xr:uid="{00000000-0005-0000-0000-0000242C0000}"/>
    <cellStyle name="40% - uthevingsfarge 1 30 3 9" xfId="46441" xr:uid="{00000000-0005-0000-0000-0000252C0000}"/>
    <cellStyle name="40% - uthevingsfarge 1 30 3_Avviksanalyse løpende RNB15 (1)" xfId="16620" xr:uid="{00000000-0005-0000-0000-0000262C0000}"/>
    <cellStyle name="40% - uthevingsfarge 1 30 4" xfId="3743" xr:uid="{00000000-0005-0000-0000-0000272C0000}"/>
    <cellStyle name="40% - uthevingsfarge 1 30 4 2" xfId="5631" xr:uid="{00000000-0005-0000-0000-0000282C0000}"/>
    <cellStyle name="40% - uthevingsfarge 1 30 4 2 2" xfId="9046" xr:uid="{00000000-0005-0000-0000-0000292C0000}"/>
    <cellStyle name="40% - uthevingsfarge 1 30 4 2 2 2" xfId="23447" xr:uid="{00000000-0005-0000-0000-00002A2C0000}"/>
    <cellStyle name="40% - uthevingsfarge 1 30 4 2 2 2 2" xfId="39503" xr:uid="{00000000-0005-0000-0000-00002B2C0000}"/>
    <cellStyle name="40% - uthevingsfarge 1 30 4 2 2 3" xfId="28752" xr:uid="{00000000-0005-0000-0000-00002C2C0000}"/>
    <cellStyle name="40% - uthevingsfarge 1 30 4 2 3" xfId="22887" xr:uid="{00000000-0005-0000-0000-00002D2C0000}"/>
    <cellStyle name="40% - uthevingsfarge 1 30 4 2 3 2" xfId="38956" xr:uid="{00000000-0005-0000-0000-00002E2C0000}"/>
    <cellStyle name="40% - uthevingsfarge 1 30 4 2 4" xfId="32143" xr:uid="{00000000-0005-0000-0000-00002F2C0000}"/>
    <cellStyle name="40% - uthevingsfarge 1 30 4 3" xfId="7349" xr:uid="{00000000-0005-0000-0000-0000302C0000}"/>
    <cellStyle name="40% - uthevingsfarge 1 30 4 3 2" xfId="20751" xr:uid="{00000000-0005-0000-0000-0000312C0000}"/>
    <cellStyle name="40% - uthevingsfarge 1 30 4 3 2 2" xfId="36850" xr:uid="{00000000-0005-0000-0000-0000322C0000}"/>
    <cellStyle name="40% - uthevingsfarge 1 30 4 3 3" xfId="30449" xr:uid="{00000000-0005-0000-0000-0000332C0000}"/>
    <cellStyle name="40% - uthevingsfarge 1 30 4 4" xfId="22717" xr:uid="{00000000-0005-0000-0000-0000342C0000}"/>
    <cellStyle name="40% - uthevingsfarge 1 30 4 4 2" xfId="38786" xr:uid="{00000000-0005-0000-0000-0000352C0000}"/>
    <cellStyle name="40% - uthevingsfarge 1 30 4 5" xfId="33836" xr:uid="{00000000-0005-0000-0000-0000362C0000}"/>
    <cellStyle name="40% - uthevingsfarge 1 30 5" xfId="4247" xr:uid="{00000000-0005-0000-0000-0000372C0000}"/>
    <cellStyle name="40% - uthevingsfarge 1 30 5 2" xfId="6079" xr:uid="{00000000-0005-0000-0000-0000382C0000}"/>
    <cellStyle name="40% - uthevingsfarge 1 30 5 2 2" xfId="9494" xr:uid="{00000000-0005-0000-0000-0000392C0000}"/>
    <cellStyle name="40% - uthevingsfarge 1 30 5 2 2 2" xfId="24522" xr:uid="{00000000-0005-0000-0000-00003A2C0000}"/>
    <cellStyle name="40% - uthevingsfarge 1 30 5 2 2 2 2" xfId="40566" xr:uid="{00000000-0005-0000-0000-00003B2C0000}"/>
    <cellStyle name="40% - uthevingsfarge 1 30 5 2 2 3" xfId="28304" xr:uid="{00000000-0005-0000-0000-00003C2C0000}"/>
    <cellStyle name="40% - uthevingsfarge 1 30 5 2 3" xfId="20315" xr:uid="{00000000-0005-0000-0000-00003D2C0000}"/>
    <cellStyle name="40% - uthevingsfarge 1 30 5 2 3 2" xfId="36414" xr:uid="{00000000-0005-0000-0000-00003E2C0000}"/>
    <cellStyle name="40% - uthevingsfarge 1 30 5 2 4" xfId="31699" xr:uid="{00000000-0005-0000-0000-00003F2C0000}"/>
    <cellStyle name="40% - uthevingsfarge 1 30 5 3" xfId="7813" xr:uid="{00000000-0005-0000-0000-0000402C0000}"/>
    <cellStyle name="40% - uthevingsfarge 1 30 5 3 2" xfId="24276" xr:uid="{00000000-0005-0000-0000-0000412C0000}"/>
    <cellStyle name="40% - uthevingsfarge 1 30 5 3 2 2" xfId="40329" xr:uid="{00000000-0005-0000-0000-0000422C0000}"/>
    <cellStyle name="40% - uthevingsfarge 1 30 5 3 3" xfId="29986" xr:uid="{00000000-0005-0000-0000-0000432C0000}"/>
    <cellStyle name="40% - uthevingsfarge 1 30 5 4" xfId="19991" xr:uid="{00000000-0005-0000-0000-0000442C0000}"/>
    <cellStyle name="40% - uthevingsfarge 1 30 5 4 2" xfId="36095" xr:uid="{00000000-0005-0000-0000-0000452C0000}"/>
    <cellStyle name="40% - uthevingsfarge 1 30 5 5" xfId="33374" xr:uid="{00000000-0005-0000-0000-0000462C0000}"/>
    <cellStyle name="40% - uthevingsfarge 1 30 6" xfId="4678" xr:uid="{00000000-0005-0000-0000-0000472C0000}"/>
    <cellStyle name="40% - uthevingsfarge 1 30 6 2" xfId="6398" xr:uid="{00000000-0005-0000-0000-0000482C0000}"/>
    <cellStyle name="40% - uthevingsfarge 1 30 6 2 2" xfId="9808" xr:uid="{00000000-0005-0000-0000-0000492C0000}"/>
    <cellStyle name="40% - uthevingsfarge 1 30 6 2 2 2" xfId="21492" xr:uid="{00000000-0005-0000-0000-00004A2C0000}"/>
    <cellStyle name="40% - uthevingsfarge 1 30 6 2 2 2 2" xfId="37572" xr:uid="{00000000-0005-0000-0000-00004B2C0000}"/>
    <cellStyle name="40% - uthevingsfarge 1 30 6 2 2 3" xfId="27991" xr:uid="{00000000-0005-0000-0000-00004C2C0000}"/>
    <cellStyle name="40% - uthevingsfarge 1 30 6 2 3" xfId="20437" xr:uid="{00000000-0005-0000-0000-00004D2C0000}"/>
    <cellStyle name="40% - uthevingsfarge 1 30 6 2 3 2" xfId="36536" xr:uid="{00000000-0005-0000-0000-00004E2C0000}"/>
    <cellStyle name="40% - uthevingsfarge 1 30 6 2 4" xfId="31392" xr:uid="{00000000-0005-0000-0000-00004F2C0000}"/>
    <cellStyle name="40% - uthevingsfarge 1 30 6 3" xfId="8104" xr:uid="{00000000-0005-0000-0000-0000502C0000}"/>
    <cellStyle name="40% - uthevingsfarge 1 30 6 3 2" xfId="11893" xr:uid="{00000000-0005-0000-0000-0000512C0000}"/>
    <cellStyle name="40% - uthevingsfarge 1 30 6 3 2 2" xfId="34929" xr:uid="{00000000-0005-0000-0000-0000522C0000}"/>
    <cellStyle name="40% - uthevingsfarge 1 30 6 3 3" xfId="29694" xr:uid="{00000000-0005-0000-0000-0000532C0000}"/>
    <cellStyle name="40% - uthevingsfarge 1 30 6 4" xfId="10917" xr:uid="{00000000-0005-0000-0000-0000542C0000}"/>
    <cellStyle name="40% - uthevingsfarge 1 30 6 4 2" xfId="34681" xr:uid="{00000000-0005-0000-0000-0000552C0000}"/>
    <cellStyle name="40% - uthevingsfarge 1 30 6 5" xfId="33085" xr:uid="{00000000-0005-0000-0000-0000562C0000}"/>
    <cellStyle name="40% - uthevingsfarge 1 30 7" xfId="5042" xr:uid="{00000000-0005-0000-0000-0000572C0000}"/>
    <cellStyle name="40% - uthevingsfarge 1 30 7 2" xfId="6761" xr:uid="{00000000-0005-0000-0000-0000582C0000}"/>
    <cellStyle name="40% - uthevingsfarge 1 30 7 2 2" xfId="10167" xr:uid="{00000000-0005-0000-0000-0000592C0000}"/>
    <cellStyle name="40% - uthevingsfarge 1 30 7 2 2 2" xfId="23632" xr:uid="{00000000-0005-0000-0000-00005A2C0000}"/>
    <cellStyle name="40% - uthevingsfarge 1 30 7 2 2 2 2" xfId="39688" xr:uid="{00000000-0005-0000-0000-00005B2C0000}"/>
    <cellStyle name="40% - uthevingsfarge 1 30 7 2 2 3" xfId="27632" xr:uid="{00000000-0005-0000-0000-00005C2C0000}"/>
    <cellStyle name="40% - uthevingsfarge 1 30 7 2 3" xfId="22383" xr:uid="{00000000-0005-0000-0000-00005D2C0000}"/>
    <cellStyle name="40% - uthevingsfarge 1 30 7 2 3 2" xfId="38455" xr:uid="{00000000-0005-0000-0000-00005E2C0000}"/>
    <cellStyle name="40% - uthevingsfarge 1 30 7 2 4" xfId="31033" xr:uid="{00000000-0005-0000-0000-00005F2C0000}"/>
    <cellStyle name="40% - uthevingsfarge 1 30 7 3" xfId="8464" xr:uid="{00000000-0005-0000-0000-0000602C0000}"/>
    <cellStyle name="40% - uthevingsfarge 1 30 7 3 2" xfId="23365" xr:uid="{00000000-0005-0000-0000-0000612C0000}"/>
    <cellStyle name="40% - uthevingsfarge 1 30 7 3 2 2" xfId="39424" xr:uid="{00000000-0005-0000-0000-0000622C0000}"/>
    <cellStyle name="40% - uthevingsfarge 1 30 7 3 3" xfId="29334" xr:uid="{00000000-0005-0000-0000-0000632C0000}"/>
    <cellStyle name="40% - uthevingsfarge 1 30 7 4" xfId="12188" xr:uid="{00000000-0005-0000-0000-0000642C0000}"/>
    <cellStyle name="40% - uthevingsfarge 1 30 7 4 2" xfId="35117" xr:uid="{00000000-0005-0000-0000-0000652C0000}"/>
    <cellStyle name="40% - uthevingsfarge 1 30 7 5" xfId="32725" xr:uid="{00000000-0005-0000-0000-0000662C0000}"/>
    <cellStyle name="40% - uthevingsfarge 1 30 8" xfId="5247" xr:uid="{00000000-0005-0000-0000-0000672C0000}"/>
    <cellStyle name="40% - uthevingsfarge 1 30 8 2" xfId="8662" xr:uid="{00000000-0005-0000-0000-0000682C0000}"/>
    <cellStyle name="40% - uthevingsfarge 1 30 8 2 2" xfId="21155" xr:uid="{00000000-0005-0000-0000-0000692C0000}"/>
    <cellStyle name="40% - uthevingsfarge 1 30 8 2 2 2" xfId="37235" xr:uid="{00000000-0005-0000-0000-00006A2C0000}"/>
    <cellStyle name="40% - uthevingsfarge 1 30 8 2 3" xfId="29136" xr:uid="{00000000-0005-0000-0000-00006B2C0000}"/>
    <cellStyle name="40% - uthevingsfarge 1 30 8 3" xfId="10778" xr:uid="{00000000-0005-0000-0000-00006C2C0000}"/>
    <cellStyle name="40% - uthevingsfarge 1 30 8 3 2" xfId="34601" xr:uid="{00000000-0005-0000-0000-00006D2C0000}"/>
    <cellStyle name="40% - uthevingsfarge 1 30 8 4" xfId="32527" xr:uid="{00000000-0005-0000-0000-00006E2C0000}"/>
    <cellStyle name="40% - uthevingsfarge 1 30 9" xfId="6934" xr:uid="{00000000-0005-0000-0000-00006F2C0000}"/>
    <cellStyle name="40% - uthevingsfarge 1 30 9 2" xfId="10643" xr:uid="{00000000-0005-0000-0000-0000702C0000}"/>
    <cellStyle name="40% - uthevingsfarge 1 30 9 2 2" xfId="34491" xr:uid="{00000000-0005-0000-0000-0000712C0000}"/>
    <cellStyle name="40% - uthevingsfarge 1 30 9 3" xfId="30864" xr:uid="{00000000-0005-0000-0000-0000722C0000}"/>
    <cellStyle name="40% - uthevingsfarge 1 31" xfId="3435" xr:uid="{00000000-0005-0000-0000-0000732C0000}"/>
    <cellStyle name="40% - uthevingsfarge 1 31 2" xfId="3633" xr:uid="{00000000-0005-0000-0000-0000742C0000}"/>
    <cellStyle name="40% - uthevingsfarge 1 31 2 2" xfId="4061" xr:uid="{00000000-0005-0000-0000-0000752C0000}"/>
    <cellStyle name="40% - uthevingsfarge 1 31 2 2 2" xfId="5949" xr:uid="{00000000-0005-0000-0000-0000762C0000}"/>
    <cellStyle name="40% - uthevingsfarge 1 31 2 2 2 2" xfId="9364" xr:uid="{00000000-0005-0000-0000-0000772C0000}"/>
    <cellStyle name="40% - uthevingsfarge 1 31 2 2 2 2 2" xfId="24502" xr:uid="{00000000-0005-0000-0000-0000782C0000}"/>
    <cellStyle name="40% - uthevingsfarge 1 31 2 2 2 2 2 2" xfId="40546" xr:uid="{00000000-0005-0000-0000-0000792C0000}"/>
    <cellStyle name="40% - uthevingsfarge 1 31 2 2 2 2 3" xfId="28434" xr:uid="{00000000-0005-0000-0000-00007A2C0000}"/>
    <cellStyle name="40% - uthevingsfarge 1 31 2 2 2 3" xfId="23948" xr:uid="{00000000-0005-0000-0000-00007B2C0000}"/>
    <cellStyle name="40% - uthevingsfarge 1 31 2 2 2 3 2" xfId="40002" xr:uid="{00000000-0005-0000-0000-00007C2C0000}"/>
    <cellStyle name="40% - uthevingsfarge 1 31 2 2 2 4" xfId="31829" xr:uid="{00000000-0005-0000-0000-00007D2C0000}"/>
    <cellStyle name="40% - uthevingsfarge 1 31 2 2 3" xfId="7667" xr:uid="{00000000-0005-0000-0000-00007E2C0000}"/>
    <cellStyle name="40% - uthevingsfarge 1 31 2 2 3 2" xfId="24247" xr:uid="{00000000-0005-0000-0000-00007F2C0000}"/>
    <cellStyle name="40% - uthevingsfarge 1 31 2 2 3 2 2" xfId="40300" xr:uid="{00000000-0005-0000-0000-0000802C0000}"/>
    <cellStyle name="40% - uthevingsfarge 1 31 2 2 3 3" xfId="30131" xr:uid="{00000000-0005-0000-0000-0000812C0000}"/>
    <cellStyle name="40% - uthevingsfarge 1 31 2 2 4" xfId="23798" xr:uid="{00000000-0005-0000-0000-0000822C0000}"/>
    <cellStyle name="40% - uthevingsfarge 1 31 2 2 4 2" xfId="39854" xr:uid="{00000000-0005-0000-0000-0000832C0000}"/>
    <cellStyle name="40% - uthevingsfarge 1 31 2 2 5" xfId="33518" xr:uid="{00000000-0005-0000-0000-0000842C0000}"/>
    <cellStyle name="40% - uthevingsfarge 1 31 2 3" xfId="5001" xr:uid="{00000000-0005-0000-0000-0000852C0000}"/>
    <cellStyle name="40% - uthevingsfarge 1 31 2 3 2" xfId="6720" xr:uid="{00000000-0005-0000-0000-0000862C0000}"/>
    <cellStyle name="40% - uthevingsfarge 1 31 2 3 2 2" xfId="10126" xr:uid="{00000000-0005-0000-0000-0000872C0000}"/>
    <cellStyle name="40% - uthevingsfarge 1 31 2 3 2 2 2" xfId="22027" xr:uid="{00000000-0005-0000-0000-0000882C0000}"/>
    <cellStyle name="40% - uthevingsfarge 1 31 2 3 2 2 2 2" xfId="38102" xr:uid="{00000000-0005-0000-0000-0000892C0000}"/>
    <cellStyle name="40% - uthevingsfarge 1 31 2 3 2 2 3" xfId="27673" xr:uid="{00000000-0005-0000-0000-00008A2C0000}"/>
    <cellStyle name="40% - uthevingsfarge 1 31 2 3 2 3" xfId="22382" xr:uid="{00000000-0005-0000-0000-00008B2C0000}"/>
    <cellStyle name="40% - uthevingsfarge 1 31 2 3 2 3 2" xfId="38454" xr:uid="{00000000-0005-0000-0000-00008C2C0000}"/>
    <cellStyle name="40% - uthevingsfarge 1 31 2 3 2 4" xfId="31074" xr:uid="{00000000-0005-0000-0000-00008D2C0000}"/>
    <cellStyle name="40% - uthevingsfarge 1 31 2 3 3" xfId="8423" xr:uid="{00000000-0005-0000-0000-00008E2C0000}"/>
    <cellStyle name="40% - uthevingsfarge 1 31 2 3 3 2" xfId="10551" xr:uid="{00000000-0005-0000-0000-00008F2C0000}"/>
    <cellStyle name="40% - uthevingsfarge 1 31 2 3 3 2 2" xfId="34420" xr:uid="{00000000-0005-0000-0000-0000902C0000}"/>
    <cellStyle name="40% - uthevingsfarge 1 31 2 3 3 3" xfId="29375" xr:uid="{00000000-0005-0000-0000-0000912C0000}"/>
    <cellStyle name="40% - uthevingsfarge 1 31 2 3 4" xfId="19726" xr:uid="{00000000-0005-0000-0000-0000922C0000}"/>
    <cellStyle name="40% - uthevingsfarge 1 31 2 3 4 2" xfId="35840" xr:uid="{00000000-0005-0000-0000-0000932C0000}"/>
    <cellStyle name="40% - uthevingsfarge 1 31 2 3 5" xfId="32766" xr:uid="{00000000-0005-0000-0000-0000942C0000}"/>
    <cellStyle name="40% - uthevingsfarge 1 31 2 4" xfId="5555" xr:uid="{00000000-0005-0000-0000-0000952C0000}"/>
    <cellStyle name="40% - uthevingsfarge 1 31 2 4 2" xfId="8970" xr:uid="{00000000-0005-0000-0000-0000962C0000}"/>
    <cellStyle name="40% - uthevingsfarge 1 31 2 4 2 2" xfId="21236" xr:uid="{00000000-0005-0000-0000-0000972C0000}"/>
    <cellStyle name="40% - uthevingsfarge 1 31 2 4 2 2 2" xfId="37316" xr:uid="{00000000-0005-0000-0000-0000982C0000}"/>
    <cellStyle name="40% - uthevingsfarge 1 31 2 4 2 3" xfId="28828" xr:uid="{00000000-0005-0000-0000-0000992C0000}"/>
    <cellStyle name="40% - uthevingsfarge 1 31 2 4 3" xfId="22872" xr:uid="{00000000-0005-0000-0000-00009A2C0000}"/>
    <cellStyle name="40% - uthevingsfarge 1 31 2 4 3 2" xfId="38941" xr:uid="{00000000-0005-0000-0000-00009B2C0000}"/>
    <cellStyle name="40% - uthevingsfarge 1 31 2 4 4" xfId="32219" xr:uid="{00000000-0005-0000-0000-00009C2C0000}"/>
    <cellStyle name="40% - uthevingsfarge 1 31 2 5" xfId="7273" xr:uid="{00000000-0005-0000-0000-00009D2C0000}"/>
    <cellStyle name="40% - uthevingsfarge 1 31 2 5 2" xfId="24176" xr:uid="{00000000-0005-0000-0000-00009E2C0000}"/>
    <cellStyle name="40% - uthevingsfarge 1 31 2 5 2 2" xfId="40229" xr:uid="{00000000-0005-0000-0000-00009F2C0000}"/>
    <cellStyle name="40% - uthevingsfarge 1 31 2 5 3" xfId="30525" xr:uid="{00000000-0005-0000-0000-0000A02C0000}"/>
    <cellStyle name="40% - uthevingsfarge 1 31 2 6" xfId="19918" xr:uid="{00000000-0005-0000-0000-0000A12C0000}"/>
    <cellStyle name="40% - uthevingsfarge 1 31 2 6 2" xfId="36022" xr:uid="{00000000-0005-0000-0000-0000A22C0000}"/>
    <cellStyle name="40% - uthevingsfarge 1 31 2 7" xfId="33912" xr:uid="{00000000-0005-0000-0000-0000A32C0000}"/>
    <cellStyle name="40% - uthevingsfarge 1 31 3" xfId="3881" xr:uid="{00000000-0005-0000-0000-0000A42C0000}"/>
    <cellStyle name="40% - uthevingsfarge 1 31 3 2" xfId="5769" xr:uid="{00000000-0005-0000-0000-0000A52C0000}"/>
    <cellStyle name="40% - uthevingsfarge 1 31 3 2 2" xfId="9184" xr:uid="{00000000-0005-0000-0000-0000A62C0000}"/>
    <cellStyle name="40% - uthevingsfarge 1 31 3 2 2 2" xfId="21306" xr:uid="{00000000-0005-0000-0000-0000A72C0000}"/>
    <cellStyle name="40% - uthevingsfarge 1 31 3 2 2 2 2" xfId="37386" xr:uid="{00000000-0005-0000-0000-0000A82C0000}"/>
    <cellStyle name="40% - uthevingsfarge 1 31 3 2 2 3" xfId="28614" xr:uid="{00000000-0005-0000-0000-0000A92C0000}"/>
    <cellStyle name="40% - uthevingsfarge 1 31 3 2 3" xfId="22911" xr:uid="{00000000-0005-0000-0000-0000AA2C0000}"/>
    <cellStyle name="40% - uthevingsfarge 1 31 3 2 3 2" xfId="38980" xr:uid="{00000000-0005-0000-0000-0000AB2C0000}"/>
    <cellStyle name="40% - uthevingsfarge 1 31 3 2 4" xfId="32005" xr:uid="{00000000-0005-0000-0000-0000AC2C0000}"/>
    <cellStyle name="40% - uthevingsfarge 1 31 3 3" xfId="7487" xr:uid="{00000000-0005-0000-0000-0000AD2C0000}"/>
    <cellStyle name="40% - uthevingsfarge 1 31 3 3 2" xfId="23216" xr:uid="{00000000-0005-0000-0000-0000AE2C0000}"/>
    <cellStyle name="40% - uthevingsfarge 1 31 3 3 2 2" xfId="39285" xr:uid="{00000000-0005-0000-0000-0000AF2C0000}"/>
    <cellStyle name="40% - uthevingsfarge 1 31 3 3 3" xfId="30311" xr:uid="{00000000-0005-0000-0000-0000B02C0000}"/>
    <cellStyle name="40% - uthevingsfarge 1 31 3 4" xfId="22221" xr:uid="{00000000-0005-0000-0000-0000B12C0000}"/>
    <cellStyle name="40% - uthevingsfarge 1 31 3 4 2" xfId="38295" xr:uid="{00000000-0005-0000-0000-0000B22C0000}"/>
    <cellStyle name="40% - uthevingsfarge 1 31 3 5" xfId="33698" xr:uid="{00000000-0005-0000-0000-0000B32C0000}"/>
    <cellStyle name="40% - uthevingsfarge 1 31 4" xfId="4821" xr:uid="{00000000-0005-0000-0000-0000B42C0000}"/>
    <cellStyle name="40% - uthevingsfarge 1 31 4 2" xfId="6540" xr:uid="{00000000-0005-0000-0000-0000B52C0000}"/>
    <cellStyle name="40% - uthevingsfarge 1 31 4 2 2" xfId="9946" xr:uid="{00000000-0005-0000-0000-0000B62C0000}"/>
    <cellStyle name="40% - uthevingsfarge 1 31 4 2 2 2" xfId="24593" xr:uid="{00000000-0005-0000-0000-0000B72C0000}"/>
    <cellStyle name="40% - uthevingsfarge 1 31 4 2 2 2 2" xfId="40637" xr:uid="{00000000-0005-0000-0000-0000B82C0000}"/>
    <cellStyle name="40% - uthevingsfarge 1 31 4 2 2 3" xfId="27853" xr:uid="{00000000-0005-0000-0000-0000B92C0000}"/>
    <cellStyle name="40% - uthevingsfarge 1 31 4 2 3" xfId="22363" xr:uid="{00000000-0005-0000-0000-0000BA2C0000}"/>
    <cellStyle name="40% - uthevingsfarge 1 31 4 2 3 2" xfId="38435" xr:uid="{00000000-0005-0000-0000-0000BB2C0000}"/>
    <cellStyle name="40% - uthevingsfarge 1 31 4 2 4" xfId="31254" xr:uid="{00000000-0005-0000-0000-0000BC2C0000}"/>
    <cellStyle name="40% - uthevingsfarge 1 31 4 3" xfId="8243" xr:uid="{00000000-0005-0000-0000-0000BD2C0000}"/>
    <cellStyle name="40% - uthevingsfarge 1 31 4 3 2" xfId="19475" xr:uid="{00000000-0005-0000-0000-0000BE2C0000}"/>
    <cellStyle name="40% - uthevingsfarge 1 31 4 3 2 2" xfId="35589" xr:uid="{00000000-0005-0000-0000-0000BF2C0000}"/>
    <cellStyle name="40% - uthevingsfarge 1 31 4 3 3" xfId="29554" xr:uid="{00000000-0005-0000-0000-0000C02C0000}"/>
    <cellStyle name="40% - uthevingsfarge 1 31 4 4" xfId="10894" xr:uid="{00000000-0005-0000-0000-0000C12C0000}"/>
    <cellStyle name="40% - uthevingsfarge 1 31 4 4 2" xfId="34667" xr:uid="{00000000-0005-0000-0000-0000C22C0000}"/>
    <cellStyle name="40% - uthevingsfarge 1 31 4 5" xfId="32946" xr:uid="{00000000-0005-0000-0000-0000C32C0000}"/>
    <cellStyle name="40% - uthevingsfarge 1 31 5" xfId="5385" xr:uid="{00000000-0005-0000-0000-0000C42C0000}"/>
    <cellStyle name="40% - uthevingsfarge 1 31 5 2" xfId="8800" xr:uid="{00000000-0005-0000-0000-0000C52C0000}"/>
    <cellStyle name="40% - uthevingsfarge 1 31 5 2 2" xfId="11764" xr:uid="{00000000-0005-0000-0000-0000C62C0000}"/>
    <cellStyle name="40% - uthevingsfarge 1 31 5 2 2 2" xfId="34857" xr:uid="{00000000-0005-0000-0000-0000C72C0000}"/>
    <cellStyle name="40% - uthevingsfarge 1 31 5 2 3" xfId="28998" xr:uid="{00000000-0005-0000-0000-0000C82C0000}"/>
    <cellStyle name="40% - uthevingsfarge 1 31 5 3" xfId="19814" xr:uid="{00000000-0005-0000-0000-0000C92C0000}"/>
    <cellStyle name="40% - uthevingsfarge 1 31 5 3 2" xfId="35927" xr:uid="{00000000-0005-0000-0000-0000CA2C0000}"/>
    <cellStyle name="40% - uthevingsfarge 1 31 5 4" xfId="32389" xr:uid="{00000000-0005-0000-0000-0000CB2C0000}"/>
    <cellStyle name="40% - uthevingsfarge 1 31 6" xfId="7093" xr:uid="{00000000-0005-0000-0000-0000CC2C0000}"/>
    <cellStyle name="40% - uthevingsfarge 1 31 6 2" xfId="22173" xr:uid="{00000000-0005-0000-0000-0000CD2C0000}"/>
    <cellStyle name="40% - uthevingsfarge 1 31 6 2 2" xfId="38247" xr:uid="{00000000-0005-0000-0000-0000CE2C0000}"/>
    <cellStyle name="40% - uthevingsfarge 1 31 6 3" xfId="30705" xr:uid="{00000000-0005-0000-0000-0000CF2C0000}"/>
    <cellStyle name="40% - uthevingsfarge 1 31 7" xfId="21706" xr:uid="{00000000-0005-0000-0000-0000D02C0000}"/>
    <cellStyle name="40% - uthevingsfarge 1 31 7 2" xfId="37784" xr:uid="{00000000-0005-0000-0000-0000D12C0000}"/>
    <cellStyle name="40% - uthevingsfarge 1 31 8" xfId="34092" xr:uid="{00000000-0005-0000-0000-0000D22C0000}"/>
    <cellStyle name="40% - uthevingsfarge 1 32" xfId="4445" xr:uid="{00000000-0005-0000-0000-0000D32C0000}"/>
    <cellStyle name="40% - uthevingsfarge 1 32 2" xfId="6242" xr:uid="{00000000-0005-0000-0000-0000D42C0000}"/>
    <cellStyle name="40% - uthevingsfarge 1 32 2 2" xfId="9652" xr:uid="{00000000-0005-0000-0000-0000D52C0000}"/>
    <cellStyle name="40% - uthevingsfarge 1 32 2 2 2" xfId="11634" xr:uid="{00000000-0005-0000-0000-0000D62C0000}"/>
    <cellStyle name="40% - uthevingsfarge 1 32 2 2 2 2" xfId="34813" xr:uid="{00000000-0005-0000-0000-0000D72C0000}"/>
    <cellStyle name="40% - uthevingsfarge 1 32 2 2 3" xfId="28147" xr:uid="{00000000-0005-0000-0000-0000D82C0000}"/>
    <cellStyle name="40% - uthevingsfarge 1 32 2 3" xfId="24004" xr:uid="{00000000-0005-0000-0000-0000D92C0000}"/>
    <cellStyle name="40% - uthevingsfarge 1 32 2 3 2" xfId="40057" xr:uid="{00000000-0005-0000-0000-0000DA2C0000}"/>
    <cellStyle name="40% - uthevingsfarge 1 32 2 4" xfId="31548" xr:uid="{00000000-0005-0000-0000-0000DB2C0000}"/>
    <cellStyle name="40% - uthevingsfarge 1 32 3" xfId="7948" xr:uid="{00000000-0005-0000-0000-0000DC2C0000}"/>
    <cellStyle name="40% - uthevingsfarge 1 32 3 2" xfId="20956" xr:uid="{00000000-0005-0000-0000-0000DD2C0000}"/>
    <cellStyle name="40% - uthevingsfarge 1 32 3 2 2" xfId="37052" xr:uid="{00000000-0005-0000-0000-0000DE2C0000}"/>
    <cellStyle name="40% - uthevingsfarge 1 32 3 3" xfId="29851" xr:uid="{00000000-0005-0000-0000-0000DF2C0000}"/>
    <cellStyle name="40% - uthevingsfarge 1 32 4" xfId="19639" xr:uid="{00000000-0005-0000-0000-0000E02C0000}"/>
    <cellStyle name="40% - uthevingsfarge 1 32 4 2" xfId="35753" xr:uid="{00000000-0005-0000-0000-0000E12C0000}"/>
    <cellStyle name="40% - uthevingsfarge 1 32 5" xfId="33240" xr:uid="{00000000-0005-0000-0000-0000E22C0000}"/>
    <cellStyle name="40% - uthevingsfarge 1 33" xfId="5350" xr:uid="{00000000-0005-0000-0000-0000E32C0000}"/>
    <cellStyle name="40% - uthevingsfarge 1 33 2" xfId="8765" xr:uid="{00000000-0005-0000-0000-0000E42C0000}"/>
    <cellStyle name="40% - uthevingsfarge 1 33 2 2" xfId="24411" xr:uid="{00000000-0005-0000-0000-0000E52C0000}"/>
    <cellStyle name="40% - uthevingsfarge 1 33 2 2 2" xfId="40455" xr:uid="{00000000-0005-0000-0000-0000E62C0000}"/>
    <cellStyle name="40% - uthevingsfarge 1 33 2 3" xfId="29033" xr:uid="{00000000-0005-0000-0000-0000E72C0000}"/>
    <cellStyle name="40% - uthevingsfarge 1 33 3" xfId="19807" xr:uid="{00000000-0005-0000-0000-0000E82C0000}"/>
    <cellStyle name="40% - uthevingsfarge 1 33 3 2" xfId="35920" xr:uid="{00000000-0005-0000-0000-0000E92C0000}"/>
    <cellStyle name="40% - uthevingsfarge 1 33 4" xfId="32424" xr:uid="{00000000-0005-0000-0000-0000EA2C0000}"/>
    <cellStyle name="40% - uthevingsfarge 1 34" xfId="40943" xr:uid="{00000000-0005-0000-0000-0000EB2C0000}"/>
    <cellStyle name="40% - uthevingsfarge 1 35" xfId="43143" xr:uid="{00000000-0005-0000-0000-0000EC2C0000}"/>
    <cellStyle name="40% - uthevingsfarge 1 36" xfId="40899" xr:uid="{00000000-0005-0000-0000-0000ED2C0000}"/>
    <cellStyle name="40% - uthevingsfarge 1 37" xfId="40814" xr:uid="{00000000-0005-0000-0000-0000EE2C0000}"/>
    <cellStyle name="40% - uthevingsfarge 1 38" xfId="40918" xr:uid="{00000000-0005-0000-0000-0000EF2C0000}"/>
    <cellStyle name="40% - uthevingsfarge 1 39" xfId="40797" xr:uid="{00000000-0005-0000-0000-0000F02C0000}"/>
    <cellStyle name="40% - uthevingsfarge 1 4" xfId="733" xr:uid="{00000000-0005-0000-0000-0000F12C0000}"/>
    <cellStyle name="40% - uthevingsfarge 1 4 2" xfId="734" xr:uid="{00000000-0005-0000-0000-0000F22C0000}"/>
    <cellStyle name="40% - uthevingsfarge 1 40" xfId="43172" xr:uid="{00000000-0005-0000-0000-0000F32C0000}"/>
    <cellStyle name="40% - uthevingsfarge 1 41" xfId="43204" xr:uid="{00000000-0005-0000-0000-0000F42C0000}"/>
    <cellStyle name="40% - uthevingsfarge 1 42" xfId="43418" xr:uid="{00000000-0005-0000-0000-0000F52C0000}"/>
    <cellStyle name="40% - uthevingsfarge 1 43" xfId="43689" xr:uid="{00000000-0005-0000-0000-0000F62C0000}"/>
    <cellStyle name="40% - uthevingsfarge 1 44" xfId="43473" xr:uid="{00000000-0005-0000-0000-0000F72C0000}"/>
    <cellStyle name="40% - uthevingsfarge 1 45" xfId="46290" xr:uid="{00000000-0005-0000-0000-0000F82C0000}"/>
    <cellStyle name="40% - uthevingsfarge 1 46" xfId="46306" xr:uid="{00000000-0005-0000-0000-0000F92C0000}"/>
    <cellStyle name="40% - uthevingsfarge 1 47" xfId="46610" xr:uid="{00000000-0005-0000-0000-0000FA2C0000}"/>
    <cellStyle name="40% - uthevingsfarge 1 48" xfId="46825" xr:uid="{00000000-0005-0000-0000-0000FB2C0000}"/>
    <cellStyle name="40% - uthevingsfarge 1 49" xfId="46579" xr:uid="{00000000-0005-0000-0000-0000FC2C0000}"/>
    <cellStyle name="40% - uthevingsfarge 1 5" xfId="735" xr:uid="{00000000-0005-0000-0000-0000FD2C0000}"/>
    <cellStyle name="40% - uthevingsfarge 1 5 2" xfId="736" xr:uid="{00000000-0005-0000-0000-0000FE2C0000}"/>
    <cellStyle name="40% - uthevingsfarge 1 50" xfId="47024" xr:uid="{00000000-0005-0000-0000-0000FF2C0000}"/>
    <cellStyle name="40% - uthevingsfarge 1 51" xfId="46865" xr:uid="{00000000-0005-0000-0000-0000002D0000}"/>
    <cellStyle name="40% - uthevingsfarge 1 6" xfId="737" xr:uid="{00000000-0005-0000-0000-0000012D0000}"/>
    <cellStyle name="40% - uthevingsfarge 1 6 2" xfId="738" xr:uid="{00000000-0005-0000-0000-0000022D0000}"/>
    <cellStyle name="40% - uthevingsfarge 1 7" xfId="739" xr:uid="{00000000-0005-0000-0000-0000032D0000}"/>
    <cellStyle name="40% - uthevingsfarge 1 7 2" xfId="740" xr:uid="{00000000-0005-0000-0000-0000042D0000}"/>
    <cellStyle name="40% - uthevingsfarge 1 8" xfId="741" xr:uid="{00000000-0005-0000-0000-0000052D0000}"/>
    <cellStyle name="40% - uthevingsfarge 1 8 2" xfId="742" xr:uid="{00000000-0005-0000-0000-0000062D0000}"/>
    <cellStyle name="40% - uthevingsfarge 1 9" xfId="743" xr:uid="{00000000-0005-0000-0000-0000072D0000}"/>
    <cellStyle name="40% - uthevingsfarge 1 9 2" xfId="744" xr:uid="{00000000-0005-0000-0000-0000082D0000}"/>
    <cellStyle name="40% - uthevingsfarge 2" xfId="4571" xr:uid="{00000000-0005-0000-0000-0000092D0000}"/>
    <cellStyle name="40% - uthevingsfarge 2 10" xfId="746" xr:uid="{00000000-0005-0000-0000-00000A2D0000}"/>
    <cellStyle name="40% - uthevingsfarge 2 10 2" xfId="747" xr:uid="{00000000-0005-0000-0000-00000B2D0000}"/>
    <cellStyle name="40% - uthevingsfarge 2 11" xfId="748" xr:uid="{00000000-0005-0000-0000-00000C2D0000}"/>
    <cellStyle name="40% - uthevingsfarge 2 11 2" xfId="749" xr:uid="{00000000-0005-0000-0000-00000D2D0000}"/>
    <cellStyle name="40% - uthevingsfarge 2 12" xfId="750" xr:uid="{00000000-0005-0000-0000-00000E2D0000}"/>
    <cellStyle name="40% - uthevingsfarge 2 12 2" xfId="751" xr:uid="{00000000-0005-0000-0000-00000F2D0000}"/>
    <cellStyle name="40% - uthevingsfarge 2 13" xfId="752" xr:uid="{00000000-0005-0000-0000-0000102D0000}"/>
    <cellStyle name="40% - uthevingsfarge 2 13 2" xfId="753" xr:uid="{00000000-0005-0000-0000-0000112D0000}"/>
    <cellStyle name="40% - uthevingsfarge 2 14" xfId="754" xr:uid="{00000000-0005-0000-0000-0000122D0000}"/>
    <cellStyle name="40% - uthevingsfarge 2 14 2" xfId="755" xr:uid="{00000000-0005-0000-0000-0000132D0000}"/>
    <cellStyle name="40% - uthevingsfarge 2 15" xfId="756" xr:uid="{00000000-0005-0000-0000-0000142D0000}"/>
    <cellStyle name="40% - uthevingsfarge 2 15 2" xfId="757" xr:uid="{00000000-0005-0000-0000-0000152D0000}"/>
    <cellStyle name="40% - uthevingsfarge 2 16" xfId="758" xr:uid="{00000000-0005-0000-0000-0000162D0000}"/>
    <cellStyle name="40% - uthevingsfarge 2 16 2" xfId="759" xr:uid="{00000000-0005-0000-0000-0000172D0000}"/>
    <cellStyle name="40% - uthevingsfarge 2 17" xfId="760" xr:uid="{00000000-0005-0000-0000-0000182D0000}"/>
    <cellStyle name="40% - uthevingsfarge 2 17 2" xfId="761" xr:uid="{00000000-0005-0000-0000-0000192D0000}"/>
    <cellStyle name="40% - uthevingsfarge 2 18" xfId="762" xr:uid="{00000000-0005-0000-0000-00001A2D0000}"/>
    <cellStyle name="40% - uthevingsfarge 2 18 2" xfId="763" xr:uid="{00000000-0005-0000-0000-00001B2D0000}"/>
    <cellStyle name="40% - uthevingsfarge 2 19" xfId="764" xr:uid="{00000000-0005-0000-0000-00001C2D0000}"/>
    <cellStyle name="40% - uthevingsfarge 2 19 2" xfId="765" xr:uid="{00000000-0005-0000-0000-00001D2D0000}"/>
    <cellStyle name="40% - uthevingsfarge 2 2" xfId="766" xr:uid="{00000000-0005-0000-0000-00001E2D0000}"/>
    <cellStyle name="40% - uthevingsfarge 2 2 2" xfId="767" xr:uid="{00000000-0005-0000-0000-00001F2D0000}"/>
    <cellStyle name="40% - uthevingsfarge 2 2 3" xfId="768" xr:uid="{00000000-0005-0000-0000-0000202D0000}"/>
    <cellStyle name="40% - uthevingsfarge 2 2 4" xfId="769" xr:uid="{00000000-0005-0000-0000-0000212D0000}"/>
    <cellStyle name="40% - uthevingsfarge 2 2 5" xfId="11128" xr:uid="{00000000-0005-0000-0000-0000222D0000}"/>
    <cellStyle name="40% - uthevingsfarge 2 2 6" xfId="11129" xr:uid="{00000000-0005-0000-0000-0000232D0000}"/>
    <cellStyle name="40% - uthevingsfarge 2 2 7" xfId="11130" xr:uid="{00000000-0005-0000-0000-0000242D0000}"/>
    <cellStyle name="40% - uthevingsfarge 2 2 8" xfId="11131" xr:uid="{00000000-0005-0000-0000-0000252D0000}"/>
    <cellStyle name="40% - uthevingsfarge 2 2 9" xfId="11132" xr:uid="{00000000-0005-0000-0000-0000262D0000}"/>
    <cellStyle name="40% - uthevingsfarge 2 20" xfId="770" xr:uid="{00000000-0005-0000-0000-0000272D0000}"/>
    <cellStyle name="40% - uthevingsfarge 2 20 2" xfId="771" xr:uid="{00000000-0005-0000-0000-0000282D0000}"/>
    <cellStyle name="40% - uthevingsfarge 2 21" xfId="772" xr:uid="{00000000-0005-0000-0000-0000292D0000}"/>
    <cellStyle name="40% - uthevingsfarge 2 22" xfId="773" xr:uid="{00000000-0005-0000-0000-00002A2D0000}"/>
    <cellStyle name="40% - uthevingsfarge 2 23" xfId="774" xr:uid="{00000000-0005-0000-0000-00002B2D0000}"/>
    <cellStyle name="40% - uthevingsfarge 2 24" xfId="775" xr:uid="{00000000-0005-0000-0000-00002C2D0000}"/>
    <cellStyle name="40% - uthevingsfarge 2 25" xfId="776" xr:uid="{00000000-0005-0000-0000-00002D2D0000}"/>
    <cellStyle name="40% - uthevingsfarge 2 26" xfId="777" xr:uid="{00000000-0005-0000-0000-00002E2D0000}"/>
    <cellStyle name="40% - uthevingsfarge 2 26 10" xfId="6936" xr:uid="{00000000-0005-0000-0000-00002F2D0000}"/>
    <cellStyle name="40% - uthevingsfarge 2 26 10 2" xfId="22696" xr:uid="{00000000-0005-0000-0000-0000302D0000}"/>
    <cellStyle name="40% - uthevingsfarge 2 26 10 2 2" xfId="38765" xr:uid="{00000000-0005-0000-0000-0000312D0000}"/>
    <cellStyle name="40% - uthevingsfarge 2 26 10 3" xfId="30862" xr:uid="{00000000-0005-0000-0000-0000322D0000}"/>
    <cellStyle name="40% - uthevingsfarge 2 26 11" xfId="34250" xr:uid="{00000000-0005-0000-0000-0000332D0000}"/>
    <cellStyle name="40% - uthevingsfarge 2 26 2" xfId="778" xr:uid="{00000000-0005-0000-0000-0000342D0000}"/>
    <cellStyle name="40% - uthevingsfarge 2 26 3" xfId="3340" xr:uid="{00000000-0005-0000-0000-0000352D0000}"/>
    <cellStyle name="40% - uthevingsfarge 2 26 3 10" xfId="34151" xr:uid="{00000000-0005-0000-0000-0000362D0000}"/>
    <cellStyle name="40% - uthevingsfarge 2 26 3 2" xfId="3572" xr:uid="{00000000-0005-0000-0000-0000372D0000}"/>
    <cellStyle name="40% - uthevingsfarge 2 26 3 2 10" xfId="47171" xr:uid="{00000000-0005-0000-0000-0000382D0000}"/>
    <cellStyle name="40% - uthevingsfarge 2 26 3 2 2" xfId="4002" xr:uid="{00000000-0005-0000-0000-0000392D0000}"/>
    <cellStyle name="40% - uthevingsfarge 2 26 3 2 2 2" xfId="5890" xr:uid="{00000000-0005-0000-0000-00003A2D0000}"/>
    <cellStyle name="40% - uthevingsfarge 2 26 3 2 2 2 2" xfId="9305" xr:uid="{00000000-0005-0000-0000-00003B2D0000}"/>
    <cellStyle name="40% - uthevingsfarge 2 26 3 2 2 2 2 2" xfId="22608" xr:uid="{00000000-0005-0000-0000-00003C2D0000}"/>
    <cellStyle name="40% - uthevingsfarge 2 26 3 2 2 2 2 2 2" xfId="38677" xr:uid="{00000000-0005-0000-0000-00003D2D0000}"/>
    <cellStyle name="40% - uthevingsfarge 2 26 3 2 2 2 2 3" xfId="28493" xr:uid="{00000000-0005-0000-0000-00003E2D0000}"/>
    <cellStyle name="40% - uthevingsfarge 2 26 3 2 2 2 3" xfId="20240" xr:uid="{00000000-0005-0000-0000-00003F2D0000}"/>
    <cellStyle name="40% - uthevingsfarge 2 26 3 2 2 2 3 2" xfId="36339" xr:uid="{00000000-0005-0000-0000-0000402D0000}"/>
    <cellStyle name="40% - uthevingsfarge 2 26 3 2 2 2 4" xfId="31886" xr:uid="{00000000-0005-0000-0000-0000412D0000}"/>
    <cellStyle name="40% - uthevingsfarge 2 26 3 2 2 3" xfId="7608" xr:uid="{00000000-0005-0000-0000-0000422D0000}"/>
    <cellStyle name="40% - uthevingsfarge 2 26 3 2 2 3 2" xfId="20834" xr:uid="{00000000-0005-0000-0000-0000432D0000}"/>
    <cellStyle name="40% - uthevingsfarge 2 26 3 2 2 3 2 2" xfId="36933" xr:uid="{00000000-0005-0000-0000-0000442D0000}"/>
    <cellStyle name="40% - uthevingsfarge 2 26 3 2 2 3 3" xfId="30190" xr:uid="{00000000-0005-0000-0000-0000452D0000}"/>
    <cellStyle name="40% - uthevingsfarge 2 26 3 2 2 4" xfId="18013" xr:uid="{00000000-0005-0000-0000-0000462D0000}"/>
    <cellStyle name="40% - uthevingsfarge 2 26 3 2 2 5" xfId="19569" xr:uid="{00000000-0005-0000-0000-0000472D0000}"/>
    <cellStyle name="40% - uthevingsfarge 2 26 3 2 2 5 2" xfId="35683" xr:uid="{00000000-0005-0000-0000-0000482D0000}"/>
    <cellStyle name="40% - uthevingsfarge 2 26 3 2 2 6" xfId="33577" xr:uid="{00000000-0005-0000-0000-0000492D0000}"/>
    <cellStyle name="40% - uthevingsfarge 2 26 3 2 3" xfId="4942" xr:uid="{00000000-0005-0000-0000-00004A2D0000}"/>
    <cellStyle name="40% - uthevingsfarge 2 26 3 2 3 10" xfId="47361" xr:uid="{00000000-0005-0000-0000-00004B2D0000}"/>
    <cellStyle name="40% - uthevingsfarge 2 26 3 2 3 2" xfId="6661" xr:uid="{00000000-0005-0000-0000-00004C2D0000}"/>
    <cellStyle name="40% - uthevingsfarge 2 26 3 2 3 2 2" xfId="10067" xr:uid="{00000000-0005-0000-0000-00004D2D0000}"/>
    <cellStyle name="40% - uthevingsfarge 2 26 3 2 3 2 2 2" xfId="23612" xr:uid="{00000000-0005-0000-0000-00004E2D0000}"/>
    <cellStyle name="40% - uthevingsfarge 2 26 3 2 3 2 2 2 2" xfId="39668" xr:uid="{00000000-0005-0000-0000-00004F2D0000}"/>
    <cellStyle name="40% - uthevingsfarge 2 26 3 2 3 2 2 3" xfId="27732" xr:uid="{00000000-0005-0000-0000-0000502D0000}"/>
    <cellStyle name="40% - uthevingsfarge 2 26 3 2 3 2 3" xfId="10668" xr:uid="{00000000-0005-0000-0000-0000512D0000}"/>
    <cellStyle name="40% - uthevingsfarge 2 26 3 2 3 2 3 2" xfId="34516" xr:uid="{00000000-0005-0000-0000-0000522D0000}"/>
    <cellStyle name="40% - uthevingsfarge 2 26 3 2 3 2 4" xfId="31133" xr:uid="{00000000-0005-0000-0000-0000532D0000}"/>
    <cellStyle name="40% - uthevingsfarge 2 26 3 2 3 2 5" xfId="43055" xr:uid="{00000000-0005-0000-0000-0000542D0000}"/>
    <cellStyle name="40% - uthevingsfarge 2 26 3 2 3 2 6" xfId="43352" xr:uid="{00000000-0005-0000-0000-0000552D0000}"/>
    <cellStyle name="40% - uthevingsfarge 2 26 3 2 3 2 7" xfId="46200" xr:uid="{00000000-0005-0000-0000-0000562D0000}"/>
    <cellStyle name="40% - uthevingsfarge 2 26 3 2 3 2 8" xfId="46972" xr:uid="{00000000-0005-0000-0000-0000572D0000}"/>
    <cellStyle name="40% - uthevingsfarge 2 26 3 2 3 2 9" xfId="47557" xr:uid="{00000000-0005-0000-0000-0000582D0000}"/>
    <cellStyle name="40% - uthevingsfarge 2 26 3 2 3 3" xfId="8364" xr:uid="{00000000-0005-0000-0000-0000592D0000}"/>
    <cellStyle name="40% - uthevingsfarge 2 26 3 2 3 3 2" xfId="24354" xr:uid="{00000000-0005-0000-0000-00005A2D0000}"/>
    <cellStyle name="40% - uthevingsfarge 2 26 3 2 3 3 2 2" xfId="40401" xr:uid="{00000000-0005-0000-0000-00005B2D0000}"/>
    <cellStyle name="40% - uthevingsfarge 2 26 3 2 3 3 3" xfId="29434" xr:uid="{00000000-0005-0000-0000-00005C2D0000}"/>
    <cellStyle name="40% - uthevingsfarge 2 26 3 2 3 3 4" xfId="43932" xr:uid="{00000000-0005-0000-0000-00005D2D0000}"/>
    <cellStyle name="40% - uthevingsfarge 2 26 3 2 3 4" xfId="16500" xr:uid="{00000000-0005-0000-0000-00005E2D0000}"/>
    <cellStyle name="40% - uthevingsfarge 2 26 3 2 3 4 2" xfId="35447" xr:uid="{00000000-0005-0000-0000-00005F2D0000}"/>
    <cellStyle name="40% - uthevingsfarge 2 26 3 2 3 5" xfId="25109" xr:uid="{00000000-0005-0000-0000-0000602D0000}"/>
    <cellStyle name="40% - uthevingsfarge 2 26 3 2 3 6" xfId="25296" xr:uid="{00000000-0005-0000-0000-0000612D0000}"/>
    <cellStyle name="40% - uthevingsfarge 2 26 3 2 3 7" xfId="32825" xr:uid="{00000000-0005-0000-0000-0000622D0000}"/>
    <cellStyle name="40% - uthevingsfarge 2 26 3 2 3 8" xfId="43813" xr:uid="{00000000-0005-0000-0000-0000632D0000}"/>
    <cellStyle name="40% - uthevingsfarge 2 26 3 2 3 9" xfId="46738" xr:uid="{00000000-0005-0000-0000-0000642D0000}"/>
    <cellStyle name="40% - uthevingsfarge 2 26 3 2 4" xfId="5496" xr:uid="{00000000-0005-0000-0000-0000652D0000}"/>
    <cellStyle name="40% - uthevingsfarge 2 26 3 2 4 2" xfId="8911" xr:uid="{00000000-0005-0000-0000-0000662D0000}"/>
    <cellStyle name="40% - uthevingsfarge 2 26 3 2 4 2 2" xfId="22533" xr:uid="{00000000-0005-0000-0000-0000672D0000}"/>
    <cellStyle name="40% - uthevingsfarge 2 26 3 2 4 2 2 2" xfId="38603" xr:uid="{00000000-0005-0000-0000-0000682D0000}"/>
    <cellStyle name="40% - uthevingsfarge 2 26 3 2 4 2 3" xfId="28887" xr:uid="{00000000-0005-0000-0000-0000692D0000}"/>
    <cellStyle name="40% - uthevingsfarge 2 26 3 2 4 3" xfId="11994" xr:uid="{00000000-0005-0000-0000-00006A2D0000}"/>
    <cellStyle name="40% - uthevingsfarge 2 26 3 2 4 3 2" xfId="35015" xr:uid="{00000000-0005-0000-0000-00006B2D0000}"/>
    <cellStyle name="40% - uthevingsfarge 2 26 3 2 4 4" xfId="32278" xr:uid="{00000000-0005-0000-0000-00006C2D0000}"/>
    <cellStyle name="40% - uthevingsfarge 2 26 3 2 5" xfId="7214" xr:uid="{00000000-0005-0000-0000-00006D2D0000}"/>
    <cellStyle name="40% - uthevingsfarge 2 26 3 2 5 2" xfId="21682" xr:uid="{00000000-0005-0000-0000-00006E2D0000}"/>
    <cellStyle name="40% - uthevingsfarge 2 26 3 2 5 2 2" xfId="37762" xr:uid="{00000000-0005-0000-0000-00006F2D0000}"/>
    <cellStyle name="40% - uthevingsfarge 2 26 3 2 5 3" xfId="30584" xr:uid="{00000000-0005-0000-0000-0000702D0000}"/>
    <cellStyle name="40% - uthevingsfarge 2 26 3 2 6" xfId="11137" xr:uid="{00000000-0005-0000-0000-0000712D0000}"/>
    <cellStyle name="40% - uthevingsfarge 2 26 3 2 7" xfId="33971" xr:uid="{00000000-0005-0000-0000-0000722D0000}"/>
    <cellStyle name="40% - uthevingsfarge 2 26 3 2 8" xfId="43604" xr:uid="{00000000-0005-0000-0000-0000732D0000}"/>
    <cellStyle name="40% - uthevingsfarge 2 26 3 2 9" xfId="46510" xr:uid="{00000000-0005-0000-0000-0000742D0000}"/>
    <cellStyle name="40% - uthevingsfarge 2 26 3 2_Avviksanalyse løpende RNB15 (1)" xfId="16621" xr:uid="{00000000-0005-0000-0000-0000752D0000}"/>
    <cellStyle name="40% - uthevingsfarge 2 26 3 3" xfId="3822" xr:uid="{00000000-0005-0000-0000-0000762D0000}"/>
    <cellStyle name="40% - uthevingsfarge 2 26 3 3 2" xfId="5710" xr:uid="{00000000-0005-0000-0000-0000772D0000}"/>
    <cellStyle name="40% - uthevingsfarge 2 26 3 3 2 2" xfId="9125" xr:uid="{00000000-0005-0000-0000-0000782D0000}"/>
    <cellStyle name="40% - uthevingsfarge 2 26 3 3 2 2 2" xfId="23458" xr:uid="{00000000-0005-0000-0000-0000792D0000}"/>
    <cellStyle name="40% - uthevingsfarge 2 26 3 3 2 2 2 2" xfId="39514" xr:uid="{00000000-0005-0000-0000-00007A2D0000}"/>
    <cellStyle name="40% - uthevingsfarge 2 26 3 3 2 2 3" xfId="28673" xr:uid="{00000000-0005-0000-0000-00007B2D0000}"/>
    <cellStyle name="40% - uthevingsfarge 2 26 3 3 2 3" xfId="23905" xr:uid="{00000000-0005-0000-0000-00007C2D0000}"/>
    <cellStyle name="40% - uthevingsfarge 2 26 3 3 2 3 2" xfId="39961" xr:uid="{00000000-0005-0000-0000-00007D2D0000}"/>
    <cellStyle name="40% - uthevingsfarge 2 26 3 3 2 4" xfId="32064" xr:uid="{00000000-0005-0000-0000-00007E2D0000}"/>
    <cellStyle name="40% - uthevingsfarge 2 26 3 3 3" xfId="7428" xr:uid="{00000000-0005-0000-0000-00007F2D0000}"/>
    <cellStyle name="40% - uthevingsfarge 2 26 3 3 3 2" xfId="20778" xr:uid="{00000000-0005-0000-0000-0000802D0000}"/>
    <cellStyle name="40% - uthevingsfarge 2 26 3 3 3 2 2" xfId="36877" xr:uid="{00000000-0005-0000-0000-0000812D0000}"/>
    <cellStyle name="40% - uthevingsfarge 2 26 3 3 3 3" xfId="30370" xr:uid="{00000000-0005-0000-0000-0000822D0000}"/>
    <cellStyle name="40% - uthevingsfarge 2 26 3 3 4" xfId="19933" xr:uid="{00000000-0005-0000-0000-0000832D0000}"/>
    <cellStyle name="40% - uthevingsfarge 2 26 3 3 4 2" xfId="36037" xr:uid="{00000000-0005-0000-0000-0000842D0000}"/>
    <cellStyle name="40% - uthevingsfarge 2 26 3 3 5" xfId="33757" xr:uid="{00000000-0005-0000-0000-0000852D0000}"/>
    <cellStyle name="40% - uthevingsfarge 2 26 3 4" xfId="4307" xr:uid="{00000000-0005-0000-0000-0000862D0000}"/>
    <cellStyle name="40% - uthevingsfarge 2 26 3 4 2" xfId="6136" xr:uid="{00000000-0005-0000-0000-0000872D0000}"/>
    <cellStyle name="40% - uthevingsfarge 2 26 3 4 2 2" xfId="9550" xr:uid="{00000000-0005-0000-0000-0000882D0000}"/>
    <cellStyle name="40% - uthevingsfarge 2 26 3 4 2 2 2" xfId="19411" xr:uid="{00000000-0005-0000-0000-0000892D0000}"/>
    <cellStyle name="40% - uthevingsfarge 2 26 3 4 2 2 2 2" xfId="35525" xr:uid="{00000000-0005-0000-0000-00008A2D0000}"/>
    <cellStyle name="40% - uthevingsfarge 2 26 3 4 2 2 3" xfId="28248" xr:uid="{00000000-0005-0000-0000-00008B2D0000}"/>
    <cellStyle name="40% - uthevingsfarge 2 26 3 4 2 3" xfId="22981" xr:uid="{00000000-0005-0000-0000-00008C2D0000}"/>
    <cellStyle name="40% - uthevingsfarge 2 26 3 4 2 3 2" xfId="39050" xr:uid="{00000000-0005-0000-0000-00008D2D0000}"/>
    <cellStyle name="40% - uthevingsfarge 2 26 3 4 2 4" xfId="34296" xr:uid="{00000000-0005-0000-0000-00008E2D0000}"/>
    <cellStyle name="40% - uthevingsfarge 2 26 3 4 3" xfId="7869" xr:uid="{00000000-0005-0000-0000-00008F2D0000}"/>
    <cellStyle name="40% - uthevingsfarge 2 26 3 4 3 2" xfId="10623" xr:uid="{00000000-0005-0000-0000-0000902D0000}"/>
    <cellStyle name="40% - uthevingsfarge 2 26 3 4 3 2 2" xfId="34471" xr:uid="{00000000-0005-0000-0000-0000912D0000}"/>
    <cellStyle name="40% - uthevingsfarge 2 26 3 4 3 3" xfId="29930" xr:uid="{00000000-0005-0000-0000-0000922D0000}"/>
    <cellStyle name="40% - uthevingsfarge 2 26 3 4 4" xfId="23815" xr:uid="{00000000-0005-0000-0000-0000932D0000}"/>
    <cellStyle name="40% - uthevingsfarge 2 26 3 4 4 2" xfId="39871" xr:uid="{00000000-0005-0000-0000-0000942D0000}"/>
    <cellStyle name="40% - uthevingsfarge 2 26 3 4 5" xfId="33318" xr:uid="{00000000-0005-0000-0000-0000952D0000}"/>
    <cellStyle name="40% - uthevingsfarge 2 26 3 5" xfId="4762" xr:uid="{00000000-0005-0000-0000-0000962D0000}"/>
    <cellStyle name="40% - uthevingsfarge 2 26 3 5 2" xfId="6482" xr:uid="{00000000-0005-0000-0000-0000972D0000}"/>
    <cellStyle name="40% - uthevingsfarge 2 26 3 5 2 2" xfId="9888" xr:uid="{00000000-0005-0000-0000-0000982D0000}"/>
    <cellStyle name="40% - uthevingsfarge 2 26 3 5 2 2 2" xfId="24582" xr:uid="{00000000-0005-0000-0000-0000992D0000}"/>
    <cellStyle name="40% - uthevingsfarge 2 26 3 5 2 2 2 2" xfId="40626" xr:uid="{00000000-0005-0000-0000-00009A2D0000}"/>
    <cellStyle name="40% - uthevingsfarge 2 26 3 5 2 2 3" xfId="27911" xr:uid="{00000000-0005-0000-0000-00009B2D0000}"/>
    <cellStyle name="40% - uthevingsfarge 2 26 3 5 2 3" xfId="24050" xr:uid="{00000000-0005-0000-0000-00009C2D0000}"/>
    <cellStyle name="40% - uthevingsfarge 2 26 3 5 2 3 2" xfId="40103" xr:uid="{00000000-0005-0000-0000-00009D2D0000}"/>
    <cellStyle name="40% - uthevingsfarge 2 26 3 5 2 4" xfId="31312" xr:uid="{00000000-0005-0000-0000-00009E2D0000}"/>
    <cellStyle name="40% - uthevingsfarge 2 26 3 5 3" xfId="8184" xr:uid="{00000000-0005-0000-0000-00009F2D0000}"/>
    <cellStyle name="40% - uthevingsfarge 2 26 3 5 3 2" xfId="22049" xr:uid="{00000000-0005-0000-0000-0000A02D0000}"/>
    <cellStyle name="40% - uthevingsfarge 2 26 3 5 3 2 2" xfId="38123" xr:uid="{00000000-0005-0000-0000-0000A12D0000}"/>
    <cellStyle name="40% - uthevingsfarge 2 26 3 5 3 3" xfId="29613" xr:uid="{00000000-0005-0000-0000-0000A22D0000}"/>
    <cellStyle name="40% - uthevingsfarge 2 26 3 5 4" xfId="10902" xr:uid="{00000000-0005-0000-0000-0000A32D0000}"/>
    <cellStyle name="40% - uthevingsfarge 2 26 3 5 4 2" xfId="34673" xr:uid="{00000000-0005-0000-0000-0000A42D0000}"/>
    <cellStyle name="40% - uthevingsfarge 2 26 3 5 5" xfId="33005" xr:uid="{00000000-0005-0000-0000-0000A52D0000}"/>
    <cellStyle name="40% - uthevingsfarge 2 26 3 6" xfId="5122" xr:uid="{00000000-0005-0000-0000-0000A62D0000}"/>
    <cellStyle name="40% - uthevingsfarge 2 26 3 6 2" xfId="6841" xr:uid="{00000000-0005-0000-0000-0000A72D0000}"/>
    <cellStyle name="40% - uthevingsfarge 2 26 3 6 2 2" xfId="10247" xr:uid="{00000000-0005-0000-0000-0000A82D0000}"/>
    <cellStyle name="40% - uthevingsfarge 2 26 3 6 2 2 2" xfId="24690" xr:uid="{00000000-0005-0000-0000-0000A92D0000}"/>
    <cellStyle name="40% - uthevingsfarge 2 26 3 6 2 2 2 2" xfId="40733" xr:uid="{00000000-0005-0000-0000-0000AA2D0000}"/>
    <cellStyle name="40% - uthevingsfarge 2 26 3 6 2 2 3" xfId="27552" xr:uid="{00000000-0005-0000-0000-0000AB2D0000}"/>
    <cellStyle name="40% - uthevingsfarge 2 26 3 6 2 3" xfId="22391" xr:uid="{00000000-0005-0000-0000-0000AC2D0000}"/>
    <cellStyle name="40% - uthevingsfarge 2 26 3 6 2 3 2" xfId="38463" xr:uid="{00000000-0005-0000-0000-0000AD2D0000}"/>
    <cellStyle name="40% - uthevingsfarge 2 26 3 6 2 4" xfId="30953" xr:uid="{00000000-0005-0000-0000-0000AE2D0000}"/>
    <cellStyle name="40% - uthevingsfarge 2 26 3 6 3" xfId="8544" xr:uid="{00000000-0005-0000-0000-0000AF2D0000}"/>
    <cellStyle name="40% - uthevingsfarge 2 26 3 6 3 2" xfId="11834" xr:uid="{00000000-0005-0000-0000-0000B02D0000}"/>
    <cellStyle name="40% - uthevingsfarge 2 26 3 6 3 2 2" xfId="34888" xr:uid="{00000000-0005-0000-0000-0000B12D0000}"/>
    <cellStyle name="40% - uthevingsfarge 2 26 3 6 3 3" xfId="29254" xr:uid="{00000000-0005-0000-0000-0000B22D0000}"/>
    <cellStyle name="40% - uthevingsfarge 2 26 3 6 4" xfId="20061" xr:uid="{00000000-0005-0000-0000-0000B32D0000}"/>
    <cellStyle name="40% - uthevingsfarge 2 26 3 6 4 2" xfId="36165" xr:uid="{00000000-0005-0000-0000-0000B42D0000}"/>
    <cellStyle name="40% - uthevingsfarge 2 26 3 6 5" xfId="32645" xr:uid="{00000000-0005-0000-0000-0000B52D0000}"/>
    <cellStyle name="40% - uthevingsfarge 2 26 3 7" xfId="5301" xr:uid="{00000000-0005-0000-0000-0000B62D0000}"/>
    <cellStyle name="40% - uthevingsfarge 2 26 3 7 2" xfId="8716" xr:uid="{00000000-0005-0000-0000-0000B72D0000}"/>
    <cellStyle name="40% - uthevingsfarge 2 26 3 7 2 2" xfId="24402" xr:uid="{00000000-0005-0000-0000-0000B82D0000}"/>
    <cellStyle name="40% - uthevingsfarge 2 26 3 7 2 2 2" xfId="40446" xr:uid="{00000000-0005-0000-0000-0000B92D0000}"/>
    <cellStyle name="40% - uthevingsfarge 2 26 3 7 2 3" xfId="29082" xr:uid="{00000000-0005-0000-0000-0000BA2D0000}"/>
    <cellStyle name="40% - uthevingsfarge 2 26 3 7 3" xfId="20078" xr:uid="{00000000-0005-0000-0000-0000BB2D0000}"/>
    <cellStyle name="40% - uthevingsfarge 2 26 3 7 3 2" xfId="36182" xr:uid="{00000000-0005-0000-0000-0000BC2D0000}"/>
    <cellStyle name="40% - uthevingsfarge 2 26 3 7 4" xfId="32473" xr:uid="{00000000-0005-0000-0000-0000BD2D0000}"/>
    <cellStyle name="40% - uthevingsfarge 2 26 3 8" xfId="7034" xr:uid="{00000000-0005-0000-0000-0000BE2D0000}"/>
    <cellStyle name="40% - uthevingsfarge 2 26 3 8 2" xfId="22409" xr:uid="{00000000-0005-0000-0000-0000BF2D0000}"/>
    <cellStyle name="40% - uthevingsfarge 2 26 3 8 2 2" xfId="38481" xr:uid="{00000000-0005-0000-0000-0000C02D0000}"/>
    <cellStyle name="40% - uthevingsfarge 2 26 3 8 3" xfId="30764" xr:uid="{00000000-0005-0000-0000-0000C12D0000}"/>
    <cellStyle name="40% - uthevingsfarge 2 26 3 9" xfId="11136" xr:uid="{00000000-0005-0000-0000-0000C22D0000}"/>
    <cellStyle name="40% - uthevingsfarge 2 26 4" xfId="3487" xr:uid="{00000000-0005-0000-0000-0000C32D0000}"/>
    <cellStyle name="40% - uthevingsfarge 2 26 4 10" xfId="47103" xr:uid="{00000000-0005-0000-0000-0000C42D0000}"/>
    <cellStyle name="40% - uthevingsfarge 2 26 4 2" xfId="3923" xr:uid="{00000000-0005-0000-0000-0000C52D0000}"/>
    <cellStyle name="40% - uthevingsfarge 2 26 4 2 2" xfId="5811" xr:uid="{00000000-0005-0000-0000-0000C62D0000}"/>
    <cellStyle name="40% - uthevingsfarge 2 26 4 2 2 2" xfId="9226" xr:uid="{00000000-0005-0000-0000-0000C72D0000}"/>
    <cellStyle name="40% - uthevingsfarge 2 26 4 2 2 2 2" xfId="21322" xr:uid="{00000000-0005-0000-0000-0000C82D0000}"/>
    <cellStyle name="40% - uthevingsfarge 2 26 4 2 2 2 2 2" xfId="37402" xr:uid="{00000000-0005-0000-0000-0000C92D0000}"/>
    <cellStyle name="40% - uthevingsfarge 2 26 4 2 2 2 3" xfId="28572" xr:uid="{00000000-0005-0000-0000-0000CA2D0000}"/>
    <cellStyle name="40% - uthevingsfarge 2 26 4 2 2 3" xfId="20212" xr:uid="{00000000-0005-0000-0000-0000CB2D0000}"/>
    <cellStyle name="40% - uthevingsfarge 2 26 4 2 2 3 2" xfId="36311" xr:uid="{00000000-0005-0000-0000-0000CC2D0000}"/>
    <cellStyle name="40% - uthevingsfarge 2 26 4 2 2 4" xfId="31963" xr:uid="{00000000-0005-0000-0000-0000CD2D0000}"/>
    <cellStyle name="40% - uthevingsfarge 2 26 4 2 3" xfId="7529" xr:uid="{00000000-0005-0000-0000-0000CE2D0000}"/>
    <cellStyle name="40% - uthevingsfarge 2 26 4 2 3 2" xfId="20811" xr:uid="{00000000-0005-0000-0000-0000CF2D0000}"/>
    <cellStyle name="40% - uthevingsfarge 2 26 4 2 3 2 2" xfId="36910" xr:uid="{00000000-0005-0000-0000-0000D02D0000}"/>
    <cellStyle name="40% - uthevingsfarge 2 26 4 2 3 3" xfId="30269" xr:uid="{00000000-0005-0000-0000-0000D12D0000}"/>
    <cellStyle name="40% - uthevingsfarge 2 26 4 2 4" xfId="18014" xr:uid="{00000000-0005-0000-0000-0000D22D0000}"/>
    <cellStyle name="40% - uthevingsfarge 2 26 4 2 5" xfId="11052" xr:uid="{00000000-0005-0000-0000-0000D32D0000}"/>
    <cellStyle name="40% - uthevingsfarge 2 26 4 2 5 2" xfId="34760" xr:uid="{00000000-0005-0000-0000-0000D42D0000}"/>
    <cellStyle name="40% - uthevingsfarge 2 26 4 2 6" xfId="33656" xr:uid="{00000000-0005-0000-0000-0000D52D0000}"/>
    <cellStyle name="40% - uthevingsfarge 2 26 4 3" xfId="4863" xr:uid="{00000000-0005-0000-0000-0000D62D0000}"/>
    <cellStyle name="40% - uthevingsfarge 2 26 4 3 10" xfId="47293" xr:uid="{00000000-0005-0000-0000-0000D72D0000}"/>
    <cellStyle name="40% - uthevingsfarge 2 26 4 3 2" xfId="6582" xr:uid="{00000000-0005-0000-0000-0000D82D0000}"/>
    <cellStyle name="40% - uthevingsfarge 2 26 4 3 2 2" xfId="9988" xr:uid="{00000000-0005-0000-0000-0000D92D0000}"/>
    <cellStyle name="40% - uthevingsfarge 2 26 4 3 2 2 2" xfId="21561" xr:uid="{00000000-0005-0000-0000-0000DA2D0000}"/>
    <cellStyle name="40% - uthevingsfarge 2 26 4 3 2 2 2 2" xfId="37641" xr:uid="{00000000-0005-0000-0000-0000DB2D0000}"/>
    <cellStyle name="40% - uthevingsfarge 2 26 4 3 2 2 3" xfId="27811" xr:uid="{00000000-0005-0000-0000-0000DC2D0000}"/>
    <cellStyle name="40% - uthevingsfarge 2 26 4 3 2 3" xfId="20506" xr:uid="{00000000-0005-0000-0000-0000DD2D0000}"/>
    <cellStyle name="40% - uthevingsfarge 2 26 4 3 2 3 2" xfId="36605" xr:uid="{00000000-0005-0000-0000-0000DE2D0000}"/>
    <cellStyle name="40% - uthevingsfarge 2 26 4 3 2 4" xfId="31212" xr:uid="{00000000-0005-0000-0000-0000DF2D0000}"/>
    <cellStyle name="40% - uthevingsfarge 2 26 4 3 2 5" xfId="42848" xr:uid="{00000000-0005-0000-0000-0000E02D0000}"/>
    <cellStyle name="40% - uthevingsfarge 2 26 4 3 2 6" xfId="43286" xr:uid="{00000000-0005-0000-0000-0000E12D0000}"/>
    <cellStyle name="40% - uthevingsfarge 2 26 4 3 2 7" xfId="46134" xr:uid="{00000000-0005-0000-0000-0000E22D0000}"/>
    <cellStyle name="40% - uthevingsfarge 2 26 4 3 2 8" xfId="46903" xr:uid="{00000000-0005-0000-0000-0000E32D0000}"/>
    <cellStyle name="40% - uthevingsfarge 2 26 4 3 2 9" xfId="47489" xr:uid="{00000000-0005-0000-0000-0000E42D0000}"/>
    <cellStyle name="40% - uthevingsfarge 2 26 4 3 3" xfId="8285" xr:uid="{00000000-0005-0000-0000-0000E52D0000}"/>
    <cellStyle name="40% - uthevingsfarge 2 26 4 3 3 2" xfId="21052" xr:uid="{00000000-0005-0000-0000-0000E62D0000}"/>
    <cellStyle name="40% - uthevingsfarge 2 26 4 3 3 2 2" xfId="37142" xr:uid="{00000000-0005-0000-0000-0000E72D0000}"/>
    <cellStyle name="40% - uthevingsfarge 2 26 4 3 3 3" xfId="29512" xr:uid="{00000000-0005-0000-0000-0000E82D0000}"/>
    <cellStyle name="40% - uthevingsfarge 2 26 4 3 3 4" xfId="43933" xr:uid="{00000000-0005-0000-0000-0000E92D0000}"/>
    <cellStyle name="40% - uthevingsfarge 2 26 4 3 4" xfId="16293" xr:uid="{00000000-0005-0000-0000-0000EA2D0000}"/>
    <cellStyle name="40% - uthevingsfarge 2 26 4 3 4 2" xfId="35381" xr:uid="{00000000-0005-0000-0000-0000EB2D0000}"/>
    <cellStyle name="40% - uthevingsfarge 2 26 4 3 5" xfId="25040" xr:uid="{00000000-0005-0000-0000-0000EC2D0000}"/>
    <cellStyle name="40% - uthevingsfarge 2 26 4 3 6" xfId="25297" xr:uid="{00000000-0005-0000-0000-0000ED2D0000}"/>
    <cellStyle name="40% - uthevingsfarge 2 26 4 3 7" xfId="32904" xr:uid="{00000000-0005-0000-0000-0000EE2D0000}"/>
    <cellStyle name="40% - uthevingsfarge 2 26 4 3 8" xfId="43746" xr:uid="{00000000-0005-0000-0000-0000EF2D0000}"/>
    <cellStyle name="40% - uthevingsfarge 2 26 4 3 9" xfId="46672" xr:uid="{00000000-0005-0000-0000-0000F02D0000}"/>
    <cellStyle name="40% - uthevingsfarge 2 26 4 4" xfId="5421" xr:uid="{00000000-0005-0000-0000-0000F12D0000}"/>
    <cellStyle name="40% - uthevingsfarge 2 26 4 4 2" xfId="8836" xr:uid="{00000000-0005-0000-0000-0000F22D0000}"/>
    <cellStyle name="40% - uthevingsfarge 2 26 4 4 2 2" xfId="21670" xr:uid="{00000000-0005-0000-0000-0000F32D0000}"/>
    <cellStyle name="40% - uthevingsfarge 2 26 4 4 2 2 2" xfId="37750" xr:uid="{00000000-0005-0000-0000-0000F42D0000}"/>
    <cellStyle name="40% - uthevingsfarge 2 26 4 4 2 3" xfId="28962" xr:uid="{00000000-0005-0000-0000-0000F52D0000}"/>
    <cellStyle name="40% - uthevingsfarge 2 26 4 4 3" xfId="12023" xr:uid="{00000000-0005-0000-0000-0000F62D0000}"/>
    <cellStyle name="40% - uthevingsfarge 2 26 4 4 3 2" xfId="35032" xr:uid="{00000000-0005-0000-0000-0000F72D0000}"/>
    <cellStyle name="40% - uthevingsfarge 2 26 4 4 4" xfId="32353" xr:uid="{00000000-0005-0000-0000-0000F82D0000}"/>
    <cellStyle name="40% - uthevingsfarge 2 26 4 5" xfId="7135" xr:uid="{00000000-0005-0000-0000-0000F92D0000}"/>
    <cellStyle name="40% - uthevingsfarge 2 26 4 5 2" xfId="24156" xr:uid="{00000000-0005-0000-0000-0000FA2D0000}"/>
    <cellStyle name="40% - uthevingsfarge 2 26 4 5 2 2" xfId="40209" xr:uid="{00000000-0005-0000-0000-0000FB2D0000}"/>
    <cellStyle name="40% - uthevingsfarge 2 26 4 5 3" xfId="30663" xr:uid="{00000000-0005-0000-0000-0000FC2D0000}"/>
    <cellStyle name="40% - uthevingsfarge 2 26 4 6" xfId="11138" xr:uid="{00000000-0005-0000-0000-0000FD2D0000}"/>
    <cellStyle name="40% - uthevingsfarge 2 26 4 7" xfId="34050" xr:uid="{00000000-0005-0000-0000-0000FE2D0000}"/>
    <cellStyle name="40% - uthevingsfarge 2 26 4 8" xfId="43538" xr:uid="{00000000-0005-0000-0000-0000FF2D0000}"/>
    <cellStyle name="40% - uthevingsfarge 2 26 4 9" xfId="46442" xr:uid="{00000000-0005-0000-0000-0000002E0000}"/>
    <cellStyle name="40% - uthevingsfarge 2 26 4_Avviksanalyse løpende RNB15 (1)" xfId="16622" xr:uid="{00000000-0005-0000-0000-0000012E0000}"/>
    <cellStyle name="40% - uthevingsfarge 2 26 5" xfId="3744" xr:uid="{00000000-0005-0000-0000-0000022E0000}"/>
    <cellStyle name="40% - uthevingsfarge 2 26 5 2" xfId="5632" xr:uid="{00000000-0005-0000-0000-0000032E0000}"/>
    <cellStyle name="40% - uthevingsfarge 2 26 5 2 2" xfId="9047" xr:uid="{00000000-0005-0000-0000-0000042E0000}"/>
    <cellStyle name="40% - uthevingsfarge 2 26 5 2 2 2" xfId="23736" xr:uid="{00000000-0005-0000-0000-0000052E0000}"/>
    <cellStyle name="40% - uthevingsfarge 2 26 5 2 2 2 2" xfId="39792" xr:uid="{00000000-0005-0000-0000-0000062E0000}"/>
    <cellStyle name="40% - uthevingsfarge 2 26 5 2 2 3" xfId="28751" xr:uid="{00000000-0005-0000-0000-0000072E0000}"/>
    <cellStyle name="40% - uthevingsfarge 2 26 5 2 3" xfId="20147" xr:uid="{00000000-0005-0000-0000-0000082E0000}"/>
    <cellStyle name="40% - uthevingsfarge 2 26 5 2 3 2" xfId="36249" xr:uid="{00000000-0005-0000-0000-0000092E0000}"/>
    <cellStyle name="40% - uthevingsfarge 2 26 5 2 4" xfId="32142" xr:uid="{00000000-0005-0000-0000-00000A2E0000}"/>
    <cellStyle name="40% - uthevingsfarge 2 26 5 3" xfId="7350" xr:uid="{00000000-0005-0000-0000-00000B2E0000}"/>
    <cellStyle name="40% - uthevingsfarge 2 26 5 3 2" xfId="24191" xr:uid="{00000000-0005-0000-0000-00000C2E0000}"/>
    <cellStyle name="40% - uthevingsfarge 2 26 5 3 2 2" xfId="40244" xr:uid="{00000000-0005-0000-0000-00000D2E0000}"/>
    <cellStyle name="40% - uthevingsfarge 2 26 5 3 3" xfId="30448" xr:uid="{00000000-0005-0000-0000-00000E2E0000}"/>
    <cellStyle name="40% - uthevingsfarge 2 26 5 4" xfId="23715" xr:uid="{00000000-0005-0000-0000-00000F2E0000}"/>
    <cellStyle name="40% - uthevingsfarge 2 26 5 4 2" xfId="39771" xr:uid="{00000000-0005-0000-0000-0000102E0000}"/>
    <cellStyle name="40% - uthevingsfarge 2 26 5 5" xfId="33835" xr:uid="{00000000-0005-0000-0000-0000112E0000}"/>
    <cellStyle name="40% - uthevingsfarge 2 26 6" xfId="4211" xr:uid="{00000000-0005-0000-0000-0000122E0000}"/>
    <cellStyle name="40% - uthevingsfarge 2 26 6 2" xfId="6048" xr:uid="{00000000-0005-0000-0000-0000132E0000}"/>
    <cellStyle name="40% - uthevingsfarge 2 26 6 2 2" xfId="9463" xr:uid="{00000000-0005-0000-0000-0000142E0000}"/>
    <cellStyle name="40% - uthevingsfarge 2 26 6 2 2 2" xfId="21390" xr:uid="{00000000-0005-0000-0000-0000152E0000}"/>
    <cellStyle name="40% - uthevingsfarge 2 26 6 2 2 2 2" xfId="37470" xr:uid="{00000000-0005-0000-0000-0000162E0000}"/>
    <cellStyle name="40% - uthevingsfarge 2 26 6 2 2 3" xfId="28335" xr:uid="{00000000-0005-0000-0000-0000172E0000}"/>
    <cellStyle name="40% - uthevingsfarge 2 26 6 2 3" xfId="20302" xr:uid="{00000000-0005-0000-0000-0000182E0000}"/>
    <cellStyle name="40% - uthevingsfarge 2 26 6 2 3 2" xfId="36401" xr:uid="{00000000-0005-0000-0000-0000192E0000}"/>
    <cellStyle name="40% - uthevingsfarge 2 26 6 2 4" xfId="31730" xr:uid="{00000000-0005-0000-0000-00001A2E0000}"/>
    <cellStyle name="40% - uthevingsfarge 2 26 6 3" xfId="7781" xr:uid="{00000000-0005-0000-0000-00001B2E0000}"/>
    <cellStyle name="40% - uthevingsfarge 2 26 6 3 2" xfId="23267" xr:uid="{00000000-0005-0000-0000-00001C2E0000}"/>
    <cellStyle name="40% - uthevingsfarge 2 26 6 3 2 2" xfId="39335" xr:uid="{00000000-0005-0000-0000-00001D2E0000}"/>
    <cellStyle name="40% - uthevingsfarge 2 26 6 3 3" xfId="30018" xr:uid="{00000000-0005-0000-0000-00001E2E0000}"/>
    <cellStyle name="40% - uthevingsfarge 2 26 6 4" xfId="23807" xr:uid="{00000000-0005-0000-0000-00001F2E0000}"/>
    <cellStyle name="40% - uthevingsfarge 2 26 6 4 2" xfId="39863" xr:uid="{00000000-0005-0000-0000-0000202E0000}"/>
    <cellStyle name="40% - uthevingsfarge 2 26 6 5" xfId="33406" xr:uid="{00000000-0005-0000-0000-0000212E0000}"/>
    <cellStyle name="40% - uthevingsfarge 2 26 7" xfId="4679" xr:uid="{00000000-0005-0000-0000-0000222E0000}"/>
    <cellStyle name="40% - uthevingsfarge 2 26 7 2" xfId="6399" xr:uid="{00000000-0005-0000-0000-0000232E0000}"/>
    <cellStyle name="40% - uthevingsfarge 2 26 7 2 2" xfId="9809" xr:uid="{00000000-0005-0000-0000-0000242E0000}"/>
    <cellStyle name="40% - uthevingsfarge 2 26 7 2 2 2" xfId="24567" xr:uid="{00000000-0005-0000-0000-0000252E0000}"/>
    <cellStyle name="40% - uthevingsfarge 2 26 7 2 2 2 2" xfId="40611" xr:uid="{00000000-0005-0000-0000-0000262E0000}"/>
    <cellStyle name="40% - uthevingsfarge 2 26 7 2 2 3" xfId="27990" xr:uid="{00000000-0005-0000-0000-0000272E0000}"/>
    <cellStyle name="40% - uthevingsfarge 2 26 7 2 3" xfId="24034" xr:uid="{00000000-0005-0000-0000-0000282E0000}"/>
    <cellStyle name="40% - uthevingsfarge 2 26 7 2 3 2" xfId="40087" xr:uid="{00000000-0005-0000-0000-0000292E0000}"/>
    <cellStyle name="40% - uthevingsfarge 2 26 7 2 4" xfId="31391" xr:uid="{00000000-0005-0000-0000-00002A2E0000}"/>
    <cellStyle name="40% - uthevingsfarge 2 26 7 3" xfId="8105" xr:uid="{00000000-0005-0000-0000-00002B2E0000}"/>
    <cellStyle name="40% - uthevingsfarge 2 26 7 3 2" xfId="23313" xr:uid="{00000000-0005-0000-0000-00002C2E0000}"/>
    <cellStyle name="40% - uthevingsfarge 2 26 7 3 2 2" xfId="39379" xr:uid="{00000000-0005-0000-0000-00002D2E0000}"/>
    <cellStyle name="40% - uthevingsfarge 2 26 7 3 3" xfId="29693" xr:uid="{00000000-0005-0000-0000-00002E2E0000}"/>
    <cellStyle name="40% - uthevingsfarge 2 26 7 4" xfId="19681" xr:uid="{00000000-0005-0000-0000-00002F2E0000}"/>
    <cellStyle name="40% - uthevingsfarge 2 26 7 4 2" xfId="35795" xr:uid="{00000000-0005-0000-0000-0000302E0000}"/>
    <cellStyle name="40% - uthevingsfarge 2 26 7 5" xfId="33084" xr:uid="{00000000-0005-0000-0000-0000312E0000}"/>
    <cellStyle name="40% - uthevingsfarge 2 26 8" xfId="5043" xr:uid="{00000000-0005-0000-0000-0000322E0000}"/>
    <cellStyle name="40% - uthevingsfarge 2 26 8 2" xfId="6762" xr:uid="{00000000-0005-0000-0000-0000332E0000}"/>
    <cellStyle name="40% - uthevingsfarge 2 26 8 2 2" xfId="10168" xr:uid="{00000000-0005-0000-0000-0000342E0000}"/>
    <cellStyle name="40% - uthevingsfarge 2 26 8 2 2 2" xfId="21633" xr:uid="{00000000-0005-0000-0000-0000352E0000}"/>
    <cellStyle name="40% - uthevingsfarge 2 26 8 2 2 2 2" xfId="37713" xr:uid="{00000000-0005-0000-0000-0000362E0000}"/>
    <cellStyle name="40% - uthevingsfarge 2 26 8 2 2 3" xfId="27631" xr:uid="{00000000-0005-0000-0000-0000372E0000}"/>
    <cellStyle name="40% - uthevingsfarge 2 26 8 2 3" xfId="23092" xr:uid="{00000000-0005-0000-0000-0000382E0000}"/>
    <cellStyle name="40% - uthevingsfarge 2 26 8 2 3 2" xfId="39161" xr:uid="{00000000-0005-0000-0000-0000392E0000}"/>
    <cellStyle name="40% - uthevingsfarge 2 26 8 2 4" xfId="31032" xr:uid="{00000000-0005-0000-0000-00003A2E0000}"/>
    <cellStyle name="40% - uthevingsfarge 2 26 8 3" xfId="8465" xr:uid="{00000000-0005-0000-0000-00003B2E0000}"/>
    <cellStyle name="40% - uthevingsfarge 2 26 8 3 2" xfId="21100" xr:uid="{00000000-0005-0000-0000-00003C2E0000}"/>
    <cellStyle name="40% - uthevingsfarge 2 26 8 3 2 2" xfId="37184" xr:uid="{00000000-0005-0000-0000-00003D2E0000}"/>
    <cellStyle name="40% - uthevingsfarge 2 26 8 3 3" xfId="29333" xr:uid="{00000000-0005-0000-0000-00003E2E0000}"/>
    <cellStyle name="40% - uthevingsfarge 2 26 8 4" xfId="10852" xr:uid="{00000000-0005-0000-0000-00003F2E0000}"/>
    <cellStyle name="40% - uthevingsfarge 2 26 8 4 2" xfId="34650" xr:uid="{00000000-0005-0000-0000-0000402E0000}"/>
    <cellStyle name="40% - uthevingsfarge 2 26 8 5" xfId="32724" xr:uid="{00000000-0005-0000-0000-0000412E0000}"/>
    <cellStyle name="40% - uthevingsfarge 2 26 9" xfId="5201" xr:uid="{00000000-0005-0000-0000-0000422E0000}"/>
    <cellStyle name="40% - uthevingsfarge 2 26 9 2" xfId="8620" xr:uid="{00000000-0005-0000-0000-0000432E0000}"/>
    <cellStyle name="40% - uthevingsfarge 2 26 9 2 2" xfId="21882" xr:uid="{00000000-0005-0000-0000-0000442E0000}"/>
    <cellStyle name="40% - uthevingsfarge 2 26 9 2 2 2" xfId="37957" xr:uid="{00000000-0005-0000-0000-0000452E0000}"/>
    <cellStyle name="40% - uthevingsfarge 2 26 9 2 3" xfId="29178" xr:uid="{00000000-0005-0000-0000-0000462E0000}"/>
    <cellStyle name="40% - uthevingsfarge 2 26 9 3" xfId="10790" xr:uid="{00000000-0005-0000-0000-0000472E0000}"/>
    <cellStyle name="40% - uthevingsfarge 2 26 9 3 2" xfId="34613" xr:uid="{00000000-0005-0000-0000-0000482E0000}"/>
    <cellStyle name="40% - uthevingsfarge 2 26 9 4" xfId="32569" xr:uid="{00000000-0005-0000-0000-0000492E0000}"/>
    <cellStyle name="40% - uthevingsfarge 2 27" xfId="3439" xr:uid="{00000000-0005-0000-0000-00004A2E0000}"/>
    <cellStyle name="40% - uthevingsfarge 2 27 2" xfId="3635" xr:uid="{00000000-0005-0000-0000-00004B2E0000}"/>
    <cellStyle name="40% - uthevingsfarge 2 27 2 2" xfId="4063" xr:uid="{00000000-0005-0000-0000-00004C2E0000}"/>
    <cellStyle name="40% - uthevingsfarge 2 27 2 2 2" xfId="5951" xr:uid="{00000000-0005-0000-0000-00004D2E0000}"/>
    <cellStyle name="40% - uthevingsfarge 2 27 2 2 2 2" xfId="9366" xr:uid="{00000000-0005-0000-0000-00004E2E0000}"/>
    <cellStyle name="40% - uthevingsfarge 2 27 2 2 2 2 2" xfId="23498" xr:uid="{00000000-0005-0000-0000-00004F2E0000}"/>
    <cellStyle name="40% - uthevingsfarge 2 27 2 2 2 2 2 2" xfId="39554" xr:uid="{00000000-0005-0000-0000-0000502E0000}"/>
    <cellStyle name="40% - uthevingsfarge 2 27 2 2 2 2 3" xfId="28432" xr:uid="{00000000-0005-0000-0000-0000512E0000}"/>
    <cellStyle name="40% - uthevingsfarge 2 27 2 2 2 3" xfId="22945" xr:uid="{00000000-0005-0000-0000-0000522E0000}"/>
    <cellStyle name="40% - uthevingsfarge 2 27 2 2 2 3 2" xfId="39014" xr:uid="{00000000-0005-0000-0000-0000532E0000}"/>
    <cellStyle name="40% - uthevingsfarge 2 27 2 2 2 4" xfId="31827" xr:uid="{00000000-0005-0000-0000-0000542E0000}"/>
    <cellStyle name="40% - uthevingsfarge 2 27 2 2 3" xfId="7669" xr:uid="{00000000-0005-0000-0000-0000552E0000}"/>
    <cellStyle name="40% - uthevingsfarge 2 27 2 2 3 2" xfId="23245" xr:uid="{00000000-0005-0000-0000-0000562E0000}"/>
    <cellStyle name="40% - uthevingsfarge 2 27 2 2 3 2 2" xfId="39313" xr:uid="{00000000-0005-0000-0000-0000572E0000}"/>
    <cellStyle name="40% - uthevingsfarge 2 27 2 2 3 3" xfId="30129" xr:uid="{00000000-0005-0000-0000-0000582E0000}"/>
    <cellStyle name="40% - uthevingsfarge 2 27 2 2 4" xfId="19576" xr:uid="{00000000-0005-0000-0000-0000592E0000}"/>
    <cellStyle name="40% - uthevingsfarge 2 27 2 2 4 2" xfId="35690" xr:uid="{00000000-0005-0000-0000-00005A2E0000}"/>
    <cellStyle name="40% - uthevingsfarge 2 27 2 2 5" xfId="33516" xr:uid="{00000000-0005-0000-0000-00005B2E0000}"/>
    <cellStyle name="40% - uthevingsfarge 2 27 2 3" xfId="5003" xr:uid="{00000000-0005-0000-0000-00005C2E0000}"/>
    <cellStyle name="40% - uthevingsfarge 2 27 2 3 2" xfId="6722" xr:uid="{00000000-0005-0000-0000-00005D2E0000}"/>
    <cellStyle name="40% - uthevingsfarge 2 27 2 3 2 2" xfId="10128" xr:uid="{00000000-0005-0000-0000-00005E2E0000}"/>
    <cellStyle name="40% - uthevingsfarge 2 27 2 3 2 2 2" xfId="21617" xr:uid="{00000000-0005-0000-0000-00005F2E0000}"/>
    <cellStyle name="40% - uthevingsfarge 2 27 2 3 2 2 2 2" xfId="37697" xr:uid="{00000000-0005-0000-0000-0000602E0000}"/>
    <cellStyle name="40% - uthevingsfarge 2 27 2 3 2 2 3" xfId="27671" xr:uid="{00000000-0005-0000-0000-0000612E0000}"/>
    <cellStyle name="40% - uthevingsfarge 2 27 2 3 2 3" xfId="20549" xr:uid="{00000000-0005-0000-0000-0000622E0000}"/>
    <cellStyle name="40% - uthevingsfarge 2 27 2 3 2 3 2" xfId="36648" xr:uid="{00000000-0005-0000-0000-0000632E0000}"/>
    <cellStyle name="40% - uthevingsfarge 2 27 2 3 2 4" xfId="31072" xr:uid="{00000000-0005-0000-0000-0000642E0000}"/>
    <cellStyle name="40% - uthevingsfarge 2 27 2 3 3" xfId="8425" xr:uid="{00000000-0005-0000-0000-0000652E0000}"/>
    <cellStyle name="40% - uthevingsfarge 2 27 2 3 3 2" xfId="11861" xr:uid="{00000000-0005-0000-0000-0000662E0000}"/>
    <cellStyle name="40% - uthevingsfarge 2 27 2 3 3 2 2" xfId="34901" xr:uid="{00000000-0005-0000-0000-0000672E0000}"/>
    <cellStyle name="40% - uthevingsfarge 2 27 2 3 3 3" xfId="29373" xr:uid="{00000000-0005-0000-0000-0000682E0000}"/>
    <cellStyle name="40% - uthevingsfarge 2 27 2 3 4" xfId="10862" xr:uid="{00000000-0005-0000-0000-0000692E0000}"/>
    <cellStyle name="40% - uthevingsfarge 2 27 2 3 4 2" xfId="34660" xr:uid="{00000000-0005-0000-0000-00006A2E0000}"/>
    <cellStyle name="40% - uthevingsfarge 2 27 2 3 5" xfId="32764" xr:uid="{00000000-0005-0000-0000-00006B2E0000}"/>
    <cellStyle name="40% - uthevingsfarge 2 27 2 4" xfId="5557" xr:uid="{00000000-0005-0000-0000-00006C2E0000}"/>
    <cellStyle name="40% - uthevingsfarge 2 27 2 4 2" xfId="8972" xr:uid="{00000000-0005-0000-0000-00006D2E0000}"/>
    <cellStyle name="40% - uthevingsfarge 2 27 2 4 2 2" xfId="24439" xr:uid="{00000000-0005-0000-0000-00006E2E0000}"/>
    <cellStyle name="40% - uthevingsfarge 2 27 2 4 2 2 2" xfId="40483" xr:uid="{00000000-0005-0000-0000-00006F2E0000}"/>
    <cellStyle name="40% - uthevingsfarge 2 27 2 4 2 3" xfId="28826" xr:uid="{00000000-0005-0000-0000-0000702E0000}"/>
    <cellStyle name="40% - uthevingsfarge 2 27 2 4 3" xfId="23876" xr:uid="{00000000-0005-0000-0000-0000712E0000}"/>
    <cellStyle name="40% - uthevingsfarge 2 27 2 4 3 2" xfId="39932" xr:uid="{00000000-0005-0000-0000-0000722E0000}"/>
    <cellStyle name="40% - uthevingsfarge 2 27 2 4 4" xfId="32217" xr:uid="{00000000-0005-0000-0000-0000732E0000}"/>
    <cellStyle name="40% - uthevingsfarge 2 27 2 5" xfId="7275" xr:uid="{00000000-0005-0000-0000-0000742E0000}"/>
    <cellStyle name="40% - uthevingsfarge 2 27 2 5 2" xfId="23175" xr:uid="{00000000-0005-0000-0000-0000752E0000}"/>
    <cellStyle name="40% - uthevingsfarge 2 27 2 5 2 2" xfId="39244" xr:uid="{00000000-0005-0000-0000-0000762E0000}"/>
    <cellStyle name="40% - uthevingsfarge 2 27 2 5 3" xfId="30523" xr:uid="{00000000-0005-0000-0000-0000772E0000}"/>
    <cellStyle name="40% - uthevingsfarge 2 27 2 6" xfId="19920" xr:uid="{00000000-0005-0000-0000-0000782E0000}"/>
    <cellStyle name="40% - uthevingsfarge 2 27 2 6 2" xfId="36024" xr:uid="{00000000-0005-0000-0000-0000792E0000}"/>
    <cellStyle name="40% - uthevingsfarge 2 27 2 7" xfId="33910" xr:uid="{00000000-0005-0000-0000-00007A2E0000}"/>
    <cellStyle name="40% - uthevingsfarge 2 27 3" xfId="3883" xr:uid="{00000000-0005-0000-0000-00007B2E0000}"/>
    <cellStyle name="40% - uthevingsfarge 2 27 3 2" xfId="5771" xr:uid="{00000000-0005-0000-0000-00007C2E0000}"/>
    <cellStyle name="40% - uthevingsfarge 2 27 3 2 2" xfId="9186" xr:uid="{00000000-0005-0000-0000-00007D2E0000}"/>
    <cellStyle name="40% - uthevingsfarge 2 27 3 2 2 2" xfId="21925" xr:uid="{00000000-0005-0000-0000-00007E2E0000}"/>
    <cellStyle name="40% - uthevingsfarge 2 27 3 2 2 2 2" xfId="38000" xr:uid="{00000000-0005-0000-0000-00007F2E0000}"/>
    <cellStyle name="40% - uthevingsfarge 2 27 3 2 2 3" xfId="28612" xr:uid="{00000000-0005-0000-0000-0000802E0000}"/>
    <cellStyle name="40% - uthevingsfarge 2 27 3 2 3" xfId="19430" xr:uid="{00000000-0005-0000-0000-0000812E0000}"/>
    <cellStyle name="40% - uthevingsfarge 2 27 3 2 3 2" xfId="35544" xr:uid="{00000000-0005-0000-0000-0000822E0000}"/>
    <cellStyle name="40% - uthevingsfarge 2 27 3 2 4" xfId="32003" xr:uid="{00000000-0005-0000-0000-0000832E0000}"/>
    <cellStyle name="40% - uthevingsfarge 2 27 3 3" xfId="7489" xr:uid="{00000000-0005-0000-0000-0000842E0000}"/>
    <cellStyle name="40% - uthevingsfarge 2 27 3 3 2" xfId="24218" xr:uid="{00000000-0005-0000-0000-0000852E0000}"/>
    <cellStyle name="40% - uthevingsfarge 2 27 3 3 2 2" xfId="40271" xr:uid="{00000000-0005-0000-0000-0000862E0000}"/>
    <cellStyle name="40% - uthevingsfarge 2 27 3 3 3" xfId="30309" xr:uid="{00000000-0005-0000-0000-0000872E0000}"/>
    <cellStyle name="40% - uthevingsfarge 2 27 3 4" xfId="22721" xr:uid="{00000000-0005-0000-0000-0000882E0000}"/>
    <cellStyle name="40% - uthevingsfarge 2 27 3 4 2" xfId="38790" xr:uid="{00000000-0005-0000-0000-0000892E0000}"/>
    <cellStyle name="40% - uthevingsfarge 2 27 3 5" xfId="33696" xr:uid="{00000000-0005-0000-0000-00008A2E0000}"/>
    <cellStyle name="40% - uthevingsfarge 2 27 4" xfId="4823" xr:uid="{00000000-0005-0000-0000-00008B2E0000}"/>
    <cellStyle name="40% - uthevingsfarge 2 27 4 2" xfId="6542" xr:uid="{00000000-0005-0000-0000-00008C2E0000}"/>
    <cellStyle name="40% - uthevingsfarge 2 27 4 2 2" xfId="9948" xr:uid="{00000000-0005-0000-0000-00008D2E0000}"/>
    <cellStyle name="40% - uthevingsfarge 2 27 4 2 2 2" xfId="23588" xr:uid="{00000000-0005-0000-0000-00008E2E0000}"/>
    <cellStyle name="40% - uthevingsfarge 2 27 4 2 2 2 2" xfId="39644" xr:uid="{00000000-0005-0000-0000-00008F2E0000}"/>
    <cellStyle name="40% - uthevingsfarge 2 27 4 2 2 3" xfId="27851" xr:uid="{00000000-0005-0000-0000-0000902E0000}"/>
    <cellStyle name="40% - uthevingsfarge 2 27 4 2 3" xfId="20490" xr:uid="{00000000-0005-0000-0000-0000912E0000}"/>
    <cellStyle name="40% - uthevingsfarge 2 27 4 2 3 2" xfId="36589" xr:uid="{00000000-0005-0000-0000-0000922E0000}"/>
    <cellStyle name="40% - uthevingsfarge 2 27 4 2 4" xfId="31252" xr:uid="{00000000-0005-0000-0000-0000932E0000}"/>
    <cellStyle name="40% - uthevingsfarge 2 27 4 3" xfId="8245" xr:uid="{00000000-0005-0000-0000-0000942E0000}"/>
    <cellStyle name="40% - uthevingsfarge 2 27 4 3 2" xfId="22517" xr:uid="{00000000-0005-0000-0000-0000952E0000}"/>
    <cellStyle name="40% - uthevingsfarge 2 27 4 3 2 2" xfId="38587" xr:uid="{00000000-0005-0000-0000-0000962E0000}"/>
    <cellStyle name="40% - uthevingsfarge 2 27 4 3 3" xfId="29552" xr:uid="{00000000-0005-0000-0000-0000972E0000}"/>
    <cellStyle name="40% - uthevingsfarge 2 27 4 4" xfId="22525" xr:uid="{00000000-0005-0000-0000-0000982E0000}"/>
    <cellStyle name="40% - uthevingsfarge 2 27 4 4 2" xfId="38595" xr:uid="{00000000-0005-0000-0000-0000992E0000}"/>
    <cellStyle name="40% - uthevingsfarge 2 27 4 5" xfId="32944" xr:uid="{00000000-0005-0000-0000-00009A2E0000}"/>
    <cellStyle name="40% - uthevingsfarge 2 27 5" xfId="5387" xr:uid="{00000000-0005-0000-0000-00009B2E0000}"/>
    <cellStyle name="40% - uthevingsfarge 2 27 5 2" xfId="8802" xr:uid="{00000000-0005-0000-0000-00009C2E0000}"/>
    <cellStyle name="40% - uthevingsfarge 2 27 5 2 2" xfId="21736" xr:uid="{00000000-0005-0000-0000-00009D2E0000}"/>
    <cellStyle name="40% - uthevingsfarge 2 27 5 2 2 2" xfId="37814" xr:uid="{00000000-0005-0000-0000-00009E2E0000}"/>
    <cellStyle name="40% - uthevingsfarge 2 27 5 2 3" xfId="28996" xr:uid="{00000000-0005-0000-0000-00009F2E0000}"/>
    <cellStyle name="40% - uthevingsfarge 2 27 5 3" xfId="20086" xr:uid="{00000000-0005-0000-0000-0000A02E0000}"/>
    <cellStyle name="40% - uthevingsfarge 2 27 5 3 2" xfId="36190" xr:uid="{00000000-0005-0000-0000-0000A12E0000}"/>
    <cellStyle name="40% - uthevingsfarge 2 27 5 4" xfId="32387" xr:uid="{00000000-0005-0000-0000-0000A22E0000}"/>
    <cellStyle name="40% - uthevingsfarge 2 27 6" xfId="7095" xr:uid="{00000000-0005-0000-0000-0000A32E0000}"/>
    <cellStyle name="40% - uthevingsfarge 2 27 6 2" xfId="20664" xr:uid="{00000000-0005-0000-0000-0000A42E0000}"/>
    <cellStyle name="40% - uthevingsfarge 2 27 6 2 2" xfId="36763" xr:uid="{00000000-0005-0000-0000-0000A52E0000}"/>
    <cellStyle name="40% - uthevingsfarge 2 27 6 3" xfId="30703" xr:uid="{00000000-0005-0000-0000-0000A62E0000}"/>
    <cellStyle name="40% - uthevingsfarge 2 27 7" xfId="12627" xr:uid="{00000000-0005-0000-0000-0000A72E0000}"/>
    <cellStyle name="40% - uthevingsfarge 2 27 7 2" xfId="35295" xr:uid="{00000000-0005-0000-0000-0000A82E0000}"/>
    <cellStyle name="40% - uthevingsfarge 2 27 8" xfId="34090" xr:uid="{00000000-0005-0000-0000-0000A92E0000}"/>
    <cellStyle name="40% - uthevingsfarge 2 28" xfId="4447" xr:uid="{00000000-0005-0000-0000-0000AA2E0000}"/>
    <cellStyle name="40% - uthevingsfarge 2 28 2" xfId="6244" xr:uid="{00000000-0005-0000-0000-0000AB2E0000}"/>
    <cellStyle name="40% - uthevingsfarge 2 28 2 2" xfId="9654" xr:uid="{00000000-0005-0000-0000-0000AC2E0000}"/>
    <cellStyle name="40% - uthevingsfarge 2 28 2 2 2" xfId="24543" xr:uid="{00000000-0005-0000-0000-0000AD2E0000}"/>
    <cellStyle name="40% - uthevingsfarge 2 28 2 2 2 2" xfId="40587" xr:uid="{00000000-0005-0000-0000-0000AE2E0000}"/>
    <cellStyle name="40% - uthevingsfarge 2 28 2 2 3" xfId="28145" xr:uid="{00000000-0005-0000-0000-0000AF2E0000}"/>
    <cellStyle name="40% - uthevingsfarge 2 28 2 3" xfId="23002" xr:uid="{00000000-0005-0000-0000-0000B02E0000}"/>
    <cellStyle name="40% - uthevingsfarge 2 28 2 3 2" xfId="39071" xr:uid="{00000000-0005-0000-0000-0000B12E0000}"/>
    <cellStyle name="40% - uthevingsfarge 2 28 2 4" xfId="31546" xr:uid="{00000000-0005-0000-0000-0000B22E0000}"/>
    <cellStyle name="40% - uthevingsfarge 2 28 3" xfId="7950" xr:uid="{00000000-0005-0000-0000-0000B32E0000}"/>
    <cellStyle name="40% - uthevingsfarge 2 28 3 2" xfId="24295" xr:uid="{00000000-0005-0000-0000-0000B42E0000}"/>
    <cellStyle name="40% - uthevingsfarge 2 28 3 2 2" xfId="40347" xr:uid="{00000000-0005-0000-0000-0000B52E0000}"/>
    <cellStyle name="40% - uthevingsfarge 2 28 3 3" xfId="29849" xr:uid="{00000000-0005-0000-0000-0000B62E0000}"/>
    <cellStyle name="40% - uthevingsfarge 2 28 4" xfId="22818" xr:uid="{00000000-0005-0000-0000-0000B72E0000}"/>
    <cellStyle name="40% - uthevingsfarge 2 28 4 2" xfId="38887" xr:uid="{00000000-0005-0000-0000-0000B82E0000}"/>
    <cellStyle name="40% - uthevingsfarge 2 28 5" xfId="33238" xr:uid="{00000000-0005-0000-0000-0000B92E0000}"/>
    <cellStyle name="40% - uthevingsfarge 2 29" xfId="5352" xr:uid="{00000000-0005-0000-0000-0000BA2E0000}"/>
    <cellStyle name="40% - uthevingsfarge 2 29 2" xfId="8767" xr:uid="{00000000-0005-0000-0000-0000BB2E0000}"/>
    <cellStyle name="40% - uthevingsfarge 2 29 2 2" xfId="23408" xr:uid="{00000000-0005-0000-0000-0000BC2E0000}"/>
    <cellStyle name="40% - uthevingsfarge 2 29 2 2 2" xfId="39464" xr:uid="{00000000-0005-0000-0000-0000BD2E0000}"/>
    <cellStyle name="40% - uthevingsfarge 2 29 2 3" xfId="29031" xr:uid="{00000000-0005-0000-0000-0000BE2E0000}"/>
    <cellStyle name="40% - uthevingsfarge 2 29 3" xfId="10728" xr:uid="{00000000-0005-0000-0000-0000BF2E0000}"/>
    <cellStyle name="40% - uthevingsfarge 2 29 3 2" xfId="34576" xr:uid="{00000000-0005-0000-0000-0000C02E0000}"/>
    <cellStyle name="40% - uthevingsfarge 2 29 4" xfId="32422" xr:uid="{00000000-0005-0000-0000-0000C12E0000}"/>
    <cellStyle name="40% - uthevingsfarge 2 3" xfId="779" xr:uid="{00000000-0005-0000-0000-0000C22E0000}"/>
    <cellStyle name="40% - uthevingsfarge 2 3 2" xfId="780" xr:uid="{00000000-0005-0000-0000-0000C32E0000}"/>
    <cellStyle name="40% - uthevingsfarge 2 30" xfId="40947" xr:uid="{00000000-0005-0000-0000-0000C42E0000}"/>
    <cellStyle name="40% - uthevingsfarge 2 31" xfId="43208" xr:uid="{00000000-0005-0000-0000-0000C52E0000}"/>
    <cellStyle name="40% - uthevingsfarge 2 32" xfId="43422" xr:uid="{00000000-0005-0000-0000-0000C62E0000}"/>
    <cellStyle name="40% - uthevingsfarge 2 33" xfId="46310" xr:uid="{00000000-0005-0000-0000-0000C72E0000}"/>
    <cellStyle name="40% - uthevingsfarge 2 4" xfId="781" xr:uid="{00000000-0005-0000-0000-0000C82E0000}"/>
    <cellStyle name="40% - uthevingsfarge 2 4 2" xfId="782" xr:uid="{00000000-0005-0000-0000-0000C92E0000}"/>
    <cellStyle name="40% - uthevingsfarge 2 5" xfId="783" xr:uid="{00000000-0005-0000-0000-0000CA2E0000}"/>
    <cellStyle name="40% - uthevingsfarge 2 5 2" xfId="784" xr:uid="{00000000-0005-0000-0000-0000CB2E0000}"/>
    <cellStyle name="40% - uthevingsfarge 2 6" xfId="785" xr:uid="{00000000-0005-0000-0000-0000CC2E0000}"/>
    <cellStyle name="40% - uthevingsfarge 2 6 2" xfId="786" xr:uid="{00000000-0005-0000-0000-0000CD2E0000}"/>
    <cellStyle name="40% - uthevingsfarge 2 7" xfId="787" xr:uid="{00000000-0005-0000-0000-0000CE2E0000}"/>
    <cellStyle name="40% - uthevingsfarge 2 7 2" xfId="788" xr:uid="{00000000-0005-0000-0000-0000CF2E0000}"/>
    <cellStyle name="40% - uthevingsfarge 2 8" xfId="789" xr:uid="{00000000-0005-0000-0000-0000D02E0000}"/>
    <cellStyle name="40% - uthevingsfarge 2 8 2" xfId="790" xr:uid="{00000000-0005-0000-0000-0000D12E0000}"/>
    <cellStyle name="40% - uthevingsfarge 2 9" xfId="791" xr:uid="{00000000-0005-0000-0000-0000D22E0000}"/>
    <cellStyle name="40% - uthevingsfarge 2 9 2" xfId="792" xr:uid="{00000000-0005-0000-0000-0000D32E0000}"/>
    <cellStyle name="40% - uthevingsfarge 3" xfId="4572" xr:uid="{00000000-0005-0000-0000-0000D42E0000}"/>
    <cellStyle name="40% - uthevingsfarge 3 10" xfId="794" xr:uid="{00000000-0005-0000-0000-0000D52E0000}"/>
    <cellStyle name="40% - uthevingsfarge 3 10 2" xfId="795" xr:uid="{00000000-0005-0000-0000-0000D62E0000}"/>
    <cellStyle name="40% - uthevingsfarge 3 11" xfId="796" xr:uid="{00000000-0005-0000-0000-0000D72E0000}"/>
    <cellStyle name="40% - uthevingsfarge 3 11 2" xfId="797" xr:uid="{00000000-0005-0000-0000-0000D82E0000}"/>
    <cellStyle name="40% - uthevingsfarge 3 12" xfId="798" xr:uid="{00000000-0005-0000-0000-0000D92E0000}"/>
    <cellStyle name="40% - uthevingsfarge 3 12 2" xfId="799" xr:uid="{00000000-0005-0000-0000-0000DA2E0000}"/>
    <cellStyle name="40% - uthevingsfarge 3 13" xfId="800" xr:uid="{00000000-0005-0000-0000-0000DB2E0000}"/>
    <cellStyle name="40% - uthevingsfarge 3 13 2" xfId="801" xr:uid="{00000000-0005-0000-0000-0000DC2E0000}"/>
    <cellStyle name="40% - uthevingsfarge 3 14" xfId="802" xr:uid="{00000000-0005-0000-0000-0000DD2E0000}"/>
    <cellStyle name="40% - uthevingsfarge 3 14 2" xfId="803" xr:uid="{00000000-0005-0000-0000-0000DE2E0000}"/>
    <cellStyle name="40% - uthevingsfarge 3 15" xfId="804" xr:uid="{00000000-0005-0000-0000-0000DF2E0000}"/>
    <cellStyle name="40% - uthevingsfarge 3 15 2" xfId="805" xr:uid="{00000000-0005-0000-0000-0000E02E0000}"/>
    <cellStyle name="40% - uthevingsfarge 3 16" xfId="806" xr:uid="{00000000-0005-0000-0000-0000E12E0000}"/>
    <cellStyle name="40% - uthevingsfarge 3 16 2" xfId="807" xr:uid="{00000000-0005-0000-0000-0000E22E0000}"/>
    <cellStyle name="40% - uthevingsfarge 3 17" xfId="808" xr:uid="{00000000-0005-0000-0000-0000E32E0000}"/>
    <cellStyle name="40% - uthevingsfarge 3 17 2" xfId="809" xr:uid="{00000000-0005-0000-0000-0000E42E0000}"/>
    <cellStyle name="40% - uthevingsfarge 3 18" xfId="810" xr:uid="{00000000-0005-0000-0000-0000E52E0000}"/>
    <cellStyle name="40% - uthevingsfarge 3 18 2" xfId="811" xr:uid="{00000000-0005-0000-0000-0000E62E0000}"/>
    <cellStyle name="40% - uthevingsfarge 3 19" xfId="812" xr:uid="{00000000-0005-0000-0000-0000E72E0000}"/>
    <cellStyle name="40% - uthevingsfarge 3 19 2" xfId="813" xr:uid="{00000000-0005-0000-0000-0000E82E0000}"/>
    <cellStyle name="40% - uthevingsfarge 3 2" xfId="814" xr:uid="{00000000-0005-0000-0000-0000E92E0000}"/>
    <cellStyle name="40% - uthevingsfarge 3 2 2" xfId="815" xr:uid="{00000000-0005-0000-0000-0000EA2E0000}"/>
    <cellStyle name="40% - uthevingsfarge 3 2 3" xfId="816" xr:uid="{00000000-0005-0000-0000-0000EB2E0000}"/>
    <cellStyle name="40% - uthevingsfarge 3 2 4" xfId="817" xr:uid="{00000000-0005-0000-0000-0000EC2E0000}"/>
    <cellStyle name="40% - uthevingsfarge 3 2 5" xfId="11144" xr:uid="{00000000-0005-0000-0000-0000ED2E0000}"/>
    <cellStyle name="40% - uthevingsfarge 3 2 6" xfId="11145" xr:uid="{00000000-0005-0000-0000-0000EE2E0000}"/>
    <cellStyle name="40% - uthevingsfarge 3 2 7" xfId="11146" xr:uid="{00000000-0005-0000-0000-0000EF2E0000}"/>
    <cellStyle name="40% - uthevingsfarge 3 2 8" xfId="11147" xr:uid="{00000000-0005-0000-0000-0000F02E0000}"/>
    <cellStyle name="40% - uthevingsfarge 3 2 9" xfId="11148" xr:uid="{00000000-0005-0000-0000-0000F12E0000}"/>
    <cellStyle name="40% - uthevingsfarge 3 20" xfId="818" xr:uid="{00000000-0005-0000-0000-0000F22E0000}"/>
    <cellStyle name="40% - uthevingsfarge 3 20 2" xfId="819" xr:uid="{00000000-0005-0000-0000-0000F32E0000}"/>
    <cellStyle name="40% - uthevingsfarge 3 21" xfId="820" xr:uid="{00000000-0005-0000-0000-0000F42E0000}"/>
    <cellStyle name="40% - uthevingsfarge 3 22" xfId="821" xr:uid="{00000000-0005-0000-0000-0000F52E0000}"/>
    <cellStyle name="40% - uthevingsfarge 3 23" xfId="822" xr:uid="{00000000-0005-0000-0000-0000F62E0000}"/>
    <cellStyle name="40% - uthevingsfarge 3 24" xfId="823" xr:uid="{00000000-0005-0000-0000-0000F72E0000}"/>
    <cellStyle name="40% - uthevingsfarge 3 25" xfId="824" xr:uid="{00000000-0005-0000-0000-0000F82E0000}"/>
    <cellStyle name="40% - uthevingsfarge 3 26" xfId="825" xr:uid="{00000000-0005-0000-0000-0000F92E0000}"/>
    <cellStyle name="40% - uthevingsfarge 3 26 10" xfId="6938" xr:uid="{00000000-0005-0000-0000-0000FA2E0000}"/>
    <cellStyle name="40% - uthevingsfarge 3 26 10 2" xfId="20605" xr:uid="{00000000-0005-0000-0000-0000FB2E0000}"/>
    <cellStyle name="40% - uthevingsfarge 3 26 10 2 2" xfId="36704" xr:uid="{00000000-0005-0000-0000-0000FC2E0000}"/>
    <cellStyle name="40% - uthevingsfarge 3 26 10 3" xfId="30860" xr:uid="{00000000-0005-0000-0000-0000FD2E0000}"/>
    <cellStyle name="40% - uthevingsfarge 3 26 11" xfId="11149" xr:uid="{00000000-0005-0000-0000-0000FE2E0000}"/>
    <cellStyle name="40% - uthevingsfarge 3 26 12" xfId="34248" xr:uid="{00000000-0005-0000-0000-0000FF2E0000}"/>
    <cellStyle name="40% - uthevingsfarge 3 26 2" xfId="826" xr:uid="{00000000-0005-0000-0000-0000002F0000}"/>
    <cellStyle name="40% - uthevingsfarge 3 26 3" xfId="3341" xr:uid="{00000000-0005-0000-0000-0000012F0000}"/>
    <cellStyle name="40% - uthevingsfarge 3 26 3 10" xfId="34150" xr:uid="{00000000-0005-0000-0000-0000022F0000}"/>
    <cellStyle name="40% - uthevingsfarge 3 26 3 2" xfId="3573" xr:uid="{00000000-0005-0000-0000-0000032F0000}"/>
    <cellStyle name="40% - uthevingsfarge 3 26 3 2 10" xfId="47172" xr:uid="{00000000-0005-0000-0000-0000042F0000}"/>
    <cellStyle name="40% - uthevingsfarge 3 26 3 2 2" xfId="4003" xr:uid="{00000000-0005-0000-0000-0000052F0000}"/>
    <cellStyle name="40% - uthevingsfarge 3 26 3 2 2 2" xfId="5891" xr:uid="{00000000-0005-0000-0000-0000062F0000}"/>
    <cellStyle name="40% - uthevingsfarge 3 26 3 2 2 2 2" xfId="9306" xr:uid="{00000000-0005-0000-0000-0000072F0000}"/>
    <cellStyle name="40% - uthevingsfarge 3 26 3 2 2 2 2 2" xfId="23487" xr:uid="{00000000-0005-0000-0000-0000082F0000}"/>
    <cellStyle name="40% - uthevingsfarge 3 26 3 2 2 2 2 2 2" xfId="39543" xr:uid="{00000000-0005-0000-0000-0000092F0000}"/>
    <cellStyle name="40% - uthevingsfarge 3 26 3 2 2 2 2 3" xfId="28492" xr:uid="{00000000-0005-0000-0000-00000A2F0000}"/>
    <cellStyle name="40% - uthevingsfarge 3 26 3 2 2 2 3" xfId="23936" xr:uid="{00000000-0005-0000-0000-00000B2F0000}"/>
    <cellStyle name="40% - uthevingsfarge 3 26 3 2 2 2 3 2" xfId="39990" xr:uid="{00000000-0005-0000-0000-00000C2F0000}"/>
    <cellStyle name="40% - uthevingsfarge 3 26 3 2 2 2 4" xfId="31885" xr:uid="{00000000-0005-0000-0000-00000D2F0000}"/>
    <cellStyle name="40% - uthevingsfarge 3 26 3 2 2 3" xfId="7609" xr:uid="{00000000-0005-0000-0000-00000E2F0000}"/>
    <cellStyle name="40% - uthevingsfarge 3 26 3 2 2 3 2" xfId="20835" xr:uid="{00000000-0005-0000-0000-00000F2F0000}"/>
    <cellStyle name="40% - uthevingsfarge 3 26 3 2 2 3 2 2" xfId="36934" xr:uid="{00000000-0005-0000-0000-0000102F0000}"/>
    <cellStyle name="40% - uthevingsfarge 3 26 3 2 2 3 3" xfId="30189" xr:uid="{00000000-0005-0000-0000-0000112F0000}"/>
    <cellStyle name="40% - uthevingsfarge 3 26 3 2 2 4" xfId="18015" xr:uid="{00000000-0005-0000-0000-0000122F0000}"/>
    <cellStyle name="40% - uthevingsfarge 3 26 3 2 2 5" xfId="12441" xr:uid="{00000000-0005-0000-0000-0000132F0000}"/>
    <cellStyle name="40% - uthevingsfarge 3 26 3 2 2 5 2" xfId="35238" xr:uid="{00000000-0005-0000-0000-0000142F0000}"/>
    <cellStyle name="40% - uthevingsfarge 3 26 3 2 2 6" xfId="33576" xr:uid="{00000000-0005-0000-0000-0000152F0000}"/>
    <cellStyle name="40% - uthevingsfarge 3 26 3 2 3" xfId="4943" xr:uid="{00000000-0005-0000-0000-0000162F0000}"/>
    <cellStyle name="40% - uthevingsfarge 3 26 3 2 3 10" xfId="47362" xr:uid="{00000000-0005-0000-0000-0000172F0000}"/>
    <cellStyle name="40% - uthevingsfarge 3 26 3 2 3 2" xfId="6662" xr:uid="{00000000-0005-0000-0000-0000182F0000}"/>
    <cellStyle name="40% - uthevingsfarge 3 26 3 2 3 2 2" xfId="10068" xr:uid="{00000000-0005-0000-0000-0000192F0000}"/>
    <cellStyle name="40% - uthevingsfarge 3 26 3 2 3 2 2 2" xfId="21593" xr:uid="{00000000-0005-0000-0000-00001A2F0000}"/>
    <cellStyle name="40% - uthevingsfarge 3 26 3 2 3 2 2 2 2" xfId="37673" xr:uid="{00000000-0005-0000-0000-00001B2F0000}"/>
    <cellStyle name="40% - uthevingsfarge 3 26 3 2 3 2 2 3" xfId="27731" xr:uid="{00000000-0005-0000-0000-00001C2F0000}"/>
    <cellStyle name="40% - uthevingsfarge 3 26 3 2 3 2 3" xfId="10357" xr:uid="{00000000-0005-0000-0000-00001D2F0000}"/>
    <cellStyle name="40% - uthevingsfarge 3 26 3 2 3 2 3 2" xfId="34325" xr:uid="{00000000-0005-0000-0000-00001E2F0000}"/>
    <cellStyle name="40% - uthevingsfarge 3 26 3 2 3 2 4" xfId="31132" xr:uid="{00000000-0005-0000-0000-00001F2F0000}"/>
    <cellStyle name="40% - uthevingsfarge 3 26 3 2 3 2 5" xfId="43056" xr:uid="{00000000-0005-0000-0000-0000202F0000}"/>
    <cellStyle name="40% - uthevingsfarge 3 26 3 2 3 2 6" xfId="43353" xr:uid="{00000000-0005-0000-0000-0000212F0000}"/>
    <cellStyle name="40% - uthevingsfarge 3 26 3 2 3 2 7" xfId="46201" xr:uid="{00000000-0005-0000-0000-0000222F0000}"/>
    <cellStyle name="40% - uthevingsfarge 3 26 3 2 3 2 8" xfId="46973" xr:uid="{00000000-0005-0000-0000-0000232F0000}"/>
    <cellStyle name="40% - uthevingsfarge 3 26 3 2 3 2 9" xfId="47558" xr:uid="{00000000-0005-0000-0000-0000242F0000}"/>
    <cellStyle name="40% - uthevingsfarge 3 26 3 2 3 3" xfId="8365" xr:uid="{00000000-0005-0000-0000-0000252F0000}"/>
    <cellStyle name="40% - uthevingsfarge 3 26 3 2 3 3 2" xfId="10567" xr:uid="{00000000-0005-0000-0000-0000262F0000}"/>
    <cellStyle name="40% - uthevingsfarge 3 26 3 2 3 3 2 2" xfId="34428" xr:uid="{00000000-0005-0000-0000-0000272F0000}"/>
    <cellStyle name="40% - uthevingsfarge 3 26 3 2 3 3 3" xfId="29433" xr:uid="{00000000-0005-0000-0000-0000282F0000}"/>
    <cellStyle name="40% - uthevingsfarge 3 26 3 2 3 3 4" xfId="43934" xr:uid="{00000000-0005-0000-0000-0000292F0000}"/>
    <cellStyle name="40% - uthevingsfarge 3 26 3 2 3 4" xfId="16501" xr:uid="{00000000-0005-0000-0000-00002A2F0000}"/>
    <cellStyle name="40% - uthevingsfarge 3 26 3 2 3 4 2" xfId="35448" xr:uid="{00000000-0005-0000-0000-00002B2F0000}"/>
    <cellStyle name="40% - uthevingsfarge 3 26 3 2 3 5" xfId="25110" xr:uid="{00000000-0005-0000-0000-00002C2F0000}"/>
    <cellStyle name="40% - uthevingsfarge 3 26 3 2 3 6" xfId="25298" xr:uid="{00000000-0005-0000-0000-00002D2F0000}"/>
    <cellStyle name="40% - uthevingsfarge 3 26 3 2 3 7" xfId="32824" xr:uid="{00000000-0005-0000-0000-00002E2F0000}"/>
    <cellStyle name="40% - uthevingsfarge 3 26 3 2 3 8" xfId="43814" xr:uid="{00000000-0005-0000-0000-00002F2F0000}"/>
    <cellStyle name="40% - uthevingsfarge 3 26 3 2 3 9" xfId="46739" xr:uid="{00000000-0005-0000-0000-0000302F0000}"/>
    <cellStyle name="40% - uthevingsfarge 3 26 3 2 4" xfId="5497" xr:uid="{00000000-0005-0000-0000-0000312F0000}"/>
    <cellStyle name="40% - uthevingsfarge 3 26 3 2 4 2" xfId="8912" xr:uid="{00000000-0005-0000-0000-0000322F0000}"/>
    <cellStyle name="40% - uthevingsfarge 3 26 3 2 4 2 2" xfId="21784" xr:uid="{00000000-0005-0000-0000-0000332F0000}"/>
    <cellStyle name="40% - uthevingsfarge 3 26 3 2 4 2 2 2" xfId="37860" xr:uid="{00000000-0005-0000-0000-0000342F0000}"/>
    <cellStyle name="40% - uthevingsfarge 3 26 3 2 4 2 3" xfId="28886" xr:uid="{00000000-0005-0000-0000-0000352F0000}"/>
    <cellStyle name="40% - uthevingsfarge 3 26 3 2 4 3" xfId="22861" xr:uid="{00000000-0005-0000-0000-0000362F0000}"/>
    <cellStyle name="40% - uthevingsfarge 3 26 3 2 4 3 2" xfId="38930" xr:uid="{00000000-0005-0000-0000-0000372F0000}"/>
    <cellStyle name="40% - uthevingsfarge 3 26 3 2 4 4" xfId="32277" xr:uid="{00000000-0005-0000-0000-0000382F0000}"/>
    <cellStyle name="40% - uthevingsfarge 3 26 3 2 5" xfId="7215" xr:uid="{00000000-0005-0000-0000-0000392F0000}"/>
    <cellStyle name="40% - uthevingsfarge 3 26 3 2 5 2" xfId="11940" xr:uid="{00000000-0005-0000-0000-00003A2F0000}"/>
    <cellStyle name="40% - uthevingsfarge 3 26 3 2 5 2 2" xfId="34963" xr:uid="{00000000-0005-0000-0000-00003B2F0000}"/>
    <cellStyle name="40% - uthevingsfarge 3 26 3 2 5 3" xfId="30583" xr:uid="{00000000-0005-0000-0000-00003C2F0000}"/>
    <cellStyle name="40% - uthevingsfarge 3 26 3 2 6" xfId="11151" xr:uid="{00000000-0005-0000-0000-00003D2F0000}"/>
    <cellStyle name="40% - uthevingsfarge 3 26 3 2 7" xfId="33970" xr:uid="{00000000-0005-0000-0000-00003E2F0000}"/>
    <cellStyle name="40% - uthevingsfarge 3 26 3 2 8" xfId="43605" xr:uid="{00000000-0005-0000-0000-00003F2F0000}"/>
    <cellStyle name="40% - uthevingsfarge 3 26 3 2 9" xfId="46511" xr:uid="{00000000-0005-0000-0000-0000402F0000}"/>
    <cellStyle name="40% - uthevingsfarge 3 26 3 2_Avviksanalyse løpende RNB15 (1)" xfId="16623" xr:uid="{00000000-0005-0000-0000-0000412F0000}"/>
    <cellStyle name="40% - uthevingsfarge 3 26 3 3" xfId="3823" xr:uid="{00000000-0005-0000-0000-0000422F0000}"/>
    <cellStyle name="40% - uthevingsfarge 3 26 3 3 2" xfId="5711" xr:uid="{00000000-0005-0000-0000-0000432F0000}"/>
    <cellStyle name="40% - uthevingsfarge 3 26 3 3 2 2" xfId="9126" xr:uid="{00000000-0005-0000-0000-0000442F0000}"/>
    <cellStyle name="40% - uthevingsfarge 3 26 3 3 2 2 2" xfId="21284" xr:uid="{00000000-0005-0000-0000-0000452F0000}"/>
    <cellStyle name="40% - uthevingsfarge 3 26 3 3 2 2 2 2" xfId="37364" xr:uid="{00000000-0005-0000-0000-0000462F0000}"/>
    <cellStyle name="40% - uthevingsfarge 3 26 3 3 2 2 3" xfId="28672" xr:uid="{00000000-0005-0000-0000-0000472F0000}"/>
    <cellStyle name="40% - uthevingsfarge 3 26 3 3 2 3" xfId="22269" xr:uid="{00000000-0005-0000-0000-0000482F0000}"/>
    <cellStyle name="40% - uthevingsfarge 3 26 3 3 2 3 2" xfId="38343" xr:uid="{00000000-0005-0000-0000-0000492F0000}"/>
    <cellStyle name="40% - uthevingsfarge 3 26 3 3 2 4" xfId="32063" xr:uid="{00000000-0005-0000-0000-00004A2F0000}"/>
    <cellStyle name="40% - uthevingsfarge 3 26 3 3 3" xfId="7429" xr:uid="{00000000-0005-0000-0000-00004B2F0000}"/>
    <cellStyle name="40% - uthevingsfarge 3 26 3 3 3 2" xfId="20779" xr:uid="{00000000-0005-0000-0000-00004C2F0000}"/>
    <cellStyle name="40% - uthevingsfarge 3 26 3 3 3 2 2" xfId="36878" xr:uid="{00000000-0005-0000-0000-00004D2F0000}"/>
    <cellStyle name="40% - uthevingsfarge 3 26 3 3 3 3" xfId="30369" xr:uid="{00000000-0005-0000-0000-00004E2F0000}"/>
    <cellStyle name="40% - uthevingsfarge 3 26 3 3 4" xfId="19934" xr:uid="{00000000-0005-0000-0000-00004F2F0000}"/>
    <cellStyle name="40% - uthevingsfarge 3 26 3 3 4 2" xfId="36038" xr:uid="{00000000-0005-0000-0000-0000502F0000}"/>
    <cellStyle name="40% - uthevingsfarge 3 26 3 3 5" xfId="33756" xr:uid="{00000000-0005-0000-0000-0000512F0000}"/>
    <cellStyle name="40% - uthevingsfarge 3 26 3 4" xfId="4308" xr:uid="{00000000-0005-0000-0000-0000522F0000}"/>
    <cellStyle name="40% - uthevingsfarge 3 26 3 4 2" xfId="6137" xr:uid="{00000000-0005-0000-0000-0000532F0000}"/>
    <cellStyle name="40% - uthevingsfarge 3 26 3 4 2 2" xfId="9551" xr:uid="{00000000-0005-0000-0000-0000542F0000}"/>
    <cellStyle name="40% - uthevingsfarge 3 26 3 4 2 2 2" xfId="11652" xr:uid="{00000000-0005-0000-0000-0000552F0000}"/>
    <cellStyle name="40% - uthevingsfarge 3 26 3 4 2 2 2 2" xfId="34823" xr:uid="{00000000-0005-0000-0000-0000562F0000}"/>
    <cellStyle name="40% - uthevingsfarge 3 26 3 4 2 2 3" xfId="28247" xr:uid="{00000000-0005-0000-0000-0000572F0000}"/>
    <cellStyle name="40% - uthevingsfarge 3 26 3 4 2 3" xfId="20336" xr:uid="{00000000-0005-0000-0000-0000582F0000}"/>
    <cellStyle name="40% - uthevingsfarge 3 26 3 4 2 3 2" xfId="36435" xr:uid="{00000000-0005-0000-0000-0000592F0000}"/>
    <cellStyle name="40% - uthevingsfarge 3 26 3 4 2 4" xfId="31643" xr:uid="{00000000-0005-0000-0000-00005A2F0000}"/>
    <cellStyle name="40% - uthevingsfarge 3 26 3 4 3" xfId="7870" xr:uid="{00000000-0005-0000-0000-00005B2F0000}"/>
    <cellStyle name="40% - uthevingsfarge 3 26 3 4 3 2" xfId="19447" xr:uid="{00000000-0005-0000-0000-00005C2F0000}"/>
    <cellStyle name="40% - uthevingsfarge 3 26 3 4 3 2 2" xfId="35561" xr:uid="{00000000-0005-0000-0000-00005D2F0000}"/>
    <cellStyle name="40% - uthevingsfarge 3 26 3 4 3 3" xfId="29929" xr:uid="{00000000-0005-0000-0000-00005E2F0000}"/>
    <cellStyle name="40% - uthevingsfarge 3 26 3 4 4" xfId="22549" xr:uid="{00000000-0005-0000-0000-00005F2F0000}"/>
    <cellStyle name="40% - uthevingsfarge 3 26 3 4 4 2" xfId="38618" xr:uid="{00000000-0005-0000-0000-0000602F0000}"/>
    <cellStyle name="40% - uthevingsfarge 3 26 3 4 5" xfId="33317" xr:uid="{00000000-0005-0000-0000-0000612F0000}"/>
    <cellStyle name="40% - uthevingsfarge 3 26 3 5" xfId="4763" xr:uid="{00000000-0005-0000-0000-0000622F0000}"/>
    <cellStyle name="40% - uthevingsfarge 3 26 3 5 2" xfId="6483" xr:uid="{00000000-0005-0000-0000-0000632F0000}"/>
    <cellStyle name="40% - uthevingsfarge 3 26 3 5 2 2" xfId="9889" xr:uid="{00000000-0005-0000-0000-0000642F0000}"/>
    <cellStyle name="40% - uthevingsfarge 3 26 3 5 2 2 2" xfId="21996" xr:uid="{00000000-0005-0000-0000-0000652F0000}"/>
    <cellStyle name="40% - uthevingsfarge 3 26 3 5 2 2 2 2" xfId="38071" xr:uid="{00000000-0005-0000-0000-0000662F0000}"/>
    <cellStyle name="40% - uthevingsfarge 3 26 3 5 2 2 3" xfId="27910" xr:uid="{00000000-0005-0000-0000-0000672F0000}"/>
    <cellStyle name="40% - uthevingsfarge 3 26 3 5 2 3" xfId="22135" xr:uid="{00000000-0005-0000-0000-0000682F0000}"/>
    <cellStyle name="40% - uthevingsfarge 3 26 3 5 2 3 2" xfId="38209" xr:uid="{00000000-0005-0000-0000-0000692F0000}"/>
    <cellStyle name="40% - uthevingsfarge 3 26 3 5 2 4" xfId="31311" xr:uid="{00000000-0005-0000-0000-00006A2F0000}"/>
    <cellStyle name="40% - uthevingsfarge 3 26 3 5 3" xfId="8185" xr:uid="{00000000-0005-0000-0000-00006B2F0000}"/>
    <cellStyle name="40% - uthevingsfarge 3 26 3 5 3 2" xfId="21025" xr:uid="{00000000-0005-0000-0000-00006C2F0000}"/>
    <cellStyle name="40% - uthevingsfarge 3 26 3 5 3 2 2" xfId="37118" xr:uid="{00000000-0005-0000-0000-00006D2F0000}"/>
    <cellStyle name="40% - uthevingsfarge 3 26 3 5 3 3" xfId="29612" xr:uid="{00000000-0005-0000-0000-00006E2F0000}"/>
    <cellStyle name="40% - uthevingsfarge 3 26 3 5 4" xfId="19700" xr:uid="{00000000-0005-0000-0000-00006F2F0000}"/>
    <cellStyle name="40% - uthevingsfarge 3 26 3 5 4 2" xfId="35814" xr:uid="{00000000-0005-0000-0000-0000702F0000}"/>
    <cellStyle name="40% - uthevingsfarge 3 26 3 5 5" xfId="33004" xr:uid="{00000000-0005-0000-0000-0000712F0000}"/>
    <cellStyle name="40% - uthevingsfarge 3 26 3 6" xfId="5123" xr:uid="{00000000-0005-0000-0000-0000722F0000}"/>
    <cellStyle name="40% - uthevingsfarge 3 26 3 6 2" xfId="6842" xr:uid="{00000000-0005-0000-0000-0000732F0000}"/>
    <cellStyle name="40% - uthevingsfarge 3 26 3 6 2 2" xfId="10248" xr:uid="{00000000-0005-0000-0000-0000742F0000}"/>
    <cellStyle name="40% - uthevingsfarge 3 26 3 6 2 2 2" xfId="24691" xr:uid="{00000000-0005-0000-0000-0000752F0000}"/>
    <cellStyle name="40% - uthevingsfarge 3 26 3 6 2 2 2 2" xfId="40734" xr:uid="{00000000-0005-0000-0000-0000762F0000}"/>
    <cellStyle name="40% - uthevingsfarge 3 26 3 6 2 2 3" xfId="27551" xr:uid="{00000000-0005-0000-0000-0000772F0000}"/>
    <cellStyle name="40% - uthevingsfarge 3 26 3 6 2 3" xfId="23103" xr:uid="{00000000-0005-0000-0000-0000782F0000}"/>
    <cellStyle name="40% - uthevingsfarge 3 26 3 6 2 3 2" xfId="39172" xr:uid="{00000000-0005-0000-0000-0000792F0000}"/>
    <cellStyle name="40% - uthevingsfarge 3 26 3 6 2 4" xfId="30952" xr:uid="{00000000-0005-0000-0000-00007A2F0000}"/>
    <cellStyle name="40% - uthevingsfarge 3 26 3 6 3" xfId="8545" xr:uid="{00000000-0005-0000-0000-00007B2F0000}"/>
    <cellStyle name="40% - uthevingsfarge 3 26 3 6 3 2" xfId="22584" xr:uid="{00000000-0005-0000-0000-00007C2F0000}"/>
    <cellStyle name="40% - uthevingsfarge 3 26 3 6 3 2 2" xfId="38653" xr:uid="{00000000-0005-0000-0000-00007D2F0000}"/>
    <cellStyle name="40% - uthevingsfarge 3 26 3 6 3 3" xfId="29253" xr:uid="{00000000-0005-0000-0000-00007E2F0000}"/>
    <cellStyle name="40% - uthevingsfarge 3 26 3 6 4" xfId="10828" xr:uid="{00000000-0005-0000-0000-00007F2F0000}"/>
    <cellStyle name="40% - uthevingsfarge 3 26 3 6 4 2" xfId="34630" xr:uid="{00000000-0005-0000-0000-0000802F0000}"/>
    <cellStyle name="40% - uthevingsfarge 3 26 3 6 5" xfId="32644" xr:uid="{00000000-0005-0000-0000-0000812F0000}"/>
    <cellStyle name="40% - uthevingsfarge 3 26 3 7" xfId="5302" xr:uid="{00000000-0005-0000-0000-0000822F0000}"/>
    <cellStyle name="40% - uthevingsfarge 3 26 3 7 2" xfId="8717" xr:uid="{00000000-0005-0000-0000-0000832F0000}"/>
    <cellStyle name="40% - uthevingsfarge 3 26 3 7 2 2" xfId="22738" xr:uid="{00000000-0005-0000-0000-0000842F0000}"/>
    <cellStyle name="40% - uthevingsfarge 3 26 3 7 2 2 2" xfId="38807" xr:uid="{00000000-0005-0000-0000-0000852F0000}"/>
    <cellStyle name="40% - uthevingsfarge 3 26 3 7 2 3" xfId="29081" xr:uid="{00000000-0005-0000-0000-0000862F0000}"/>
    <cellStyle name="40% - uthevingsfarge 3 26 3 7 3" xfId="23855" xr:uid="{00000000-0005-0000-0000-0000872F0000}"/>
    <cellStyle name="40% - uthevingsfarge 3 26 3 7 3 2" xfId="39911" xr:uid="{00000000-0005-0000-0000-0000882F0000}"/>
    <cellStyle name="40% - uthevingsfarge 3 26 3 7 4" xfId="32472" xr:uid="{00000000-0005-0000-0000-0000892F0000}"/>
    <cellStyle name="40% - uthevingsfarge 3 26 3 8" xfId="7035" xr:uid="{00000000-0005-0000-0000-00008A2F0000}"/>
    <cellStyle name="40% - uthevingsfarge 3 26 3 8 2" xfId="23135" xr:uid="{00000000-0005-0000-0000-00008B2F0000}"/>
    <cellStyle name="40% - uthevingsfarge 3 26 3 8 2 2" xfId="39204" xr:uid="{00000000-0005-0000-0000-00008C2F0000}"/>
    <cellStyle name="40% - uthevingsfarge 3 26 3 8 3" xfId="30763" xr:uid="{00000000-0005-0000-0000-00008D2F0000}"/>
    <cellStyle name="40% - uthevingsfarge 3 26 3 9" xfId="11150" xr:uid="{00000000-0005-0000-0000-00008E2F0000}"/>
    <cellStyle name="40% - uthevingsfarge 3 26 4" xfId="3488" xr:uid="{00000000-0005-0000-0000-00008F2F0000}"/>
    <cellStyle name="40% - uthevingsfarge 3 26 4 10" xfId="47104" xr:uid="{00000000-0005-0000-0000-0000902F0000}"/>
    <cellStyle name="40% - uthevingsfarge 3 26 4 2" xfId="3924" xr:uid="{00000000-0005-0000-0000-0000912F0000}"/>
    <cellStyle name="40% - uthevingsfarge 3 26 4 2 2" xfId="5812" xr:uid="{00000000-0005-0000-0000-0000922F0000}"/>
    <cellStyle name="40% - uthevingsfarge 3 26 4 2 2 2" xfId="9227" xr:uid="{00000000-0005-0000-0000-0000932F0000}"/>
    <cellStyle name="40% - uthevingsfarge 3 26 4 2 2 2 2" xfId="24482" xr:uid="{00000000-0005-0000-0000-0000942F0000}"/>
    <cellStyle name="40% - uthevingsfarge 3 26 4 2 2 2 2 2" xfId="40526" xr:uid="{00000000-0005-0000-0000-0000952F0000}"/>
    <cellStyle name="40% - uthevingsfarge 3 26 4 2 2 2 3" xfId="28571" xr:uid="{00000000-0005-0000-0000-0000962F0000}"/>
    <cellStyle name="40% - uthevingsfarge 3 26 4 2 2 3" xfId="23923" xr:uid="{00000000-0005-0000-0000-0000972F0000}"/>
    <cellStyle name="40% - uthevingsfarge 3 26 4 2 2 3 2" xfId="39977" xr:uid="{00000000-0005-0000-0000-0000982F0000}"/>
    <cellStyle name="40% - uthevingsfarge 3 26 4 2 2 4" xfId="31962" xr:uid="{00000000-0005-0000-0000-0000992F0000}"/>
    <cellStyle name="40% - uthevingsfarge 3 26 4 2 3" xfId="7530" xr:uid="{00000000-0005-0000-0000-00009A2F0000}"/>
    <cellStyle name="40% - uthevingsfarge 3 26 4 2 3 2" xfId="10629" xr:uid="{00000000-0005-0000-0000-00009B2F0000}"/>
    <cellStyle name="40% - uthevingsfarge 3 26 4 2 3 2 2" xfId="34477" xr:uid="{00000000-0005-0000-0000-00009C2F0000}"/>
    <cellStyle name="40% - uthevingsfarge 3 26 4 2 3 3" xfId="30268" xr:uid="{00000000-0005-0000-0000-00009D2F0000}"/>
    <cellStyle name="40% - uthevingsfarge 3 26 4 2 4" xfId="18016" xr:uid="{00000000-0005-0000-0000-00009E2F0000}"/>
    <cellStyle name="40% - uthevingsfarge 3 26 4 2 5" xfId="19600" xr:uid="{00000000-0005-0000-0000-00009F2F0000}"/>
    <cellStyle name="40% - uthevingsfarge 3 26 4 2 5 2" xfId="35714" xr:uid="{00000000-0005-0000-0000-0000A02F0000}"/>
    <cellStyle name="40% - uthevingsfarge 3 26 4 2 6" xfId="33655" xr:uid="{00000000-0005-0000-0000-0000A12F0000}"/>
    <cellStyle name="40% - uthevingsfarge 3 26 4 3" xfId="4864" xr:uid="{00000000-0005-0000-0000-0000A22F0000}"/>
    <cellStyle name="40% - uthevingsfarge 3 26 4 3 10" xfId="47294" xr:uid="{00000000-0005-0000-0000-0000A32F0000}"/>
    <cellStyle name="40% - uthevingsfarge 3 26 4 3 2" xfId="6583" xr:uid="{00000000-0005-0000-0000-0000A42F0000}"/>
    <cellStyle name="40% - uthevingsfarge 3 26 4 3 2 2" xfId="9989" xr:uid="{00000000-0005-0000-0000-0000A52F0000}"/>
    <cellStyle name="40% - uthevingsfarge 3 26 4 3 2 2 2" xfId="21562" xr:uid="{00000000-0005-0000-0000-0000A62F0000}"/>
    <cellStyle name="40% - uthevingsfarge 3 26 4 3 2 2 2 2" xfId="37642" xr:uid="{00000000-0005-0000-0000-0000A72F0000}"/>
    <cellStyle name="40% - uthevingsfarge 3 26 4 3 2 2 3" xfId="27810" xr:uid="{00000000-0005-0000-0000-0000A82F0000}"/>
    <cellStyle name="40% - uthevingsfarge 3 26 4 3 2 3" xfId="20507" xr:uid="{00000000-0005-0000-0000-0000A92F0000}"/>
    <cellStyle name="40% - uthevingsfarge 3 26 4 3 2 3 2" xfId="36606" xr:uid="{00000000-0005-0000-0000-0000AA2F0000}"/>
    <cellStyle name="40% - uthevingsfarge 3 26 4 3 2 4" xfId="31211" xr:uid="{00000000-0005-0000-0000-0000AB2F0000}"/>
    <cellStyle name="40% - uthevingsfarge 3 26 4 3 2 5" xfId="42849" xr:uid="{00000000-0005-0000-0000-0000AC2F0000}"/>
    <cellStyle name="40% - uthevingsfarge 3 26 4 3 2 6" xfId="43287" xr:uid="{00000000-0005-0000-0000-0000AD2F0000}"/>
    <cellStyle name="40% - uthevingsfarge 3 26 4 3 2 7" xfId="46135" xr:uid="{00000000-0005-0000-0000-0000AE2F0000}"/>
    <cellStyle name="40% - uthevingsfarge 3 26 4 3 2 8" xfId="46904" xr:uid="{00000000-0005-0000-0000-0000AF2F0000}"/>
    <cellStyle name="40% - uthevingsfarge 3 26 4 3 2 9" xfId="47490" xr:uid="{00000000-0005-0000-0000-0000B02F0000}"/>
    <cellStyle name="40% - uthevingsfarge 3 26 4 3 3" xfId="8286" xr:uid="{00000000-0005-0000-0000-0000B12F0000}"/>
    <cellStyle name="40% - uthevingsfarge 3 26 4 3 3 2" xfId="21053" xr:uid="{00000000-0005-0000-0000-0000B22F0000}"/>
    <cellStyle name="40% - uthevingsfarge 3 26 4 3 3 2 2" xfId="37143" xr:uid="{00000000-0005-0000-0000-0000B32F0000}"/>
    <cellStyle name="40% - uthevingsfarge 3 26 4 3 3 3" xfId="29511" xr:uid="{00000000-0005-0000-0000-0000B42F0000}"/>
    <cellStyle name="40% - uthevingsfarge 3 26 4 3 3 4" xfId="43935" xr:uid="{00000000-0005-0000-0000-0000B52F0000}"/>
    <cellStyle name="40% - uthevingsfarge 3 26 4 3 4" xfId="16294" xr:uid="{00000000-0005-0000-0000-0000B62F0000}"/>
    <cellStyle name="40% - uthevingsfarge 3 26 4 3 4 2" xfId="35382" xr:uid="{00000000-0005-0000-0000-0000B72F0000}"/>
    <cellStyle name="40% - uthevingsfarge 3 26 4 3 5" xfId="25041" xr:uid="{00000000-0005-0000-0000-0000B82F0000}"/>
    <cellStyle name="40% - uthevingsfarge 3 26 4 3 6" xfId="25299" xr:uid="{00000000-0005-0000-0000-0000B92F0000}"/>
    <cellStyle name="40% - uthevingsfarge 3 26 4 3 7" xfId="32903" xr:uid="{00000000-0005-0000-0000-0000BA2F0000}"/>
    <cellStyle name="40% - uthevingsfarge 3 26 4 3 8" xfId="43747" xr:uid="{00000000-0005-0000-0000-0000BB2F0000}"/>
    <cellStyle name="40% - uthevingsfarge 3 26 4 3 9" xfId="46673" xr:uid="{00000000-0005-0000-0000-0000BC2F0000}"/>
    <cellStyle name="40% - uthevingsfarge 3 26 4 4" xfId="5422" xr:uid="{00000000-0005-0000-0000-0000BD2F0000}"/>
    <cellStyle name="40% - uthevingsfarge 3 26 4 4 2" xfId="8837" xr:uid="{00000000-0005-0000-0000-0000BE2F0000}"/>
    <cellStyle name="40% - uthevingsfarge 3 26 4 4 2 2" xfId="23415" xr:uid="{00000000-0005-0000-0000-0000BF2F0000}"/>
    <cellStyle name="40% - uthevingsfarge 3 26 4 4 2 2 2" xfId="39471" xr:uid="{00000000-0005-0000-0000-0000C02F0000}"/>
    <cellStyle name="40% - uthevingsfarge 3 26 4 4 2 3" xfId="28961" xr:uid="{00000000-0005-0000-0000-0000C12F0000}"/>
    <cellStyle name="40% - uthevingsfarge 3 26 4 4 3" xfId="10709" xr:uid="{00000000-0005-0000-0000-0000C22F0000}"/>
    <cellStyle name="40% - uthevingsfarge 3 26 4 4 3 2" xfId="34557" xr:uid="{00000000-0005-0000-0000-0000C32F0000}"/>
    <cellStyle name="40% - uthevingsfarge 3 26 4 4 4" xfId="32352" xr:uid="{00000000-0005-0000-0000-0000C42F0000}"/>
    <cellStyle name="40% - uthevingsfarge 3 26 4 5" xfId="7136" xr:uid="{00000000-0005-0000-0000-0000C52F0000}"/>
    <cellStyle name="40% - uthevingsfarge 3 26 4 5 2" xfId="22424" xr:uid="{00000000-0005-0000-0000-0000C62F0000}"/>
    <cellStyle name="40% - uthevingsfarge 3 26 4 5 2 2" xfId="38496" xr:uid="{00000000-0005-0000-0000-0000C72F0000}"/>
    <cellStyle name="40% - uthevingsfarge 3 26 4 5 3" xfId="30662" xr:uid="{00000000-0005-0000-0000-0000C82F0000}"/>
    <cellStyle name="40% - uthevingsfarge 3 26 4 6" xfId="11152" xr:uid="{00000000-0005-0000-0000-0000C92F0000}"/>
    <cellStyle name="40% - uthevingsfarge 3 26 4 7" xfId="34049" xr:uid="{00000000-0005-0000-0000-0000CA2F0000}"/>
    <cellStyle name="40% - uthevingsfarge 3 26 4 8" xfId="43539" xr:uid="{00000000-0005-0000-0000-0000CB2F0000}"/>
    <cellStyle name="40% - uthevingsfarge 3 26 4 9" xfId="46443" xr:uid="{00000000-0005-0000-0000-0000CC2F0000}"/>
    <cellStyle name="40% - uthevingsfarge 3 26 4_Avviksanalyse løpende RNB15 (1)" xfId="16624" xr:uid="{00000000-0005-0000-0000-0000CD2F0000}"/>
    <cellStyle name="40% - uthevingsfarge 3 26 5" xfId="3745" xr:uid="{00000000-0005-0000-0000-0000CE2F0000}"/>
    <cellStyle name="40% - uthevingsfarge 3 26 5 2" xfId="5633" xr:uid="{00000000-0005-0000-0000-0000CF2F0000}"/>
    <cellStyle name="40% - uthevingsfarge 3 26 5 2 2" xfId="9048" xr:uid="{00000000-0005-0000-0000-0000D02F0000}"/>
    <cellStyle name="40% - uthevingsfarge 3 26 5 2 2 2" xfId="23730" xr:uid="{00000000-0005-0000-0000-0000D12F0000}"/>
    <cellStyle name="40% - uthevingsfarge 3 26 5 2 2 2 2" xfId="39786" xr:uid="{00000000-0005-0000-0000-0000D22F0000}"/>
    <cellStyle name="40% - uthevingsfarge 3 26 5 2 2 3" xfId="28750" xr:uid="{00000000-0005-0000-0000-0000D32F0000}"/>
    <cellStyle name="40% - uthevingsfarge 3 26 5 2 3" xfId="20148" xr:uid="{00000000-0005-0000-0000-0000D42F0000}"/>
    <cellStyle name="40% - uthevingsfarge 3 26 5 2 3 2" xfId="36250" xr:uid="{00000000-0005-0000-0000-0000D52F0000}"/>
    <cellStyle name="40% - uthevingsfarge 3 26 5 2 4" xfId="32141" xr:uid="{00000000-0005-0000-0000-0000D62F0000}"/>
    <cellStyle name="40% - uthevingsfarge 3 26 5 3" xfId="7351" xr:uid="{00000000-0005-0000-0000-0000D72F0000}"/>
    <cellStyle name="40% - uthevingsfarge 3 26 5 3 2" xfId="22442" xr:uid="{00000000-0005-0000-0000-0000D82F0000}"/>
    <cellStyle name="40% - uthevingsfarge 3 26 5 3 2 2" xfId="38514" xr:uid="{00000000-0005-0000-0000-0000D92F0000}"/>
    <cellStyle name="40% - uthevingsfarge 3 26 5 3 3" xfId="30447" xr:uid="{00000000-0005-0000-0000-0000DA2F0000}"/>
    <cellStyle name="40% - uthevingsfarge 3 26 5 4" xfId="12583" xr:uid="{00000000-0005-0000-0000-0000DB2F0000}"/>
    <cellStyle name="40% - uthevingsfarge 3 26 5 4 2" xfId="35284" xr:uid="{00000000-0005-0000-0000-0000DC2F0000}"/>
    <cellStyle name="40% - uthevingsfarge 3 26 5 5" xfId="33834" xr:uid="{00000000-0005-0000-0000-0000DD2F0000}"/>
    <cellStyle name="40% - uthevingsfarge 3 26 6" xfId="4212" xr:uid="{00000000-0005-0000-0000-0000DE2F0000}"/>
    <cellStyle name="40% - uthevingsfarge 3 26 6 2" xfId="6049" xr:uid="{00000000-0005-0000-0000-0000DF2F0000}"/>
    <cellStyle name="40% - uthevingsfarge 3 26 6 2 2" xfId="9464" xr:uid="{00000000-0005-0000-0000-0000E02F0000}"/>
    <cellStyle name="40% - uthevingsfarge 3 26 6 2 2 2" xfId="21391" xr:uid="{00000000-0005-0000-0000-0000E12F0000}"/>
    <cellStyle name="40% - uthevingsfarge 3 26 6 2 2 2 2" xfId="37471" xr:uid="{00000000-0005-0000-0000-0000E22F0000}"/>
    <cellStyle name="40% - uthevingsfarge 3 26 6 2 2 3" xfId="28334" xr:uid="{00000000-0005-0000-0000-0000E32F0000}"/>
    <cellStyle name="40% - uthevingsfarge 3 26 6 2 3" xfId="23968" xr:uid="{00000000-0005-0000-0000-0000E42F0000}"/>
    <cellStyle name="40% - uthevingsfarge 3 26 6 2 3 2" xfId="40022" xr:uid="{00000000-0005-0000-0000-0000E52F0000}"/>
    <cellStyle name="40% - uthevingsfarge 3 26 6 2 4" xfId="31729" xr:uid="{00000000-0005-0000-0000-0000E62F0000}"/>
    <cellStyle name="40% - uthevingsfarge 3 26 6 3" xfId="7782" xr:uid="{00000000-0005-0000-0000-0000E72F0000}"/>
    <cellStyle name="40% - uthevingsfarge 3 26 6 3 2" xfId="20900" xr:uid="{00000000-0005-0000-0000-0000E82F0000}"/>
    <cellStyle name="40% - uthevingsfarge 3 26 6 3 2 2" xfId="36999" xr:uid="{00000000-0005-0000-0000-0000E92F0000}"/>
    <cellStyle name="40% - uthevingsfarge 3 26 6 3 3" xfId="30017" xr:uid="{00000000-0005-0000-0000-0000EA2F0000}"/>
    <cellStyle name="40% - uthevingsfarge 3 26 6 4" xfId="21836" xr:uid="{00000000-0005-0000-0000-0000EB2F0000}"/>
    <cellStyle name="40% - uthevingsfarge 3 26 6 4 2" xfId="37912" xr:uid="{00000000-0005-0000-0000-0000EC2F0000}"/>
    <cellStyle name="40% - uthevingsfarge 3 26 6 5" xfId="33405" xr:uid="{00000000-0005-0000-0000-0000ED2F0000}"/>
    <cellStyle name="40% - uthevingsfarge 3 26 7" xfId="4680" xr:uid="{00000000-0005-0000-0000-0000EE2F0000}"/>
    <cellStyle name="40% - uthevingsfarge 3 26 7 2" xfId="6400" xr:uid="{00000000-0005-0000-0000-0000EF2F0000}"/>
    <cellStyle name="40% - uthevingsfarge 3 26 7 2 2" xfId="9810" xr:uid="{00000000-0005-0000-0000-0000F02F0000}"/>
    <cellStyle name="40% - uthevingsfarge 3 26 7 2 2 2" xfId="21983" xr:uid="{00000000-0005-0000-0000-0000F12F0000}"/>
    <cellStyle name="40% - uthevingsfarge 3 26 7 2 2 2 2" xfId="38058" xr:uid="{00000000-0005-0000-0000-0000F22F0000}"/>
    <cellStyle name="40% - uthevingsfarge 3 26 7 2 2 3" xfId="27989" xr:uid="{00000000-0005-0000-0000-0000F32F0000}"/>
    <cellStyle name="40% - uthevingsfarge 3 26 7 2 3" xfId="22351" xr:uid="{00000000-0005-0000-0000-0000F42F0000}"/>
    <cellStyle name="40% - uthevingsfarge 3 26 7 2 3 2" xfId="38423" xr:uid="{00000000-0005-0000-0000-0000F52F0000}"/>
    <cellStyle name="40% - uthevingsfarge 3 26 7 2 4" xfId="31390" xr:uid="{00000000-0005-0000-0000-0000F62F0000}"/>
    <cellStyle name="40% - uthevingsfarge 3 26 7 3" xfId="8106" xr:uid="{00000000-0005-0000-0000-0000F72F0000}"/>
    <cellStyle name="40% - uthevingsfarge 3 26 7 3 2" xfId="21001" xr:uid="{00000000-0005-0000-0000-0000F82F0000}"/>
    <cellStyle name="40% - uthevingsfarge 3 26 7 3 2 2" xfId="37096" xr:uid="{00000000-0005-0000-0000-0000F92F0000}"/>
    <cellStyle name="40% - uthevingsfarge 3 26 7 3 3" xfId="29692" xr:uid="{00000000-0005-0000-0000-0000FA2F0000}"/>
    <cellStyle name="40% - uthevingsfarge 3 26 7 4" xfId="12289" xr:uid="{00000000-0005-0000-0000-0000FB2F0000}"/>
    <cellStyle name="40% - uthevingsfarge 3 26 7 4 2" xfId="35165" xr:uid="{00000000-0005-0000-0000-0000FC2F0000}"/>
    <cellStyle name="40% - uthevingsfarge 3 26 7 5" xfId="33083" xr:uid="{00000000-0005-0000-0000-0000FD2F0000}"/>
    <cellStyle name="40% - uthevingsfarge 3 26 8" xfId="5044" xr:uid="{00000000-0005-0000-0000-0000FE2F0000}"/>
    <cellStyle name="40% - uthevingsfarge 3 26 8 2" xfId="6763" xr:uid="{00000000-0005-0000-0000-0000FF2F0000}"/>
    <cellStyle name="40% - uthevingsfarge 3 26 8 2 2" xfId="10169" xr:uid="{00000000-0005-0000-0000-000000300000}"/>
    <cellStyle name="40% - uthevingsfarge 3 26 8 2 2 2" xfId="21634" xr:uid="{00000000-0005-0000-0000-000001300000}"/>
    <cellStyle name="40% - uthevingsfarge 3 26 8 2 2 2 2" xfId="37714" xr:uid="{00000000-0005-0000-0000-000002300000}"/>
    <cellStyle name="40% - uthevingsfarge 3 26 8 2 2 3" xfId="27630" xr:uid="{00000000-0005-0000-0000-000003300000}"/>
    <cellStyle name="40% - uthevingsfarge 3 26 8 2 3" xfId="20557" xr:uid="{00000000-0005-0000-0000-000004300000}"/>
    <cellStyle name="40% - uthevingsfarge 3 26 8 2 3 2" xfId="36656" xr:uid="{00000000-0005-0000-0000-000005300000}"/>
    <cellStyle name="40% - uthevingsfarge 3 26 8 2 4" xfId="31031" xr:uid="{00000000-0005-0000-0000-000006300000}"/>
    <cellStyle name="40% - uthevingsfarge 3 26 8 3" xfId="8466" xr:uid="{00000000-0005-0000-0000-000007300000}"/>
    <cellStyle name="40% - uthevingsfarge 3 26 8 3 2" xfId="10541" xr:uid="{00000000-0005-0000-0000-000008300000}"/>
    <cellStyle name="40% - uthevingsfarge 3 26 8 3 2 2" xfId="34415" xr:uid="{00000000-0005-0000-0000-000009300000}"/>
    <cellStyle name="40% - uthevingsfarge 3 26 8 3 3" xfId="29332" xr:uid="{00000000-0005-0000-0000-00000A300000}"/>
    <cellStyle name="40% - uthevingsfarge 3 26 8 4" xfId="19736" xr:uid="{00000000-0005-0000-0000-00000B300000}"/>
    <cellStyle name="40% - uthevingsfarge 3 26 8 4 2" xfId="35850" xr:uid="{00000000-0005-0000-0000-00000C300000}"/>
    <cellStyle name="40% - uthevingsfarge 3 26 8 5" xfId="32723" xr:uid="{00000000-0005-0000-0000-00000D300000}"/>
    <cellStyle name="40% - uthevingsfarge 3 26 9" xfId="5202" xr:uid="{00000000-0005-0000-0000-00000E300000}"/>
    <cellStyle name="40% - uthevingsfarge 3 26 9 2" xfId="8621" xr:uid="{00000000-0005-0000-0000-00000F300000}"/>
    <cellStyle name="40% - uthevingsfarge 3 26 9 2 2" xfId="23385" xr:uid="{00000000-0005-0000-0000-000010300000}"/>
    <cellStyle name="40% - uthevingsfarge 3 26 9 2 2 2" xfId="39441" xr:uid="{00000000-0005-0000-0000-000011300000}"/>
    <cellStyle name="40% - uthevingsfarge 3 26 9 2 3" xfId="29177" xr:uid="{00000000-0005-0000-0000-000012300000}"/>
    <cellStyle name="40% - uthevingsfarge 3 26 9 3" xfId="19772" xr:uid="{00000000-0005-0000-0000-000013300000}"/>
    <cellStyle name="40% - uthevingsfarge 3 26 9 3 2" xfId="35886" xr:uid="{00000000-0005-0000-0000-000014300000}"/>
    <cellStyle name="40% - uthevingsfarge 3 26 9 4" xfId="32568" xr:uid="{00000000-0005-0000-0000-000015300000}"/>
    <cellStyle name="40% - uthevingsfarge 3 27" xfId="827" xr:uid="{00000000-0005-0000-0000-000016300000}"/>
    <cellStyle name="40% - uthevingsfarge 3 27 10" xfId="11153" xr:uid="{00000000-0005-0000-0000-000017300000}"/>
    <cellStyle name="40% - uthevingsfarge 3 27 11" xfId="34247" xr:uid="{00000000-0005-0000-0000-000018300000}"/>
    <cellStyle name="40% - uthevingsfarge 3 27 2" xfId="3342" xr:uid="{00000000-0005-0000-0000-000019300000}"/>
    <cellStyle name="40% - uthevingsfarge 3 27 2 10" xfId="34149" xr:uid="{00000000-0005-0000-0000-00001A300000}"/>
    <cellStyle name="40% - uthevingsfarge 3 27 2 2" xfId="3574" xr:uid="{00000000-0005-0000-0000-00001B300000}"/>
    <cellStyle name="40% - uthevingsfarge 3 27 2 2 10" xfId="47173" xr:uid="{00000000-0005-0000-0000-00001C300000}"/>
    <cellStyle name="40% - uthevingsfarge 3 27 2 2 2" xfId="4004" xr:uid="{00000000-0005-0000-0000-00001D300000}"/>
    <cellStyle name="40% - uthevingsfarge 3 27 2 2 2 2" xfId="5892" xr:uid="{00000000-0005-0000-0000-00001E300000}"/>
    <cellStyle name="40% - uthevingsfarge 3 27 2 2 2 2 2" xfId="9307" xr:uid="{00000000-0005-0000-0000-00001F300000}"/>
    <cellStyle name="40% - uthevingsfarge 3 27 2 2 2 2 2 2" xfId="21342" xr:uid="{00000000-0005-0000-0000-000020300000}"/>
    <cellStyle name="40% - uthevingsfarge 3 27 2 2 2 2 2 2 2" xfId="37422" xr:uid="{00000000-0005-0000-0000-000021300000}"/>
    <cellStyle name="40% - uthevingsfarge 3 27 2 2 2 2 2 3" xfId="28491" xr:uid="{00000000-0005-0000-0000-000022300000}"/>
    <cellStyle name="40% - uthevingsfarge 3 27 2 2 2 2 3" xfId="22290" xr:uid="{00000000-0005-0000-0000-000023300000}"/>
    <cellStyle name="40% - uthevingsfarge 3 27 2 2 2 2 3 2" xfId="38362" xr:uid="{00000000-0005-0000-0000-000024300000}"/>
    <cellStyle name="40% - uthevingsfarge 3 27 2 2 2 2 4" xfId="31884" xr:uid="{00000000-0005-0000-0000-000025300000}"/>
    <cellStyle name="40% - uthevingsfarge 3 27 2 2 2 3" xfId="7610" xr:uid="{00000000-0005-0000-0000-000026300000}"/>
    <cellStyle name="40% - uthevingsfarge 3 27 2 2 2 3 2" xfId="20836" xr:uid="{00000000-0005-0000-0000-000027300000}"/>
    <cellStyle name="40% - uthevingsfarge 3 27 2 2 2 3 2 2" xfId="36935" xr:uid="{00000000-0005-0000-0000-000028300000}"/>
    <cellStyle name="40% - uthevingsfarge 3 27 2 2 2 3 3" xfId="30188" xr:uid="{00000000-0005-0000-0000-000029300000}"/>
    <cellStyle name="40% - uthevingsfarge 3 27 2 2 2 4" xfId="18017" xr:uid="{00000000-0005-0000-0000-00002A300000}"/>
    <cellStyle name="40% - uthevingsfarge 3 27 2 2 2 5" xfId="21829" xr:uid="{00000000-0005-0000-0000-00002B300000}"/>
    <cellStyle name="40% - uthevingsfarge 3 27 2 2 2 5 2" xfId="37905" xr:uid="{00000000-0005-0000-0000-00002C300000}"/>
    <cellStyle name="40% - uthevingsfarge 3 27 2 2 2 6" xfId="33575" xr:uid="{00000000-0005-0000-0000-00002D300000}"/>
    <cellStyle name="40% - uthevingsfarge 3 27 2 2 3" xfId="4944" xr:uid="{00000000-0005-0000-0000-00002E300000}"/>
    <cellStyle name="40% - uthevingsfarge 3 27 2 2 3 10" xfId="47363" xr:uid="{00000000-0005-0000-0000-00002F300000}"/>
    <cellStyle name="40% - uthevingsfarge 3 27 2 2 3 2" xfId="6663" xr:uid="{00000000-0005-0000-0000-000030300000}"/>
    <cellStyle name="40% - uthevingsfarge 3 27 2 2 3 2 2" xfId="10069" xr:uid="{00000000-0005-0000-0000-000031300000}"/>
    <cellStyle name="40% - uthevingsfarge 3 27 2 2 3 2 2 2" xfId="21594" xr:uid="{00000000-0005-0000-0000-000032300000}"/>
    <cellStyle name="40% - uthevingsfarge 3 27 2 2 3 2 2 2 2" xfId="37674" xr:uid="{00000000-0005-0000-0000-000033300000}"/>
    <cellStyle name="40% - uthevingsfarge 3 27 2 2 3 2 2 3" xfId="27730" xr:uid="{00000000-0005-0000-0000-000034300000}"/>
    <cellStyle name="40% - uthevingsfarge 3 27 2 2 3 2 3" xfId="11967" xr:uid="{00000000-0005-0000-0000-000035300000}"/>
    <cellStyle name="40% - uthevingsfarge 3 27 2 2 3 2 3 2" xfId="34989" xr:uid="{00000000-0005-0000-0000-000036300000}"/>
    <cellStyle name="40% - uthevingsfarge 3 27 2 2 3 2 4" xfId="31131" xr:uid="{00000000-0005-0000-0000-000037300000}"/>
    <cellStyle name="40% - uthevingsfarge 3 27 2 2 3 2 5" xfId="43057" xr:uid="{00000000-0005-0000-0000-000038300000}"/>
    <cellStyle name="40% - uthevingsfarge 3 27 2 2 3 2 6" xfId="43354" xr:uid="{00000000-0005-0000-0000-000039300000}"/>
    <cellStyle name="40% - uthevingsfarge 3 27 2 2 3 2 7" xfId="46202" xr:uid="{00000000-0005-0000-0000-00003A300000}"/>
    <cellStyle name="40% - uthevingsfarge 3 27 2 2 3 2 8" xfId="46974" xr:uid="{00000000-0005-0000-0000-00003B300000}"/>
    <cellStyle name="40% - uthevingsfarge 3 27 2 2 3 2 9" xfId="47559" xr:uid="{00000000-0005-0000-0000-00003C300000}"/>
    <cellStyle name="40% - uthevingsfarge 3 27 2 2 3 3" xfId="8366" xr:uid="{00000000-0005-0000-0000-00003D300000}"/>
    <cellStyle name="40% - uthevingsfarge 3 27 2 2 3 3 2" xfId="19487" xr:uid="{00000000-0005-0000-0000-00003E300000}"/>
    <cellStyle name="40% - uthevingsfarge 3 27 2 2 3 3 2 2" xfId="35601" xr:uid="{00000000-0005-0000-0000-00003F300000}"/>
    <cellStyle name="40% - uthevingsfarge 3 27 2 2 3 3 3" xfId="29432" xr:uid="{00000000-0005-0000-0000-000040300000}"/>
    <cellStyle name="40% - uthevingsfarge 3 27 2 2 3 3 4" xfId="43936" xr:uid="{00000000-0005-0000-0000-000041300000}"/>
    <cellStyle name="40% - uthevingsfarge 3 27 2 2 3 4" xfId="16502" xr:uid="{00000000-0005-0000-0000-000042300000}"/>
    <cellStyle name="40% - uthevingsfarge 3 27 2 2 3 4 2" xfId="35449" xr:uid="{00000000-0005-0000-0000-000043300000}"/>
    <cellStyle name="40% - uthevingsfarge 3 27 2 2 3 5" xfId="25111" xr:uid="{00000000-0005-0000-0000-000044300000}"/>
    <cellStyle name="40% - uthevingsfarge 3 27 2 2 3 6" xfId="25300" xr:uid="{00000000-0005-0000-0000-000045300000}"/>
    <cellStyle name="40% - uthevingsfarge 3 27 2 2 3 7" xfId="32823" xr:uid="{00000000-0005-0000-0000-000046300000}"/>
    <cellStyle name="40% - uthevingsfarge 3 27 2 2 3 8" xfId="43815" xr:uid="{00000000-0005-0000-0000-000047300000}"/>
    <cellStyle name="40% - uthevingsfarge 3 27 2 2 3 9" xfId="46740" xr:uid="{00000000-0005-0000-0000-000048300000}"/>
    <cellStyle name="40% - uthevingsfarge 3 27 2 2 4" xfId="5498" xr:uid="{00000000-0005-0000-0000-000049300000}"/>
    <cellStyle name="40% - uthevingsfarge 3 27 2 2 4 2" xfId="8913" xr:uid="{00000000-0005-0000-0000-00004A300000}"/>
    <cellStyle name="40% - uthevingsfarge 3 27 2 2 4 2 2" xfId="23425" xr:uid="{00000000-0005-0000-0000-00004B300000}"/>
    <cellStyle name="40% - uthevingsfarge 3 27 2 2 4 2 2 2" xfId="39481" xr:uid="{00000000-0005-0000-0000-00004C300000}"/>
    <cellStyle name="40% - uthevingsfarge 3 27 2 2 4 2 3" xfId="28885" xr:uid="{00000000-0005-0000-0000-00004D300000}"/>
    <cellStyle name="40% - uthevingsfarge 3 27 2 2 4 3" xfId="20098" xr:uid="{00000000-0005-0000-0000-00004E300000}"/>
    <cellStyle name="40% - uthevingsfarge 3 27 2 2 4 3 2" xfId="36202" xr:uid="{00000000-0005-0000-0000-00004F300000}"/>
    <cellStyle name="40% - uthevingsfarge 3 27 2 2 4 4" xfId="32276" xr:uid="{00000000-0005-0000-0000-000050300000}"/>
    <cellStyle name="40% - uthevingsfarge 3 27 2 2 5" xfId="7216" xr:uid="{00000000-0005-0000-0000-000051300000}"/>
    <cellStyle name="40% - uthevingsfarge 3 27 2 2 5 2" xfId="20699" xr:uid="{00000000-0005-0000-0000-000052300000}"/>
    <cellStyle name="40% - uthevingsfarge 3 27 2 2 5 2 2" xfId="36798" xr:uid="{00000000-0005-0000-0000-000053300000}"/>
    <cellStyle name="40% - uthevingsfarge 3 27 2 2 5 3" xfId="30582" xr:uid="{00000000-0005-0000-0000-000054300000}"/>
    <cellStyle name="40% - uthevingsfarge 3 27 2 2 6" xfId="11155" xr:uid="{00000000-0005-0000-0000-000055300000}"/>
    <cellStyle name="40% - uthevingsfarge 3 27 2 2 7" xfId="33969" xr:uid="{00000000-0005-0000-0000-000056300000}"/>
    <cellStyle name="40% - uthevingsfarge 3 27 2 2 8" xfId="43606" xr:uid="{00000000-0005-0000-0000-000057300000}"/>
    <cellStyle name="40% - uthevingsfarge 3 27 2 2 9" xfId="46512" xr:uid="{00000000-0005-0000-0000-000058300000}"/>
    <cellStyle name="40% - uthevingsfarge 3 27 2 2_Avviksanalyse løpende RNB15 (1)" xfId="16625" xr:uid="{00000000-0005-0000-0000-000059300000}"/>
    <cellStyle name="40% - uthevingsfarge 3 27 2 3" xfId="3824" xr:uid="{00000000-0005-0000-0000-00005A300000}"/>
    <cellStyle name="40% - uthevingsfarge 3 27 2 3 2" xfId="5712" xr:uid="{00000000-0005-0000-0000-00005B300000}"/>
    <cellStyle name="40% - uthevingsfarge 3 27 2 3 2 2" xfId="9127" xr:uid="{00000000-0005-0000-0000-00005C300000}"/>
    <cellStyle name="40% - uthevingsfarge 3 27 2 3 2 2 2" xfId="24463" xr:uid="{00000000-0005-0000-0000-00005D300000}"/>
    <cellStyle name="40% - uthevingsfarge 3 27 2 3 2 2 2 2" xfId="40507" xr:uid="{00000000-0005-0000-0000-00005E300000}"/>
    <cellStyle name="40% - uthevingsfarge 3 27 2 3 2 2 3" xfId="28671" xr:uid="{00000000-0005-0000-0000-00005F300000}"/>
    <cellStyle name="40% - uthevingsfarge 3 27 2 3 2 3" xfId="22902" xr:uid="{00000000-0005-0000-0000-000060300000}"/>
    <cellStyle name="40% - uthevingsfarge 3 27 2 3 2 3 2" xfId="38971" xr:uid="{00000000-0005-0000-0000-000061300000}"/>
    <cellStyle name="40% - uthevingsfarge 3 27 2 3 2 4" xfId="32062" xr:uid="{00000000-0005-0000-0000-000062300000}"/>
    <cellStyle name="40% - uthevingsfarge 3 27 2 3 3" xfId="7430" xr:uid="{00000000-0005-0000-0000-000063300000}"/>
    <cellStyle name="40% - uthevingsfarge 3 27 2 3 3 2" xfId="20780" xr:uid="{00000000-0005-0000-0000-000064300000}"/>
    <cellStyle name="40% - uthevingsfarge 3 27 2 3 3 2 2" xfId="36879" xr:uid="{00000000-0005-0000-0000-000065300000}"/>
    <cellStyle name="40% - uthevingsfarge 3 27 2 3 3 3" xfId="30368" xr:uid="{00000000-0005-0000-0000-000066300000}"/>
    <cellStyle name="40% - uthevingsfarge 3 27 2 3 4" xfId="23696" xr:uid="{00000000-0005-0000-0000-000067300000}"/>
    <cellStyle name="40% - uthevingsfarge 3 27 2 3 4 2" xfId="39752" xr:uid="{00000000-0005-0000-0000-000068300000}"/>
    <cellStyle name="40% - uthevingsfarge 3 27 2 3 5" xfId="33755" xr:uid="{00000000-0005-0000-0000-000069300000}"/>
    <cellStyle name="40% - uthevingsfarge 3 27 2 4" xfId="4309" xr:uid="{00000000-0005-0000-0000-00006A300000}"/>
    <cellStyle name="40% - uthevingsfarge 3 27 2 4 2" xfId="6138" xr:uid="{00000000-0005-0000-0000-00006B300000}"/>
    <cellStyle name="40% - uthevingsfarge 3 27 2 4 2 2" xfId="9552" xr:uid="{00000000-0005-0000-0000-00006C300000}"/>
    <cellStyle name="40% - uthevingsfarge 3 27 2 4 2 2 2" xfId="21416" xr:uid="{00000000-0005-0000-0000-00006D300000}"/>
    <cellStyle name="40% - uthevingsfarge 3 27 2 4 2 2 2 2" xfId="37496" xr:uid="{00000000-0005-0000-0000-00006E300000}"/>
    <cellStyle name="40% - uthevingsfarge 3 27 2 4 2 2 3" xfId="28246" xr:uid="{00000000-0005-0000-0000-00006F300000}"/>
    <cellStyle name="40% - uthevingsfarge 3 27 2 4 2 3" xfId="20337" xr:uid="{00000000-0005-0000-0000-000070300000}"/>
    <cellStyle name="40% - uthevingsfarge 3 27 2 4 2 3 2" xfId="36436" xr:uid="{00000000-0005-0000-0000-000071300000}"/>
    <cellStyle name="40% - uthevingsfarge 3 27 2 4 2 4" xfId="31642" xr:uid="{00000000-0005-0000-0000-000072300000}"/>
    <cellStyle name="40% - uthevingsfarge 3 27 2 4 3" xfId="7871" xr:uid="{00000000-0005-0000-0000-000073300000}"/>
    <cellStyle name="40% - uthevingsfarge 3 27 2 4 3 2" xfId="11919" xr:uid="{00000000-0005-0000-0000-000074300000}"/>
    <cellStyle name="40% - uthevingsfarge 3 27 2 4 3 2 2" xfId="34951" xr:uid="{00000000-0005-0000-0000-000075300000}"/>
    <cellStyle name="40% - uthevingsfarge 3 27 2 4 3 3" xfId="29928" xr:uid="{00000000-0005-0000-0000-000076300000}"/>
    <cellStyle name="40% - uthevingsfarge 3 27 2 4 4" xfId="19629" xr:uid="{00000000-0005-0000-0000-000077300000}"/>
    <cellStyle name="40% - uthevingsfarge 3 27 2 4 4 2" xfId="35743" xr:uid="{00000000-0005-0000-0000-000078300000}"/>
    <cellStyle name="40% - uthevingsfarge 3 27 2 4 5" xfId="33316" xr:uid="{00000000-0005-0000-0000-000079300000}"/>
    <cellStyle name="40% - uthevingsfarge 3 27 2 5" xfId="4764" xr:uid="{00000000-0005-0000-0000-00007A300000}"/>
    <cellStyle name="40% - uthevingsfarge 3 27 2 5 2" xfId="6484" xr:uid="{00000000-0005-0000-0000-00007B300000}"/>
    <cellStyle name="40% - uthevingsfarge 3 27 2 5 2 2" xfId="9890" xr:uid="{00000000-0005-0000-0000-00007C300000}"/>
    <cellStyle name="40% - uthevingsfarge 3 27 2 5 2 2 2" xfId="23577" xr:uid="{00000000-0005-0000-0000-00007D300000}"/>
    <cellStyle name="40% - uthevingsfarge 3 27 2 5 2 2 2 2" xfId="39633" xr:uid="{00000000-0005-0000-0000-00007E300000}"/>
    <cellStyle name="40% - uthevingsfarge 3 27 2 5 2 2 3" xfId="27909" xr:uid="{00000000-0005-0000-0000-00007F300000}"/>
    <cellStyle name="40% - uthevingsfarge 3 27 2 5 2 3" xfId="23048" xr:uid="{00000000-0005-0000-0000-000080300000}"/>
    <cellStyle name="40% - uthevingsfarge 3 27 2 5 2 3 2" xfId="39117" xr:uid="{00000000-0005-0000-0000-000081300000}"/>
    <cellStyle name="40% - uthevingsfarge 3 27 2 5 2 4" xfId="31310" xr:uid="{00000000-0005-0000-0000-000082300000}"/>
    <cellStyle name="40% - uthevingsfarge 3 27 2 5 3" xfId="8186" xr:uid="{00000000-0005-0000-0000-000083300000}"/>
    <cellStyle name="40% - uthevingsfarge 3 27 2 5 3 2" xfId="21026" xr:uid="{00000000-0005-0000-0000-000084300000}"/>
    <cellStyle name="40% - uthevingsfarge 3 27 2 5 3 2 2" xfId="37119" xr:uid="{00000000-0005-0000-0000-000085300000}"/>
    <cellStyle name="40% - uthevingsfarge 3 27 2 5 3 3" xfId="29611" xr:uid="{00000000-0005-0000-0000-000086300000}"/>
    <cellStyle name="40% - uthevingsfarge 3 27 2 5 4" xfId="12270" xr:uid="{00000000-0005-0000-0000-000087300000}"/>
    <cellStyle name="40% - uthevingsfarge 3 27 2 5 4 2" xfId="35146" xr:uid="{00000000-0005-0000-0000-000088300000}"/>
    <cellStyle name="40% - uthevingsfarge 3 27 2 5 5" xfId="33003" xr:uid="{00000000-0005-0000-0000-000089300000}"/>
    <cellStyle name="40% - uthevingsfarge 3 27 2 6" xfId="5124" xr:uid="{00000000-0005-0000-0000-00008A300000}"/>
    <cellStyle name="40% - uthevingsfarge 3 27 2 6 2" xfId="6843" xr:uid="{00000000-0005-0000-0000-00008B300000}"/>
    <cellStyle name="40% - uthevingsfarge 3 27 2 6 2 2" xfId="10249" xr:uid="{00000000-0005-0000-0000-00008C300000}"/>
    <cellStyle name="40% - uthevingsfarge 3 27 2 6 2 2 2" xfId="24692" xr:uid="{00000000-0005-0000-0000-00008D300000}"/>
    <cellStyle name="40% - uthevingsfarge 3 27 2 6 2 2 2 2" xfId="40735" xr:uid="{00000000-0005-0000-0000-00008E300000}"/>
    <cellStyle name="40% - uthevingsfarge 3 27 2 6 2 2 3" xfId="27550" xr:uid="{00000000-0005-0000-0000-00008F300000}"/>
    <cellStyle name="40% - uthevingsfarge 3 27 2 6 2 3" xfId="19847" xr:uid="{00000000-0005-0000-0000-000090300000}"/>
    <cellStyle name="40% - uthevingsfarge 3 27 2 6 2 3 2" xfId="35960" xr:uid="{00000000-0005-0000-0000-000091300000}"/>
    <cellStyle name="40% - uthevingsfarge 3 27 2 6 2 4" xfId="30951" xr:uid="{00000000-0005-0000-0000-000092300000}"/>
    <cellStyle name="40% - uthevingsfarge 3 27 2 6 3" xfId="8546" xr:uid="{00000000-0005-0000-0000-000093300000}"/>
    <cellStyle name="40% - uthevingsfarge 3 27 2 6 3 2" xfId="23377" xr:uid="{00000000-0005-0000-0000-000094300000}"/>
    <cellStyle name="40% - uthevingsfarge 3 27 2 6 3 2 2" xfId="39434" xr:uid="{00000000-0005-0000-0000-000095300000}"/>
    <cellStyle name="40% - uthevingsfarge 3 27 2 6 3 3" xfId="29252" xr:uid="{00000000-0005-0000-0000-000096300000}"/>
    <cellStyle name="40% - uthevingsfarge 3 27 2 6 4" xfId="19756" xr:uid="{00000000-0005-0000-0000-000097300000}"/>
    <cellStyle name="40% - uthevingsfarge 3 27 2 6 4 2" xfId="35870" xr:uid="{00000000-0005-0000-0000-000098300000}"/>
    <cellStyle name="40% - uthevingsfarge 3 27 2 6 5" xfId="32643" xr:uid="{00000000-0005-0000-0000-000099300000}"/>
    <cellStyle name="40% - uthevingsfarge 3 27 2 7" xfId="5303" xr:uid="{00000000-0005-0000-0000-00009A300000}"/>
    <cellStyle name="40% - uthevingsfarge 3 27 2 7 2" xfId="8718" xr:uid="{00000000-0005-0000-0000-00009B300000}"/>
    <cellStyle name="40% - uthevingsfarge 3 27 2 7 2 2" xfId="10296" xr:uid="{00000000-0005-0000-0000-00009C300000}"/>
    <cellStyle name="40% - uthevingsfarge 3 27 2 7 2 2 2" xfId="27503" xr:uid="{00000000-0005-0000-0000-00009D300000}"/>
    <cellStyle name="40% - uthevingsfarge 3 27 2 7 2 3" xfId="29080" xr:uid="{00000000-0005-0000-0000-00009E300000}"/>
    <cellStyle name="40% - uthevingsfarge 3 27 2 7 3" xfId="10738" xr:uid="{00000000-0005-0000-0000-00009F300000}"/>
    <cellStyle name="40% - uthevingsfarge 3 27 2 7 3 2" xfId="34581" xr:uid="{00000000-0005-0000-0000-0000A0300000}"/>
    <cellStyle name="40% - uthevingsfarge 3 27 2 7 4" xfId="32471" xr:uid="{00000000-0005-0000-0000-0000A1300000}"/>
    <cellStyle name="40% - uthevingsfarge 3 27 2 8" xfId="7036" xr:uid="{00000000-0005-0000-0000-0000A2300000}"/>
    <cellStyle name="40% - uthevingsfarge 3 27 2 8 2" xfId="20641" xr:uid="{00000000-0005-0000-0000-0000A3300000}"/>
    <cellStyle name="40% - uthevingsfarge 3 27 2 8 2 2" xfId="36740" xr:uid="{00000000-0005-0000-0000-0000A4300000}"/>
    <cellStyle name="40% - uthevingsfarge 3 27 2 8 3" xfId="30762" xr:uid="{00000000-0005-0000-0000-0000A5300000}"/>
    <cellStyle name="40% - uthevingsfarge 3 27 2 9" xfId="11154" xr:uid="{00000000-0005-0000-0000-0000A6300000}"/>
    <cellStyle name="40% - uthevingsfarge 3 27 3" xfId="3489" xr:uid="{00000000-0005-0000-0000-0000A7300000}"/>
    <cellStyle name="40% - uthevingsfarge 3 27 3 10" xfId="47105" xr:uid="{00000000-0005-0000-0000-0000A8300000}"/>
    <cellStyle name="40% - uthevingsfarge 3 27 3 2" xfId="3925" xr:uid="{00000000-0005-0000-0000-0000A9300000}"/>
    <cellStyle name="40% - uthevingsfarge 3 27 3 2 2" xfId="5813" xr:uid="{00000000-0005-0000-0000-0000AA300000}"/>
    <cellStyle name="40% - uthevingsfarge 3 27 3 2 2 2" xfId="9228" xr:uid="{00000000-0005-0000-0000-0000AB300000}"/>
    <cellStyle name="40% - uthevingsfarge 3 27 3 2 2 2 2" xfId="21930" xr:uid="{00000000-0005-0000-0000-0000AC300000}"/>
    <cellStyle name="40% - uthevingsfarge 3 27 3 2 2 2 2 2" xfId="38005" xr:uid="{00000000-0005-0000-0000-0000AD300000}"/>
    <cellStyle name="40% - uthevingsfarge 3 27 3 2 2 2 3" xfId="28570" xr:uid="{00000000-0005-0000-0000-0000AE300000}"/>
    <cellStyle name="40% - uthevingsfarge 3 27 3 2 2 3" xfId="22089" xr:uid="{00000000-0005-0000-0000-0000AF300000}"/>
    <cellStyle name="40% - uthevingsfarge 3 27 3 2 2 3 2" xfId="38163" xr:uid="{00000000-0005-0000-0000-0000B0300000}"/>
    <cellStyle name="40% - uthevingsfarge 3 27 3 2 2 4" xfId="31961" xr:uid="{00000000-0005-0000-0000-0000B1300000}"/>
    <cellStyle name="40% - uthevingsfarge 3 27 3 2 3" xfId="7531" xr:uid="{00000000-0005-0000-0000-0000B2300000}"/>
    <cellStyle name="40% - uthevingsfarge 3 27 3 2 3 2" xfId="19444" xr:uid="{00000000-0005-0000-0000-0000B3300000}"/>
    <cellStyle name="40% - uthevingsfarge 3 27 3 2 3 2 2" xfId="35558" xr:uid="{00000000-0005-0000-0000-0000B4300000}"/>
    <cellStyle name="40% - uthevingsfarge 3 27 3 2 3 3" xfId="30267" xr:uid="{00000000-0005-0000-0000-0000B5300000}"/>
    <cellStyle name="40% - uthevingsfarge 3 27 3 2 4" xfId="18018" xr:uid="{00000000-0005-0000-0000-0000B6300000}"/>
    <cellStyle name="40% - uthevingsfarge 3 27 3 2 5" xfId="12488" xr:uid="{00000000-0005-0000-0000-0000B7300000}"/>
    <cellStyle name="40% - uthevingsfarge 3 27 3 2 5 2" xfId="35254" xr:uid="{00000000-0005-0000-0000-0000B8300000}"/>
    <cellStyle name="40% - uthevingsfarge 3 27 3 2 6" xfId="33654" xr:uid="{00000000-0005-0000-0000-0000B9300000}"/>
    <cellStyle name="40% - uthevingsfarge 3 27 3 3" xfId="4865" xr:uid="{00000000-0005-0000-0000-0000BA300000}"/>
    <cellStyle name="40% - uthevingsfarge 3 27 3 3 10" xfId="47295" xr:uid="{00000000-0005-0000-0000-0000BB300000}"/>
    <cellStyle name="40% - uthevingsfarge 3 27 3 3 2" xfId="6584" xr:uid="{00000000-0005-0000-0000-0000BC300000}"/>
    <cellStyle name="40% - uthevingsfarge 3 27 3 3 2 2" xfId="9990" xr:uid="{00000000-0005-0000-0000-0000BD300000}"/>
    <cellStyle name="40% - uthevingsfarge 3 27 3 3 2 2 2" xfId="24602" xr:uid="{00000000-0005-0000-0000-0000BE300000}"/>
    <cellStyle name="40% - uthevingsfarge 3 27 3 3 2 2 2 2" xfId="40646" xr:uid="{00000000-0005-0000-0000-0000BF300000}"/>
    <cellStyle name="40% - uthevingsfarge 3 27 3 3 2 2 3" xfId="27809" xr:uid="{00000000-0005-0000-0000-0000C0300000}"/>
    <cellStyle name="40% - uthevingsfarge 3 27 3 3 2 3" xfId="24069" xr:uid="{00000000-0005-0000-0000-0000C1300000}"/>
    <cellStyle name="40% - uthevingsfarge 3 27 3 3 2 3 2" xfId="40122" xr:uid="{00000000-0005-0000-0000-0000C2300000}"/>
    <cellStyle name="40% - uthevingsfarge 3 27 3 3 2 4" xfId="31210" xr:uid="{00000000-0005-0000-0000-0000C3300000}"/>
    <cellStyle name="40% - uthevingsfarge 3 27 3 3 2 5" xfId="42850" xr:uid="{00000000-0005-0000-0000-0000C4300000}"/>
    <cellStyle name="40% - uthevingsfarge 3 27 3 3 2 6" xfId="43288" xr:uid="{00000000-0005-0000-0000-0000C5300000}"/>
    <cellStyle name="40% - uthevingsfarge 3 27 3 3 2 7" xfId="46136" xr:uid="{00000000-0005-0000-0000-0000C6300000}"/>
    <cellStyle name="40% - uthevingsfarge 3 27 3 3 2 8" xfId="46905" xr:uid="{00000000-0005-0000-0000-0000C7300000}"/>
    <cellStyle name="40% - uthevingsfarge 3 27 3 3 2 9" xfId="47491" xr:uid="{00000000-0005-0000-0000-0000C8300000}"/>
    <cellStyle name="40% - uthevingsfarge 3 27 3 3 3" xfId="8287" xr:uid="{00000000-0005-0000-0000-0000C9300000}"/>
    <cellStyle name="40% - uthevingsfarge 3 27 3 3 3 2" xfId="19890" xr:uid="{00000000-0005-0000-0000-0000CA300000}"/>
    <cellStyle name="40% - uthevingsfarge 3 27 3 3 3 2 2" xfId="36003" xr:uid="{00000000-0005-0000-0000-0000CB300000}"/>
    <cellStyle name="40% - uthevingsfarge 3 27 3 3 3 3" xfId="29510" xr:uid="{00000000-0005-0000-0000-0000CC300000}"/>
    <cellStyle name="40% - uthevingsfarge 3 27 3 3 3 4" xfId="43937" xr:uid="{00000000-0005-0000-0000-0000CD300000}"/>
    <cellStyle name="40% - uthevingsfarge 3 27 3 3 4" xfId="16295" xr:uid="{00000000-0005-0000-0000-0000CE300000}"/>
    <cellStyle name="40% - uthevingsfarge 3 27 3 3 4 2" xfId="35383" xr:uid="{00000000-0005-0000-0000-0000CF300000}"/>
    <cellStyle name="40% - uthevingsfarge 3 27 3 3 5" xfId="25042" xr:uid="{00000000-0005-0000-0000-0000D0300000}"/>
    <cellStyle name="40% - uthevingsfarge 3 27 3 3 6" xfId="25301" xr:uid="{00000000-0005-0000-0000-0000D1300000}"/>
    <cellStyle name="40% - uthevingsfarge 3 27 3 3 7" xfId="32902" xr:uid="{00000000-0005-0000-0000-0000D2300000}"/>
    <cellStyle name="40% - uthevingsfarge 3 27 3 3 8" xfId="43748" xr:uid="{00000000-0005-0000-0000-0000D3300000}"/>
    <cellStyle name="40% - uthevingsfarge 3 27 3 3 9" xfId="46674" xr:uid="{00000000-0005-0000-0000-0000D4300000}"/>
    <cellStyle name="40% - uthevingsfarge 3 27 3 4" xfId="5423" xr:uid="{00000000-0005-0000-0000-0000D5300000}"/>
    <cellStyle name="40% - uthevingsfarge 3 27 3 4 2" xfId="8838" xr:uid="{00000000-0005-0000-0000-0000D6300000}"/>
    <cellStyle name="40% - uthevingsfarge 3 27 3 4 2 2" xfId="21199" xr:uid="{00000000-0005-0000-0000-0000D7300000}"/>
    <cellStyle name="40% - uthevingsfarge 3 27 3 4 2 2 2" xfId="37279" xr:uid="{00000000-0005-0000-0000-0000D8300000}"/>
    <cellStyle name="40% - uthevingsfarge 3 27 3 4 2 3" xfId="28960" xr:uid="{00000000-0005-0000-0000-0000D9300000}"/>
    <cellStyle name="40% - uthevingsfarge 3 27 3 4 3" xfId="19825" xr:uid="{00000000-0005-0000-0000-0000DA300000}"/>
    <cellStyle name="40% - uthevingsfarge 3 27 3 4 3 2" xfId="35938" xr:uid="{00000000-0005-0000-0000-0000DB300000}"/>
    <cellStyle name="40% - uthevingsfarge 3 27 3 4 4" xfId="32351" xr:uid="{00000000-0005-0000-0000-0000DC300000}"/>
    <cellStyle name="40% - uthevingsfarge 3 27 3 5" xfId="7137" xr:uid="{00000000-0005-0000-0000-0000DD300000}"/>
    <cellStyle name="40% - uthevingsfarge 3 27 3 5 2" xfId="24663" xr:uid="{00000000-0005-0000-0000-0000DE300000}"/>
    <cellStyle name="40% - uthevingsfarge 3 27 3 5 2 2" xfId="40706" xr:uid="{00000000-0005-0000-0000-0000DF300000}"/>
    <cellStyle name="40% - uthevingsfarge 3 27 3 5 3" xfId="30661" xr:uid="{00000000-0005-0000-0000-0000E0300000}"/>
    <cellStyle name="40% - uthevingsfarge 3 27 3 6" xfId="11156" xr:uid="{00000000-0005-0000-0000-0000E1300000}"/>
    <cellStyle name="40% - uthevingsfarge 3 27 3 7" xfId="34048" xr:uid="{00000000-0005-0000-0000-0000E2300000}"/>
    <cellStyle name="40% - uthevingsfarge 3 27 3 8" xfId="43540" xr:uid="{00000000-0005-0000-0000-0000E3300000}"/>
    <cellStyle name="40% - uthevingsfarge 3 27 3 9" xfId="46444" xr:uid="{00000000-0005-0000-0000-0000E4300000}"/>
    <cellStyle name="40% - uthevingsfarge 3 27 3_Avviksanalyse løpende RNB15 (1)" xfId="16626" xr:uid="{00000000-0005-0000-0000-0000E5300000}"/>
    <cellStyle name="40% - uthevingsfarge 3 27 4" xfId="3746" xr:uid="{00000000-0005-0000-0000-0000E6300000}"/>
    <cellStyle name="40% - uthevingsfarge 3 27 4 2" xfId="5634" xr:uid="{00000000-0005-0000-0000-0000E7300000}"/>
    <cellStyle name="40% - uthevingsfarge 3 27 4 2 2" xfId="9049" xr:uid="{00000000-0005-0000-0000-0000E8300000}"/>
    <cellStyle name="40% - uthevingsfarge 3 27 4 2 2 2" xfId="22708" xr:uid="{00000000-0005-0000-0000-0000E9300000}"/>
    <cellStyle name="40% - uthevingsfarge 3 27 4 2 2 2 2" xfId="38777" xr:uid="{00000000-0005-0000-0000-0000EA300000}"/>
    <cellStyle name="40% - uthevingsfarge 3 27 4 2 2 3" xfId="28749" xr:uid="{00000000-0005-0000-0000-0000EB300000}"/>
    <cellStyle name="40% - uthevingsfarge 3 27 4 2 3" xfId="20149" xr:uid="{00000000-0005-0000-0000-0000EC300000}"/>
    <cellStyle name="40% - uthevingsfarge 3 27 4 2 3 2" xfId="36251" xr:uid="{00000000-0005-0000-0000-0000ED300000}"/>
    <cellStyle name="40% - uthevingsfarge 3 27 4 2 4" xfId="32140" xr:uid="{00000000-0005-0000-0000-0000EE300000}"/>
    <cellStyle name="40% - uthevingsfarge 3 27 4 3" xfId="7352" xr:uid="{00000000-0005-0000-0000-0000EF300000}"/>
    <cellStyle name="40% - uthevingsfarge 3 27 4 3 2" xfId="23190" xr:uid="{00000000-0005-0000-0000-0000F0300000}"/>
    <cellStyle name="40% - uthevingsfarge 3 27 4 3 2 2" xfId="39259" xr:uid="{00000000-0005-0000-0000-0000F1300000}"/>
    <cellStyle name="40% - uthevingsfarge 3 27 4 3 3" xfId="30446" xr:uid="{00000000-0005-0000-0000-0000F2300000}"/>
    <cellStyle name="40% - uthevingsfarge 3 27 4 4" xfId="23765" xr:uid="{00000000-0005-0000-0000-0000F3300000}"/>
    <cellStyle name="40% - uthevingsfarge 3 27 4 4 2" xfId="39821" xr:uid="{00000000-0005-0000-0000-0000F4300000}"/>
    <cellStyle name="40% - uthevingsfarge 3 27 4 5" xfId="33833" xr:uid="{00000000-0005-0000-0000-0000F5300000}"/>
    <cellStyle name="40% - uthevingsfarge 3 27 5" xfId="4213" xr:uid="{00000000-0005-0000-0000-0000F6300000}"/>
    <cellStyle name="40% - uthevingsfarge 3 27 5 2" xfId="6050" xr:uid="{00000000-0005-0000-0000-0000F7300000}"/>
    <cellStyle name="40% - uthevingsfarge 3 27 5 2 2" xfId="9465" xr:uid="{00000000-0005-0000-0000-0000F8300000}"/>
    <cellStyle name="40% - uthevingsfarge 3 27 5 2 2 2" xfId="24516" xr:uid="{00000000-0005-0000-0000-0000F9300000}"/>
    <cellStyle name="40% - uthevingsfarge 3 27 5 2 2 2 2" xfId="40560" xr:uid="{00000000-0005-0000-0000-0000FA300000}"/>
    <cellStyle name="40% - uthevingsfarge 3 27 5 2 2 3" xfId="28333" xr:uid="{00000000-0005-0000-0000-0000FB300000}"/>
    <cellStyle name="40% - uthevingsfarge 3 27 5 2 3" xfId="22312" xr:uid="{00000000-0005-0000-0000-0000FC300000}"/>
    <cellStyle name="40% - uthevingsfarge 3 27 5 2 3 2" xfId="38384" xr:uid="{00000000-0005-0000-0000-0000FD300000}"/>
    <cellStyle name="40% - uthevingsfarge 3 27 5 2 4" xfId="31728" xr:uid="{00000000-0005-0000-0000-0000FE300000}"/>
    <cellStyle name="40% - uthevingsfarge 3 27 5 3" xfId="7783" xr:uid="{00000000-0005-0000-0000-0000FF300000}"/>
    <cellStyle name="40% - uthevingsfarge 3 27 5 3 2" xfId="24270" xr:uid="{00000000-0005-0000-0000-000000310000}"/>
    <cellStyle name="40% - uthevingsfarge 3 27 5 3 2 2" xfId="40323" xr:uid="{00000000-0005-0000-0000-000001310000}"/>
    <cellStyle name="40% - uthevingsfarge 3 27 5 3 3" xfId="30016" xr:uid="{00000000-0005-0000-0000-000002310000}"/>
    <cellStyle name="40% - uthevingsfarge 3 27 5 4" xfId="10990" xr:uid="{00000000-0005-0000-0000-000003310000}"/>
    <cellStyle name="40% - uthevingsfarge 3 27 5 4 2" xfId="34724" xr:uid="{00000000-0005-0000-0000-000004310000}"/>
    <cellStyle name="40% - uthevingsfarge 3 27 5 5" xfId="33404" xr:uid="{00000000-0005-0000-0000-000005310000}"/>
    <cellStyle name="40% - uthevingsfarge 3 27 6" xfId="4681" xr:uid="{00000000-0005-0000-0000-000006310000}"/>
    <cellStyle name="40% - uthevingsfarge 3 27 6 2" xfId="6401" xr:uid="{00000000-0005-0000-0000-000007310000}"/>
    <cellStyle name="40% - uthevingsfarge 3 27 6 2 2" xfId="9811" xr:uid="{00000000-0005-0000-0000-000008310000}"/>
    <cellStyle name="40% - uthevingsfarge 3 27 6 2 2 2" xfId="23562" xr:uid="{00000000-0005-0000-0000-000009310000}"/>
    <cellStyle name="40% - uthevingsfarge 3 27 6 2 2 2 2" xfId="39618" xr:uid="{00000000-0005-0000-0000-00000A310000}"/>
    <cellStyle name="40% - uthevingsfarge 3 27 6 2 2 3" xfId="27988" xr:uid="{00000000-0005-0000-0000-00000B310000}"/>
    <cellStyle name="40% - uthevingsfarge 3 27 6 2 3" xfId="23032" xr:uid="{00000000-0005-0000-0000-00000C310000}"/>
    <cellStyle name="40% - uthevingsfarge 3 27 6 2 3 2" xfId="39101" xr:uid="{00000000-0005-0000-0000-00000D310000}"/>
    <cellStyle name="40% - uthevingsfarge 3 27 6 2 4" xfId="31389" xr:uid="{00000000-0005-0000-0000-00000E310000}"/>
    <cellStyle name="40% - uthevingsfarge 3 27 6 3" xfId="8107" xr:uid="{00000000-0005-0000-0000-00000F310000}"/>
    <cellStyle name="40% - uthevingsfarge 3 27 6 3 2" xfId="24316" xr:uid="{00000000-0005-0000-0000-000010310000}"/>
    <cellStyle name="40% - uthevingsfarge 3 27 6 3 2 2" xfId="40366" xr:uid="{00000000-0005-0000-0000-000011310000}"/>
    <cellStyle name="40% - uthevingsfarge 3 27 6 3 3" xfId="29691" xr:uid="{00000000-0005-0000-0000-000012310000}"/>
    <cellStyle name="40% - uthevingsfarge 3 27 6 4" xfId="10918" xr:uid="{00000000-0005-0000-0000-000013310000}"/>
    <cellStyle name="40% - uthevingsfarge 3 27 6 4 2" xfId="34682" xr:uid="{00000000-0005-0000-0000-000014310000}"/>
    <cellStyle name="40% - uthevingsfarge 3 27 6 5" xfId="33082" xr:uid="{00000000-0005-0000-0000-000015310000}"/>
    <cellStyle name="40% - uthevingsfarge 3 27 7" xfId="5045" xr:uid="{00000000-0005-0000-0000-000016310000}"/>
    <cellStyle name="40% - uthevingsfarge 3 27 7 2" xfId="6764" xr:uid="{00000000-0005-0000-0000-000017310000}"/>
    <cellStyle name="40% - uthevingsfarge 3 27 7 2 2" xfId="10170" xr:uid="{00000000-0005-0000-0000-000018310000}"/>
    <cellStyle name="40% - uthevingsfarge 3 27 7 2 2 2" xfId="24638" xr:uid="{00000000-0005-0000-0000-000019310000}"/>
    <cellStyle name="40% - uthevingsfarge 3 27 7 2 2 2 2" xfId="40682" xr:uid="{00000000-0005-0000-0000-00001A310000}"/>
    <cellStyle name="40% - uthevingsfarge 3 27 7 2 2 3" xfId="27629" xr:uid="{00000000-0005-0000-0000-00001B310000}"/>
    <cellStyle name="40% - uthevingsfarge 3 27 7 2 3" xfId="20558" xr:uid="{00000000-0005-0000-0000-00001C310000}"/>
    <cellStyle name="40% - uthevingsfarge 3 27 7 2 3 2" xfId="36657" xr:uid="{00000000-0005-0000-0000-00001D310000}"/>
    <cellStyle name="40% - uthevingsfarge 3 27 7 2 4" xfId="31030" xr:uid="{00000000-0005-0000-0000-00001E310000}"/>
    <cellStyle name="40% - uthevingsfarge 3 27 7 3" xfId="8467" xr:uid="{00000000-0005-0000-0000-00001F310000}"/>
    <cellStyle name="40% - uthevingsfarge 3 27 7 3 2" xfId="19500" xr:uid="{00000000-0005-0000-0000-000020310000}"/>
    <cellStyle name="40% - uthevingsfarge 3 27 7 3 2 2" xfId="35614" xr:uid="{00000000-0005-0000-0000-000021310000}"/>
    <cellStyle name="40% - uthevingsfarge 3 27 7 3 3" xfId="29331" xr:uid="{00000000-0005-0000-0000-000022310000}"/>
    <cellStyle name="40% - uthevingsfarge 3 27 7 4" xfId="12196" xr:uid="{00000000-0005-0000-0000-000023310000}"/>
    <cellStyle name="40% - uthevingsfarge 3 27 7 4 2" xfId="35121" xr:uid="{00000000-0005-0000-0000-000024310000}"/>
    <cellStyle name="40% - uthevingsfarge 3 27 7 5" xfId="32722" xr:uid="{00000000-0005-0000-0000-000025310000}"/>
    <cellStyle name="40% - uthevingsfarge 3 27 8" xfId="5203" xr:uid="{00000000-0005-0000-0000-000026310000}"/>
    <cellStyle name="40% - uthevingsfarge 3 27 8 2" xfId="8622" xr:uid="{00000000-0005-0000-0000-000027310000}"/>
    <cellStyle name="40% - uthevingsfarge 3 27 8 2 2" xfId="21139" xr:uid="{00000000-0005-0000-0000-000028310000}"/>
    <cellStyle name="40% - uthevingsfarge 3 27 8 2 2 2" xfId="37219" xr:uid="{00000000-0005-0000-0000-000029310000}"/>
    <cellStyle name="40% - uthevingsfarge 3 27 8 2 3" xfId="29176" xr:uid="{00000000-0005-0000-0000-00002A310000}"/>
    <cellStyle name="40% - uthevingsfarge 3 27 8 3" xfId="12130" xr:uid="{00000000-0005-0000-0000-00002B310000}"/>
    <cellStyle name="40% - uthevingsfarge 3 27 8 3 2" xfId="35086" xr:uid="{00000000-0005-0000-0000-00002C310000}"/>
    <cellStyle name="40% - uthevingsfarge 3 27 8 4" xfId="32567" xr:uid="{00000000-0005-0000-0000-00002D310000}"/>
    <cellStyle name="40% - uthevingsfarge 3 27 9" xfId="6939" xr:uid="{00000000-0005-0000-0000-00002E310000}"/>
    <cellStyle name="40% - uthevingsfarge 3 27 9 2" xfId="10642" xr:uid="{00000000-0005-0000-0000-00002F310000}"/>
    <cellStyle name="40% - uthevingsfarge 3 27 9 2 2" xfId="34490" xr:uid="{00000000-0005-0000-0000-000030310000}"/>
    <cellStyle name="40% - uthevingsfarge 3 27 9 3" xfId="30859" xr:uid="{00000000-0005-0000-0000-000031310000}"/>
    <cellStyle name="40% - uthevingsfarge 3 28" xfId="828" xr:uid="{00000000-0005-0000-0000-000032310000}"/>
    <cellStyle name="40% - uthevingsfarge 3 28 10" xfId="6940" xr:uid="{00000000-0005-0000-0000-000033310000}"/>
    <cellStyle name="40% - uthevingsfarge 3 28 10 2" xfId="10330" xr:uid="{00000000-0005-0000-0000-000034310000}"/>
    <cellStyle name="40% - uthevingsfarge 3 28 10 2 2" xfId="34300" xr:uid="{00000000-0005-0000-0000-000035310000}"/>
    <cellStyle name="40% - uthevingsfarge 3 28 10 3" xfId="30858" xr:uid="{00000000-0005-0000-0000-000036310000}"/>
    <cellStyle name="40% - uthevingsfarge 3 28 11" xfId="11157" xr:uid="{00000000-0005-0000-0000-000037310000}"/>
    <cellStyle name="40% - uthevingsfarge 3 28 12" xfId="34246" xr:uid="{00000000-0005-0000-0000-000038310000}"/>
    <cellStyle name="40% - uthevingsfarge 3 28 2" xfId="3343" xr:uid="{00000000-0005-0000-0000-000039310000}"/>
    <cellStyle name="40% - uthevingsfarge 3 28 2 10" xfId="34148" xr:uid="{00000000-0005-0000-0000-00003A310000}"/>
    <cellStyle name="40% - uthevingsfarge 3 28 2 2" xfId="3575" xr:uid="{00000000-0005-0000-0000-00003B310000}"/>
    <cellStyle name="40% - uthevingsfarge 3 28 2 2 10" xfId="47174" xr:uid="{00000000-0005-0000-0000-00003C310000}"/>
    <cellStyle name="40% - uthevingsfarge 3 28 2 2 2" xfId="4005" xr:uid="{00000000-0005-0000-0000-00003D310000}"/>
    <cellStyle name="40% - uthevingsfarge 3 28 2 2 2 2" xfId="5893" xr:uid="{00000000-0005-0000-0000-00003E310000}"/>
    <cellStyle name="40% - uthevingsfarge 3 28 2 2 2 2 2" xfId="9308" xr:uid="{00000000-0005-0000-0000-00003F310000}"/>
    <cellStyle name="40% - uthevingsfarge 3 28 2 2 2 2 2 2" xfId="24492" xr:uid="{00000000-0005-0000-0000-000040310000}"/>
    <cellStyle name="40% - uthevingsfarge 3 28 2 2 2 2 2 2 2" xfId="40536" xr:uid="{00000000-0005-0000-0000-000041310000}"/>
    <cellStyle name="40% - uthevingsfarge 3 28 2 2 2 2 2 3" xfId="28490" xr:uid="{00000000-0005-0000-0000-000042310000}"/>
    <cellStyle name="40% - uthevingsfarge 3 28 2 2 2 2 3" xfId="22933" xr:uid="{00000000-0005-0000-0000-000043310000}"/>
    <cellStyle name="40% - uthevingsfarge 3 28 2 2 2 2 3 2" xfId="39002" xr:uid="{00000000-0005-0000-0000-000044310000}"/>
    <cellStyle name="40% - uthevingsfarge 3 28 2 2 2 2 4" xfId="31883" xr:uid="{00000000-0005-0000-0000-000045310000}"/>
    <cellStyle name="40% - uthevingsfarge 3 28 2 2 2 3" xfId="7611" xr:uid="{00000000-0005-0000-0000-000046310000}"/>
    <cellStyle name="40% - uthevingsfarge 3 28 2 2 2 3 2" xfId="20837" xr:uid="{00000000-0005-0000-0000-000047310000}"/>
    <cellStyle name="40% - uthevingsfarge 3 28 2 2 2 3 2 2" xfId="36936" xr:uid="{00000000-0005-0000-0000-000048310000}"/>
    <cellStyle name="40% - uthevingsfarge 3 28 2 2 2 3 3" xfId="30187" xr:uid="{00000000-0005-0000-0000-000049310000}"/>
    <cellStyle name="40% - uthevingsfarge 3 28 2 2 2 4" xfId="18019" xr:uid="{00000000-0005-0000-0000-00004A310000}"/>
    <cellStyle name="40% - uthevingsfarge 3 28 2 2 2 5" xfId="22795" xr:uid="{00000000-0005-0000-0000-00004B310000}"/>
    <cellStyle name="40% - uthevingsfarge 3 28 2 2 2 5 2" xfId="38864" xr:uid="{00000000-0005-0000-0000-00004C310000}"/>
    <cellStyle name="40% - uthevingsfarge 3 28 2 2 2 6" xfId="33574" xr:uid="{00000000-0005-0000-0000-00004D310000}"/>
    <cellStyle name="40% - uthevingsfarge 3 28 2 2 3" xfId="4945" xr:uid="{00000000-0005-0000-0000-00004E310000}"/>
    <cellStyle name="40% - uthevingsfarge 3 28 2 2 3 10" xfId="47364" xr:uid="{00000000-0005-0000-0000-00004F310000}"/>
    <cellStyle name="40% - uthevingsfarge 3 28 2 2 3 2" xfId="6664" xr:uid="{00000000-0005-0000-0000-000050310000}"/>
    <cellStyle name="40% - uthevingsfarge 3 28 2 2 3 2 2" xfId="10070" xr:uid="{00000000-0005-0000-0000-000051310000}"/>
    <cellStyle name="40% - uthevingsfarge 3 28 2 2 3 2 2 2" xfId="21595" xr:uid="{00000000-0005-0000-0000-000052310000}"/>
    <cellStyle name="40% - uthevingsfarge 3 28 2 2 3 2 2 2 2" xfId="37675" xr:uid="{00000000-0005-0000-0000-000053310000}"/>
    <cellStyle name="40% - uthevingsfarge 3 28 2 2 3 2 2 3" xfId="27729" xr:uid="{00000000-0005-0000-0000-000054310000}"/>
    <cellStyle name="40% - uthevingsfarge 3 28 2 2 3 2 3" xfId="24083" xr:uid="{00000000-0005-0000-0000-000055310000}"/>
    <cellStyle name="40% - uthevingsfarge 3 28 2 2 3 2 3 2" xfId="40136" xr:uid="{00000000-0005-0000-0000-000056310000}"/>
    <cellStyle name="40% - uthevingsfarge 3 28 2 2 3 2 4" xfId="31130" xr:uid="{00000000-0005-0000-0000-000057310000}"/>
    <cellStyle name="40% - uthevingsfarge 3 28 2 2 3 2 5" xfId="43058" xr:uid="{00000000-0005-0000-0000-000058310000}"/>
    <cellStyle name="40% - uthevingsfarge 3 28 2 2 3 2 6" xfId="43355" xr:uid="{00000000-0005-0000-0000-000059310000}"/>
    <cellStyle name="40% - uthevingsfarge 3 28 2 2 3 2 7" xfId="46203" xr:uid="{00000000-0005-0000-0000-00005A310000}"/>
    <cellStyle name="40% - uthevingsfarge 3 28 2 2 3 2 8" xfId="46975" xr:uid="{00000000-0005-0000-0000-00005B310000}"/>
    <cellStyle name="40% - uthevingsfarge 3 28 2 2 3 2 9" xfId="47560" xr:uid="{00000000-0005-0000-0000-00005C310000}"/>
    <cellStyle name="40% - uthevingsfarge 3 28 2 2 3 3" xfId="8367" xr:uid="{00000000-0005-0000-0000-00005D310000}"/>
    <cellStyle name="40% - uthevingsfarge 3 28 2 2 3 3 2" xfId="22651" xr:uid="{00000000-0005-0000-0000-00005E310000}"/>
    <cellStyle name="40% - uthevingsfarge 3 28 2 2 3 3 2 2" xfId="38720" xr:uid="{00000000-0005-0000-0000-00005F310000}"/>
    <cellStyle name="40% - uthevingsfarge 3 28 2 2 3 3 3" xfId="29431" xr:uid="{00000000-0005-0000-0000-000060310000}"/>
    <cellStyle name="40% - uthevingsfarge 3 28 2 2 3 3 4" xfId="43938" xr:uid="{00000000-0005-0000-0000-000061310000}"/>
    <cellStyle name="40% - uthevingsfarge 3 28 2 2 3 4" xfId="16503" xr:uid="{00000000-0005-0000-0000-000062310000}"/>
    <cellStyle name="40% - uthevingsfarge 3 28 2 2 3 4 2" xfId="35450" xr:uid="{00000000-0005-0000-0000-000063310000}"/>
    <cellStyle name="40% - uthevingsfarge 3 28 2 2 3 5" xfId="25112" xr:uid="{00000000-0005-0000-0000-000064310000}"/>
    <cellStyle name="40% - uthevingsfarge 3 28 2 2 3 6" xfId="25302" xr:uid="{00000000-0005-0000-0000-000065310000}"/>
    <cellStyle name="40% - uthevingsfarge 3 28 2 2 3 7" xfId="32822" xr:uid="{00000000-0005-0000-0000-000066310000}"/>
    <cellStyle name="40% - uthevingsfarge 3 28 2 2 3 8" xfId="43816" xr:uid="{00000000-0005-0000-0000-000067310000}"/>
    <cellStyle name="40% - uthevingsfarge 3 28 2 2 3 9" xfId="46741" xr:uid="{00000000-0005-0000-0000-000068310000}"/>
    <cellStyle name="40% - uthevingsfarge 3 28 2 2 4" xfId="5499" xr:uid="{00000000-0005-0000-0000-000069310000}"/>
    <cellStyle name="40% - uthevingsfarge 3 28 2 2 4 2" xfId="8914" xr:uid="{00000000-0005-0000-0000-00006A310000}"/>
    <cellStyle name="40% - uthevingsfarge 3 28 2 2 4 2 2" xfId="21673" xr:uid="{00000000-0005-0000-0000-00006B310000}"/>
    <cellStyle name="40% - uthevingsfarge 3 28 2 2 4 2 2 2" xfId="37753" xr:uid="{00000000-0005-0000-0000-00006C310000}"/>
    <cellStyle name="40% - uthevingsfarge 3 28 2 2 4 2 3" xfId="28884" xr:uid="{00000000-0005-0000-0000-00006D310000}"/>
    <cellStyle name="40% - uthevingsfarge 3 28 2 2 4 3" xfId="10689" xr:uid="{00000000-0005-0000-0000-00006E310000}"/>
    <cellStyle name="40% - uthevingsfarge 3 28 2 2 4 3 2" xfId="34537" xr:uid="{00000000-0005-0000-0000-00006F310000}"/>
    <cellStyle name="40% - uthevingsfarge 3 28 2 2 4 4" xfId="32275" xr:uid="{00000000-0005-0000-0000-000070310000}"/>
    <cellStyle name="40% - uthevingsfarge 3 28 2 2 5" xfId="7217" xr:uid="{00000000-0005-0000-0000-000071310000}"/>
    <cellStyle name="40% - uthevingsfarge 3 28 2 2 5 2" xfId="10634" xr:uid="{00000000-0005-0000-0000-000072310000}"/>
    <cellStyle name="40% - uthevingsfarge 3 28 2 2 5 2 2" xfId="34482" xr:uid="{00000000-0005-0000-0000-000073310000}"/>
    <cellStyle name="40% - uthevingsfarge 3 28 2 2 5 3" xfId="30581" xr:uid="{00000000-0005-0000-0000-000074310000}"/>
    <cellStyle name="40% - uthevingsfarge 3 28 2 2 6" xfId="11159" xr:uid="{00000000-0005-0000-0000-000075310000}"/>
    <cellStyle name="40% - uthevingsfarge 3 28 2 2 7" xfId="33968" xr:uid="{00000000-0005-0000-0000-000076310000}"/>
    <cellStyle name="40% - uthevingsfarge 3 28 2 2 8" xfId="43607" xr:uid="{00000000-0005-0000-0000-000077310000}"/>
    <cellStyle name="40% - uthevingsfarge 3 28 2 2 9" xfId="46513" xr:uid="{00000000-0005-0000-0000-000078310000}"/>
    <cellStyle name="40% - uthevingsfarge 3 28 2 2_Avviksanalyse løpende RNB15 (1)" xfId="16627" xr:uid="{00000000-0005-0000-0000-000079310000}"/>
    <cellStyle name="40% - uthevingsfarge 3 28 2 3" xfId="3825" xr:uid="{00000000-0005-0000-0000-00007A310000}"/>
    <cellStyle name="40% - uthevingsfarge 3 28 2 3 2" xfId="5713" xr:uid="{00000000-0005-0000-0000-00007B310000}"/>
    <cellStyle name="40% - uthevingsfarge 3 28 2 3 2 2" xfId="9128" xr:uid="{00000000-0005-0000-0000-00007C310000}"/>
    <cellStyle name="40% - uthevingsfarge 3 28 2 3 2 2 2" xfId="21917" xr:uid="{00000000-0005-0000-0000-00007D310000}"/>
    <cellStyle name="40% - uthevingsfarge 3 28 2 3 2 2 2 2" xfId="37992" xr:uid="{00000000-0005-0000-0000-00007E310000}"/>
    <cellStyle name="40% - uthevingsfarge 3 28 2 3 2 2 3" xfId="28670" xr:uid="{00000000-0005-0000-0000-00007F310000}"/>
    <cellStyle name="40% - uthevingsfarge 3 28 2 3 2 3" xfId="20179" xr:uid="{00000000-0005-0000-0000-000080310000}"/>
    <cellStyle name="40% - uthevingsfarge 3 28 2 3 2 3 2" xfId="36279" xr:uid="{00000000-0005-0000-0000-000081310000}"/>
    <cellStyle name="40% - uthevingsfarge 3 28 2 3 2 4" xfId="32061" xr:uid="{00000000-0005-0000-0000-000082310000}"/>
    <cellStyle name="40% - uthevingsfarge 3 28 2 3 3" xfId="7431" xr:uid="{00000000-0005-0000-0000-000083310000}"/>
    <cellStyle name="40% - uthevingsfarge 3 28 2 3 3 2" xfId="24206" xr:uid="{00000000-0005-0000-0000-000084310000}"/>
    <cellStyle name="40% - uthevingsfarge 3 28 2 3 3 2 2" xfId="40259" xr:uid="{00000000-0005-0000-0000-000085310000}"/>
    <cellStyle name="40% - uthevingsfarge 3 28 2 3 3 3" xfId="30367" xr:uid="{00000000-0005-0000-0000-000086310000}"/>
    <cellStyle name="40% - uthevingsfarge 3 28 2 3 4" xfId="19599" xr:uid="{00000000-0005-0000-0000-000087310000}"/>
    <cellStyle name="40% - uthevingsfarge 3 28 2 3 4 2" xfId="35713" xr:uid="{00000000-0005-0000-0000-000088310000}"/>
    <cellStyle name="40% - uthevingsfarge 3 28 2 3 5" xfId="33754" xr:uid="{00000000-0005-0000-0000-000089310000}"/>
    <cellStyle name="40% - uthevingsfarge 3 28 2 4" xfId="4310" xr:uid="{00000000-0005-0000-0000-00008A310000}"/>
    <cellStyle name="40% - uthevingsfarge 3 28 2 4 2" xfId="6139" xr:uid="{00000000-0005-0000-0000-00008B310000}"/>
    <cellStyle name="40% - uthevingsfarge 3 28 2 4 2 2" xfId="9553" xr:uid="{00000000-0005-0000-0000-00008C310000}"/>
    <cellStyle name="40% - uthevingsfarge 3 28 2 4 2 2 2" xfId="24529" xr:uid="{00000000-0005-0000-0000-00008D310000}"/>
    <cellStyle name="40% - uthevingsfarge 3 28 2 4 2 2 2 2" xfId="40573" xr:uid="{00000000-0005-0000-0000-00008E310000}"/>
    <cellStyle name="40% - uthevingsfarge 3 28 2 4 2 2 3" xfId="28245" xr:uid="{00000000-0005-0000-0000-00008F310000}"/>
    <cellStyle name="40% - uthevingsfarge 3 28 2 4 2 3" xfId="20338" xr:uid="{00000000-0005-0000-0000-000090310000}"/>
    <cellStyle name="40% - uthevingsfarge 3 28 2 4 2 3 2" xfId="36437" xr:uid="{00000000-0005-0000-0000-000091310000}"/>
    <cellStyle name="40% - uthevingsfarge 3 28 2 4 2 4" xfId="31641" xr:uid="{00000000-0005-0000-0000-000092310000}"/>
    <cellStyle name="40% - uthevingsfarge 3 28 2 4 3" xfId="7872" xr:uid="{00000000-0005-0000-0000-000093310000}"/>
    <cellStyle name="40% - uthevingsfarge 3 28 2 4 3 2" xfId="21757" xr:uid="{00000000-0005-0000-0000-000094310000}"/>
    <cellStyle name="40% - uthevingsfarge 3 28 2 4 3 2 2" xfId="37835" xr:uid="{00000000-0005-0000-0000-000095310000}"/>
    <cellStyle name="40% - uthevingsfarge 3 28 2 4 3 3" xfId="29927" xr:uid="{00000000-0005-0000-0000-000096310000}"/>
    <cellStyle name="40% - uthevingsfarge 3 28 2 4 4" xfId="12380" xr:uid="{00000000-0005-0000-0000-000097310000}"/>
    <cellStyle name="40% - uthevingsfarge 3 28 2 4 4 2" xfId="35214" xr:uid="{00000000-0005-0000-0000-000098310000}"/>
    <cellStyle name="40% - uthevingsfarge 3 28 2 4 5" xfId="33315" xr:uid="{00000000-0005-0000-0000-000099310000}"/>
    <cellStyle name="40% - uthevingsfarge 3 28 2 5" xfId="4765" xr:uid="{00000000-0005-0000-0000-00009A310000}"/>
    <cellStyle name="40% - uthevingsfarge 3 28 2 5 2" xfId="6485" xr:uid="{00000000-0005-0000-0000-00009B310000}"/>
    <cellStyle name="40% - uthevingsfarge 3 28 2 5 2 2" xfId="9891" xr:uid="{00000000-0005-0000-0000-00009C310000}"/>
    <cellStyle name="40% - uthevingsfarge 3 28 2 5 2 2 2" xfId="21523" xr:uid="{00000000-0005-0000-0000-00009D310000}"/>
    <cellStyle name="40% - uthevingsfarge 3 28 2 5 2 2 2 2" xfId="37603" xr:uid="{00000000-0005-0000-0000-00009E310000}"/>
    <cellStyle name="40% - uthevingsfarge 3 28 2 5 2 2 3" xfId="27908" xr:uid="{00000000-0005-0000-0000-00009F310000}"/>
    <cellStyle name="40% - uthevingsfarge 3 28 2 5 2 3" xfId="20469" xr:uid="{00000000-0005-0000-0000-0000A0310000}"/>
    <cellStyle name="40% - uthevingsfarge 3 28 2 5 2 3 2" xfId="36568" xr:uid="{00000000-0005-0000-0000-0000A1310000}"/>
    <cellStyle name="40% - uthevingsfarge 3 28 2 5 2 4" xfId="31309" xr:uid="{00000000-0005-0000-0000-0000A2310000}"/>
    <cellStyle name="40% - uthevingsfarge 3 28 2 5 3" xfId="8187" xr:uid="{00000000-0005-0000-0000-0000A3310000}"/>
    <cellStyle name="40% - uthevingsfarge 3 28 2 5 3 2" xfId="24329" xr:uid="{00000000-0005-0000-0000-0000A4310000}"/>
    <cellStyle name="40% - uthevingsfarge 3 28 2 5 3 2 2" xfId="40379" xr:uid="{00000000-0005-0000-0000-0000A5310000}"/>
    <cellStyle name="40% - uthevingsfarge 3 28 2 5 3 3" xfId="29610" xr:uid="{00000000-0005-0000-0000-0000A6310000}"/>
    <cellStyle name="40% - uthevingsfarge 3 28 2 5 4" xfId="22831" xr:uid="{00000000-0005-0000-0000-0000A7310000}"/>
    <cellStyle name="40% - uthevingsfarge 3 28 2 5 4 2" xfId="38900" xr:uid="{00000000-0005-0000-0000-0000A8310000}"/>
    <cellStyle name="40% - uthevingsfarge 3 28 2 5 5" xfId="33002" xr:uid="{00000000-0005-0000-0000-0000A9310000}"/>
    <cellStyle name="40% - uthevingsfarge 3 28 2 6" xfId="5125" xr:uid="{00000000-0005-0000-0000-0000AA310000}"/>
    <cellStyle name="40% - uthevingsfarge 3 28 2 6 2" xfId="6844" xr:uid="{00000000-0005-0000-0000-0000AB310000}"/>
    <cellStyle name="40% - uthevingsfarge 3 28 2 6 2 2" xfId="10250" xr:uid="{00000000-0005-0000-0000-0000AC310000}"/>
    <cellStyle name="40% - uthevingsfarge 3 28 2 6 2 2 2" xfId="24693" xr:uid="{00000000-0005-0000-0000-0000AD310000}"/>
    <cellStyle name="40% - uthevingsfarge 3 28 2 6 2 2 2 2" xfId="40736" xr:uid="{00000000-0005-0000-0000-0000AE310000}"/>
    <cellStyle name="40% - uthevingsfarge 3 28 2 6 2 2 3" xfId="27549" xr:uid="{00000000-0005-0000-0000-0000AF310000}"/>
    <cellStyle name="40% - uthevingsfarge 3 28 2 6 2 3" xfId="22527" xr:uid="{00000000-0005-0000-0000-0000B0310000}"/>
    <cellStyle name="40% - uthevingsfarge 3 28 2 6 2 3 2" xfId="38597" xr:uid="{00000000-0005-0000-0000-0000B1310000}"/>
    <cellStyle name="40% - uthevingsfarge 3 28 2 6 2 4" xfId="30950" xr:uid="{00000000-0005-0000-0000-0000B2310000}"/>
    <cellStyle name="40% - uthevingsfarge 3 28 2 6 3" xfId="8547" xr:uid="{00000000-0005-0000-0000-0000B3310000}"/>
    <cellStyle name="40% - uthevingsfarge 3 28 2 6 3 2" xfId="10523" xr:uid="{00000000-0005-0000-0000-0000B4310000}"/>
    <cellStyle name="40% - uthevingsfarge 3 28 2 6 3 2 2" xfId="34406" xr:uid="{00000000-0005-0000-0000-0000B5310000}"/>
    <cellStyle name="40% - uthevingsfarge 3 28 2 6 3 3" xfId="29251" xr:uid="{00000000-0005-0000-0000-0000B6310000}"/>
    <cellStyle name="40% - uthevingsfarge 3 28 2 6 4" xfId="12164" xr:uid="{00000000-0005-0000-0000-0000B7310000}"/>
    <cellStyle name="40% - uthevingsfarge 3 28 2 6 4 2" xfId="35102" xr:uid="{00000000-0005-0000-0000-0000B8310000}"/>
    <cellStyle name="40% - uthevingsfarge 3 28 2 6 5" xfId="32642" xr:uid="{00000000-0005-0000-0000-0000B9310000}"/>
    <cellStyle name="40% - uthevingsfarge 3 28 2 7" xfId="5304" xr:uid="{00000000-0005-0000-0000-0000BA310000}"/>
    <cellStyle name="40% - uthevingsfarge 3 28 2 7 2" xfId="8719" xr:uid="{00000000-0005-0000-0000-0000BB310000}"/>
    <cellStyle name="40% - uthevingsfarge 3 28 2 7 2 2" xfId="11785" xr:uid="{00000000-0005-0000-0000-0000BC310000}"/>
    <cellStyle name="40% - uthevingsfarge 3 28 2 7 2 2 2" xfId="34863" xr:uid="{00000000-0005-0000-0000-0000BD310000}"/>
    <cellStyle name="40% - uthevingsfarge 3 28 2 7 2 3" xfId="29079" xr:uid="{00000000-0005-0000-0000-0000BE310000}"/>
    <cellStyle name="40% - uthevingsfarge 3 28 2 7 3" xfId="19801" xr:uid="{00000000-0005-0000-0000-0000BF310000}"/>
    <cellStyle name="40% - uthevingsfarge 3 28 2 7 3 2" xfId="35914" xr:uid="{00000000-0005-0000-0000-0000C0310000}"/>
    <cellStyle name="40% - uthevingsfarge 3 28 2 7 4" xfId="32470" xr:uid="{00000000-0005-0000-0000-0000C1310000}"/>
    <cellStyle name="40% - uthevingsfarge 3 28 2 8" xfId="7037" xr:uid="{00000000-0005-0000-0000-0000C2310000}"/>
    <cellStyle name="40% - uthevingsfarge 3 28 2 8 2" xfId="24137" xr:uid="{00000000-0005-0000-0000-0000C3310000}"/>
    <cellStyle name="40% - uthevingsfarge 3 28 2 8 2 2" xfId="40190" xr:uid="{00000000-0005-0000-0000-0000C4310000}"/>
    <cellStyle name="40% - uthevingsfarge 3 28 2 8 3" xfId="30761" xr:uid="{00000000-0005-0000-0000-0000C5310000}"/>
    <cellStyle name="40% - uthevingsfarge 3 28 2 9" xfId="11158" xr:uid="{00000000-0005-0000-0000-0000C6310000}"/>
    <cellStyle name="40% - uthevingsfarge 3 28 3" xfId="3490" xr:uid="{00000000-0005-0000-0000-0000C7310000}"/>
    <cellStyle name="40% - uthevingsfarge 3 28 3 10" xfId="46445" xr:uid="{00000000-0005-0000-0000-0000C8310000}"/>
    <cellStyle name="40% - uthevingsfarge 3 28 3 11" xfId="47106" xr:uid="{00000000-0005-0000-0000-0000C9310000}"/>
    <cellStyle name="40% - uthevingsfarge 3 28 3 2" xfId="3926" xr:uid="{00000000-0005-0000-0000-0000CA310000}"/>
    <cellStyle name="40% - uthevingsfarge 3 28 3 2 2" xfId="5814" xr:uid="{00000000-0005-0000-0000-0000CB310000}"/>
    <cellStyle name="40% - uthevingsfarge 3 28 3 2 2 2" xfId="9229" xr:uid="{00000000-0005-0000-0000-0000CC310000}"/>
    <cellStyle name="40% - uthevingsfarge 3 28 3 2 2 2 2" xfId="23478" xr:uid="{00000000-0005-0000-0000-0000CD310000}"/>
    <cellStyle name="40% - uthevingsfarge 3 28 3 2 2 2 2 2" xfId="39534" xr:uid="{00000000-0005-0000-0000-0000CE310000}"/>
    <cellStyle name="40% - uthevingsfarge 3 28 3 2 2 2 3" xfId="28569" xr:uid="{00000000-0005-0000-0000-0000CF310000}"/>
    <cellStyle name="40% - uthevingsfarge 3 28 3 2 2 3" xfId="22920" xr:uid="{00000000-0005-0000-0000-0000D0310000}"/>
    <cellStyle name="40% - uthevingsfarge 3 28 3 2 2 3 2" xfId="38989" xr:uid="{00000000-0005-0000-0000-0000D1310000}"/>
    <cellStyle name="40% - uthevingsfarge 3 28 3 2 2 4" xfId="31960" xr:uid="{00000000-0005-0000-0000-0000D2310000}"/>
    <cellStyle name="40% - uthevingsfarge 3 28 3 2 3" xfId="7532" xr:uid="{00000000-0005-0000-0000-0000D3310000}"/>
    <cellStyle name="40% - uthevingsfarge 3 28 3 2 3 2" xfId="11936" xr:uid="{00000000-0005-0000-0000-0000D4310000}"/>
    <cellStyle name="40% - uthevingsfarge 3 28 3 2 3 2 2" xfId="34959" xr:uid="{00000000-0005-0000-0000-0000D5310000}"/>
    <cellStyle name="40% - uthevingsfarge 3 28 3 2 3 3" xfId="30266" xr:uid="{00000000-0005-0000-0000-0000D6310000}"/>
    <cellStyle name="40% - uthevingsfarge 3 28 3 2 4" xfId="18020" xr:uid="{00000000-0005-0000-0000-0000D7310000}"/>
    <cellStyle name="40% - uthevingsfarge 3 28 3 2 5" xfId="21824" xr:uid="{00000000-0005-0000-0000-0000D8310000}"/>
    <cellStyle name="40% - uthevingsfarge 3 28 3 2 5 2" xfId="37900" xr:uid="{00000000-0005-0000-0000-0000D9310000}"/>
    <cellStyle name="40% - uthevingsfarge 3 28 3 2 6" xfId="33653" xr:uid="{00000000-0005-0000-0000-0000DA310000}"/>
    <cellStyle name="40% - uthevingsfarge 3 28 3 3" xfId="4407" xr:uid="{00000000-0005-0000-0000-0000DB310000}"/>
    <cellStyle name="40% - uthevingsfarge 3 28 3 3 10" xfId="47296" xr:uid="{00000000-0005-0000-0000-0000DC310000}"/>
    <cellStyle name="40% - uthevingsfarge 3 28 3 3 2" xfId="6204" xr:uid="{00000000-0005-0000-0000-0000DD310000}"/>
    <cellStyle name="40% - uthevingsfarge 3 28 3 3 2 2" xfId="9618" xr:uid="{00000000-0005-0000-0000-0000DE310000}"/>
    <cellStyle name="40% - uthevingsfarge 3 28 3 3 2 2 2" xfId="10414" xr:uid="{00000000-0005-0000-0000-0000DF310000}"/>
    <cellStyle name="40% - uthevingsfarge 3 28 3 3 2 2 2 2" xfId="34352" xr:uid="{00000000-0005-0000-0000-0000E0310000}"/>
    <cellStyle name="40% - uthevingsfarge 3 28 3 3 2 2 3" xfId="28180" xr:uid="{00000000-0005-0000-0000-0000E1310000}"/>
    <cellStyle name="40% - uthevingsfarge 3 28 3 3 2 3" xfId="23998" xr:uid="{00000000-0005-0000-0000-0000E2310000}"/>
    <cellStyle name="40% - uthevingsfarge 3 28 3 3 2 3 2" xfId="40051" xr:uid="{00000000-0005-0000-0000-0000E3310000}"/>
    <cellStyle name="40% - uthevingsfarge 3 28 3 3 2 4" xfId="31581" xr:uid="{00000000-0005-0000-0000-0000E4310000}"/>
    <cellStyle name="40% - uthevingsfarge 3 28 3 3 2 5" xfId="42851" xr:uid="{00000000-0005-0000-0000-0000E5310000}"/>
    <cellStyle name="40% - uthevingsfarge 3 28 3 3 2 6" xfId="43289" xr:uid="{00000000-0005-0000-0000-0000E6310000}"/>
    <cellStyle name="40% - uthevingsfarge 3 28 3 3 2 7" xfId="46137" xr:uid="{00000000-0005-0000-0000-0000E7310000}"/>
    <cellStyle name="40% - uthevingsfarge 3 28 3 3 2 8" xfId="46906" xr:uid="{00000000-0005-0000-0000-0000E8310000}"/>
    <cellStyle name="40% - uthevingsfarge 3 28 3 3 2 9" xfId="47492" xr:uid="{00000000-0005-0000-0000-0000E9310000}"/>
    <cellStyle name="40% - uthevingsfarge 3 28 3 3 3" xfId="7938" xr:uid="{00000000-0005-0000-0000-0000EA310000}"/>
    <cellStyle name="40% - uthevingsfarge 3 28 3 3 3 2" xfId="20952" xr:uid="{00000000-0005-0000-0000-0000EB310000}"/>
    <cellStyle name="40% - uthevingsfarge 3 28 3 3 3 2 2" xfId="37048" xr:uid="{00000000-0005-0000-0000-0000EC310000}"/>
    <cellStyle name="40% - uthevingsfarge 3 28 3 3 3 3" xfId="29861" xr:uid="{00000000-0005-0000-0000-0000ED310000}"/>
    <cellStyle name="40% - uthevingsfarge 3 28 3 3 3 4" xfId="43939" xr:uid="{00000000-0005-0000-0000-0000EE310000}"/>
    <cellStyle name="40% - uthevingsfarge 3 28 3 3 4" xfId="16296" xr:uid="{00000000-0005-0000-0000-0000EF310000}"/>
    <cellStyle name="40% - uthevingsfarge 3 28 3 3 4 2" xfId="35384" xr:uid="{00000000-0005-0000-0000-0000F0310000}"/>
    <cellStyle name="40% - uthevingsfarge 3 28 3 3 5" xfId="25043" xr:uid="{00000000-0005-0000-0000-0000F1310000}"/>
    <cellStyle name="40% - uthevingsfarge 3 28 3 3 6" xfId="25303" xr:uid="{00000000-0005-0000-0000-0000F2310000}"/>
    <cellStyle name="40% - uthevingsfarge 3 28 3 3 7" xfId="33250" xr:uid="{00000000-0005-0000-0000-0000F3310000}"/>
    <cellStyle name="40% - uthevingsfarge 3 28 3 3 8" xfId="43749" xr:uid="{00000000-0005-0000-0000-0000F4310000}"/>
    <cellStyle name="40% - uthevingsfarge 3 28 3 3 9" xfId="46675" xr:uid="{00000000-0005-0000-0000-0000F5310000}"/>
    <cellStyle name="40% - uthevingsfarge 3 28 3 4" xfId="4866" xr:uid="{00000000-0005-0000-0000-0000F6310000}"/>
    <cellStyle name="40% - uthevingsfarge 3 28 3 4 2" xfId="6585" xr:uid="{00000000-0005-0000-0000-0000F7310000}"/>
    <cellStyle name="40% - uthevingsfarge 3 28 3 4 2 2" xfId="9991" xr:uid="{00000000-0005-0000-0000-0000F8310000}"/>
    <cellStyle name="40% - uthevingsfarge 3 28 3 4 2 2 2" xfId="22007" xr:uid="{00000000-0005-0000-0000-0000F9310000}"/>
    <cellStyle name="40% - uthevingsfarge 3 28 3 4 2 2 2 2" xfId="38082" xr:uid="{00000000-0005-0000-0000-0000FA310000}"/>
    <cellStyle name="40% - uthevingsfarge 3 28 3 4 2 2 3" xfId="27808" xr:uid="{00000000-0005-0000-0000-0000FB310000}"/>
    <cellStyle name="40% - uthevingsfarge 3 28 3 4 2 3" xfId="22147" xr:uid="{00000000-0005-0000-0000-0000FC310000}"/>
    <cellStyle name="40% - uthevingsfarge 3 28 3 4 2 3 2" xfId="38221" xr:uid="{00000000-0005-0000-0000-0000FD310000}"/>
    <cellStyle name="40% - uthevingsfarge 3 28 3 4 2 4" xfId="31209" xr:uid="{00000000-0005-0000-0000-0000FE310000}"/>
    <cellStyle name="40% - uthevingsfarge 3 28 3 4 3" xfId="8288" xr:uid="{00000000-0005-0000-0000-0000FF310000}"/>
    <cellStyle name="40% - uthevingsfarge 3 28 3 4 3 2" xfId="19865" xr:uid="{00000000-0005-0000-0000-000000320000}"/>
    <cellStyle name="40% - uthevingsfarge 3 28 3 4 3 2 2" xfId="35978" xr:uid="{00000000-0005-0000-0000-000001320000}"/>
    <cellStyle name="40% - uthevingsfarge 3 28 3 4 3 3" xfId="29509" xr:uid="{00000000-0005-0000-0000-000002320000}"/>
    <cellStyle name="40% - uthevingsfarge 3 28 3 4 4" xfId="19719" xr:uid="{00000000-0005-0000-0000-000003320000}"/>
    <cellStyle name="40% - uthevingsfarge 3 28 3 4 4 2" xfId="35833" xr:uid="{00000000-0005-0000-0000-000004320000}"/>
    <cellStyle name="40% - uthevingsfarge 3 28 3 4 5" xfId="32901" xr:uid="{00000000-0005-0000-0000-000005320000}"/>
    <cellStyle name="40% - uthevingsfarge 3 28 3 5" xfId="5248" xr:uid="{00000000-0005-0000-0000-000006320000}"/>
    <cellStyle name="40% - uthevingsfarge 3 28 3 5 2" xfId="8663" xr:uid="{00000000-0005-0000-0000-000007320000}"/>
    <cellStyle name="40% - uthevingsfarge 3 28 3 5 2 2" xfId="21156" xr:uid="{00000000-0005-0000-0000-000008320000}"/>
    <cellStyle name="40% - uthevingsfarge 3 28 3 5 2 2 2" xfId="37236" xr:uid="{00000000-0005-0000-0000-000009320000}"/>
    <cellStyle name="40% - uthevingsfarge 3 28 3 5 2 3" xfId="29135" xr:uid="{00000000-0005-0000-0000-00000A320000}"/>
    <cellStyle name="40% - uthevingsfarge 3 28 3 5 3" xfId="19784" xr:uid="{00000000-0005-0000-0000-00000B320000}"/>
    <cellStyle name="40% - uthevingsfarge 3 28 3 5 3 2" xfId="35898" xr:uid="{00000000-0005-0000-0000-00000C320000}"/>
    <cellStyle name="40% - uthevingsfarge 3 28 3 5 4" xfId="32526" xr:uid="{00000000-0005-0000-0000-00000D320000}"/>
    <cellStyle name="40% - uthevingsfarge 3 28 3 6" xfId="7138" xr:uid="{00000000-0005-0000-0000-00000E320000}"/>
    <cellStyle name="40% - uthevingsfarge 3 28 3 6 2" xfId="19657" xr:uid="{00000000-0005-0000-0000-00000F320000}"/>
    <cellStyle name="40% - uthevingsfarge 3 28 3 6 2 2" xfId="35771" xr:uid="{00000000-0005-0000-0000-000010320000}"/>
    <cellStyle name="40% - uthevingsfarge 3 28 3 6 3" xfId="30660" xr:uid="{00000000-0005-0000-0000-000011320000}"/>
    <cellStyle name="40% - uthevingsfarge 3 28 3 7" xfId="11160" xr:uid="{00000000-0005-0000-0000-000012320000}"/>
    <cellStyle name="40% - uthevingsfarge 3 28 3 8" xfId="34047" xr:uid="{00000000-0005-0000-0000-000013320000}"/>
    <cellStyle name="40% - uthevingsfarge 3 28 3 9" xfId="43541" xr:uid="{00000000-0005-0000-0000-000014320000}"/>
    <cellStyle name="40% - uthevingsfarge 3 28 3_Avviksanalyse løpende RNB15 (1)" xfId="16628" xr:uid="{00000000-0005-0000-0000-000015320000}"/>
    <cellStyle name="40% - uthevingsfarge 3 28 4" xfId="3747" xr:uid="{00000000-0005-0000-0000-000016320000}"/>
    <cellStyle name="40% - uthevingsfarge 3 28 4 2" xfId="5635" xr:uid="{00000000-0005-0000-0000-000017320000}"/>
    <cellStyle name="40% - uthevingsfarge 3 28 4 2 2" xfId="9050" xr:uid="{00000000-0005-0000-0000-000018320000}"/>
    <cellStyle name="40% - uthevingsfarge 3 28 4 2 2 2" xfId="21262" xr:uid="{00000000-0005-0000-0000-000019320000}"/>
    <cellStyle name="40% - uthevingsfarge 3 28 4 2 2 2 2" xfId="37342" xr:uid="{00000000-0005-0000-0000-00001A320000}"/>
    <cellStyle name="40% - uthevingsfarge 3 28 4 2 2 3" xfId="28748" xr:uid="{00000000-0005-0000-0000-00001B320000}"/>
    <cellStyle name="40% - uthevingsfarge 3 28 4 2 3" xfId="23891" xr:uid="{00000000-0005-0000-0000-00001C320000}"/>
    <cellStyle name="40% - uthevingsfarge 3 28 4 2 3 2" xfId="39947" xr:uid="{00000000-0005-0000-0000-00001D320000}"/>
    <cellStyle name="40% - uthevingsfarge 3 28 4 2 4" xfId="32139" xr:uid="{00000000-0005-0000-0000-00001E320000}"/>
    <cellStyle name="40% - uthevingsfarge 3 28 4 3" xfId="7353" xr:uid="{00000000-0005-0000-0000-00001F320000}"/>
    <cellStyle name="40% - uthevingsfarge 3 28 4 3 2" xfId="20752" xr:uid="{00000000-0005-0000-0000-000020320000}"/>
    <cellStyle name="40% - uthevingsfarge 3 28 4 3 2 2" xfId="36851" xr:uid="{00000000-0005-0000-0000-000021320000}"/>
    <cellStyle name="40% - uthevingsfarge 3 28 4 3 3" xfId="30445" xr:uid="{00000000-0005-0000-0000-000022320000}"/>
    <cellStyle name="40% - uthevingsfarge 3 28 4 4" xfId="11075" xr:uid="{00000000-0005-0000-0000-000023320000}"/>
    <cellStyle name="40% - uthevingsfarge 3 28 4 4 2" xfId="34779" xr:uid="{00000000-0005-0000-0000-000024320000}"/>
    <cellStyle name="40% - uthevingsfarge 3 28 4 5" xfId="33832" xr:uid="{00000000-0005-0000-0000-000025320000}"/>
    <cellStyle name="40% - uthevingsfarge 3 28 5" xfId="4248" xr:uid="{00000000-0005-0000-0000-000026320000}"/>
    <cellStyle name="40% - uthevingsfarge 3 28 5 2" xfId="6080" xr:uid="{00000000-0005-0000-0000-000027320000}"/>
    <cellStyle name="40% - uthevingsfarge 3 28 5 2 2" xfId="9495" xr:uid="{00000000-0005-0000-0000-000028320000}"/>
    <cellStyle name="40% - uthevingsfarge 3 28 5 2 2 2" xfId="21954" xr:uid="{00000000-0005-0000-0000-000029320000}"/>
    <cellStyle name="40% - uthevingsfarge 3 28 5 2 2 2 2" xfId="38029" xr:uid="{00000000-0005-0000-0000-00002A320000}"/>
    <cellStyle name="40% - uthevingsfarge 3 28 5 2 2 3" xfId="28303" xr:uid="{00000000-0005-0000-0000-00002B320000}"/>
    <cellStyle name="40% - uthevingsfarge 3 28 5 2 3" xfId="23974" xr:uid="{00000000-0005-0000-0000-00002C320000}"/>
    <cellStyle name="40% - uthevingsfarge 3 28 5 2 3 2" xfId="40028" xr:uid="{00000000-0005-0000-0000-00002D320000}"/>
    <cellStyle name="40% - uthevingsfarge 3 28 5 2 4" xfId="31698" xr:uid="{00000000-0005-0000-0000-00002E320000}"/>
    <cellStyle name="40% - uthevingsfarge 3 28 5 3" xfId="7814" xr:uid="{00000000-0005-0000-0000-00002F320000}"/>
    <cellStyle name="40% - uthevingsfarge 3 28 5 3 2" xfId="22488" xr:uid="{00000000-0005-0000-0000-000030320000}"/>
    <cellStyle name="40% - uthevingsfarge 3 28 5 3 2 2" xfId="38560" xr:uid="{00000000-0005-0000-0000-000031320000}"/>
    <cellStyle name="40% - uthevingsfarge 3 28 5 3 3" xfId="29985" xr:uid="{00000000-0005-0000-0000-000032320000}"/>
    <cellStyle name="40% - uthevingsfarge 3 28 5 4" xfId="23702" xr:uid="{00000000-0005-0000-0000-000033320000}"/>
    <cellStyle name="40% - uthevingsfarge 3 28 5 4 2" xfId="39758" xr:uid="{00000000-0005-0000-0000-000034320000}"/>
    <cellStyle name="40% - uthevingsfarge 3 28 5 5" xfId="33373" xr:uid="{00000000-0005-0000-0000-000035320000}"/>
    <cellStyle name="40% - uthevingsfarge 3 28 6" xfId="4387" xr:uid="{00000000-0005-0000-0000-000036320000}"/>
    <cellStyle name="40% - uthevingsfarge 3 28 6 2" xfId="6192" xr:uid="{00000000-0005-0000-0000-000037320000}"/>
    <cellStyle name="40% - uthevingsfarge 3 28 6 2 2" xfId="9606" xr:uid="{00000000-0005-0000-0000-000038320000}"/>
    <cellStyle name="40% - uthevingsfarge 3 28 6 2 2 2" xfId="22617" xr:uid="{00000000-0005-0000-0000-000039320000}"/>
    <cellStyle name="40% - uthevingsfarge 3 28 6 2 2 2 2" xfId="38686" xr:uid="{00000000-0005-0000-0000-00003A320000}"/>
    <cellStyle name="40% - uthevingsfarge 3 28 6 2 2 3" xfId="28192" xr:uid="{00000000-0005-0000-0000-00003B320000}"/>
    <cellStyle name="40% - uthevingsfarge 3 28 6 2 3" xfId="20358" xr:uid="{00000000-0005-0000-0000-00003C320000}"/>
    <cellStyle name="40% - uthevingsfarge 3 28 6 2 3 2" xfId="36457" xr:uid="{00000000-0005-0000-0000-00003D320000}"/>
    <cellStyle name="40% - uthevingsfarge 3 28 6 2 4" xfId="34311" xr:uid="{00000000-0005-0000-0000-00003E320000}"/>
    <cellStyle name="40% - uthevingsfarge 3 28 6 3" xfId="7926" xr:uid="{00000000-0005-0000-0000-00003F320000}"/>
    <cellStyle name="40% - uthevingsfarge 3 28 6 3 2" xfId="11907" xr:uid="{00000000-0005-0000-0000-000040320000}"/>
    <cellStyle name="40% - uthevingsfarge 3 28 6 3 2 2" xfId="34943" xr:uid="{00000000-0005-0000-0000-000041320000}"/>
    <cellStyle name="40% - uthevingsfarge 3 28 6 3 3" xfId="29873" xr:uid="{00000000-0005-0000-0000-000042320000}"/>
    <cellStyle name="40% - uthevingsfarge 3 28 6 4" xfId="20012" xr:uid="{00000000-0005-0000-0000-000043320000}"/>
    <cellStyle name="40% - uthevingsfarge 3 28 6 4 2" xfId="36116" xr:uid="{00000000-0005-0000-0000-000044320000}"/>
    <cellStyle name="40% - uthevingsfarge 3 28 6 5" xfId="33261" xr:uid="{00000000-0005-0000-0000-000045320000}"/>
    <cellStyle name="40% - uthevingsfarge 3 28 7" xfId="4682" xr:uid="{00000000-0005-0000-0000-000046320000}"/>
    <cellStyle name="40% - uthevingsfarge 3 28 7 2" xfId="6402" xr:uid="{00000000-0005-0000-0000-000047320000}"/>
    <cellStyle name="40% - uthevingsfarge 3 28 7 2 2" xfId="9812" xr:uid="{00000000-0005-0000-0000-000048320000}"/>
    <cellStyle name="40% - uthevingsfarge 3 28 7 2 2 2" xfId="21493" xr:uid="{00000000-0005-0000-0000-000049320000}"/>
    <cellStyle name="40% - uthevingsfarge 3 28 7 2 2 2 2" xfId="37573" xr:uid="{00000000-0005-0000-0000-00004A320000}"/>
    <cellStyle name="40% - uthevingsfarge 3 28 7 2 2 3" xfId="27987" xr:uid="{00000000-0005-0000-0000-00004B320000}"/>
    <cellStyle name="40% - uthevingsfarge 3 28 7 2 3" xfId="20438" xr:uid="{00000000-0005-0000-0000-00004C320000}"/>
    <cellStyle name="40% - uthevingsfarge 3 28 7 2 3 2" xfId="36537" xr:uid="{00000000-0005-0000-0000-00004D320000}"/>
    <cellStyle name="40% - uthevingsfarge 3 28 7 2 4" xfId="31388" xr:uid="{00000000-0005-0000-0000-00004E320000}"/>
    <cellStyle name="40% - uthevingsfarge 3 28 7 3" xfId="8108" xr:uid="{00000000-0005-0000-0000-00004F320000}"/>
    <cellStyle name="40% - uthevingsfarge 3 28 7 3 2" xfId="22213" xr:uid="{00000000-0005-0000-0000-000050320000}"/>
    <cellStyle name="40% - uthevingsfarge 3 28 7 3 2 2" xfId="38287" xr:uid="{00000000-0005-0000-0000-000051320000}"/>
    <cellStyle name="40% - uthevingsfarge 3 28 7 3 3" xfId="29690" xr:uid="{00000000-0005-0000-0000-000052320000}"/>
    <cellStyle name="40% - uthevingsfarge 3 28 7 4" xfId="19680" xr:uid="{00000000-0005-0000-0000-000053320000}"/>
    <cellStyle name="40% - uthevingsfarge 3 28 7 4 2" xfId="35794" xr:uid="{00000000-0005-0000-0000-000054320000}"/>
    <cellStyle name="40% - uthevingsfarge 3 28 7 5" xfId="33081" xr:uid="{00000000-0005-0000-0000-000055320000}"/>
    <cellStyle name="40% - uthevingsfarge 3 28 8" xfId="5046" xr:uid="{00000000-0005-0000-0000-000056320000}"/>
    <cellStyle name="40% - uthevingsfarge 3 28 8 2" xfId="6765" xr:uid="{00000000-0005-0000-0000-000057320000}"/>
    <cellStyle name="40% - uthevingsfarge 3 28 8 2 2" xfId="10171" xr:uid="{00000000-0005-0000-0000-000058320000}"/>
    <cellStyle name="40% - uthevingsfarge 3 28 8 2 2 2" xfId="22033" xr:uid="{00000000-0005-0000-0000-000059320000}"/>
    <cellStyle name="40% - uthevingsfarge 3 28 8 2 2 2 2" xfId="38108" xr:uid="{00000000-0005-0000-0000-00005A320000}"/>
    <cellStyle name="40% - uthevingsfarge 3 28 8 2 2 3" xfId="27628" xr:uid="{00000000-0005-0000-0000-00005B320000}"/>
    <cellStyle name="40% - uthevingsfarge 3 28 8 2 3" xfId="20559" xr:uid="{00000000-0005-0000-0000-00005C320000}"/>
    <cellStyle name="40% - uthevingsfarge 3 28 8 2 3 2" xfId="36658" xr:uid="{00000000-0005-0000-0000-00005D320000}"/>
    <cellStyle name="40% - uthevingsfarge 3 28 8 2 4" xfId="31029" xr:uid="{00000000-0005-0000-0000-00005E320000}"/>
    <cellStyle name="40% - uthevingsfarge 3 28 8 3" xfId="8468" xr:uid="{00000000-0005-0000-0000-00005F320000}"/>
    <cellStyle name="40% - uthevingsfarge 3 28 8 3 2" xfId="11852" xr:uid="{00000000-0005-0000-0000-000060320000}"/>
    <cellStyle name="40% - uthevingsfarge 3 28 8 3 2 2" xfId="34896" xr:uid="{00000000-0005-0000-0000-000061320000}"/>
    <cellStyle name="40% - uthevingsfarge 3 28 8 3 3" xfId="29330" xr:uid="{00000000-0005-0000-0000-000062320000}"/>
    <cellStyle name="40% - uthevingsfarge 3 28 8 4" xfId="10853" xr:uid="{00000000-0005-0000-0000-000063320000}"/>
    <cellStyle name="40% - uthevingsfarge 3 28 8 4 2" xfId="34651" xr:uid="{00000000-0005-0000-0000-000064320000}"/>
    <cellStyle name="40% - uthevingsfarge 3 28 8 5" xfId="32721" xr:uid="{00000000-0005-0000-0000-000065320000}"/>
    <cellStyle name="40% - uthevingsfarge 3 28 9" xfId="5224" xr:uid="{00000000-0005-0000-0000-000066320000}"/>
    <cellStyle name="40% - uthevingsfarge 3 28 9 2" xfId="8639" xr:uid="{00000000-0005-0000-0000-000067320000}"/>
    <cellStyle name="40% - uthevingsfarge 3 28 9 2 2" xfId="24392" xr:uid="{00000000-0005-0000-0000-000068320000}"/>
    <cellStyle name="40% - uthevingsfarge 3 28 9 2 2 2" xfId="40436" xr:uid="{00000000-0005-0000-0000-000069320000}"/>
    <cellStyle name="40% - uthevingsfarge 3 28 9 2 3" xfId="29159" xr:uid="{00000000-0005-0000-0000-00006A320000}"/>
    <cellStyle name="40% - uthevingsfarge 3 28 9 3" xfId="10786" xr:uid="{00000000-0005-0000-0000-00006B320000}"/>
    <cellStyle name="40% - uthevingsfarge 3 28 9 3 2" xfId="34609" xr:uid="{00000000-0005-0000-0000-00006C320000}"/>
    <cellStyle name="40% - uthevingsfarge 3 28 9 4" xfId="32550" xr:uid="{00000000-0005-0000-0000-00006D320000}"/>
    <cellStyle name="40% - uthevingsfarge 3 29" xfId="829" xr:uid="{00000000-0005-0000-0000-00006E320000}"/>
    <cellStyle name="40% - uthevingsfarge 3 29 10" xfId="11161" xr:uid="{00000000-0005-0000-0000-00006F320000}"/>
    <cellStyle name="40% - uthevingsfarge 3 29 11" xfId="34245" xr:uid="{00000000-0005-0000-0000-000070320000}"/>
    <cellStyle name="40% - uthevingsfarge 3 29 2" xfId="3344" xr:uid="{00000000-0005-0000-0000-000071320000}"/>
    <cellStyle name="40% - uthevingsfarge 3 29 2 10" xfId="34147" xr:uid="{00000000-0005-0000-0000-000072320000}"/>
    <cellStyle name="40% - uthevingsfarge 3 29 2 2" xfId="3576" xr:uid="{00000000-0005-0000-0000-000073320000}"/>
    <cellStyle name="40% - uthevingsfarge 3 29 2 2 10" xfId="47175" xr:uid="{00000000-0005-0000-0000-000074320000}"/>
    <cellStyle name="40% - uthevingsfarge 3 29 2 2 2" xfId="4006" xr:uid="{00000000-0005-0000-0000-000075320000}"/>
    <cellStyle name="40% - uthevingsfarge 3 29 2 2 2 2" xfId="5894" xr:uid="{00000000-0005-0000-0000-000076320000}"/>
    <cellStyle name="40% - uthevingsfarge 3 29 2 2 2 2 2" xfId="9309" xr:uid="{00000000-0005-0000-0000-000077320000}"/>
    <cellStyle name="40% - uthevingsfarge 3 29 2 2 2 2 2 2" xfId="21935" xr:uid="{00000000-0005-0000-0000-000078320000}"/>
    <cellStyle name="40% - uthevingsfarge 3 29 2 2 2 2 2 2 2" xfId="38010" xr:uid="{00000000-0005-0000-0000-000079320000}"/>
    <cellStyle name="40% - uthevingsfarge 3 29 2 2 2 2 2 3" xfId="28489" xr:uid="{00000000-0005-0000-0000-00007A320000}"/>
    <cellStyle name="40% - uthevingsfarge 3 29 2 2 2 2 3" xfId="20241" xr:uid="{00000000-0005-0000-0000-00007B320000}"/>
    <cellStyle name="40% - uthevingsfarge 3 29 2 2 2 2 3 2" xfId="36340" xr:uid="{00000000-0005-0000-0000-00007C320000}"/>
    <cellStyle name="40% - uthevingsfarge 3 29 2 2 2 2 4" xfId="31882" xr:uid="{00000000-0005-0000-0000-00007D320000}"/>
    <cellStyle name="40% - uthevingsfarge 3 29 2 2 2 3" xfId="7612" xr:uid="{00000000-0005-0000-0000-00007E320000}"/>
    <cellStyle name="40% - uthevingsfarge 3 29 2 2 2 3 2" xfId="24236" xr:uid="{00000000-0005-0000-0000-00007F320000}"/>
    <cellStyle name="40% - uthevingsfarge 3 29 2 2 2 3 2 2" xfId="40289" xr:uid="{00000000-0005-0000-0000-000080320000}"/>
    <cellStyle name="40% - uthevingsfarge 3 29 2 2 2 3 3" xfId="30186" xr:uid="{00000000-0005-0000-0000-000081320000}"/>
    <cellStyle name="40% - uthevingsfarge 3 29 2 2 2 4" xfId="18021" xr:uid="{00000000-0005-0000-0000-000082320000}"/>
    <cellStyle name="40% - uthevingsfarge 3 29 2 2 2 5" xfId="19960" xr:uid="{00000000-0005-0000-0000-000083320000}"/>
    <cellStyle name="40% - uthevingsfarge 3 29 2 2 2 5 2" xfId="36064" xr:uid="{00000000-0005-0000-0000-000084320000}"/>
    <cellStyle name="40% - uthevingsfarge 3 29 2 2 2 6" xfId="33573" xr:uid="{00000000-0005-0000-0000-000085320000}"/>
    <cellStyle name="40% - uthevingsfarge 3 29 2 2 3" xfId="4946" xr:uid="{00000000-0005-0000-0000-000086320000}"/>
    <cellStyle name="40% - uthevingsfarge 3 29 2 2 3 10" xfId="47365" xr:uid="{00000000-0005-0000-0000-000087320000}"/>
    <cellStyle name="40% - uthevingsfarge 3 29 2 2 3 2" xfId="6665" xr:uid="{00000000-0005-0000-0000-000088320000}"/>
    <cellStyle name="40% - uthevingsfarge 3 29 2 2 3 2 2" xfId="10071" xr:uid="{00000000-0005-0000-0000-000089320000}"/>
    <cellStyle name="40% - uthevingsfarge 3 29 2 2 3 2 2 2" xfId="24618" xr:uid="{00000000-0005-0000-0000-00008A320000}"/>
    <cellStyle name="40% - uthevingsfarge 3 29 2 2 3 2 2 2 2" xfId="40662" xr:uid="{00000000-0005-0000-0000-00008B320000}"/>
    <cellStyle name="40% - uthevingsfarge 3 29 2 2 3 2 2 3" xfId="27728" xr:uid="{00000000-0005-0000-0000-00008C320000}"/>
    <cellStyle name="40% - uthevingsfarge 3 29 2 2 3 2 3" xfId="22378" xr:uid="{00000000-0005-0000-0000-00008D320000}"/>
    <cellStyle name="40% - uthevingsfarge 3 29 2 2 3 2 3 2" xfId="38450" xr:uid="{00000000-0005-0000-0000-00008E320000}"/>
    <cellStyle name="40% - uthevingsfarge 3 29 2 2 3 2 4" xfId="31129" xr:uid="{00000000-0005-0000-0000-00008F320000}"/>
    <cellStyle name="40% - uthevingsfarge 3 29 2 2 3 2 5" xfId="43059" xr:uid="{00000000-0005-0000-0000-000090320000}"/>
    <cellStyle name="40% - uthevingsfarge 3 29 2 2 3 2 6" xfId="43356" xr:uid="{00000000-0005-0000-0000-000091320000}"/>
    <cellStyle name="40% - uthevingsfarge 3 29 2 2 3 2 7" xfId="46204" xr:uid="{00000000-0005-0000-0000-000092320000}"/>
    <cellStyle name="40% - uthevingsfarge 3 29 2 2 3 2 8" xfId="46976" xr:uid="{00000000-0005-0000-0000-000093320000}"/>
    <cellStyle name="40% - uthevingsfarge 3 29 2 2 3 2 9" xfId="47561" xr:uid="{00000000-0005-0000-0000-000094320000}"/>
    <cellStyle name="40% - uthevingsfarge 3 29 2 2 3 3" xfId="8368" xr:uid="{00000000-0005-0000-0000-000095320000}"/>
    <cellStyle name="40% - uthevingsfarge 3 29 2 2 3 3 2" xfId="22580" xr:uid="{00000000-0005-0000-0000-000096320000}"/>
    <cellStyle name="40% - uthevingsfarge 3 29 2 2 3 3 2 2" xfId="38649" xr:uid="{00000000-0005-0000-0000-000097320000}"/>
    <cellStyle name="40% - uthevingsfarge 3 29 2 2 3 3 3" xfId="29430" xr:uid="{00000000-0005-0000-0000-000098320000}"/>
    <cellStyle name="40% - uthevingsfarge 3 29 2 2 3 3 4" xfId="43940" xr:uid="{00000000-0005-0000-0000-000099320000}"/>
    <cellStyle name="40% - uthevingsfarge 3 29 2 2 3 4" xfId="16504" xr:uid="{00000000-0005-0000-0000-00009A320000}"/>
    <cellStyle name="40% - uthevingsfarge 3 29 2 2 3 4 2" xfId="35451" xr:uid="{00000000-0005-0000-0000-00009B320000}"/>
    <cellStyle name="40% - uthevingsfarge 3 29 2 2 3 5" xfId="25113" xr:uid="{00000000-0005-0000-0000-00009C320000}"/>
    <cellStyle name="40% - uthevingsfarge 3 29 2 2 3 6" xfId="25304" xr:uid="{00000000-0005-0000-0000-00009D320000}"/>
    <cellStyle name="40% - uthevingsfarge 3 29 2 2 3 7" xfId="32821" xr:uid="{00000000-0005-0000-0000-00009E320000}"/>
    <cellStyle name="40% - uthevingsfarge 3 29 2 2 3 8" xfId="43817" xr:uid="{00000000-0005-0000-0000-00009F320000}"/>
    <cellStyle name="40% - uthevingsfarge 3 29 2 2 3 9" xfId="46742" xr:uid="{00000000-0005-0000-0000-0000A0320000}"/>
    <cellStyle name="40% - uthevingsfarge 3 29 2 2 4" xfId="5500" xr:uid="{00000000-0005-0000-0000-0000A1320000}"/>
    <cellStyle name="40% - uthevingsfarge 3 29 2 2 4 2" xfId="8915" xr:uid="{00000000-0005-0000-0000-0000A2320000}"/>
    <cellStyle name="40% - uthevingsfarge 3 29 2 2 4 2 2" xfId="10474" xr:uid="{00000000-0005-0000-0000-0000A3320000}"/>
    <cellStyle name="40% - uthevingsfarge 3 29 2 2 4 2 2 2" xfId="34382" xr:uid="{00000000-0005-0000-0000-0000A4320000}"/>
    <cellStyle name="40% - uthevingsfarge 3 29 2 2 4 2 3" xfId="28883" xr:uid="{00000000-0005-0000-0000-0000A5320000}"/>
    <cellStyle name="40% - uthevingsfarge 3 29 2 2 4 3" xfId="19845" xr:uid="{00000000-0005-0000-0000-0000A6320000}"/>
    <cellStyle name="40% - uthevingsfarge 3 29 2 2 4 3 2" xfId="35958" xr:uid="{00000000-0005-0000-0000-0000A7320000}"/>
    <cellStyle name="40% - uthevingsfarge 3 29 2 2 4 4" xfId="32274" xr:uid="{00000000-0005-0000-0000-0000A8320000}"/>
    <cellStyle name="40% - uthevingsfarge 3 29 2 2 5" xfId="7218" xr:uid="{00000000-0005-0000-0000-0000A9320000}"/>
    <cellStyle name="40% - uthevingsfarge 3 29 2 2 5 2" xfId="10322" xr:uid="{00000000-0005-0000-0000-0000AA320000}"/>
    <cellStyle name="40% - uthevingsfarge 3 29 2 2 5 2 2" xfId="27489" xr:uid="{00000000-0005-0000-0000-0000AB320000}"/>
    <cellStyle name="40% - uthevingsfarge 3 29 2 2 5 3" xfId="30580" xr:uid="{00000000-0005-0000-0000-0000AC320000}"/>
    <cellStyle name="40% - uthevingsfarge 3 29 2 2 6" xfId="11163" xr:uid="{00000000-0005-0000-0000-0000AD320000}"/>
    <cellStyle name="40% - uthevingsfarge 3 29 2 2 7" xfId="33967" xr:uid="{00000000-0005-0000-0000-0000AE320000}"/>
    <cellStyle name="40% - uthevingsfarge 3 29 2 2 8" xfId="43608" xr:uid="{00000000-0005-0000-0000-0000AF320000}"/>
    <cellStyle name="40% - uthevingsfarge 3 29 2 2 9" xfId="46514" xr:uid="{00000000-0005-0000-0000-0000B0320000}"/>
    <cellStyle name="40% - uthevingsfarge 3 29 2 2_Avviksanalyse løpende RNB15 (1)" xfId="16629" xr:uid="{00000000-0005-0000-0000-0000B1320000}"/>
    <cellStyle name="40% - uthevingsfarge 3 29 2 3" xfId="3826" xr:uid="{00000000-0005-0000-0000-0000B2320000}"/>
    <cellStyle name="40% - uthevingsfarge 3 29 2 3 2" xfId="5714" xr:uid="{00000000-0005-0000-0000-0000B3320000}"/>
    <cellStyle name="40% - uthevingsfarge 3 29 2 3 2 2" xfId="9129" xr:uid="{00000000-0005-0000-0000-0000B4320000}"/>
    <cellStyle name="40% - uthevingsfarge 3 29 2 3 2 2 2" xfId="23459" xr:uid="{00000000-0005-0000-0000-0000B5320000}"/>
    <cellStyle name="40% - uthevingsfarge 3 29 2 3 2 2 2 2" xfId="39515" xr:uid="{00000000-0005-0000-0000-0000B6320000}"/>
    <cellStyle name="40% - uthevingsfarge 3 29 2 3 2 2 3" xfId="28669" xr:uid="{00000000-0005-0000-0000-0000B7320000}"/>
    <cellStyle name="40% - uthevingsfarge 3 29 2 3 2 3" xfId="23906" xr:uid="{00000000-0005-0000-0000-0000B8320000}"/>
    <cellStyle name="40% - uthevingsfarge 3 29 2 3 2 3 2" xfId="39962" xr:uid="{00000000-0005-0000-0000-0000B9320000}"/>
    <cellStyle name="40% - uthevingsfarge 3 29 2 3 2 4" xfId="32060" xr:uid="{00000000-0005-0000-0000-0000BA320000}"/>
    <cellStyle name="40% - uthevingsfarge 3 29 2 3 3" xfId="7432" xr:uid="{00000000-0005-0000-0000-0000BB320000}"/>
    <cellStyle name="40% - uthevingsfarge 3 29 2 3 3 2" xfId="22452" xr:uid="{00000000-0005-0000-0000-0000BC320000}"/>
    <cellStyle name="40% - uthevingsfarge 3 29 2 3 3 2 2" xfId="38524" xr:uid="{00000000-0005-0000-0000-0000BD320000}"/>
    <cellStyle name="40% - uthevingsfarge 3 29 2 3 3 3" xfId="30366" xr:uid="{00000000-0005-0000-0000-0000BE320000}"/>
    <cellStyle name="40% - uthevingsfarge 3 29 2 3 4" xfId="12552" xr:uid="{00000000-0005-0000-0000-0000BF320000}"/>
    <cellStyle name="40% - uthevingsfarge 3 29 2 3 4 2" xfId="35274" xr:uid="{00000000-0005-0000-0000-0000C0320000}"/>
    <cellStyle name="40% - uthevingsfarge 3 29 2 3 5" xfId="33753" xr:uid="{00000000-0005-0000-0000-0000C1320000}"/>
    <cellStyle name="40% - uthevingsfarge 3 29 2 4" xfId="4311" xr:uid="{00000000-0005-0000-0000-0000C2320000}"/>
    <cellStyle name="40% - uthevingsfarge 3 29 2 4 2" xfId="6140" xr:uid="{00000000-0005-0000-0000-0000C3320000}"/>
    <cellStyle name="40% - uthevingsfarge 3 29 2 4 2 2" xfId="9554" xr:uid="{00000000-0005-0000-0000-0000C4320000}"/>
    <cellStyle name="40% - uthevingsfarge 3 29 2 4 2 2 2" xfId="21960" xr:uid="{00000000-0005-0000-0000-0000C5320000}"/>
    <cellStyle name="40% - uthevingsfarge 3 29 2 4 2 2 2 2" xfId="38035" xr:uid="{00000000-0005-0000-0000-0000C6320000}"/>
    <cellStyle name="40% - uthevingsfarge 3 29 2 4 2 2 3" xfId="28244" xr:uid="{00000000-0005-0000-0000-0000C7320000}"/>
    <cellStyle name="40% - uthevingsfarge 3 29 2 4 2 3" xfId="23985" xr:uid="{00000000-0005-0000-0000-0000C8320000}"/>
    <cellStyle name="40% - uthevingsfarge 3 29 2 4 2 3 2" xfId="40038" xr:uid="{00000000-0005-0000-0000-0000C9320000}"/>
    <cellStyle name="40% - uthevingsfarge 3 29 2 4 2 4" xfId="31640" xr:uid="{00000000-0005-0000-0000-0000CA320000}"/>
    <cellStyle name="40% - uthevingsfarge 3 29 2 4 3" xfId="7873" xr:uid="{00000000-0005-0000-0000-0000CB320000}"/>
    <cellStyle name="40% - uthevingsfarge 3 29 2 4 3 2" xfId="23282" xr:uid="{00000000-0005-0000-0000-0000CC320000}"/>
    <cellStyle name="40% - uthevingsfarge 3 29 2 4 3 2 2" xfId="39350" xr:uid="{00000000-0005-0000-0000-0000CD320000}"/>
    <cellStyle name="40% - uthevingsfarge 3 29 2 4 3 3" xfId="29926" xr:uid="{00000000-0005-0000-0000-0000CE320000}"/>
    <cellStyle name="40% - uthevingsfarge 3 29 2 4 4" xfId="21842" xr:uid="{00000000-0005-0000-0000-0000CF320000}"/>
    <cellStyle name="40% - uthevingsfarge 3 29 2 4 4 2" xfId="37918" xr:uid="{00000000-0005-0000-0000-0000D0320000}"/>
    <cellStyle name="40% - uthevingsfarge 3 29 2 4 5" xfId="33314" xr:uid="{00000000-0005-0000-0000-0000D1320000}"/>
    <cellStyle name="40% - uthevingsfarge 3 29 2 5" xfId="4766" xr:uid="{00000000-0005-0000-0000-0000D2320000}"/>
    <cellStyle name="40% - uthevingsfarge 3 29 2 5 2" xfId="6486" xr:uid="{00000000-0005-0000-0000-0000D3320000}"/>
    <cellStyle name="40% - uthevingsfarge 3 29 2 5 2 2" xfId="9892" xr:uid="{00000000-0005-0000-0000-0000D4320000}"/>
    <cellStyle name="40% - uthevingsfarge 3 29 2 5 2 2 2" xfId="21524" xr:uid="{00000000-0005-0000-0000-0000D5320000}"/>
    <cellStyle name="40% - uthevingsfarge 3 29 2 5 2 2 2 2" xfId="37604" xr:uid="{00000000-0005-0000-0000-0000D6320000}"/>
    <cellStyle name="40% - uthevingsfarge 3 29 2 5 2 2 3" xfId="27907" xr:uid="{00000000-0005-0000-0000-0000D7320000}"/>
    <cellStyle name="40% - uthevingsfarge 3 29 2 5 2 3" xfId="20470" xr:uid="{00000000-0005-0000-0000-0000D8320000}"/>
    <cellStyle name="40% - uthevingsfarge 3 29 2 5 2 3 2" xfId="36569" xr:uid="{00000000-0005-0000-0000-0000D9320000}"/>
    <cellStyle name="40% - uthevingsfarge 3 29 2 5 2 4" xfId="31308" xr:uid="{00000000-0005-0000-0000-0000DA320000}"/>
    <cellStyle name="40% - uthevingsfarge 3 29 2 5 3" xfId="8188" xr:uid="{00000000-0005-0000-0000-0000DB320000}"/>
    <cellStyle name="40% - uthevingsfarge 3 29 2 5 3 2" xfId="22510" xr:uid="{00000000-0005-0000-0000-0000DC320000}"/>
    <cellStyle name="40% - uthevingsfarge 3 29 2 5 3 2 2" xfId="38580" xr:uid="{00000000-0005-0000-0000-0000DD320000}"/>
    <cellStyle name="40% - uthevingsfarge 3 29 2 5 3 3" xfId="29609" xr:uid="{00000000-0005-0000-0000-0000DE320000}"/>
    <cellStyle name="40% - uthevingsfarge 3 29 2 5 4" xfId="23712" xr:uid="{00000000-0005-0000-0000-0000DF320000}"/>
    <cellStyle name="40% - uthevingsfarge 3 29 2 5 4 2" xfId="39768" xr:uid="{00000000-0005-0000-0000-0000E0320000}"/>
    <cellStyle name="40% - uthevingsfarge 3 29 2 5 5" xfId="33001" xr:uid="{00000000-0005-0000-0000-0000E1320000}"/>
    <cellStyle name="40% - uthevingsfarge 3 29 2 6" xfId="5126" xr:uid="{00000000-0005-0000-0000-0000E2320000}"/>
    <cellStyle name="40% - uthevingsfarge 3 29 2 6 2" xfId="6845" xr:uid="{00000000-0005-0000-0000-0000E3320000}"/>
    <cellStyle name="40% - uthevingsfarge 3 29 2 6 2 2" xfId="10251" xr:uid="{00000000-0005-0000-0000-0000E4320000}"/>
    <cellStyle name="40% - uthevingsfarge 3 29 2 6 2 2 2" xfId="24694" xr:uid="{00000000-0005-0000-0000-0000E5320000}"/>
    <cellStyle name="40% - uthevingsfarge 3 29 2 6 2 2 2 2" xfId="40737" xr:uid="{00000000-0005-0000-0000-0000E6320000}"/>
    <cellStyle name="40% - uthevingsfarge 3 29 2 6 2 2 3" xfId="27548" xr:uid="{00000000-0005-0000-0000-0000E7320000}"/>
    <cellStyle name="40% - uthevingsfarge 3 29 2 6 2 3" xfId="20578" xr:uid="{00000000-0005-0000-0000-0000E8320000}"/>
    <cellStyle name="40% - uthevingsfarge 3 29 2 6 2 3 2" xfId="36677" xr:uid="{00000000-0005-0000-0000-0000E9320000}"/>
    <cellStyle name="40% - uthevingsfarge 3 29 2 6 2 4" xfId="30949" xr:uid="{00000000-0005-0000-0000-0000EA320000}"/>
    <cellStyle name="40% - uthevingsfarge 3 29 2 6 3" xfId="8548" xr:uid="{00000000-0005-0000-0000-0000EB320000}"/>
    <cellStyle name="40% - uthevingsfarge 3 29 2 6 3 2" xfId="22746" xr:uid="{00000000-0005-0000-0000-0000EC320000}"/>
    <cellStyle name="40% - uthevingsfarge 3 29 2 6 3 2 2" xfId="38815" xr:uid="{00000000-0005-0000-0000-0000ED320000}"/>
    <cellStyle name="40% - uthevingsfarge 3 29 2 6 3 3" xfId="29250" xr:uid="{00000000-0005-0000-0000-0000EE320000}"/>
    <cellStyle name="40% - uthevingsfarge 3 29 2 6 4" xfId="10829" xr:uid="{00000000-0005-0000-0000-0000EF320000}"/>
    <cellStyle name="40% - uthevingsfarge 3 29 2 6 4 2" xfId="34631" xr:uid="{00000000-0005-0000-0000-0000F0320000}"/>
    <cellStyle name="40% - uthevingsfarge 3 29 2 6 5" xfId="32641" xr:uid="{00000000-0005-0000-0000-0000F1320000}"/>
    <cellStyle name="40% - uthevingsfarge 3 29 2 7" xfId="5305" xr:uid="{00000000-0005-0000-0000-0000F2320000}"/>
    <cellStyle name="40% - uthevingsfarge 3 29 2 7 2" xfId="8720" xr:uid="{00000000-0005-0000-0000-0000F3320000}"/>
    <cellStyle name="40% - uthevingsfarge 3 29 2 7 2 2" xfId="21893" xr:uid="{00000000-0005-0000-0000-0000F4320000}"/>
    <cellStyle name="40% - uthevingsfarge 3 29 2 7 2 2 2" xfId="37968" xr:uid="{00000000-0005-0000-0000-0000F5320000}"/>
    <cellStyle name="40% - uthevingsfarge 3 29 2 7 2 3" xfId="29078" xr:uid="{00000000-0005-0000-0000-0000F6320000}"/>
    <cellStyle name="40% - uthevingsfarge 3 29 2 7 3" xfId="12070" xr:uid="{00000000-0005-0000-0000-0000F7320000}"/>
    <cellStyle name="40% - uthevingsfarge 3 29 2 7 3 2" xfId="35055" xr:uid="{00000000-0005-0000-0000-0000F8320000}"/>
    <cellStyle name="40% - uthevingsfarge 3 29 2 7 4" xfId="32469" xr:uid="{00000000-0005-0000-0000-0000F9320000}"/>
    <cellStyle name="40% - uthevingsfarge 3 29 2 8" xfId="7038" xr:uid="{00000000-0005-0000-0000-0000FA320000}"/>
    <cellStyle name="40% - uthevingsfarge 3 29 2 8 2" xfId="22170" xr:uid="{00000000-0005-0000-0000-0000FB320000}"/>
    <cellStyle name="40% - uthevingsfarge 3 29 2 8 2 2" xfId="38244" xr:uid="{00000000-0005-0000-0000-0000FC320000}"/>
    <cellStyle name="40% - uthevingsfarge 3 29 2 8 3" xfId="30760" xr:uid="{00000000-0005-0000-0000-0000FD320000}"/>
    <cellStyle name="40% - uthevingsfarge 3 29 2 9" xfId="11162" xr:uid="{00000000-0005-0000-0000-0000FE320000}"/>
    <cellStyle name="40% - uthevingsfarge 3 29 3" xfId="3491" xr:uid="{00000000-0005-0000-0000-0000FF320000}"/>
    <cellStyle name="40% - uthevingsfarge 3 29 3 10" xfId="47107" xr:uid="{00000000-0005-0000-0000-000000330000}"/>
    <cellStyle name="40% - uthevingsfarge 3 29 3 2" xfId="3927" xr:uid="{00000000-0005-0000-0000-000001330000}"/>
    <cellStyle name="40% - uthevingsfarge 3 29 3 2 2" xfId="5815" xr:uid="{00000000-0005-0000-0000-000002330000}"/>
    <cellStyle name="40% - uthevingsfarge 3 29 3 2 2 2" xfId="9230" xr:uid="{00000000-0005-0000-0000-000003330000}"/>
    <cellStyle name="40% - uthevingsfarge 3 29 3 2 2 2 2" xfId="21323" xr:uid="{00000000-0005-0000-0000-000004330000}"/>
    <cellStyle name="40% - uthevingsfarge 3 29 3 2 2 2 2 2" xfId="37403" xr:uid="{00000000-0005-0000-0000-000005330000}"/>
    <cellStyle name="40% - uthevingsfarge 3 29 3 2 2 2 3" xfId="28568" xr:uid="{00000000-0005-0000-0000-000006330000}"/>
    <cellStyle name="40% - uthevingsfarge 3 29 3 2 2 3" xfId="20213" xr:uid="{00000000-0005-0000-0000-000007330000}"/>
    <cellStyle name="40% - uthevingsfarge 3 29 3 2 2 3 2" xfId="36312" xr:uid="{00000000-0005-0000-0000-000008330000}"/>
    <cellStyle name="40% - uthevingsfarge 3 29 3 2 2 4" xfId="31959" xr:uid="{00000000-0005-0000-0000-000009330000}"/>
    <cellStyle name="40% - uthevingsfarge 3 29 3 2 3" xfId="7533" xr:uid="{00000000-0005-0000-0000-00000A330000}"/>
    <cellStyle name="40% - uthevingsfarge 3 29 3 2 3 2" xfId="24222" xr:uid="{00000000-0005-0000-0000-00000B330000}"/>
    <cellStyle name="40% - uthevingsfarge 3 29 3 2 3 2 2" xfId="40275" xr:uid="{00000000-0005-0000-0000-00000C330000}"/>
    <cellStyle name="40% - uthevingsfarge 3 29 3 2 3 3" xfId="30265" xr:uid="{00000000-0005-0000-0000-00000D330000}"/>
    <cellStyle name="40% - uthevingsfarge 3 29 3 2 4" xfId="18022" xr:uid="{00000000-0005-0000-0000-00000E330000}"/>
    <cellStyle name="40% - uthevingsfarge 3 29 3 2 5" xfId="22790" xr:uid="{00000000-0005-0000-0000-00000F330000}"/>
    <cellStyle name="40% - uthevingsfarge 3 29 3 2 5 2" xfId="38859" xr:uid="{00000000-0005-0000-0000-000010330000}"/>
    <cellStyle name="40% - uthevingsfarge 3 29 3 2 6" xfId="33652" xr:uid="{00000000-0005-0000-0000-000011330000}"/>
    <cellStyle name="40% - uthevingsfarge 3 29 3 3" xfId="4867" xr:uid="{00000000-0005-0000-0000-000012330000}"/>
    <cellStyle name="40% - uthevingsfarge 3 29 3 3 10" xfId="47297" xr:uid="{00000000-0005-0000-0000-000013330000}"/>
    <cellStyle name="40% - uthevingsfarge 3 29 3 3 2" xfId="6586" xr:uid="{00000000-0005-0000-0000-000014330000}"/>
    <cellStyle name="40% - uthevingsfarge 3 29 3 3 2 2" xfId="9992" xr:uid="{00000000-0005-0000-0000-000015330000}"/>
    <cellStyle name="40% - uthevingsfarge 3 29 3 3 2 2 2" xfId="23597" xr:uid="{00000000-0005-0000-0000-000016330000}"/>
    <cellStyle name="40% - uthevingsfarge 3 29 3 3 2 2 2 2" xfId="39653" xr:uid="{00000000-0005-0000-0000-000017330000}"/>
    <cellStyle name="40% - uthevingsfarge 3 29 3 3 2 2 3" xfId="27807" xr:uid="{00000000-0005-0000-0000-000018330000}"/>
    <cellStyle name="40% - uthevingsfarge 3 29 3 3 2 3" xfId="23067" xr:uid="{00000000-0005-0000-0000-000019330000}"/>
    <cellStyle name="40% - uthevingsfarge 3 29 3 3 2 3 2" xfId="39136" xr:uid="{00000000-0005-0000-0000-00001A330000}"/>
    <cellStyle name="40% - uthevingsfarge 3 29 3 3 2 4" xfId="31208" xr:uid="{00000000-0005-0000-0000-00001B330000}"/>
    <cellStyle name="40% - uthevingsfarge 3 29 3 3 2 5" xfId="42852" xr:uid="{00000000-0005-0000-0000-00001C330000}"/>
    <cellStyle name="40% - uthevingsfarge 3 29 3 3 2 6" xfId="43290" xr:uid="{00000000-0005-0000-0000-00001D330000}"/>
    <cellStyle name="40% - uthevingsfarge 3 29 3 3 2 7" xfId="46138" xr:uid="{00000000-0005-0000-0000-00001E330000}"/>
    <cellStyle name="40% - uthevingsfarge 3 29 3 3 2 8" xfId="46907" xr:uid="{00000000-0005-0000-0000-00001F330000}"/>
    <cellStyle name="40% - uthevingsfarge 3 29 3 3 2 9" xfId="47493" xr:uid="{00000000-0005-0000-0000-000020330000}"/>
    <cellStyle name="40% - uthevingsfarge 3 29 3 3 3" xfId="8289" xr:uid="{00000000-0005-0000-0000-000021330000}"/>
    <cellStyle name="40% - uthevingsfarge 3 29 3 3 3 2" xfId="19869" xr:uid="{00000000-0005-0000-0000-000022330000}"/>
    <cellStyle name="40% - uthevingsfarge 3 29 3 3 3 2 2" xfId="35982" xr:uid="{00000000-0005-0000-0000-000023330000}"/>
    <cellStyle name="40% - uthevingsfarge 3 29 3 3 3 3" xfId="29508" xr:uid="{00000000-0005-0000-0000-000024330000}"/>
    <cellStyle name="40% - uthevingsfarge 3 29 3 3 3 4" xfId="43941" xr:uid="{00000000-0005-0000-0000-000025330000}"/>
    <cellStyle name="40% - uthevingsfarge 3 29 3 3 4" xfId="16297" xr:uid="{00000000-0005-0000-0000-000026330000}"/>
    <cellStyle name="40% - uthevingsfarge 3 29 3 3 4 2" xfId="35385" xr:uid="{00000000-0005-0000-0000-000027330000}"/>
    <cellStyle name="40% - uthevingsfarge 3 29 3 3 5" xfId="25044" xr:uid="{00000000-0005-0000-0000-000028330000}"/>
    <cellStyle name="40% - uthevingsfarge 3 29 3 3 6" xfId="25305" xr:uid="{00000000-0005-0000-0000-000029330000}"/>
    <cellStyle name="40% - uthevingsfarge 3 29 3 3 7" xfId="32900" xr:uid="{00000000-0005-0000-0000-00002A330000}"/>
    <cellStyle name="40% - uthevingsfarge 3 29 3 3 8" xfId="43750" xr:uid="{00000000-0005-0000-0000-00002B330000}"/>
    <cellStyle name="40% - uthevingsfarge 3 29 3 3 9" xfId="46676" xr:uid="{00000000-0005-0000-0000-00002C330000}"/>
    <cellStyle name="40% - uthevingsfarge 3 29 3 4" xfId="5424" xr:uid="{00000000-0005-0000-0000-00002D330000}"/>
    <cellStyle name="40% - uthevingsfarge 3 29 3 4 2" xfId="8839" xr:uid="{00000000-0005-0000-0000-00002E330000}"/>
    <cellStyle name="40% - uthevingsfarge 3 29 3 4 2 2" xfId="24420" xr:uid="{00000000-0005-0000-0000-00002F330000}"/>
    <cellStyle name="40% - uthevingsfarge 3 29 3 4 2 2 2" xfId="40464" xr:uid="{00000000-0005-0000-0000-000030330000}"/>
    <cellStyle name="40% - uthevingsfarge 3 29 3 4 2 3" xfId="28959" xr:uid="{00000000-0005-0000-0000-000031330000}"/>
    <cellStyle name="40% - uthevingsfarge 3 29 3 4 3" xfId="12024" xr:uid="{00000000-0005-0000-0000-000032330000}"/>
    <cellStyle name="40% - uthevingsfarge 3 29 3 4 3 2" xfId="35033" xr:uid="{00000000-0005-0000-0000-000033330000}"/>
    <cellStyle name="40% - uthevingsfarge 3 29 3 4 4" xfId="32350" xr:uid="{00000000-0005-0000-0000-000034330000}"/>
    <cellStyle name="40% - uthevingsfarge 3 29 3 5" xfId="7139" xr:uid="{00000000-0005-0000-0000-000035330000}"/>
    <cellStyle name="40% - uthevingsfarge 3 29 3 5 2" xfId="19654" xr:uid="{00000000-0005-0000-0000-000036330000}"/>
    <cellStyle name="40% - uthevingsfarge 3 29 3 5 2 2" xfId="35768" xr:uid="{00000000-0005-0000-0000-000037330000}"/>
    <cellStyle name="40% - uthevingsfarge 3 29 3 5 3" xfId="30659" xr:uid="{00000000-0005-0000-0000-000038330000}"/>
    <cellStyle name="40% - uthevingsfarge 3 29 3 6" xfId="11164" xr:uid="{00000000-0005-0000-0000-000039330000}"/>
    <cellStyle name="40% - uthevingsfarge 3 29 3 7" xfId="34046" xr:uid="{00000000-0005-0000-0000-00003A330000}"/>
    <cellStyle name="40% - uthevingsfarge 3 29 3 8" xfId="43542" xr:uid="{00000000-0005-0000-0000-00003B330000}"/>
    <cellStyle name="40% - uthevingsfarge 3 29 3 9" xfId="46446" xr:uid="{00000000-0005-0000-0000-00003C330000}"/>
    <cellStyle name="40% - uthevingsfarge 3 29 3_Avviksanalyse løpende RNB15 (1)" xfId="16630" xr:uid="{00000000-0005-0000-0000-00003D330000}"/>
    <cellStyle name="40% - uthevingsfarge 3 29 4" xfId="3748" xr:uid="{00000000-0005-0000-0000-00003E330000}"/>
    <cellStyle name="40% - uthevingsfarge 3 29 4 2" xfId="5636" xr:uid="{00000000-0005-0000-0000-00003F330000}"/>
    <cellStyle name="40% - uthevingsfarge 3 29 4 2 2" xfId="9051" xr:uid="{00000000-0005-0000-0000-000040330000}"/>
    <cellStyle name="40% - uthevingsfarge 3 29 4 2 2 2" xfId="23662" xr:uid="{00000000-0005-0000-0000-000041330000}"/>
    <cellStyle name="40% - uthevingsfarge 3 29 4 2 2 2 2" xfId="39718" xr:uid="{00000000-0005-0000-0000-000042330000}"/>
    <cellStyle name="40% - uthevingsfarge 3 29 4 2 2 3" xfId="28747" xr:uid="{00000000-0005-0000-0000-000043330000}"/>
    <cellStyle name="40% - uthevingsfarge 3 29 4 2 3" xfId="22079" xr:uid="{00000000-0005-0000-0000-000044330000}"/>
    <cellStyle name="40% - uthevingsfarge 3 29 4 2 3 2" xfId="38153" xr:uid="{00000000-0005-0000-0000-000045330000}"/>
    <cellStyle name="40% - uthevingsfarge 3 29 4 2 4" xfId="32138" xr:uid="{00000000-0005-0000-0000-000046330000}"/>
    <cellStyle name="40% - uthevingsfarge 3 29 4 3" xfId="7354" xr:uid="{00000000-0005-0000-0000-000047330000}"/>
    <cellStyle name="40% - uthevingsfarge 3 29 4 3 2" xfId="24192" xr:uid="{00000000-0005-0000-0000-000048330000}"/>
    <cellStyle name="40% - uthevingsfarge 3 29 4 3 2 2" xfId="40245" xr:uid="{00000000-0005-0000-0000-000049330000}"/>
    <cellStyle name="40% - uthevingsfarge 3 29 4 3 3" xfId="30444" xr:uid="{00000000-0005-0000-0000-00004A330000}"/>
    <cellStyle name="40% - uthevingsfarge 3 29 4 4" xfId="23741" xr:uid="{00000000-0005-0000-0000-00004B330000}"/>
    <cellStyle name="40% - uthevingsfarge 3 29 4 4 2" xfId="39797" xr:uid="{00000000-0005-0000-0000-00004C330000}"/>
    <cellStyle name="40% - uthevingsfarge 3 29 4 5" xfId="33831" xr:uid="{00000000-0005-0000-0000-00004D330000}"/>
    <cellStyle name="40% - uthevingsfarge 3 29 5" xfId="4249" xr:uid="{00000000-0005-0000-0000-00004E330000}"/>
    <cellStyle name="40% - uthevingsfarge 3 29 5 2" xfId="6081" xr:uid="{00000000-0005-0000-0000-00004F330000}"/>
    <cellStyle name="40% - uthevingsfarge 3 29 5 2 2" xfId="9496" xr:uid="{00000000-0005-0000-0000-000050330000}"/>
    <cellStyle name="40% - uthevingsfarge 3 29 5 2 2 2" xfId="23518" xr:uid="{00000000-0005-0000-0000-000051330000}"/>
    <cellStyle name="40% - uthevingsfarge 3 29 5 2 2 2 2" xfId="39574" xr:uid="{00000000-0005-0000-0000-000052330000}"/>
    <cellStyle name="40% - uthevingsfarge 3 29 5 2 2 3" xfId="28302" xr:uid="{00000000-0005-0000-0000-000053330000}"/>
    <cellStyle name="40% - uthevingsfarge 3 29 5 2 3" xfId="22108" xr:uid="{00000000-0005-0000-0000-000054330000}"/>
    <cellStyle name="40% - uthevingsfarge 3 29 5 2 3 2" xfId="38182" xr:uid="{00000000-0005-0000-0000-000055330000}"/>
    <cellStyle name="40% - uthevingsfarge 3 29 5 2 4" xfId="31697" xr:uid="{00000000-0005-0000-0000-000056330000}"/>
    <cellStyle name="40% - uthevingsfarge 3 29 5 3" xfId="7815" xr:uid="{00000000-0005-0000-0000-000057330000}"/>
    <cellStyle name="40% - uthevingsfarge 3 29 5 3 2" xfId="23274" xr:uid="{00000000-0005-0000-0000-000058330000}"/>
    <cellStyle name="40% - uthevingsfarge 3 29 5 3 2 2" xfId="39342" xr:uid="{00000000-0005-0000-0000-000059330000}"/>
    <cellStyle name="40% - uthevingsfarge 3 29 5 3 3" xfId="29984" xr:uid="{00000000-0005-0000-0000-00005A330000}"/>
    <cellStyle name="40% - uthevingsfarge 3 29 5 4" xfId="22667" xr:uid="{00000000-0005-0000-0000-00005B330000}"/>
    <cellStyle name="40% - uthevingsfarge 3 29 5 4 2" xfId="38736" xr:uid="{00000000-0005-0000-0000-00005C330000}"/>
    <cellStyle name="40% - uthevingsfarge 3 29 5 5" xfId="33372" xr:uid="{00000000-0005-0000-0000-00005D330000}"/>
    <cellStyle name="40% - uthevingsfarge 3 29 6" xfId="4683" xr:uid="{00000000-0005-0000-0000-00005E330000}"/>
    <cellStyle name="40% - uthevingsfarge 3 29 6 2" xfId="6403" xr:uid="{00000000-0005-0000-0000-00005F330000}"/>
    <cellStyle name="40% - uthevingsfarge 3 29 6 2 2" xfId="9813" xr:uid="{00000000-0005-0000-0000-000060330000}"/>
    <cellStyle name="40% - uthevingsfarge 3 29 6 2 2 2" xfId="21494" xr:uid="{00000000-0005-0000-0000-000061330000}"/>
    <cellStyle name="40% - uthevingsfarge 3 29 6 2 2 2 2" xfId="37574" xr:uid="{00000000-0005-0000-0000-000062330000}"/>
    <cellStyle name="40% - uthevingsfarge 3 29 6 2 2 3" xfId="27986" xr:uid="{00000000-0005-0000-0000-000063330000}"/>
    <cellStyle name="40% - uthevingsfarge 3 29 6 2 3" xfId="24035" xr:uid="{00000000-0005-0000-0000-000064330000}"/>
    <cellStyle name="40% - uthevingsfarge 3 29 6 2 3 2" xfId="40088" xr:uid="{00000000-0005-0000-0000-000065330000}"/>
    <cellStyle name="40% - uthevingsfarge 3 29 6 2 4" xfId="31387" xr:uid="{00000000-0005-0000-0000-000066330000}"/>
    <cellStyle name="40% - uthevingsfarge 3 29 6 3" xfId="8109" xr:uid="{00000000-0005-0000-0000-000067330000}"/>
    <cellStyle name="40% - uthevingsfarge 3 29 6 3 2" xfId="23314" xr:uid="{00000000-0005-0000-0000-000068330000}"/>
    <cellStyle name="40% - uthevingsfarge 3 29 6 3 2 2" xfId="39380" xr:uid="{00000000-0005-0000-0000-000069330000}"/>
    <cellStyle name="40% - uthevingsfarge 3 29 6 3 3" xfId="29689" xr:uid="{00000000-0005-0000-0000-00006A330000}"/>
    <cellStyle name="40% - uthevingsfarge 3 29 6 4" xfId="12290" xr:uid="{00000000-0005-0000-0000-00006B330000}"/>
    <cellStyle name="40% - uthevingsfarge 3 29 6 4 2" xfId="35166" xr:uid="{00000000-0005-0000-0000-00006C330000}"/>
    <cellStyle name="40% - uthevingsfarge 3 29 6 5" xfId="33080" xr:uid="{00000000-0005-0000-0000-00006D330000}"/>
    <cellStyle name="40% - uthevingsfarge 3 29 7" xfId="5047" xr:uid="{00000000-0005-0000-0000-00006E330000}"/>
    <cellStyle name="40% - uthevingsfarge 3 29 7 2" xfId="6766" xr:uid="{00000000-0005-0000-0000-00006F330000}"/>
    <cellStyle name="40% - uthevingsfarge 3 29 7 2 2" xfId="10172" xr:uid="{00000000-0005-0000-0000-000070330000}"/>
    <cellStyle name="40% - uthevingsfarge 3 29 7 2 2 2" xfId="23633" xr:uid="{00000000-0005-0000-0000-000071330000}"/>
    <cellStyle name="40% - uthevingsfarge 3 29 7 2 2 2 2" xfId="39689" xr:uid="{00000000-0005-0000-0000-000072330000}"/>
    <cellStyle name="40% - uthevingsfarge 3 29 7 2 2 3" xfId="27627" xr:uid="{00000000-0005-0000-0000-000073330000}"/>
    <cellStyle name="40% - uthevingsfarge 3 29 7 2 3" xfId="24095" xr:uid="{00000000-0005-0000-0000-000074330000}"/>
    <cellStyle name="40% - uthevingsfarge 3 29 7 2 3 2" xfId="40148" xr:uid="{00000000-0005-0000-0000-000075330000}"/>
    <cellStyle name="40% - uthevingsfarge 3 29 7 2 4" xfId="31028" xr:uid="{00000000-0005-0000-0000-000076330000}"/>
    <cellStyle name="40% - uthevingsfarge 3 29 7 3" xfId="8469" xr:uid="{00000000-0005-0000-0000-000077330000}"/>
    <cellStyle name="40% - uthevingsfarge 3 29 7 3 2" xfId="24369" xr:uid="{00000000-0005-0000-0000-000078330000}"/>
    <cellStyle name="40% - uthevingsfarge 3 29 7 3 2 2" xfId="40415" xr:uid="{00000000-0005-0000-0000-000079330000}"/>
    <cellStyle name="40% - uthevingsfarge 3 29 7 3 3" xfId="29329" xr:uid="{00000000-0005-0000-0000-00007A330000}"/>
    <cellStyle name="40% - uthevingsfarge 3 29 7 4" xfId="19735" xr:uid="{00000000-0005-0000-0000-00007B330000}"/>
    <cellStyle name="40% - uthevingsfarge 3 29 7 4 2" xfId="35849" xr:uid="{00000000-0005-0000-0000-00007C330000}"/>
    <cellStyle name="40% - uthevingsfarge 3 29 7 5" xfId="32720" xr:uid="{00000000-0005-0000-0000-00007D330000}"/>
    <cellStyle name="40% - uthevingsfarge 3 29 8" xfId="5249" xr:uid="{00000000-0005-0000-0000-00007E330000}"/>
    <cellStyle name="40% - uthevingsfarge 3 29 8 2" xfId="8664" xr:uid="{00000000-0005-0000-0000-00007F330000}"/>
    <cellStyle name="40% - uthevingsfarge 3 29 8 2 2" xfId="24397" xr:uid="{00000000-0005-0000-0000-000080330000}"/>
    <cellStyle name="40% - uthevingsfarge 3 29 8 2 2 2" xfId="40441" xr:uid="{00000000-0005-0000-0000-000081330000}"/>
    <cellStyle name="40% - uthevingsfarge 3 29 8 2 3" xfId="29134" xr:uid="{00000000-0005-0000-0000-000082330000}"/>
    <cellStyle name="40% - uthevingsfarge 3 29 8 3" xfId="12107" xr:uid="{00000000-0005-0000-0000-000083330000}"/>
    <cellStyle name="40% - uthevingsfarge 3 29 8 3 2" xfId="35074" xr:uid="{00000000-0005-0000-0000-000084330000}"/>
    <cellStyle name="40% - uthevingsfarge 3 29 8 4" xfId="32525" xr:uid="{00000000-0005-0000-0000-000085330000}"/>
    <cellStyle name="40% - uthevingsfarge 3 29 9" xfId="6941" xr:uid="{00000000-0005-0000-0000-000086330000}"/>
    <cellStyle name="40% - uthevingsfarge 3 29 9 2" xfId="11949" xr:uid="{00000000-0005-0000-0000-000087330000}"/>
    <cellStyle name="40% - uthevingsfarge 3 29 9 2 2" xfId="34971" xr:uid="{00000000-0005-0000-0000-000088330000}"/>
    <cellStyle name="40% - uthevingsfarge 3 29 9 3" xfId="30857" xr:uid="{00000000-0005-0000-0000-000089330000}"/>
    <cellStyle name="40% - uthevingsfarge 3 3" xfId="830" xr:uid="{00000000-0005-0000-0000-00008A330000}"/>
    <cellStyle name="40% - uthevingsfarge 3 3 2" xfId="831" xr:uid="{00000000-0005-0000-0000-00008B330000}"/>
    <cellStyle name="40% - uthevingsfarge 3 30" xfId="832" xr:uid="{00000000-0005-0000-0000-00008C330000}"/>
    <cellStyle name="40% - uthevingsfarge 3 30 10" xfId="11165" xr:uid="{00000000-0005-0000-0000-00008D330000}"/>
    <cellStyle name="40% - uthevingsfarge 3 30 11" xfId="34244" xr:uid="{00000000-0005-0000-0000-00008E330000}"/>
    <cellStyle name="40% - uthevingsfarge 3 30 2" xfId="3345" xr:uid="{00000000-0005-0000-0000-00008F330000}"/>
    <cellStyle name="40% - uthevingsfarge 3 30 2 10" xfId="34146" xr:uid="{00000000-0005-0000-0000-000090330000}"/>
    <cellStyle name="40% - uthevingsfarge 3 30 2 2" xfId="3577" xr:uid="{00000000-0005-0000-0000-000091330000}"/>
    <cellStyle name="40% - uthevingsfarge 3 30 2 2 10" xfId="47176" xr:uid="{00000000-0005-0000-0000-000092330000}"/>
    <cellStyle name="40% - uthevingsfarge 3 30 2 2 2" xfId="4007" xr:uid="{00000000-0005-0000-0000-000093330000}"/>
    <cellStyle name="40% - uthevingsfarge 3 30 2 2 2 2" xfId="5895" xr:uid="{00000000-0005-0000-0000-000094330000}"/>
    <cellStyle name="40% - uthevingsfarge 3 30 2 2 2 2 2" xfId="9310" xr:uid="{00000000-0005-0000-0000-000095330000}"/>
    <cellStyle name="40% - uthevingsfarge 3 30 2 2 2 2 2 2" xfId="23488" xr:uid="{00000000-0005-0000-0000-000096330000}"/>
    <cellStyle name="40% - uthevingsfarge 3 30 2 2 2 2 2 2 2" xfId="39544" xr:uid="{00000000-0005-0000-0000-000097330000}"/>
    <cellStyle name="40% - uthevingsfarge 3 30 2 2 2 2 2 3" xfId="28488" xr:uid="{00000000-0005-0000-0000-000098330000}"/>
    <cellStyle name="40% - uthevingsfarge 3 30 2 2 2 2 3" xfId="23937" xr:uid="{00000000-0005-0000-0000-000099330000}"/>
    <cellStyle name="40% - uthevingsfarge 3 30 2 2 2 2 3 2" xfId="39991" xr:uid="{00000000-0005-0000-0000-00009A330000}"/>
    <cellStyle name="40% - uthevingsfarge 3 30 2 2 2 2 4" xfId="31881" xr:uid="{00000000-0005-0000-0000-00009B330000}"/>
    <cellStyle name="40% - uthevingsfarge 3 30 2 2 2 3" xfId="7613" xr:uid="{00000000-0005-0000-0000-00009C330000}"/>
    <cellStyle name="40% - uthevingsfarge 3 30 2 2 2 3 2" xfId="23643" xr:uid="{00000000-0005-0000-0000-00009D330000}"/>
    <cellStyle name="40% - uthevingsfarge 3 30 2 2 2 3 2 2" xfId="39699" xr:uid="{00000000-0005-0000-0000-00009E330000}"/>
    <cellStyle name="40% - uthevingsfarge 3 30 2 2 2 3 3" xfId="30185" xr:uid="{00000000-0005-0000-0000-00009F330000}"/>
    <cellStyle name="40% - uthevingsfarge 3 30 2 2 2 4" xfId="18023" xr:uid="{00000000-0005-0000-0000-0000A0330000}"/>
    <cellStyle name="40% - uthevingsfarge 3 30 2 2 2 5" xfId="22722" xr:uid="{00000000-0005-0000-0000-0000A1330000}"/>
    <cellStyle name="40% - uthevingsfarge 3 30 2 2 2 5 2" xfId="38791" xr:uid="{00000000-0005-0000-0000-0000A2330000}"/>
    <cellStyle name="40% - uthevingsfarge 3 30 2 2 2 6" xfId="33572" xr:uid="{00000000-0005-0000-0000-0000A3330000}"/>
    <cellStyle name="40% - uthevingsfarge 3 30 2 2 3" xfId="4947" xr:uid="{00000000-0005-0000-0000-0000A4330000}"/>
    <cellStyle name="40% - uthevingsfarge 3 30 2 2 3 10" xfId="47366" xr:uid="{00000000-0005-0000-0000-0000A5330000}"/>
    <cellStyle name="40% - uthevingsfarge 3 30 2 2 3 2" xfId="6666" xr:uid="{00000000-0005-0000-0000-0000A6330000}"/>
    <cellStyle name="40% - uthevingsfarge 3 30 2 2 3 2 2" xfId="10072" xr:uid="{00000000-0005-0000-0000-0000A7330000}"/>
    <cellStyle name="40% - uthevingsfarge 3 30 2 2 3 2 2 2" xfId="22632" xr:uid="{00000000-0005-0000-0000-0000A8330000}"/>
    <cellStyle name="40% - uthevingsfarge 3 30 2 2 3 2 2 2 2" xfId="38701" xr:uid="{00000000-0005-0000-0000-0000A9330000}"/>
    <cellStyle name="40% - uthevingsfarge 3 30 2 2 3 2 2 3" xfId="27727" xr:uid="{00000000-0005-0000-0000-0000AA330000}"/>
    <cellStyle name="40% - uthevingsfarge 3 30 2 2 3 2 3" xfId="23081" xr:uid="{00000000-0005-0000-0000-0000AB330000}"/>
    <cellStyle name="40% - uthevingsfarge 3 30 2 2 3 2 3 2" xfId="39150" xr:uid="{00000000-0005-0000-0000-0000AC330000}"/>
    <cellStyle name="40% - uthevingsfarge 3 30 2 2 3 2 4" xfId="31128" xr:uid="{00000000-0005-0000-0000-0000AD330000}"/>
    <cellStyle name="40% - uthevingsfarge 3 30 2 2 3 2 5" xfId="43060" xr:uid="{00000000-0005-0000-0000-0000AE330000}"/>
    <cellStyle name="40% - uthevingsfarge 3 30 2 2 3 2 6" xfId="43357" xr:uid="{00000000-0005-0000-0000-0000AF330000}"/>
    <cellStyle name="40% - uthevingsfarge 3 30 2 2 3 2 7" xfId="46205" xr:uid="{00000000-0005-0000-0000-0000B0330000}"/>
    <cellStyle name="40% - uthevingsfarge 3 30 2 2 3 2 8" xfId="46977" xr:uid="{00000000-0005-0000-0000-0000B1330000}"/>
    <cellStyle name="40% - uthevingsfarge 3 30 2 2 3 2 9" xfId="47562" xr:uid="{00000000-0005-0000-0000-0000B2330000}"/>
    <cellStyle name="40% - uthevingsfarge 3 30 2 2 3 3" xfId="8369" xr:uid="{00000000-0005-0000-0000-0000B3330000}"/>
    <cellStyle name="40% - uthevingsfarge 3 30 2 2 3 3 2" xfId="23352" xr:uid="{00000000-0005-0000-0000-0000B4330000}"/>
    <cellStyle name="40% - uthevingsfarge 3 30 2 2 3 3 2 2" xfId="39413" xr:uid="{00000000-0005-0000-0000-0000B5330000}"/>
    <cellStyle name="40% - uthevingsfarge 3 30 2 2 3 3 3" xfId="29429" xr:uid="{00000000-0005-0000-0000-0000B6330000}"/>
    <cellStyle name="40% - uthevingsfarge 3 30 2 2 3 3 4" xfId="43942" xr:uid="{00000000-0005-0000-0000-0000B7330000}"/>
    <cellStyle name="40% - uthevingsfarge 3 30 2 2 3 4" xfId="16505" xr:uid="{00000000-0005-0000-0000-0000B8330000}"/>
    <cellStyle name="40% - uthevingsfarge 3 30 2 2 3 4 2" xfId="35452" xr:uid="{00000000-0005-0000-0000-0000B9330000}"/>
    <cellStyle name="40% - uthevingsfarge 3 30 2 2 3 5" xfId="25114" xr:uid="{00000000-0005-0000-0000-0000BA330000}"/>
    <cellStyle name="40% - uthevingsfarge 3 30 2 2 3 6" xfId="25306" xr:uid="{00000000-0005-0000-0000-0000BB330000}"/>
    <cellStyle name="40% - uthevingsfarge 3 30 2 2 3 7" xfId="32820" xr:uid="{00000000-0005-0000-0000-0000BC330000}"/>
    <cellStyle name="40% - uthevingsfarge 3 30 2 2 3 8" xfId="43818" xr:uid="{00000000-0005-0000-0000-0000BD330000}"/>
    <cellStyle name="40% - uthevingsfarge 3 30 2 2 3 9" xfId="46743" xr:uid="{00000000-0005-0000-0000-0000BE330000}"/>
    <cellStyle name="40% - uthevingsfarge 3 30 2 2 4" xfId="5501" xr:uid="{00000000-0005-0000-0000-0000BF330000}"/>
    <cellStyle name="40% - uthevingsfarge 3 30 2 2 4 2" xfId="8916" xr:uid="{00000000-0005-0000-0000-0000C0330000}"/>
    <cellStyle name="40% - uthevingsfarge 3 30 2 2 4 2 2" xfId="19517" xr:uid="{00000000-0005-0000-0000-0000C1330000}"/>
    <cellStyle name="40% - uthevingsfarge 3 30 2 2 4 2 2 2" xfId="35631" xr:uid="{00000000-0005-0000-0000-0000C2330000}"/>
    <cellStyle name="40% - uthevingsfarge 3 30 2 2 4 2 3" xfId="28882" xr:uid="{00000000-0005-0000-0000-0000C3330000}"/>
    <cellStyle name="40% - uthevingsfarge 3 30 2 2 4 3" xfId="11992" xr:uid="{00000000-0005-0000-0000-0000C4330000}"/>
    <cellStyle name="40% - uthevingsfarge 3 30 2 2 4 3 2" xfId="35013" xr:uid="{00000000-0005-0000-0000-0000C5330000}"/>
    <cellStyle name="40% - uthevingsfarge 3 30 2 2 4 4" xfId="32273" xr:uid="{00000000-0005-0000-0000-0000C6330000}"/>
    <cellStyle name="40% - uthevingsfarge 3 30 2 2 5" xfId="7219" xr:uid="{00000000-0005-0000-0000-0000C7330000}"/>
    <cellStyle name="40% - uthevingsfarge 3 30 2 2 5 2" xfId="23676" xr:uid="{00000000-0005-0000-0000-0000C8330000}"/>
    <cellStyle name="40% - uthevingsfarge 3 30 2 2 5 2 2" xfId="39732" xr:uid="{00000000-0005-0000-0000-0000C9330000}"/>
    <cellStyle name="40% - uthevingsfarge 3 30 2 2 5 3" xfId="30579" xr:uid="{00000000-0005-0000-0000-0000CA330000}"/>
    <cellStyle name="40% - uthevingsfarge 3 30 2 2 6" xfId="11167" xr:uid="{00000000-0005-0000-0000-0000CB330000}"/>
    <cellStyle name="40% - uthevingsfarge 3 30 2 2 7" xfId="33966" xr:uid="{00000000-0005-0000-0000-0000CC330000}"/>
    <cellStyle name="40% - uthevingsfarge 3 30 2 2 8" xfId="43609" xr:uid="{00000000-0005-0000-0000-0000CD330000}"/>
    <cellStyle name="40% - uthevingsfarge 3 30 2 2 9" xfId="46515" xr:uid="{00000000-0005-0000-0000-0000CE330000}"/>
    <cellStyle name="40% - uthevingsfarge 3 30 2 2_Avviksanalyse løpende RNB15 (1)" xfId="16631" xr:uid="{00000000-0005-0000-0000-0000CF330000}"/>
    <cellStyle name="40% - uthevingsfarge 3 30 2 3" xfId="3827" xr:uid="{00000000-0005-0000-0000-0000D0330000}"/>
    <cellStyle name="40% - uthevingsfarge 3 30 2 3 2" xfId="5715" xr:uid="{00000000-0005-0000-0000-0000D1330000}"/>
    <cellStyle name="40% - uthevingsfarge 3 30 2 3 2 2" xfId="9130" xr:uid="{00000000-0005-0000-0000-0000D2330000}"/>
    <cellStyle name="40% - uthevingsfarge 3 30 2 3 2 2 2" xfId="21285" xr:uid="{00000000-0005-0000-0000-0000D3330000}"/>
    <cellStyle name="40% - uthevingsfarge 3 30 2 3 2 2 2 2" xfId="37365" xr:uid="{00000000-0005-0000-0000-0000D4330000}"/>
    <cellStyle name="40% - uthevingsfarge 3 30 2 3 2 2 3" xfId="28668" xr:uid="{00000000-0005-0000-0000-0000D5330000}"/>
    <cellStyle name="40% - uthevingsfarge 3 30 2 3 2 3" xfId="22085" xr:uid="{00000000-0005-0000-0000-0000D6330000}"/>
    <cellStyle name="40% - uthevingsfarge 3 30 2 3 2 3 2" xfId="38159" xr:uid="{00000000-0005-0000-0000-0000D7330000}"/>
    <cellStyle name="40% - uthevingsfarge 3 30 2 3 2 4" xfId="32059" xr:uid="{00000000-0005-0000-0000-0000D8330000}"/>
    <cellStyle name="40% - uthevingsfarge 3 30 2 3 3" xfId="7433" xr:uid="{00000000-0005-0000-0000-0000D9330000}"/>
    <cellStyle name="40% - uthevingsfarge 3 30 2 3 3 2" xfId="23205" xr:uid="{00000000-0005-0000-0000-0000DA330000}"/>
    <cellStyle name="40% - uthevingsfarge 3 30 2 3 3 2 2" xfId="39274" xr:uid="{00000000-0005-0000-0000-0000DB330000}"/>
    <cellStyle name="40% - uthevingsfarge 3 30 2 3 3 3" xfId="30365" xr:uid="{00000000-0005-0000-0000-0000DC330000}"/>
    <cellStyle name="40% - uthevingsfarge 3 30 2 3 4" xfId="23780" xr:uid="{00000000-0005-0000-0000-0000DD330000}"/>
    <cellStyle name="40% - uthevingsfarge 3 30 2 3 4 2" xfId="39836" xr:uid="{00000000-0005-0000-0000-0000DE330000}"/>
    <cellStyle name="40% - uthevingsfarge 3 30 2 3 5" xfId="33752" xr:uid="{00000000-0005-0000-0000-0000DF330000}"/>
    <cellStyle name="40% - uthevingsfarge 3 30 2 4" xfId="4312" xr:uid="{00000000-0005-0000-0000-0000E0330000}"/>
    <cellStyle name="40% - uthevingsfarge 3 30 2 4 2" xfId="6141" xr:uid="{00000000-0005-0000-0000-0000E1330000}"/>
    <cellStyle name="40% - uthevingsfarge 3 30 2 4 2 2" xfId="9555" xr:uid="{00000000-0005-0000-0000-0000E2330000}"/>
    <cellStyle name="40% - uthevingsfarge 3 30 2 4 2 2 2" xfId="10421" xr:uid="{00000000-0005-0000-0000-0000E3330000}"/>
    <cellStyle name="40% - uthevingsfarge 3 30 2 4 2 2 2 2" xfId="34355" xr:uid="{00000000-0005-0000-0000-0000E4330000}"/>
    <cellStyle name="40% - uthevingsfarge 3 30 2 4 2 2 3" xfId="28243" xr:uid="{00000000-0005-0000-0000-0000E5330000}"/>
    <cellStyle name="40% - uthevingsfarge 3 30 2 4 2 3" xfId="22318" xr:uid="{00000000-0005-0000-0000-0000E6330000}"/>
    <cellStyle name="40% - uthevingsfarge 3 30 2 4 2 3 2" xfId="38390" xr:uid="{00000000-0005-0000-0000-0000E7330000}"/>
    <cellStyle name="40% - uthevingsfarge 3 30 2 4 2 4" xfId="31639" xr:uid="{00000000-0005-0000-0000-0000E8330000}"/>
    <cellStyle name="40% - uthevingsfarge 3 30 2 4 3" xfId="7874" xr:uid="{00000000-0005-0000-0000-0000E9330000}"/>
    <cellStyle name="40% - uthevingsfarge 3 30 2 4 3 2" xfId="10622" xr:uid="{00000000-0005-0000-0000-0000EA330000}"/>
    <cellStyle name="40% - uthevingsfarge 3 30 2 4 3 2 2" xfId="34470" xr:uid="{00000000-0005-0000-0000-0000EB330000}"/>
    <cellStyle name="40% - uthevingsfarge 3 30 2 4 3 3" xfId="29925" xr:uid="{00000000-0005-0000-0000-0000EC330000}"/>
    <cellStyle name="40% - uthevingsfarge 3 30 2 4 4" xfId="22814" xr:uid="{00000000-0005-0000-0000-0000ED330000}"/>
    <cellStyle name="40% - uthevingsfarge 3 30 2 4 4 2" xfId="38883" xr:uid="{00000000-0005-0000-0000-0000EE330000}"/>
    <cellStyle name="40% - uthevingsfarge 3 30 2 4 5" xfId="33313" xr:uid="{00000000-0005-0000-0000-0000EF330000}"/>
    <cellStyle name="40% - uthevingsfarge 3 30 2 5" xfId="4767" xr:uid="{00000000-0005-0000-0000-0000F0330000}"/>
    <cellStyle name="40% - uthevingsfarge 3 30 2 5 2" xfId="6487" xr:uid="{00000000-0005-0000-0000-0000F1330000}"/>
    <cellStyle name="40% - uthevingsfarge 3 30 2 5 2 2" xfId="9893" xr:uid="{00000000-0005-0000-0000-0000F2330000}"/>
    <cellStyle name="40% - uthevingsfarge 3 30 2 5 2 2 2" xfId="24583" xr:uid="{00000000-0005-0000-0000-0000F3330000}"/>
    <cellStyle name="40% - uthevingsfarge 3 30 2 5 2 2 2 2" xfId="40627" xr:uid="{00000000-0005-0000-0000-0000F4330000}"/>
    <cellStyle name="40% - uthevingsfarge 3 30 2 5 2 2 3" xfId="27906" xr:uid="{00000000-0005-0000-0000-0000F5330000}"/>
    <cellStyle name="40% - uthevingsfarge 3 30 2 5 2 3" xfId="24051" xr:uid="{00000000-0005-0000-0000-0000F6330000}"/>
    <cellStyle name="40% - uthevingsfarge 3 30 2 5 2 3 2" xfId="40104" xr:uid="{00000000-0005-0000-0000-0000F7330000}"/>
    <cellStyle name="40% - uthevingsfarge 3 30 2 5 2 4" xfId="31307" xr:uid="{00000000-0005-0000-0000-0000F8330000}"/>
    <cellStyle name="40% - uthevingsfarge 3 30 2 5 3" xfId="8189" xr:uid="{00000000-0005-0000-0000-0000F9330000}"/>
    <cellStyle name="40% - uthevingsfarge 3 30 2 5 3 2" xfId="23327" xr:uid="{00000000-0005-0000-0000-0000FA330000}"/>
    <cellStyle name="40% - uthevingsfarge 3 30 2 5 3 2 2" xfId="39391" xr:uid="{00000000-0005-0000-0000-0000FB330000}"/>
    <cellStyle name="40% - uthevingsfarge 3 30 2 5 3 3" xfId="29608" xr:uid="{00000000-0005-0000-0000-0000FC330000}"/>
    <cellStyle name="40% - uthevingsfarge 3 30 2 5 4" xfId="19706" xr:uid="{00000000-0005-0000-0000-0000FD330000}"/>
    <cellStyle name="40% - uthevingsfarge 3 30 2 5 4 2" xfId="35820" xr:uid="{00000000-0005-0000-0000-0000FE330000}"/>
    <cellStyle name="40% - uthevingsfarge 3 30 2 5 5" xfId="33000" xr:uid="{00000000-0005-0000-0000-0000FF330000}"/>
    <cellStyle name="40% - uthevingsfarge 3 30 2 6" xfId="5127" xr:uid="{00000000-0005-0000-0000-000000340000}"/>
    <cellStyle name="40% - uthevingsfarge 3 30 2 6 2" xfId="6846" xr:uid="{00000000-0005-0000-0000-000001340000}"/>
    <cellStyle name="40% - uthevingsfarge 3 30 2 6 2 2" xfId="10252" xr:uid="{00000000-0005-0000-0000-000002340000}"/>
    <cellStyle name="40% - uthevingsfarge 3 30 2 6 2 2 2" xfId="24695" xr:uid="{00000000-0005-0000-0000-000003340000}"/>
    <cellStyle name="40% - uthevingsfarge 3 30 2 6 2 2 2 2" xfId="40738" xr:uid="{00000000-0005-0000-0000-000004340000}"/>
    <cellStyle name="40% - uthevingsfarge 3 30 2 6 2 2 3" xfId="27547" xr:uid="{00000000-0005-0000-0000-000005340000}"/>
    <cellStyle name="40% - uthevingsfarge 3 30 2 6 2 3" xfId="20579" xr:uid="{00000000-0005-0000-0000-000006340000}"/>
    <cellStyle name="40% - uthevingsfarge 3 30 2 6 2 3 2" xfId="36678" xr:uid="{00000000-0005-0000-0000-000007340000}"/>
    <cellStyle name="40% - uthevingsfarge 3 30 2 6 2 4" xfId="30948" xr:uid="{00000000-0005-0000-0000-000008340000}"/>
    <cellStyle name="40% - uthevingsfarge 3 30 2 6 3" xfId="8549" xr:uid="{00000000-0005-0000-0000-000009340000}"/>
    <cellStyle name="40% - uthevingsfarge 3 30 2 6 3 2" xfId="11831" xr:uid="{00000000-0005-0000-0000-00000A340000}"/>
    <cellStyle name="40% - uthevingsfarge 3 30 2 6 3 2 2" xfId="34887" xr:uid="{00000000-0005-0000-0000-00000B340000}"/>
    <cellStyle name="40% - uthevingsfarge 3 30 2 6 3 3" xfId="29249" xr:uid="{00000000-0005-0000-0000-00000C340000}"/>
    <cellStyle name="40% - uthevingsfarge 3 30 2 6 4" xfId="19755" xr:uid="{00000000-0005-0000-0000-00000D340000}"/>
    <cellStyle name="40% - uthevingsfarge 3 30 2 6 4 2" xfId="35869" xr:uid="{00000000-0005-0000-0000-00000E340000}"/>
    <cellStyle name="40% - uthevingsfarge 3 30 2 6 5" xfId="32640" xr:uid="{00000000-0005-0000-0000-00000F340000}"/>
    <cellStyle name="40% - uthevingsfarge 3 30 2 7" xfId="5306" xr:uid="{00000000-0005-0000-0000-000010340000}"/>
    <cellStyle name="40% - uthevingsfarge 3 30 2 7 2" xfId="8721" xr:uid="{00000000-0005-0000-0000-000011340000}"/>
    <cellStyle name="40% - uthevingsfarge 3 30 2 7 2 2" xfId="23399" xr:uid="{00000000-0005-0000-0000-000012340000}"/>
    <cellStyle name="40% - uthevingsfarge 3 30 2 7 2 2 2" xfId="39455" xr:uid="{00000000-0005-0000-0000-000013340000}"/>
    <cellStyle name="40% - uthevingsfarge 3 30 2 7 2 3" xfId="29077" xr:uid="{00000000-0005-0000-0000-000014340000}"/>
    <cellStyle name="40% - uthevingsfarge 3 30 2 7 3" xfId="10743" xr:uid="{00000000-0005-0000-0000-000015340000}"/>
    <cellStyle name="40% - uthevingsfarge 3 30 2 7 3 2" xfId="34585" xr:uid="{00000000-0005-0000-0000-000016340000}"/>
    <cellStyle name="40% - uthevingsfarge 3 30 2 7 4" xfId="32468" xr:uid="{00000000-0005-0000-0000-000017340000}"/>
    <cellStyle name="40% - uthevingsfarge 3 30 2 8" xfId="7039" xr:uid="{00000000-0005-0000-0000-000018340000}"/>
    <cellStyle name="40% - uthevingsfarge 3 30 2 8 2" xfId="23136" xr:uid="{00000000-0005-0000-0000-000019340000}"/>
    <cellStyle name="40% - uthevingsfarge 3 30 2 8 2 2" xfId="39205" xr:uid="{00000000-0005-0000-0000-00001A340000}"/>
    <cellStyle name="40% - uthevingsfarge 3 30 2 8 3" xfId="30759" xr:uid="{00000000-0005-0000-0000-00001B340000}"/>
    <cellStyle name="40% - uthevingsfarge 3 30 2 9" xfId="11166" xr:uid="{00000000-0005-0000-0000-00001C340000}"/>
    <cellStyle name="40% - uthevingsfarge 3 30 3" xfId="3492" xr:uid="{00000000-0005-0000-0000-00001D340000}"/>
    <cellStyle name="40% - uthevingsfarge 3 30 3 10" xfId="47108" xr:uid="{00000000-0005-0000-0000-00001E340000}"/>
    <cellStyle name="40% - uthevingsfarge 3 30 3 2" xfId="3928" xr:uid="{00000000-0005-0000-0000-00001F340000}"/>
    <cellStyle name="40% - uthevingsfarge 3 30 3 2 2" xfId="5816" xr:uid="{00000000-0005-0000-0000-000020340000}"/>
    <cellStyle name="40% - uthevingsfarge 3 30 3 2 2 2" xfId="9231" xr:uid="{00000000-0005-0000-0000-000021340000}"/>
    <cellStyle name="40% - uthevingsfarge 3 30 3 2 2 2 2" xfId="21324" xr:uid="{00000000-0005-0000-0000-000022340000}"/>
    <cellStyle name="40% - uthevingsfarge 3 30 3 2 2 2 2 2" xfId="37404" xr:uid="{00000000-0005-0000-0000-000023340000}"/>
    <cellStyle name="40% - uthevingsfarge 3 30 3 2 2 2 3" xfId="28567" xr:uid="{00000000-0005-0000-0000-000024340000}"/>
    <cellStyle name="40% - uthevingsfarge 3 30 3 2 2 3" xfId="20214" xr:uid="{00000000-0005-0000-0000-000025340000}"/>
    <cellStyle name="40% - uthevingsfarge 3 30 3 2 2 3 2" xfId="36313" xr:uid="{00000000-0005-0000-0000-000026340000}"/>
    <cellStyle name="40% - uthevingsfarge 3 30 3 2 2 4" xfId="31958" xr:uid="{00000000-0005-0000-0000-000027340000}"/>
    <cellStyle name="40% - uthevingsfarge 3 30 3 2 3" xfId="7534" xr:uid="{00000000-0005-0000-0000-000028340000}"/>
    <cellStyle name="40% - uthevingsfarge 3 30 3 2 3 2" xfId="10628" xr:uid="{00000000-0005-0000-0000-000029340000}"/>
    <cellStyle name="40% - uthevingsfarge 3 30 3 2 3 2 2" xfId="34476" xr:uid="{00000000-0005-0000-0000-00002A340000}"/>
    <cellStyle name="40% - uthevingsfarge 3 30 3 2 3 3" xfId="30264" xr:uid="{00000000-0005-0000-0000-00002B340000}"/>
    <cellStyle name="40% - uthevingsfarge 3 30 3 2 4" xfId="18024" xr:uid="{00000000-0005-0000-0000-00002C340000}"/>
    <cellStyle name="40% - uthevingsfarge 3 30 3 2 5" xfId="19949" xr:uid="{00000000-0005-0000-0000-00002D340000}"/>
    <cellStyle name="40% - uthevingsfarge 3 30 3 2 5 2" xfId="36053" xr:uid="{00000000-0005-0000-0000-00002E340000}"/>
    <cellStyle name="40% - uthevingsfarge 3 30 3 2 6" xfId="33651" xr:uid="{00000000-0005-0000-0000-00002F340000}"/>
    <cellStyle name="40% - uthevingsfarge 3 30 3 3" xfId="4868" xr:uid="{00000000-0005-0000-0000-000030340000}"/>
    <cellStyle name="40% - uthevingsfarge 3 30 3 3 10" xfId="47298" xr:uid="{00000000-0005-0000-0000-000031340000}"/>
    <cellStyle name="40% - uthevingsfarge 3 30 3 3 2" xfId="6587" xr:uid="{00000000-0005-0000-0000-000032340000}"/>
    <cellStyle name="40% - uthevingsfarge 3 30 3 3 2 2" xfId="9993" xr:uid="{00000000-0005-0000-0000-000033340000}"/>
    <cellStyle name="40% - uthevingsfarge 3 30 3 3 2 2 2" xfId="21563" xr:uid="{00000000-0005-0000-0000-000034340000}"/>
    <cellStyle name="40% - uthevingsfarge 3 30 3 3 2 2 2 2" xfId="37643" xr:uid="{00000000-0005-0000-0000-000035340000}"/>
    <cellStyle name="40% - uthevingsfarge 3 30 3 3 2 2 3" xfId="27806" xr:uid="{00000000-0005-0000-0000-000036340000}"/>
    <cellStyle name="40% - uthevingsfarge 3 30 3 3 2 3" xfId="20508" xr:uid="{00000000-0005-0000-0000-000037340000}"/>
    <cellStyle name="40% - uthevingsfarge 3 30 3 3 2 3 2" xfId="36607" xr:uid="{00000000-0005-0000-0000-000038340000}"/>
    <cellStyle name="40% - uthevingsfarge 3 30 3 3 2 4" xfId="31207" xr:uid="{00000000-0005-0000-0000-000039340000}"/>
    <cellStyle name="40% - uthevingsfarge 3 30 3 3 2 5" xfId="42853" xr:uid="{00000000-0005-0000-0000-00003A340000}"/>
    <cellStyle name="40% - uthevingsfarge 3 30 3 3 2 6" xfId="43291" xr:uid="{00000000-0005-0000-0000-00003B340000}"/>
    <cellStyle name="40% - uthevingsfarge 3 30 3 3 2 7" xfId="46139" xr:uid="{00000000-0005-0000-0000-00003C340000}"/>
    <cellStyle name="40% - uthevingsfarge 3 30 3 3 2 8" xfId="46908" xr:uid="{00000000-0005-0000-0000-00003D340000}"/>
    <cellStyle name="40% - uthevingsfarge 3 30 3 3 2 9" xfId="47494" xr:uid="{00000000-0005-0000-0000-00003E340000}"/>
    <cellStyle name="40% - uthevingsfarge 3 30 3 3 3" xfId="8290" xr:uid="{00000000-0005-0000-0000-00003F340000}"/>
    <cellStyle name="40% - uthevingsfarge 3 30 3 3 3 2" xfId="19873" xr:uid="{00000000-0005-0000-0000-000040340000}"/>
    <cellStyle name="40% - uthevingsfarge 3 30 3 3 3 2 2" xfId="35986" xr:uid="{00000000-0005-0000-0000-000041340000}"/>
    <cellStyle name="40% - uthevingsfarge 3 30 3 3 3 3" xfId="29507" xr:uid="{00000000-0005-0000-0000-000042340000}"/>
    <cellStyle name="40% - uthevingsfarge 3 30 3 3 3 4" xfId="43943" xr:uid="{00000000-0005-0000-0000-000043340000}"/>
    <cellStyle name="40% - uthevingsfarge 3 30 3 3 4" xfId="16298" xr:uid="{00000000-0005-0000-0000-000044340000}"/>
    <cellStyle name="40% - uthevingsfarge 3 30 3 3 4 2" xfId="35386" xr:uid="{00000000-0005-0000-0000-000045340000}"/>
    <cellStyle name="40% - uthevingsfarge 3 30 3 3 5" xfId="25045" xr:uid="{00000000-0005-0000-0000-000046340000}"/>
    <cellStyle name="40% - uthevingsfarge 3 30 3 3 6" xfId="25307" xr:uid="{00000000-0005-0000-0000-000047340000}"/>
    <cellStyle name="40% - uthevingsfarge 3 30 3 3 7" xfId="32899" xr:uid="{00000000-0005-0000-0000-000048340000}"/>
    <cellStyle name="40% - uthevingsfarge 3 30 3 3 8" xfId="43751" xr:uid="{00000000-0005-0000-0000-000049340000}"/>
    <cellStyle name="40% - uthevingsfarge 3 30 3 3 9" xfId="46677" xr:uid="{00000000-0005-0000-0000-00004A340000}"/>
    <cellStyle name="40% - uthevingsfarge 3 30 3 4" xfId="5425" xr:uid="{00000000-0005-0000-0000-00004B340000}"/>
    <cellStyle name="40% - uthevingsfarge 3 30 3 4 2" xfId="8840" xr:uid="{00000000-0005-0000-0000-00004C340000}"/>
    <cellStyle name="40% - uthevingsfarge 3 30 3 4 2 2" xfId="21689" xr:uid="{00000000-0005-0000-0000-00004D340000}"/>
    <cellStyle name="40% - uthevingsfarge 3 30 3 4 2 2 2" xfId="37768" xr:uid="{00000000-0005-0000-0000-00004E340000}"/>
    <cellStyle name="40% - uthevingsfarge 3 30 3 4 2 3" xfId="28958" xr:uid="{00000000-0005-0000-0000-00004F340000}"/>
    <cellStyle name="40% - uthevingsfarge 3 30 3 4 3" xfId="23861" xr:uid="{00000000-0005-0000-0000-000050340000}"/>
    <cellStyle name="40% - uthevingsfarge 3 30 3 4 3 2" xfId="39917" xr:uid="{00000000-0005-0000-0000-000051340000}"/>
    <cellStyle name="40% - uthevingsfarge 3 30 3 4 4" xfId="32349" xr:uid="{00000000-0005-0000-0000-000052340000}"/>
    <cellStyle name="40% - uthevingsfarge 3 30 3 5" xfId="7140" xr:uid="{00000000-0005-0000-0000-000053340000}"/>
    <cellStyle name="40% - uthevingsfarge 3 30 3 5 2" xfId="19861" xr:uid="{00000000-0005-0000-0000-000054340000}"/>
    <cellStyle name="40% - uthevingsfarge 3 30 3 5 2 2" xfId="35974" xr:uid="{00000000-0005-0000-0000-000055340000}"/>
    <cellStyle name="40% - uthevingsfarge 3 30 3 5 3" xfId="30658" xr:uid="{00000000-0005-0000-0000-000056340000}"/>
    <cellStyle name="40% - uthevingsfarge 3 30 3 6" xfId="11168" xr:uid="{00000000-0005-0000-0000-000057340000}"/>
    <cellStyle name="40% - uthevingsfarge 3 30 3 7" xfId="34045" xr:uid="{00000000-0005-0000-0000-000058340000}"/>
    <cellStyle name="40% - uthevingsfarge 3 30 3 8" xfId="43543" xr:uid="{00000000-0005-0000-0000-000059340000}"/>
    <cellStyle name="40% - uthevingsfarge 3 30 3 9" xfId="46447" xr:uid="{00000000-0005-0000-0000-00005A340000}"/>
    <cellStyle name="40% - uthevingsfarge 3 30 3_Avviksanalyse løpende RNB15 (1)" xfId="16632" xr:uid="{00000000-0005-0000-0000-00005B340000}"/>
    <cellStyle name="40% - uthevingsfarge 3 30 4" xfId="3749" xr:uid="{00000000-0005-0000-0000-00005C340000}"/>
    <cellStyle name="40% - uthevingsfarge 3 30 4 2" xfId="5637" xr:uid="{00000000-0005-0000-0000-00005D340000}"/>
    <cellStyle name="40% - uthevingsfarge 3 30 4 2 2" xfId="9052" xr:uid="{00000000-0005-0000-0000-00005E340000}"/>
    <cellStyle name="40% - uthevingsfarge 3 30 4 2 2 2" xfId="19393" xr:uid="{00000000-0005-0000-0000-00005F340000}"/>
    <cellStyle name="40% - uthevingsfarge 3 30 4 2 2 2 2" xfId="35507" xr:uid="{00000000-0005-0000-0000-000060340000}"/>
    <cellStyle name="40% - uthevingsfarge 3 30 4 2 2 3" xfId="28746" xr:uid="{00000000-0005-0000-0000-000061340000}"/>
    <cellStyle name="40% - uthevingsfarge 3 30 4 2 3" xfId="22888" xr:uid="{00000000-0005-0000-0000-000062340000}"/>
    <cellStyle name="40% - uthevingsfarge 3 30 4 2 3 2" xfId="38957" xr:uid="{00000000-0005-0000-0000-000063340000}"/>
    <cellStyle name="40% - uthevingsfarge 3 30 4 2 4" xfId="32137" xr:uid="{00000000-0005-0000-0000-000064340000}"/>
    <cellStyle name="40% - uthevingsfarge 3 30 4 3" xfId="7355" xr:uid="{00000000-0005-0000-0000-000065340000}"/>
    <cellStyle name="40% - uthevingsfarge 3 30 4 3 2" xfId="22441" xr:uid="{00000000-0005-0000-0000-000066340000}"/>
    <cellStyle name="40% - uthevingsfarge 3 30 4 3 2 2" xfId="38513" xr:uid="{00000000-0005-0000-0000-000067340000}"/>
    <cellStyle name="40% - uthevingsfarge 3 30 4 3 3" xfId="30443" xr:uid="{00000000-0005-0000-0000-000068340000}"/>
    <cellStyle name="40% - uthevingsfarge 3 30 4 4" xfId="12581" xr:uid="{00000000-0005-0000-0000-000069340000}"/>
    <cellStyle name="40% - uthevingsfarge 3 30 4 4 2" xfId="35283" xr:uid="{00000000-0005-0000-0000-00006A340000}"/>
    <cellStyle name="40% - uthevingsfarge 3 30 4 5" xfId="33830" xr:uid="{00000000-0005-0000-0000-00006B340000}"/>
    <cellStyle name="40% - uthevingsfarge 3 30 5" xfId="4250" xr:uid="{00000000-0005-0000-0000-00006C340000}"/>
    <cellStyle name="40% - uthevingsfarge 3 30 5 2" xfId="6082" xr:uid="{00000000-0005-0000-0000-00006D340000}"/>
    <cellStyle name="40% - uthevingsfarge 3 30 5 2 2" xfId="9497" xr:uid="{00000000-0005-0000-0000-00006E340000}"/>
    <cellStyle name="40% - uthevingsfarge 3 30 5 2 2 2" xfId="21403" xr:uid="{00000000-0005-0000-0000-00006F340000}"/>
    <cellStyle name="40% - uthevingsfarge 3 30 5 2 2 2 2" xfId="37483" xr:uid="{00000000-0005-0000-0000-000070340000}"/>
    <cellStyle name="40% - uthevingsfarge 3 30 5 2 2 3" xfId="28301" xr:uid="{00000000-0005-0000-0000-000071340000}"/>
    <cellStyle name="40% - uthevingsfarge 3 30 5 2 3" xfId="22971" xr:uid="{00000000-0005-0000-0000-000072340000}"/>
    <cellStyle name="40% - uthevingsfarge 3 30 5 2 3 2" xfId="39040" xr:uid="{00000000-0005-0000-0000-000073340000}"/>
    <cellStyle name="40% - uthevingsfarge 3 30 5 2 4" xfId="31696" xr:uid="{00000000-0005-0000-0000-000074340000}"/>
    <cellStyle name="40% - uthevingsfarge 3 30 5 3" xfId="7816" xr:uid="{00000000-0005-0000-0000-000075340000}"/>
    <cellStyle name="40% - uthevingsfarge 3 30 5 3 2" xfId="20913" xr:uid="{00000000-0005-0000-0000-000076340000}"/>
    <cellStyle name="40% - uthevingsfarge 3 30 5 3 2 2" xfId="37012" xr:uid="{00000000-0005-0000-0000-000077340000}"/>
    <cellStyle name="40% - uthevingsfarge 3 30 5 3 3" xfId="29983" xr:uid="{00000000-0005-0000-0000-000078340000}"/>
    <cellStyle name="40% - uthevingsfarge 3 30 5 4" xfId="12390" xr:uid="{00000000-0005-0000-0000-000079340000}"/>
    <cellStyle name="40% - uthevingsfarge 3 30 5 4 2" xfId="35219" xr:uid="{00000000-0005-0000-0000-00007A340000}"/>
    <cellStyle name="40% - uthevingsfarge 3 30 5 5" xfId="33371" xr:uid="{00000000-0005-0000-0000-00007B340000}"/>
    <cellStyle name="40% - uthevingsfarge 3 30 6" xfId="4684" xr:uid="{00000000-0005-0000-0000-00007C340000}"/>
    <cellStyle name="40% - uthevingsfarge 3 30 6 2" xfId="6404" xr:uid="{00000000-0005-0000-0000-00007D340000}"/>
    <cellStyle name="40% - uthevingsfarge 3 30 6 2 2" xfId="9814" xr:uid="{00000000-0005-0000-0000-00007E340000}"/>
    <cellStyle name="40% - uthevingsfarge 3 30 6 2 2 2" xfId="21495" xr:uid="{00000000-0005-0000-0000-00007F340000}"/>
    <cellStyle name="40% - uthevingsfarge 3 30 6 2 2 2 2" xfId="37575" xr:uid="{00000000-0005-0000-0000-000080340000}"/>
    <cellStyle name="40% - uthevingsfarge 3 30 6 2 2 3" xfId="27985" xr:uid="{00000000-0005-0000-0000-000081340000}"/>
    <cellStyle name="40% - uthevingsfarge 3 30 6 2 3" xfId="22350" xr:uid="{00000000-0005-0000-0000-000082340000}"/>
    <cellStyle name="40% - uthevingsfarge 3 30 6 2 3 2" xfId="38422" xr:uid="{00000000-0005-0000-0000-000083340000}"/>
    <cellStyle name="40% - uthevingsfarge 3 30 6 2 4" xfId="31386" xr:uid="{00000000-0005-0000-0000-000084340000}"/>
    <cellStyle name="40% - uthevingsfarge 3 30 6 3" xfId="8110" xr:uid="{00000000-0005-0000-0000-000085340000}"/>
    <cellStyle name="40% - uthevingsfarge 3 30 6 3 2" xfId="21002" xr:uid="{00000000-0005-0000-0000-000086340000}"/>
    <cellStyle name="40% - uthevingsfarge 3 30 6 3 2 2" xfId="37097" xr:uid="{00000000-0005-0000-0000-000087340000}"/>
    <cellStyle name="40% - uthevingsfarge 3 30 6 3 3" xfId="29688" xr:uid="{00000000-0005-0000-0000-000088340000}"/>
    <cellStyle name="40% - uthevingsfarge 3 30 6 4" xfId="22060" xr:uid="{00000000-0005-0000-0000-000089340000}"/>
    <cellStyle name="40% - uthevingsfarge 3 30 6 4 2" xfId="38134" xr:uid="{00000000-0005-0000-0000-00008A340000}"/>
    <cellStyle name="40% - uthevingsfarge 3 30 6 5" xfId="33079" xr:uid="{00000000-0005-0000-0000-00008B340000}"/>
    <cellStyle name="40% - uthevingsfarge 3 30 7" xfId="5048" xr:uid="{00000000-0005-0000-0000-00008C340000}"/>
    <cellStyle name="40% - uthevingsfarge 3 30 7 2" xfId="6767" xr:uid="{00000000-0005-0000-0000-00008D340000}"/>
    <cellStyle name="40% - uthevingsfarge 3 30 7 2 2" xfId="10173" xr:uid="{00000000-0005-0000-0000-00008E340000}"/>
    <cellStyle name="40% - uthevingsfarge 3 30 7 2 2 2" xfId="21635" xr:uid="{00000000-0005-0000-0000-00008F340000}"/>
    <cellStyle name="40% - uthevingsfarge 3 30 7 2 2 2 2" xfId="37715" xr:uid="{00000000-0005-0000-0000-000090340000}"/>
    <cellStyle name="40% - uthevingsfarge 3 30 7 2 2 3" xfId="27626" xr:uid="{00000000-0005-0000-0000-000091340000}"/>
    <cellStyle name="40% - uthevingsfarge 3 30 7 2 3" xfId="22386" xr:uid="{00000000-0005-0000-0000-000092340000}"/>
    <cellStyle name="40% - uthevingsfarge 3 30 7 2 3 2" xfId="38458" xr:uid="{00000000-0005-0000-0000-000093340000}"/>
    <cellStyle name="40% - uthevingsfarge 3 30 7 2 4" xfId="31027" xr:uid="{00000000-0005-0000-0000-000094340000}"/>
    <cellStyle name="40% - uthevingsfarge 3 30 7 3" xfId="8470" xr:uid="{00000000-0005-0000-0000-000095340000}"/>
    <cellStyle name="40% - uthevingsfarge 3 30 7 3 2" xfId="21875" xr:uid="{00000000-0005-0000-0000-000096340000}"/>
    <cellStyle name="40% - uthevingsfarge 3 30 7 3 2 2" xfId="37950" xr:uid="{00000000-0005-0000-0000-000097340000}"/>
    <cellStyle name="40% - uthevingsfarge 3 30 7 3 3" xfId="29328" xr:uid="{00000000-0005-0000-0000-000098340000}"/>
    <cellStyle name="40% - uthevingsfarge 3 30 7 4" xfId="21658" xr:uid="{00000000-0005-0000-0000-000099340000}"/>
    <cellStyle name="40% - uthevingsfarge 3 30 7 4 2" xfId="37738" xr:uid="{00000000-0005-0000-0000-00009A340000}"/>
    <cellStyle name="40% - uthevingsfarge 3 30 7 5" xfId="32719" xr:uid="{00000000-0005-0000-0000-00009B340000}"/>
    <cellStyle name="40% - uthevingsfarge 3 30 8" xfId="5250" xr:uid="{00000000-0005-0000-0000-00009C340000}"/>
    <cellStyle name="40% - uthevingsfarge 3 30 8 2" xfId="8665" xr:uid="{00000000-0005-0000-0000-00009D340000}"/>
    <cellStyle name="40% - uthevingsfarge 3 30 8 2 2" xfId="21888" xr:uid="{00000000-0005-0000-0000-00009E340000}"/>
    <cellStyle name="40% - uthevingsfarge 3 30 8 2 2 2" xfId="37963" xr:uid="{00000000-0005-0000-0000-00009F340000}"/>
    <cellStyle name="40% - uthevingsfarge 3 30 8 2 3" xfId="29133" xr:uid="{00000000-0005-0000-0000-0000A0340000}"/>
    <cellStyle name="40% - uthevingsfarge 3 30 8 3" xfId="20071" xr:uid="{00000000-0005-0000-0000-0000A1340000}"/>
    <cellStyle name="40% - uthevingsfarge 3 30 8 3 2" xfId="36175" xr:uid="{00000000-0005-0000-0000-0000A2340000}"/>
    <cellStyle name="40% - uthevingsfarge 3 30 8 4" xfId="32524" xr:uid="{00000000-0005-0000-0000-0000A3340000}"/>
    <cellStyle name="40% - uthevingsfarge 3 30 9" xfId="6942" xr:uid="{00000000-0005-0000-0000-0000A4340000}"/>
    <cellStyle name="40% - uthevingsfarge 3 30 9 2" xfId="24118" xr:uid="{00000000-0005-0000-0000-0000A5340000}"/>
    <cellStyle name="40% - uthevingsfarge 3 30 9 2 2" xfId="40171" xr:uid="{00000000-0005-0000-0000-0000A6340000}"/>
    <cellStyle name="40% - uthevingsfarge 3 30 9 3" xfId="30856" xr:uid="{00000000-0005-0000-0000-0000A7340000}"/>
    <cellStyle name="40% - uthevingsfarge 3 31" xfId="3443" xr:uid="{00000000-0005-0000-0000-0000A8340000}"/>
    <cellStyle name="40% - uthevingsfarge 3 31 2" xfId="3637" xr:uid="{00000000-0005-0000-0000-0000A9340000}"/>
    <cellStyle name="40% - uthevingsfarge 3 31 2 2" xfId="4065" xr:uid="{00000000-0005-0000-0000-0000AA340000}"/>
    <cellStyle name="40% - uthevingsfarge 3 31 2 2 2" xfId="5953" xr:uid="{00000000-0005-0000-0000-0000AB340000}"/>
    <cellStyle name="40% - uthevingsfarge 3 31 2 2 2 2" xfId="9368" xr:uid="{00000000-0005-0000-0000-0000AC340000}"/>
    <cellStyle name="40% - uthevingsfarge 3 31 2 2 2 2 2" xfId="21364" xr:uid="{00000000-0005-0000-0000-0000AD340000}"/>
    <cellStyle name="40% - uthevingsfarge 3 31 2 2 2 2 2 2" xfId="37444" xr:uid="{00000000-0005-0000-0000-0000AE340000}"/>
    <cellStyle name="40% - uthevingsfarge 3 31 2 2 2 2 3" xfId="28430" xr:uid="{00000000-0005-0000-0000-0000AF340000}"/>
    <cellStyle name="40% - uthevingsfarge 3 31 2 2 2 3" xfId="23949" xr:uid="{00000000-0005-0000-0000-0000B0340000}"/>
    <cellStyle name="40% - uthevingsfarge 3 31 2 2 2 3 2" xfId="40003" xr:uid="{00000000-0005-0000-0000-0000B1340000}"/>
    <cellStyle name="40% - uthevingsfarge 3 31 2 2 2 4" xfId="31825" xr:uid="{00000000-0005-0000-0000-0000B2340000}"/>
    <cellStyle name="40% - uthevingsfarge 3 31 2 2 3" xfId="7671" xr:uid="{00000000-0005-0000-0000-0000B3340000}"/>
    <cellStyle name="40% - uthevingsfarge 3 31 2 2 3 2" xfId="20859" xr:uid="{00000000-0005-0000-0000-0000B4340000}"/>
    <cellStyle name="40% - uthevingsfarge 3 31 2 2 3 2 2" xfId="36958" xr:uid="{00000000-0005-0000-0000-0000B5340000}"/>
    <cellStyle name="40% - uthevingsfarge 3 31 2 2 3 3" xfId="30127" xr:uid="{00000000-0005-0000-0000-0000B6340000}"/>
    <cellStyle name="40% - uthevingsfarge 3 31 2 2 4" xfId="21832" xr:uid="{00000000-0005-0000-0000-0000B7340000}"/>
    <cellStyle name="40% - uthevingsfarge 3 31 2 2 4 2" xfId="37908" xr:uid="{00000000-0005-0000-0000-0000B8340000}"/>
    <cellStyle name="40% - uthevingsfarge 3 31 2 2 5" xfId="33514" xr:uid="{00000000-0005-0000-0000-0000B9340000}"/>
    <cellStyle name="40% - uthevingsfarge 3 31 2 3" xfId="5005" xr:uid="{00000000-0005-0000-0000-0000BA340000}"/>
    <cellStyle name="40% - uthevingsfarge 3 31 2 3 2" xfId="6724" xr:uid="{00000000-0005-0000-0000-0000BB340000}"/>
    <cellStyle name="40% - uthevingsfarge 3 31 2 3 2 2" xfId="10130" xr:uid="{00000000-0005-0000-0000-0000BC340000}"/>
    <cellStyle name="40% - uthevingsfarge 3 31 2 3 2 2 2" xfId="24630" xr:uid="{00000000-0005-0000-0000-0000BD340000}"/>
    <cellStyle name="40% - uthevingsfarge 3 31 2 3 2 2 2 2" xfId="40674" xr:uid="{00000000-0005-0000-0000-0000BE340000}"/>
    <cellStyle name="40% - uthevingsfarge 3 31 2 3 2 2 3" xfId="27669" xr:uid="{00000000-0005-0000-0000-0000BF340000}"/>
    <cellStyle name="40% - uthevingsfarge 3 31 2 3 2 3" xfId="19651" xr:uid="{00000000-0005-0000-0000-0000C0340000}"/>
    <cellStyle name="40% - uthevingsfarge 3 31 2 3 2 3 2" xfId="35765" xr:uid="{00000000-0005-0000-0000-0000C1340000}"/>
    <cellStyle name="40% - uthevingsfarge 3 31 2 3 2 4" xfId="31070" xr:uid="{00000000-0005-0000-0000-0000C2340000}"/>
    <cellStyle name="40% - uthevingsfarge 3 31 2 3 3" xfId="8427" xr:uid="{00000000-0005-0000-0000-0000C3340000}"/>
    <cellStyle name="40% - uthevingsfarge 3 31 2 3 3 2" xfId="21089" xr:uid="{00000000-0005-0000-0000-0000C4340000}"/>
    <cellStyle name="40% - uthevingsfarge 3 31 2 3 3 2 2" xfId="37174" xr:uid="{00000000-0005-0000-0000-0000C5340000}"/>
    <cellStyle name="40% - uthevingsfarge 3 31 2 3 3 3" xfId="29371" xr:uid="{00000000-0005-0000-0000-0000C6340000}"/>
    <cellStyle name="40% - uthevingsfarge 3 31 2 3 4" xfId="12232" xr:uid="{00000000-0005-0000-0000-0000C7340000}"/>
    <cellStyle name="40% - uthevingsfarge 3 31 2 3 4 2" xfId="35131" xr:uid="{00000000-0005-0000-0000-0000C8340000}"/>
    <cellStyle name="40% - uthevingsfarge 3 31 2 3 5" xfId="32762" xr:uid="{00000000-0005-0000-0000-0000C9340000}"/>
    <cellStyle name="40% - uthevingsfarge 3 31 2 4" xfId="5559" xr:uid="{00000000-0005-0000-0000-0000CA340000}"/>
    <cellStyle name="40% - uthevingsfarge 3 31 2 4 2" xfId="8974" xr:uid="{00000000-0005-0000-0000-0000CB340000}"/>
    <cellStyle name="40% - uthevingsfarge 3 31 2 4 2 2" xfId="23435" xr:uid="{00000000-0005-0000-0000-0000CC340000}"/>
    <cellStyle name="40% - uthevingsfarge 3 31 2 4 2 2 2" xfId="39491" xr:uid="{00000000-0005-0000-0000-0000CD340000}"/>
    <cellStyle name="40% - uthevingsfarge 3 31 2 4 2 3" xfId="28824" xr:uid="{00000000-0005-0000-0000-0000CE340000}"/>
    <cellStyle name="40% - uthevingsfarge 3 31 2 4 3" xfId="22873" xr:uid="{00000000-0005-0000-0000-0000CF340000}"/>
    <cellStyle name="40% - uthevingsfarge 3 31 2 4 3 2" xfId="38942" xr:uid="{00000000-0005-0000-0000-0000D0340000}"/>
    <cellStyle name="40% - uthevingsfarge 3 31 2 4 4" xfId="32215" xr:uid="{00000000-0005-0000-0000-0000D1340000}"/>
    <cellStyle name="40% - uthevingsfarge 3 31 2 5" xfId="7277" xr:uid="{00000000-0005-0000-0000-0000D2340000}"/>
    <cellStyle name="40% - uthevingsfarge 3 31 2 5 2" xfId="24177" xr:uid="{00000000-0005-0000-0000-0000D3340000}"/>
    <cellStyle name="40% - uthevingsfarge 3 31 2 5 2 2" xfId="40230" xr:uid="{00000000-0005-0000-0000-0000D4340000}"/>
    <cellStyle name="40% - uthevingsfarge 3 31 2 5 3" xfId="30521" xr:uid="{00000000-0005-0000-0000-0000D5340000}"/>
    <cellStyle name="40% - uthevingsfarge 3 31 2 6" xfId="23747" xr:uid="{00000000-0005-0000-0000-0000D6340000}"/>
    <cellStyle name="40% - uthevingsfarge 3 31 2 6 2" xfId="39803" xr:uid="{00000000-0005-0000-0000-0000D7340000}"/>
    <cellStyle name="40% - uthevingsfarge 3 31 2 7" xfId="33908" xr:uid="{00000000-0005-0000-0000-0000D8340000}"/>
    <cellStyle name="40% - uthevingsfarge 3 31 3" xfId="3885" xr:uid="{00000000-0005-0000-0000-0000D9340000}"/>
    <cellStyle name="40% - uthevingsfarge 3 31 3 2" xfId="5773" xr:uid="{00000000-0005-0000-0000-0000DA340000}"/>
    <cellStyle name="40% - uthevingsfarge 3 31 3 2 2" xfId="9188" xr:uid="{00000000-0005-0000-0000-0000DB340000}"/>
    <cellStyle name="40% - uthevingsfarge 3 31 3 2 2 2" xfId="21307" xr:uid="{00000000-0005-0000-0000-0000DC340000}"/>
    <cellStyle name="40% - uthevingsfarge 3 31 3 2 2 2 2" xfId="37387" xr:uid="{00000000-0005-0000-0000-0000DD340000}"/>
    <cellStyle name="40% - uthevingsfarge 3 31 3 2 2 3" xfId="28610" xr:uid="{00000000-0005-0000-0000-0000DE340000}"/>
    <cellStyle name="40% - uthevingsfarge 3 31 3 2 3" xfId="20197" xr:uid="{00000000-0005-0000-0000-0000DF340000}"/>
    <cellStyle name="40% - uthevingsfarge 3 31 3 2 3 2" xfId="36296" xr:uid="{00000000-0005-0000-0000-0000E0340000}"/>
    <cellStyle name="40% - uthevingsfarge 3 31 3 2 4" xfId="32001" xr:uid="{00000000-0005-0000-0000-0000E1340000}"/>
    <cellStyle name="40% - uthevingsfarge 3 31 3 3" xfId="7491" xr:uid="{00000000-0005-0000-0000-0000E2340000}"/>
    <cellStyle name="40% - uthevingsfarge 3 31 3 3 2" xfId="23217" xr:uid="{00000000-0005-0000-0000-0000E3340000}"/>
    <cellStyle name="40% - uthevingsfarge 3 31 3 3 2 2" xfId="39286" xr:uid="{00000000-0005-0000-0000-0000E4340000}"/>
    <cellStyle name="40% - uthevingsfarge 3 31 3 3 3" xfId="30307" xr:uid="{00000000-0005-0000-0000-0000E5340000}"/>
    <cellStyle name="40% - uthevingsfarge 3 31 3 4" xfId="12505" xr:uid="{00000000-0005-0000-0000-0000E6340000}"/>
    <cellStyle name="40% - uthevingsfarge 3 31 3 4 2" xfId="35262" xr:uid="{00000000-0005-0000-0000-0000E7340000}"/>
    <cellStyle name="40% - uthevingsfarge 3 31 3 5" xfId="33694" xr:uid="{00000000-0005-0000-0000-0000E8340000}"/>
    <cellStyle name="40% - uthevingsfarge 3 31 4" xfId="4825" xr:uid="{00000000-0005-0000-0000-0000E9340000}"/>
    <cellStyle name="40% - uthevingsfarge 3 31 4 2" xfId="6544" xr:uid="{00000000-0005-0000-0000-0000EA340000}"/>
    <cellStyle name="40% - uthevingsfarge 3 31 4 2 2" xfId="9950" xr:uid="{00000000-0005-0000-0000-0000EB340000}"/>
    <cellStyle name="40% - uthevingsfarge 3 31 4 2 2 2" xfId="24594" xr:uid="{00000000-0005-0000-0000-0000EC340000}"/>
    <cellStyle name="40% - uthevingsfarge 3 31 4 2 2 2 2" xfId="40638" xr:uid="{00000000-0005-0000-0000-0000ED340000}"/>
    <cellStyle name="40% - uthevingsfarge 3 31 4 2 2 3" xfId="27849" xr:uid="{00000000-0005-0000-0000-0000EE340000}"/>
    <cellStyle name="40% - uthevingsfarge 3 31 4 2 3" xfId="20492" xr:uid="{00000000-0005-0000-0000-0000EF340000}"/>
    <cellStyle name="40% - uthevingsfarge 3 31 4 2 3 2" xfId="36591" xr:uid="{00000000-0005-0000-0000-0000F0340000}"/>
    <cellStyle name="40% - uthevingsfarge 3 31 4 2 4" xfId="31250" xr:uid="{00000000-0005-0000-0000-0000F1340000}"/>
    <cellStyle name="40% - uthevingsfarge 3 31 4 3" xfId="8247" xr:uid="{00000000-0005-0000-0000-0000F2340000}"/>
    <cellStyle name="40% - uthevingsfarge 3 31 4 3 2" xfId="21042" xr:uid="{00000000-0005-0000-0000-0000F3340000}"/>
    <cellStyle name="40% - uthevingsfarge 3 31 4 3 2 2" xfId="37133" xr:uid="{00000000-0005-0000-0000-0000F4340000}"/>
    <cellStyle name="40% - uthevingsfarge 3 31 4 3 3" xfId="29550" xr:uid="{00000000-0005-0000-0000-0000F5340000}"/>
    <cellStyle name="40% - uthevingsfarge 3 31 4 4" xfId="20046" xr:uid="{00000000-0005-0000-0000-0000F6340000}"/>
    <cellStyle name="40% - uthevingsfarge 3 31 4 4 2" xfId="36150" xr:uid="{00000000-0005-0000-0000-0000F7340000}"/>
    <cellStyle name="40% - uthevingsfarge 3 31 4 5" xfId="32942" xr:uid="{00000000-0005-0000-0000-0000F8340000}"/>
    <cellStyle name="40% - uthevingsfarge 3 31 5" xfId="5389" xr:uid="{00000000-0005-0000-0000-0000F9340000}"/>
    <cellStyle name="40% - uthevingsfarge 3 31 5 2" xfId="8804" xr:uid="{00000000-0005-0000-0000-0000FA340000}"/>
    <cellStyle name="40% - uthevingsfarge 3 31 5 2 2" xfId="22661" xr:uid="{00000000-0005-0000-0000-0000FB340000}"/>
    <cellStyle name="40% - uthevingsfarge 3 31 5 2 2 2" xfId="38730" xr:uid="{00000000-0005-0000-0000-0000FC340000}"/>
    <cellStyle name="40% - uthevingsfarge 3 31 5 2 3" xfId="28994" xr:uid="{00000000-0005-0000-0000-0000FD340000}"/>
    <cellStyle name="40% - uthevingsfarge 3 31 5 3" xfId="10718" xr:uid="{00000000-0005-0000-0000-0000FE340000}"/>
    <cellStyle name="40% - uthevingsfarge 3 31 5 3 2" xfId="34566" xr:uid="{00000000-0005-0000-0000-0000FF340000}"/>
    <cellStyle name="40% - uthevingsfarge 3 31 5 4" xfId="32385" xr:uid="{00000000-0005-0000-0000-000000350000}"/>
    <cellStyle name="40% - uthevingsfarge 3 31 6" xfId="7097" xr:uid="{00000000-0005-0000-0000-000001350000}"/>
    <cellStyle name="40% - uthevingsfarge 3 31 6 2" xfId="24149" xr:uid="{00000000-0005-0000-0000-000002350000}"/>
    <cellStyle name="40% - uthevingsfarge 3 31 6 2 2" xfId="40202" xr:uid="{00000000-0005-0000-0000-000003350000}"/>
    <cellStyle name="40% - uthevingsfarge 3 31 6 3" xfId="30701" xr:uid="{00000000-0005-0000-0000-000004350000}"/>
    <cellStyle name="40% - uthevingsfarge 3 31 7" xfId="12625" xr:uid="{00000000-0005-0000-0000-000005350000}"/>
    <cellStyle name="40% - uthevingsfarge 3 31 7 2" xfId="35294" xr:uid="{00000000-0005-0000-0000-000006350000}"/>
    <cellStyle name="40% - uthevingsfarge 3 31 8" xfId="34088" xr:uid="{00000000-0005-0000-0000-000007350000}"/>
    <cellStyle name="40% - uthevingsfarge 3 32" xfId="4449" xr:uid="{00000000-0005-0000-0000-000008350000}"/>
    <cellStyle name="40% - uthevingsfarge 3 32 2" xfId="6246" xr:uid="{00000000-0005-0000-0000-000009350000}"/>
    <cellStyle name="40% - uthevingsfarge 3 32 2 2" xfId="9656" xr:uid="{00000000-0005-0000-0000-00000A350000}"/>
    <cellStyle name="40% - uthevingsfarge 3 32 2 2 2" xfId="10401" xr:uid="{00000000-0005-0000-0000-00000B350000}"/>
    <cellStyle name="40% - uthevingsfarge 3 32 2 2 2 2" xfId="34345" xr:uid="{00000000-0005-0000-0000-00000C350000}"/>
    <cellStyle name="40% - uthevingsfarge 3 32 2 2 3" xfId="28143" xr:uid="{00000000-0005-0000-0000-00000D350000}"/>
    <cellStyle name="40% - uthevingsfarge 3 32 2 3" xfId="20378" xr:uid="{00000000-0005-0000-0000-00000E350000}"/>
    <cellStyle name="40% - uthevingsfarge 3 32 2 3 2" xfId="36477" xr:uid="{00000000-0005-0000-0000-00000F350000}"/>
    <cellStyle name="40% - uthevingsfarge 3 32 2 4" xfId="31544" xr:uid="{00000000-0005-0000-0000-000010350000}"/>
    <cellStyle name="40% - uthevingsfarge 3 32 3" xfId="7952" xr:uid="{00000000-0005-0000-0000-000011350000}"/>
    <cellStyle name="40% - uthevingsfarge 3 32 3 2" xfId="23293" xr:uid="{00000000-0005-0000-0000-000012350000}"/>
    <cellStyle name="40% - uthevingsfarge 3 32 3 2 2" xfId="39360" xr:uid="{00000000-0005-0000-0000-000013350000}"/>
    <cellStyle name="40% - uthevingsfarge 3 32 3 3" xfId="29847" xr:uid="{00000000-0005-0000-0000-000014350000}"/>
    <cellStyle name="40% - uthevingsfarge 3 32 4" xfId="10977" xr:uid="{00000000-0005-0000-0000-000015350000}"/>
    <cellStyle name="40% - uthevingsfarge 3 32 4 2" xfId="34711" xr:uid="{00000000-0005-0000-0000-000016350000}"/>
    <cellStyle name="40% - uthevingsfarge 3 32 5" xfId="33236" xr:uid="{00000000-0005-0000-0000-000017350000}"/>
    <cellStyle name="40% - uthevingsfarge 3 33" xfId="5354" xr:uid="{00000000-0005-0000-0000-000018350000}"/>
    <cellStyle name="40% - uthevingsfarge 3 33 2" xfId="8769" xr:uid="{00000000-0005-0000-0000-000019350000}"/>
    <cellStyle name="40% - uthevingsfarge 3 33 2 2" xfId="21187" xr:uid="{00000000-0005-0000-0000-00001A350000}"/>
    <cellStyle name="40% - uthevingsfarge 3 33 2 2 2" xfId="37267" xr:uid="{00000000-0005-0000-0000-00001B350000}"/>
    <cellStyle name="40% - uthevingsfarge 3 33 2 3" xfId="29029" xr:uid="{00000000-0005-0000-0000-00001C350000}"/>
    <cellStyle name="40% - uthevingsfarge 3 33 3" xfId="12062" xr:uid="{00000000-0005-0000-0000-00001D350000}"/>
    <cellStyle name="40% - uthevingsfarge 3 33 3 2" xfId="35051" xr:uid="{00000000-0005-0000-0000-00001E350000}"/>
    <cellStyle name="40% - uthevingsfarge 3 33 4" xfId="32420" xr:uid="{00000000-0005-0000-0000-00001F350000}"/>
    <cellStyle name="40% - uthevingsfarge 3 34" xfId="40951" xr:uid="{00000000-0005-0000-0000-000020350000}"/>
    <cellStyle name="40% - uthevingsfarge 3 35" xfId="43150" xr:uid="{00000000-0005-0000-0000-000021350000}"/>
    <cellStyle name="40% - uthevingsfarge 3 36" xfId="40904" xr:uid="{00000000-0005-0000-0000-000022350000}"/>
    <cellStyle name="40% - uthevingsfarge 3 37" xfId="40810" xr:uid="{00000000-0005-0000-0000-000023350000}"/>
    <cellStyle name="40% - uthevingsfarge 3 38" xfId="40924" xr:uid="{00000000-0005-0000-0000-000024350000}"/>
    <cellStyle name="40% - uthevingsfarge 3 39" xfId="40795" xr:uid="{00000000-0005-0000-0000-000025350000}"/>
    <cellStyle name="40% - uthevingsfarge 3 4" xfId="833" xr:uid="{00000000-0005-0000-0000-000026350000}"/>
    <cellStyle name="40% - uthevingsfarge 3 4 2" xfId="834" xr:uid="{00000000-0005-0000-0000-000027350000}"/>
    <cellStyle name="40% - uthevingsfarge 3 40" xfId="40884" xr:uid="{00000000-0005-0000-0000-000028350000}"/>
    <cellStyle name="40% - uthevingsfarge 3 41" xfId="43212" xr:uid="{00000000-0005-0000-0000-000029350000}"/>
    <cellStyle name="40% - uthevingsfarge 3 42" xfId="43426" xr:uid="{00000000-0005-0000-0000-00002A350000}"/>
    <cellStyle name="40% - uthevingsfarge 3 43" xfId="43662" xr:uid="{00000000-0005-0000-0000-00002B350000}"/>
    <cellStyle name="40% - uthevingsfarge 3 44" xfId="43478" xr:uid="{00000000-0005-0000-0000-00002C350000}"/>
    <cellStyle name="40% - uthevingsfarge 3 45" xfId="43463" xr:uid="{00000000-0005-0000-0000-00002D350000}"/>
    <cellStyle name="40% - uthevingsfarge 3 46" xfId="46314" xr:uid="{00000000-0005-0000-0000-00002E350000}"/>
    <cellStyle name="40% - uthevingsfarge 3 47" xfId="46601" xr:uid="{00000000-0005-0000-0000-00002F350000}"/>
    <cellStyle name="40% - uthevingsfarge 3 48" xfId="46575" xr:uid="{00000000-0005-0000-0000-000030350000}"/>
    <cellStyle name="40% - uthevingsfarge 3 49" xfId="46792" xr:uid="{00000000-0005-0000-0000-000031350000}"/>
    <cellStyle name="40% - uthevingsfarge 3 5" xfId="835" xr:uid="{00000000-0005-0000-0000-000032350000}"/>
    <cellStyle name="40% - uthevingsfarge 3 5 2" xfId="836" xr:uid="{00000000-0005-0000-0000-000033350000}"/>
    <cellStyle name="40% - uthevingsfarge 3 50" xfId="46625" xr:uid="{00000000-0005-0000-0000-000034350000}"/>
    <cellStyle name="40% - uthevingsfarge 3 51" xfId="46365" xr:uid="{00000000-0005-0000-0000-000035350000}"/>
    <cellStyle name="40% - uthevingsfarge 3 6" xfId="837" xr:uid="{00000000-0005-0000-0000-000036350000}"/>
    <cellStyle name="40% - uthevingsfarge 3 6 2" xfId="838" xr:uid="{00000000-0005-0000-0000-000037350000}"/>
    <cellStyle name="40% - uthevingsfarge 3 7" xfId="839" xr:uid="{00000000-0005-0000-0000-000038350000}"/>
    <cellStyle name="40% - uthevingsfarge 3 7 2" xfId="840" xr:uid="{00000000-0005-0000-0000-000039350000}"/>
    <cellStyle name="40% - uthevingsfarge 3 8" xfId="841" xr:uid="{00000000-0005-0000-0000-00003A350000}"/>
    <cellStyle name="40% - uthevingsfarge 3 8 2" xfId="842" xr:uid="{00000000-0005-0000-0000-00003B350000}"/>
    <cellStyle name="40% - uthevingsfarge 3 9" xfId="843" xr:uid="{00000000-0005-0000-0000-00003C350000}"/>
    <cellStyle name="40% - uthevingsfarge 3 9 2" xfId="844" xr:uid="{00000000-0005-0000-0000-00003D350000}"/>
    <cellStyle name="40% - uthevingsfarge 4" xfId="4573" xr:uid="{00000000-0005-0000-0000-00003E350000}"/>
    <cellStyle name="40% - uthevingsfarge 4 10" xfId="846" xr:uid="{00000000-0005-0000-0000-00003F350000}"/>
    <cellStyle name="40% - uthevingsfarge 4 10 2" xfId="847" xr:uid="{00000000-0005-0000-0000-000040350000}"/>
    <cellStyle name="40% - uthevingsfarge 4 11" xfId="848" xr:uid="{00000000-0005-0000-0000-000041350000}"/>
    <cellStyle name="40% - uthevingsfarge 4 11 2" xfId="849" xr:uid="{00000000-0005-0000-0000-000042350000}"/>
    <cellStyle name="40% - uthevingsfarge 4 12" xfId="850" xr:uid="{00000000-0005-0000-0000-000043350000}"/>
    <cellStyle name="40% - uthevingsfarge 4 12 2" xfId="851" xr:uid="{00000000-0005-0000-0000-000044350000}"/>
    <cellStyle name="40% - uthevingsfarge 4 13" xfId="852" xr:uid="{00000000-0005-0000-0000-000045350000}"/>
    <cellStyle name="40% - uthevingsfarge 4 13 2" xfId="853" xr:uid="{00000000-0005-0000-0000-000046350000}"/>
    <cellStyle name="40% - uthevingsfarge 4 14" xfId="854" xr:uid="{00000000-0005-0000-0000-000047350000}"/>
    <cellStyle name="40% - uthevingsfarge 4 14 2" xfId="855" xr:uid="{00000000-0005-0000-0000-000048350000}"/>
    <cellStyle name="40% - uthevingsfarge 4 15" xfId="856" xr:uid="{00000000-0005-0000-0000-000049350000}"/>
    <cellStyle name="40% - uthevingsfarge 4 15 2" xfId="857" xr:uid="{00000000-0005-0000-0000-00004A350000}"/>
    <cellStyle name="40% - uthevingsfarge 4 16" xfId="858" xr:uid="{00000000-0005-0000-0000-00004B350000}"/>
    <cellStyle name="40% - uthevingsfarge 4 16 2" xfId="859" xr:uid="{00000000-0005-0000-0000-00004C350000}"/>
    <cellStyle name="40% - uthevingsfarge 4 17" xfId="860" xr:uid="{00000000-0005-0000-0000-00004D350000}"/>
    <cellStyle name="40% - uthevingsfarge 4 17 2" xfId="861" xr:uid="{00000000-0005-0000-0000-00004E350000}"/>
    <cellStyle name="40% - uthevingsfarge 4 18" xfId="862" xr:uid="{00000000-0005-0000-0000-00004F350000}"/>
    <cellStyle name="40% - uthevingsfarge 4 18 2" xfId="863" xr:uid="{00000000-0005-0000-0000-000050350000}"/>
    <cellStyle name="40% - uthevingsfarge 4 19" xfId="864" xr:uid="{00000000-0005-0000-0000-000051350000}"/>
    <cellStyle name="40% - uthevingsfarge 4 19 2" xfId="865" xr:uid="{00000000-0005-0000-0000-000052350000}"/>
    <cellStyle name="40% - uthevingsfarge 4 2" xfId="866" xr:uid="{00000000-0005-0000-0000-000053350000}"/>
    <cellStyle name="40% - uthevingsfarge 4 2 2" xfId="867" xr:uid="{00000000-0005-0000-0000-000054350000}"/>
    <cellStyle name="40% - uthevingsfarge 4 2 3" xfId="868" xr:uid="{00000000-0005-0000-0000-000055350000}"/>
    <cellStyle name="40% - uthevingsfarge 4 2 4" xfId="869" xr:uid="{00000000-0005-0000-0000-000056350000}"/>
    <cellStyle name="40% - uthevingsfarge 4 2 5" xfId="11174" xr:uid="{00000000-0005-0000-0000-000057350000}"/>
    <cellStyle name="40% - uthevingsfarge 4 2 6" xfId="11175" xr:uid="{00000000-0005-0000-0000-000058350000}"/>
    <cellStyle name="40% - uthevingsfarge 4 2 7" xfId="11176" xr:uid="{00000000-0005-0000-0000-000059350000}"/>
    <cellStyle name="40% - uthevingsfarge 4 2 8" xfId="11177" xr:uid="{00000000-0005-0000-0000-00005A350000}"/>
    <cellStyle name="40% - uthevingsfarge 4 2 9" xfId="11178" xr:uid="{00000000-0005-0000-0000-00005B350000}"/>
    <cellStyle name="40% - uthevingsfarge 4 20" xfId="870" xr:uid="{00000000-0005-0000-0000-00005C350000}"/>
    <cellStyle name="40% - uthevingsfarge 4 20 2" xfId="871" xr:uid="{00000000-0005-0000-0000-00005D350000}"/>
    <cellStyle name="40% - uthevingsfarge 4 21" xfId="872" xr:uid="{00000000-0005-0000-0000-00005E350000}"/>
    <cellStyle name="40% - uthevingsfarge 4 22" xfId="873" xr:uid="{00000000-0005-0000-0000-00005F350000}"/>
    <cellStyle name="40% - uthevingsfarge 4 23" xfId="874" xr:uid="{00000000-0005-0000-0000-000060350000}"/>
    <cellStyle name="40% - uthevingsfarge 4 24" xfId="875" xr:uid="{00000000-0005-0000-0000-000061350000}"/>
    <cellStyle name="40% - uthevingsfarge 4 25" xfId="876" xr:uid="{00000000-0005-0000-0000-000062350000}"/>
    <cellStyle name="40% - uthevingsfarge 4 26" xfId="877" xr:uid="{00000000-0005-0000-0000-000063350000}"/>
    <cellStyle name="40% - uthevingsfarge 4 26 10" xfId="6944" xr:uid="{00000000-0005-0000-0000-000064350000}"/>
    <cellStyle name="40% - uthevingsfarge 4 26 10 2" xfId="23117" xr:uid="{00000000-0005-0000-0000-000065350000}"/>
    <cellStyle name="40% - uthevingsfarge 4 26 10 2 2" xfId="39186" xr:uid="{00000000-0005-0000-0000-000066350000}"/>
    <cellStyle name="40% - uthevingsfarge 4 26 10 3" xfId="30854" xr:uid="{00000000-0005-0000-0000-000067350000}"/>
    <cellStyle name="40% - uthevingsfarge 4 26 11" xfId="11180" xr:uid="{00000000-0005-0000-0000-000068350000}"/>
    <cellStyle name="40% - uthevingsfarge 4 26 12" xfId="34242" xr:uid="{00000000-0005-0000-0000-000069350000}"/>
    <cellStyle name="40% - uthevingsfarge 4 26 2" xfId="878" xr:uid="{00000000-0005-0000-0000-00006A350000}"/>
    <cellStyle name="40% - uthevingsfarge 4 26 3" xfId="3346" xr:uid="{00000000-0005-0000-0000-00006B350000}"/>
    <cellStyle name="40% - uthevingsfarge 4 26 3 10" xfId="34145" xr:uid="{00000000-0005-0000-0000-00006C350000}"/>
    <cellStyle name="40% - uthevingsfarge 4 26 3 2" xfId="3578" xr:uid="{00000000-0005-0000-0000-00006D350000}"/>
    <cellStyle name="40% - uthevingsfarge 4 26 3 2 10" xfId="47177" xr:uid="{00000000-0005-0000-0000-00006E350000}"/>
    <cellStyle name="40% - uthevingsfarge 4 26 3 2 2" xfId="4008" xr:uid="{00000000-0005-0000-0000-00006F350000}"/>
    <cellStyle name="40% - uthevingsfarge 4 26 3 2 2 2" xfId="5896" xr:uid="{00000000-0005-0000-0000-000070350000}"/>
    <cellStyle name="40% - uthevingsfarge 4 26 3 2 2 2 2" xfId="9311" xr:uid="{00000000-0005-0000-0000-000071350000}"/>
    <cellStyle name="40% - uthevingsfarge 4 26 3 2 2 2 2 2" xfId="21343" xr:uid="{00000000-0005-0000-0000-000072350000}"/>
    <cellStyle name="40% - uthevingsfarge 4 26 3 2 2 2 2 2 2" xfId="37423" xr:uid="{00000000-0005-0000-0000-000073350000}"/>
    <cellStyle name="40% - uthevingsfarge 4 26 3 2 2 2 2 3" xfId="28487" xr:uid="{00000000-0005-0000-0000-000074350000}"/>
    <cellStyle name="40% - uthevingsfarge 4 26 3 2 2 2 3" xfId="22289" xr:uid="{00000000-0005-0000-0000-000075350000}"/>
    <cellStyle name="40% - uthevingsfarge 4 26 3 2 2 2 3 2" xfId="38361" xr:uid="{00000000-0005-0000-0000-000076350000}"/>
    <cellStyle name="40% - uthevingsfarge 4 26 3 2 2 2 4" xfId="31880" xr:uid="{00000000-0005-0000-0000-000077350000}"/>
    <cellStyle name="40% - uthevingsfarge 4 26 3 2 2 3" xfId="7614" xr:uid="{00000000-0005-0000-0000-000078350000}"/>
    <cellStyle name="40% - uthevingsfarge 4 26 3 2 2 3 2" xfId="19889" xr:uid="{00000000-0005-0000-0000-000079350000}"/>
    <cellStyle name="40% - uthevingsfarge 4 26 3 2 2 3 2 2" xfId="36002" xr:uid="{00000000-0005-0000-0000-00007A350000}"/>
    <cellStyle name="40% - uthevingsfarge 4 26 3 2 2 3 3" xfId="30184" xr:uid="{00000000-0005-0000-0000-00007B350000}"/>
    <cellStyle name="40% - uthevingsfarge 4 26 3 2 2 4" xfId="18025" xr:uid="{00000000-0005-0000-0000-00007C350000}"/>
    <cellStyle name="40% - uthevingsfarge 4 26 3 2 2 5" xfId="19601" xr:uid="{00000000-0005-0000-0000-00007D350000}"/>
    <cellStyle name="40% - uthevingsfarge 4 26 3 2 2 5 2" xfId="35715" xr:uid="{00000000-0005-0000-0000-00007E350000}"/>
    <cellStyle name="40% - uthevingsfarge 4 26 3 2 2 6" xfId="33571" xr:uid="{00000000-0005-0000-0000-00007F350000}"/>
    <cellStyle name="40% - uthevingsfarge 4 26 3 2 3" xfId="4948" xr:uid="{00000000-0005-0000-0000-000080350000}"/>
    <cellStyle name="40% - uthevingsfarge 4 26 3 2 3 10" xfId="47367" xr:uid="{00000000-0005-0000-0000-000081350000}"/>
    <cellStyle name="40% - uthevingsfarge 4 26 3 2 3 2" xfId="6667" xr:uid="{00000000-0005-0000-0000-000082350000}"/>
    <cellStyle name="40% - uthevingsfarge 4 26 3 2 3 2 2" xfId="10073" xr:uid="{00000000-0005-0000-0000-000083350000}"/>
    <cellStyle name="40% - uthevingsfarge 4 26 3 2 3 2 2 2" xfId="23613" xr:uid="{00000000-0005-0000-0000-000084350000}"/>
    <cellStyle name="40% - uthevingsfarge 4 26 3 2 3 2 2 2 2" xfId="39669" xr:uid="{00000000-0005-0000-0000-000085350000}"/>
    <cellStyle name="40% - uthevingsfarge 4 26 3 2 3 2 2 3" xfId="27726" xr:uid="{00000000-0005-0000-0000-000086350000}"/>
    <cellStyle name="40% - uthevingsfarge 4 26 3 2 3 2 3" xfId="10667" xr:uid="{00000000-0005-0000-0000-000087350000}"/>
    <cellStyle name="40% - uthevingsfarge 4 26 3 2 3 2 3 2" xfId="34515" xr:uid="{00000000-0005-0000-0000-000088350000}"/>
    <cellStyle name="40% - uthevingsfarge 4 26 3 2 3 2 4" xfId="31127" xr:uid="{00000000-0005-0000-0000-000089350000}"/>
    <cellStyle name="40% - uthevingsfarge 4 26 3 2 3 2 5" xfId="43061" xr:uid="{00000000-0005-0000-0000-00008A350000}"/>
    <cellStyle name="40% - uthevingsfarge 4 26 3 2 3 2 6" xfId="43358" xr:uid="{00000000-0005-0000-0000-00008B350000}"/>
    <cellStyle name="40% - uthevingsfarge 4 26 3 2 3 2 7" xfId="46206" xr:uid="{00000000-0005-0000-0000-00008C350000}"/>
    <cellStyle name="40% - uthevingsfarge 4 26 3 2 3 2 8" xfId="46978" xr:uid="{00000000-0005-0000-0000-00008D350000}"/>
    <cellStyle name="40% - uthevingsfarge 4 26 3 2 3 2 9" xfId="47563" xr:uid="{00000000-0005-0000-0000-00008E350000}"/>
    <cellStyle name="40% - uthevingsfarge 4 26 3 2 3 3" xfId="8370" xr:uid="{00000000-0005-0000-0000-00008F350000}"/>
    <cellStyle name="40% - uthevingsfarge 4 26 3 2 3 3 2" xfId="10565" xr:uid="{00000000-0005-0000-0000-000090350000}"/>
    <cellStyle name="40% - uthevingsfarge 4 26 3 2 3 3 2 2" xfId="34427" xr:uid="{00000000-0005-0000-0000-000091350000}"/>
    <cellStyle name="40% - uthevingsfarge 4 26 3 2 3 3 3" xfId="29428" xr:uid="{00000000-0005-0000-0000-000092350000}"/>
    <cellStyle name="40% - uthevingsfarge 4 26 3 2 3 3 4" xfId="43944" xr:uid="{00000000-0005-0000-0000-000093350000}"/>
    <cellStyle name="40% - uthevingsfarge 4 26 3 2 3 4" xfId="16506" xr:uid="{00000000-0005-0000-0000-000094350000}"/>
    <cellStyle name="40% - uthevingsfarge 4 26 3 2 3 4 2" xfId="35453" xr:uid="{00000000-0005-0000-0000-000095350000}"/>
    <cellStyle name="40% - uthevingsfarge 4 26 3 2 3 5" xfId="25115" xr:uid="{00000000-0005-0000-0000-000096350000}"/>
    <cellStyle name="40% - uthevingsfarge 4 26 3 2 3 6" xfId="25308" xr:uid="{00000000-0005-0000-0000-000097350000}"/>
    <cellStyle name="40% - uthevingsfarge 4 26 3 2 3 7" xfId="32819" xr:uid="{00000000-0005-0000-0000-000098350000}"/>
    <cellStyle name="40% - uthevingsfarge 4 26 3 2 3 8" xfId="43819" xr:uid="{00000000-0005-0000-0000-000099350000}"/>
    <cellStyle name="40% - uthevingsfarge 4 26 3 2 3 9" xfId="46744" xr:uid="{00000000-0005-0000-0000-00009A350000}"/>
    <cellStyle name="40% - uthevingsfarge 4 26 3 2 4" xfId="5502" xr:uid="{00000000-0005-0000-0000-00009B350000}"/>
    <cellStyle name="40% - uthevingsfarge 4 26 3 2 4 2" xfId="8917" xr:uid="{00000000-0005-0000-0000-00009C350000}"/>
    <cellStyle name="40% - uthevingsfarge 4 26 3 2 4 2 2" xfId="22707" xr:uid="{00000000-0005-0000-0000-00009D350000}"/>
    <cellStyle name="40% - uthevingsfarge 4 26 3 2 4 2 2 2" xfId="38776" xr:uid="{00000000-0005-0000-0000-00009E350000}"/>
    <cellStyle name="40% - uthevingsfarge 4 26 3 2 4 2 3" xfId="28881" xr:uid="{00000000-0005-0000-0000-00009F350000}"/>
    <cellStyle name="40% - uthevingsfarge 4 26 3 2 4 3" xfId="23865" xr:uid="{00000000-0005-0000-0000-0000A0350000}"/>
    <cellStyle name="40% - uthevingsfarge 4 26 3 2 4 3 2" xfId="39921" xr:uid="{00000000-0005-0000-0000-0000A1350000}"/>
    <cellStyle name="40% - uthevingsfarge 4 26 3 2 4 4" xfId="32272" xr:uid="{00000000-0005-0000-0000-0000A2350000}"/>
    <cellStyle name="40% - uthevingsfarge 4 26 3 2 5" xfId="7220" xr:uid="{00000000-0005-0000-0000-0000A3350000}"/>
    <cellStyle name="40% - uthevingsfarge 4 26 3 2 5 2" xfId="24165" xr:uid="{00000000-0005-0000-0000-0000A4350000}"/>
    <cellStyle name="40% - uthevingsfarge 4 26 3 2 5 2 2" xfId="40218" xr:uid="{00000000-0005-0000-0000-0000A5350000}"/>
    <cellStyle name="40% - uthevingsfarge 4 26 3 2 5 3" xfId="30578" xr:uid="{00000000-0005-0000-0000-0000A6350000}"/>
    <cellStyle name="40% - uthevingsfarge 4 26 3 2 6" xfId="11182" xr:uid="{00000000-0005-0000-0000-0000A7350000}"/>
    <cellStyle name="40% - uthevingsfarge 4 26 3 2 7" xfId="33965" xr:uid="{00000000-0005-0000-0000-0000A8350000}"/>
    <cellStyle name="40% - uthevingsfarge 4 26 3 2 8" xfId="43610" xr:uid="{00000000-0005-0000-0000-0000A9350000}"/>
    <cellStyle name="40% - uthevingsfarge 4 26 3 2 9" xfId="46516" xr:uid="{00000000-0005-0000-0000-0000AA350000}"/>
    <cellStyle name="40% - uthevingsfarge 4 26 3 2_Avviksanalyse løpende RNB15 (1)" xfId="16633" xr:uid="{00000000-0005-0000-0000-0000AB350000}"/>
    <cellStyle name="40% - uthevingsfarge 4 26 3 3" xfId="3828" xr:uid="{00000000-0005-0000-0000-0000AC350000}"/>
    <cellStyle name="40% - uthevingsfarge 4 26 3 3 2" xfId="5716" xr:uid="{00000000-0005-0000-0000-0000AD350000}"/>
    <cellStyle name="40% - uthevingsfarge 4 26 3 3 2 2" xfId="9131" xr:uid="{00000000-0005-0000-0000-0000AE350000}"/>
    <cellStyle name="40% - uthevingsfarge 4 26 3 3 2 2 2" xfId="21286" xr:uid="{00000000-0005-0000-0000-0000AF350000}"/>
    <cellStyle name="40% - uthevingsfarge 4 26 3 3 2 2 2 2" xfId="37366" xr:uid="{00000000-0005-0000-0000-0000B0350000}"/>
    <cellStyle name="40% - uthevingsfarge 4 26 3 3 2 2 3" xfId="28667" xr:uid="{00000000-0005-0000-0000-0000B1350000}"/>
    <cellStyle name="40% - uthevingsfarge 4 26 3 3 2 3" xfId="22903" xr:uid="{00000000-0005-0000-0000-0000B2350000}"/>
    <cellStyle name="40% - uthevingsfarge 4 26 3 3 2 3 2" xfId="38972" xr:uid="{00000000-0005-0000-0000-0000B3350000}"/>
    <cellStyle name="40% - uthevingsfarge 4 26 3 3 2 4" xfId="32058" xr:uid="{00000000-0005-0000-0000-0000B4350000}"/>
    <cellStyle name="40% - uthevingsfarge 4 26 3 3 3" xfId="7434" xr:uid="{00000000-0005-0000-0000-0000B5350000}"/>
    <cellStyle name="40% - uthevingsfarge 4 26 3 3 3 2" xfId="20781" xr:uid="{00000000-0005-0000-0000-0000B6350000}"/>
    <cellStyle name="40% - uthevingsfarge 4 26 3 3 3 2 2" xfId="36880" xr:uid="{00000000-0005-0000-0000-0000B7350000}"/>
    <cellStyle name="40% - uthevingsfarge 4 26 3 3 3 3" xfId="30364" xr:uid="{00000000-0005-0000-0000-0000B8350000}"/>
    <cellStyle name="40% - uthevingsfarge 4 26 3 3 4" xfId="22542" xr:uid="{00000000-0005-0000-0000-0000B9350000}"/>
    <cellStyle name="40% - uthevingsfarge 4 26 3 3 4 2" xfId="38611" xr:uid="{00000000-0005-0000-0000-0000BA350000}"/>
    <cellStyle name="40% - uthevingsfarge 4 26 3 3 5" xfId="33751" xr:uid="{00000000-0005-0000-0000-0000BB350000}"/>
    <cellStyle name="40% - uthevingsfarge 4 26 3 4" xfId="4313" xr:uid="{00000000-0005-0000-0000-0000BC350000}"/>
    <cellStyle name="40% - uthevingsfarge 4 26 3 4 2" xfId="6142" xr:uid="{00000000-0005-0000-0000-0000BD350000}"/>
    <cellStyle name="40% - uthevingsfarge 4 26 3 4 2 2" xfId="9556" xr:uid="{00000000-0005-0000-0000-0000BE350000}"/>
    <cellStyle name="40% - uthevingsfarge 4 26 3 4 2 2 2" xfId="19533" xr:uid="{00000000-0005-0000-0000-0000BF350000}"/>
    <cellStyle name="40% - uthevingsfarge 4 26 3 4 2 2 2 2" xfId="35647" xr:uid="{00000000-0005-0000-0000-0000C0350000}"/>
    <cellStyle name="40% - uthevingsfarge 4 26 3 4 2 2 3" xfId="28242" xr:uid="{00000000-0005-0000-0000-0000C1350000}"/>
    <cellStyle name="40% - uthevingsfarge 4 26 3 4 2 3" xfId="22982" xr:uid="{00000000-0005-0000-0000-0000C2350000}"/>
    <cellStyle name="40% - uthevingsfarge 4 26 3 4 2 3 2" xfId="39051" xr:uid="{00000000-0005-0000-0000-0000C3350000}"/>
    <cellStyle name="40% - uthevingsfarge 4 26 3 4 2 4" xfId="31638" xr:uid="{00000000-0005-0000-0000-0000C4350000}"/>
    <cellStyle name="40% - uthevingsfarge 4 26 3 4 3" xfId="7875" xr:uid="{00000000-0005-0000-0000-0000C5350000}"/>
    <cellStyle name="40% - uthevingsfarge 4 26 3 4 3 2" xfId="10310" xr:uid="{00000000-0005-0000-0000-0000C6350000}"/>
    <cellStyle name="40% - uthevingsfarge 4 26 3 4 3 2 2" xfId="27495" xr:uid="{00000000-0005-0000-0000-0000C7350000}"/>
    <cellStyle name="40% - uthevingsfarge 4 26 3 4 3 3" xfId="29924" xr:uid="{00000000-0005-0000-0000-0000C8350000}"/>
    <cellStyle name="40% - uthevingsfarge 4 26 3 4 4" xfId="20002" xr:uid="{00000000-0005-0000-0000-0000C9350000}"/>
    <cellStyle name="40% - uthevingsfarge 4 26 3 4 4 2" xfId="36106" xr:uid="{00000000-0005-0000-0000-0000CA350000}"/>
    <cellStyle name="40% - uthevingsfarge 4 26 3 4 5" xfId="33312" xr:uid="{00000000-0005-0000-0000-0000CB350000}"/>
    <cellStyle name="40% - uthevingsfarge 4 26 3 5" xfId="4768" xr:uid="{00000000-0005-0000-0000-0000CC350000}"/>
    <cellStyle name="40% - uthevingsfarge 4 26 3 5 2" xfId="6488" xr:uid="{00000000-0005-0000-0000-0000CD350000}"/>
    <cellStyle name="40% - uthevingsfarge 4 26 3 5 2 2" xfId="9894" xr:uid="{00000000-0005-0000-0000-0000CE350000}"/>
    <cellStyle name="40% - uthevingsfarge 4 26 3 5 2 2 2" xfId="21997" xr:uid="{00000000-0005-0000-0000-0000CF350000}"/>
    <cellStyle name="40% - uthevingsfarge 4 26 3 5 2 2 2 2" xfId="38072" xr:uid="{00000000-0005-0000-0000-0000D0350000}"/>
    <cellStyle name="40% - uthevingsfarge 4 26 3 5 2 2 3" xfId="27905" xr:uid="{00000000-0005-0000-0000-0000D1350000}"/>
    <cellStyle name="40% - uthevingsfarge 4 26 3 5 2 3" xfId="22136" xr:uid="{00000000-0005-0000-0000-0000D2350000}"/>
    <cellStyle name="40% - uthevingsfarge 4 26 3 5 2 3 2" xfId="38210" xr:uid="{00000000-0005-0000-0000-0000D3350000}"/>
    <cellStyle name="40% - uthevingsfarge 4 26 3 5 2 4" xfId="31306" xr:uid="{00000000-0005-0000-0000-0000D4350000}"/>
    <cellStyle name="40% - uthevingsfarge 4 26 3 5 3" xfId="8190" xr:uid="{00000000-0005-0000-0000-0000D5350000}"/>
    <cellStyle name="40% - uthevingsfarge 4 26 3 5 3 2" xfId="21027" xr:uid="{00000000-0005-0000-0000-0000D6350000}"/>
    <cellStyle name="40% - uthevingsfarge 4 26 3 5 3 2 2" xfId="37120" xr:uid="{00000000-0005-0000-0000-0000D7350000}"/>
    <cellStyle name="40% - uthevingsfarge 4 26 3 5 3 3" xfId="29607" xr:uid="{00000000-0005-0000-0000-0000D8350000}"/>
    <cellStyle name="40% - uthevingsfarge 4 26 3 5 4" xfId="12264" xr:uid="{00000000-0005-0000-0000-0000D9350000}"/>
    <cellStyle name="40% - uthevingsfarge 4 26 3 5 4 2" xfId="35140" xr:uid="{00000000-0005-0000-0000-0000DA350000}"/>
    <cellStyle name="40% - uthevingsfarge 4 26 3 5 5" xfId="32999" xr:uid="{00000000-0005-0000-0000-0000DB350000}"/>
    <cellStyle name="40% - uthevingsfarge 4 26 3 6" xfId="5128" xr:uid="{00000000-0005-0000-0000-0000DC350000}"/>
    <cellStyle name="40% - uthevingsfarge 4 26 3 6 2" xfId="6847" xr:uid="{00000000-0005-0000-0000-0000DD350000}"/>
    <cellStyle name="40% - uthevingsfarge 4 26 3 6 2 2" xfId="10253" xr:uid="{00000000-0005-0000-0000-0000DE350000}"/>
    <cellStyle name="40% - uthevingsfarge 4 26 3 6 2 2 2" xfId="24696" xr:uid="{00000000-0005-0000-0000-0000DF350000}"/>
    <cellStyle name="40% - uthevingsfarge 4 26 3 6 2 2 2 2" xfId="40739" xr:uid="{00000000-0005-0000-0000-0000E0350000}"/>
    <cellStyle name="40% - uthevingsfarge 4 26 3 6 2 2 3" xfId="27546" xr:uid="{00000000-0005-0000-0000-0000E1350000}"/>
    <cellStyle name="40% - uthevingsfarge 4 26 3 6 2 3" xfId="20580" xr:uid="{00000000-0005-0000-0000-0000E2350000}"/>
    <cellStyle name="40% - uthevingsfarge 4 26 3 6 2 3 2" xfId="36679" xr:uid="{00000000-0005-0000-0000-0000E3350000}"/>
    <cellStyle name="40% - uthevingsfarge 4 26 3 6 2 4" xfId="30947" xr:uid="{00000000-0005-0000-0000-0000E4350000}"/>
    <cellStyle name="40% - uthevingsfarge 4 26 3 6 3" xfId="8550" xr:uid="{00000000-0005-0000-0000-0000E5350000}"/>
    <cellStyle name="40% - uthevingsfarge 4 26 3 6 3 2" xfId="24381" xr:uid="{00000000-0005-0000-0000-0000E6350000}"/>
    <cellStyle name="40% - uthevingsfarge 4 26 3 6 3 2 2" xfId="40425" xr:uid="{00000000-0005-0000-0000-0000E7350000}"/>
    <cellStyle name="40% - uthevingsfarge 4 26 3 6 3 3" xfId="29248" xr:uid="{00000000-0005-0000-0000-0000E8350000}"/>
    <cellStyle name="40% - uthevingsfarge 4 26 3 6 4" xfId="12166" xr:uid="{00000000-0005-0000-0000-0000E9350000}"/>
    <cellStyle name="40% - uthevingsfarge 4 26 3 6 4 2" xfId="35103" xr:uid="{00000000-0005-0000-0000-0000EA350000}"/>
    <cellStyle name="40% - uthevingsfarge 4 26 3 6 5" xfId="32639" xr:uid="{00000000-0005-0000-0000-0000EB350000}"/>
    <cellStyle name="40% - uthevingsfarge 4 26 3 7" xfId="5307" xr:uid="{00000000-0005-0000-0000-0000EC350000}"/>
    <cellStyle name="40% - uthevingsfarge 4 26 3 7 2" xfId="8722" xr:uid="{00000000-0005-0000-0000-0000ED350000}"/>
    <cellStyle name="40% - uthevingsfarge 4 26 3 7 2 2" xfId="21167" xr:uid="{00000000-0005-0000-0000-0000EE350000}"/>
    <cellStyle name="40% - uthevingsfarge 4 26 3 7 2 2 2" xfId="37247" xr:uid="{00000000-0005-0000-0000-0000EF350000}"/>
    <cellStyle name="40% - uthevingsfarge 4 26 3 7 2 3" xfId="29076" xr:uid="{00000000-0005-0000-0000-0000F0350000}"/>
    <cellStyle name="40% - uthevingsfarge 4 26 3 7 3" xfId="21669" xr:uid="{00000000-0005-0000-0000-0000F1350000}"/>
    <cellStyle name="40% - uthevingsfarge 4 26 3 7 3 2" xfId="37749" xr:uid="{00000000-0005-0000-0000-0000F2350000}"/>
    <cellStyle name="40% - uthevingsfarge 4 26 3 7 4" xfId="32467" xr:uid="{00000000-0005-0000-0000-0000F3350000}"/>
    <cellStyle name="40% - uthevingsfarge 4 26 3 8" xfId="7040" xr:uid="{00000000-0005-0000-0000-0000F4350000}"/>
    <cellStyle name="40% - uthevingsfarge 4 26 3 8 2" xfId="20642" xr:uid="{00000000-0005-0000-0000-0000F5350000}"/>
    <cellStyle name="40% - uthevingsfarge 4 26 3 8 2 2" xfId="36741" xr:uid="{00000000-0005-0000-0000-0000F6350000}"/>
    <cellStyle name="40% - uthevingsfarge 4 26 3 8 3" xfId="30758" xr:uid="{00000000-0005-0000-0000-0000F7350000}"/>
    <cellStyle name="40% - uthevingsfarge 4 26 3 9" xfId="11181" xr:uid="{00000000-0005-0000-0000-0000F8350000}"/>
    <cellStyle name="40% - uthevingsfarge 4 26 4" xfId="3493" xr:uid="{00000000-0005-0000-0000-0000F9350000}"/>
    <cellStyle name="40% - uthevingsfarge 4 26 4 10" xfId="47109" xr:uid="{00000000-0005-0000-0000-0000FA350000}"/>
    <cellStyle name="40% - uthevingsfarge 4 26 4 2" xfId="3929" xr:uid="{00000000-0005-0000-0000-0000FB350000}"/>
    <cellStyle name="40% - uthevingsfarge 4 26 4 2 2" xfId="5817" xr:uid="{00000000-0005-0000-0000-0000FC350000}"/>
    <cellStyle name="40% - uthevingsfarge 4 26 4 2 2 2" xfId="9232" xr:uid="{00000000-0005-0000-0000-0000FD350000}"/>
    <cellStyle name="40% - uthevingsfarge 4 26 4 2 2 2 2" xfId="24483" xr:uid="{00000000-0005-0000-0000-0000FE350000}"/>
    <cellStyle name="40% - uthevingsfarge 4 26 4 2 2 2 2 2" xfId="40527" xr:uid="{00000000-0005-0000-0000-0000FF350000}"/>
    <cellStyle name="40% - uthevingsfarge 4 26 4 2 2 2 3" xfId="28566" xr:uid="{00000000-0005-0000-0000-000000360000}"/>
    <cellStyle name="40% - uthevingsfarge 4 26 4 2 2 3" xfId="20215" xr:uid="{00000000-0005-0000-0000-000001360000}"/>
    <cellStyle name="40% - uthevingsfarge 4 26 4 2 2 3 2" xfId="36314" xr:uid="{00000000-0005-0000-0000-000002360000}"/>
    <cellStyle name="40% - uthevingsfarge 4 26 4 2 2 4" xfId="31957" xr:uid="{00000000-0005-0000-0000-000003360000}"/>
    <cellStyle name="40% - uthevingsfarge 4 26 4 2 3" xfId="7535" xr:uid="{00000000-0005-0000-0000-000004360000}"/>
    <cellStyle name="40% - uthevingsfarge 4 26 4 2 3 2" xfId="10317" xr:uid="{00000000-0005-0000-0000-000005360000}"/>
    <cellStyle name="40% - uthevingsfarge 4 26 4 2 3 2 2" xfId="27492" xr:uid="{00000000-0005-0000-0000-000006360000}"/>
    <cellStyle name="40% - uthevingsfarge 4 26 4 2 3 3" xfId="30263" xr:uid="{00000000-0005-0000-0000-000007360000}"/>
    <cellStyle name="40% - uthevingsfarge 4 26 4 2 4" xfId="18026" xr:uid="{00000000-0005-0000-0000-000008360000}"/>
    <cellStyle name="40% - uthevingsfarge 4 26 4 2 5" xfId="11051" xr:uid="{00000000-0005-0000-0000-000009360000}"/>
    <cellStyle name="40% - uthevingsfarge 4 26 4 2 5 2" xfId="34759" xr:uid="{00000000-0005-0000-0000-00000A360000}"/>
    <cellStyle name="40% - uthevingsfarge 4 26 4 2 6" xfId="33650" xr:uid="{00000000-0005-0000-0000-00000B360000}"/>
    <cellStyle name="40% - uthevingsfarge 4 26 4 3" xfId="4869" xr:uid="{00000000-0005-0000-0000-00000C360000}"/>
    <cellStyle name="40% - uthevingsfarge 4 26 4 3 10" xfId="47299" xr:uid="{00000000-0005-0000-0000-00000D360000}"/>
    <cellStyle name="40% - uthevingsfarge 4 26 4 3 2" xfId="6588" xr:uid="{00000000-0005-0000-0000-00000E360000}"/>
    <cellStyle name="40% - uthevingsfarge 4 26 4 3 2 2" xfId="9994" xr:uid="{00000000-0005-0000-0000-00000F360000}"/>
    <cellStyle name="40% - uthevingsfarge 4 26 4 3 2 2 2" xfId="21564" xr:uid="{00000000-0005-0000-0000-000010360000}"/>
    <cellStyle name="40% - uthevingsfarge 4 26 4 3 2 2 2 2" xfId="37644" xr:uid="{00000000-0005-0000-0000-000011360000}"/>
    <cellStyle name="40% - uthevingsfarge 4 26 4 3 2 2 3" xfId="27805" xr:uid="{00000000-0005-0000-0000-000012360000}"/>
    <cellStyle name="40% - uthevingsfarge 4 26 4 3 2 3" xfId="20509" xr:uid="{00000000-0005-0000-0000-000013360000}"/>
    <cellStyle name="40% - uthevingsfarge 4 26 4 3 2 3 2" xfId="36608" xr:uid="{00000000-0005-0000-0000-000014360000}"/>
    <cellStyle name="40% - uthevingsfarge 4 26 4 3 2 4" xfId="31206" xr:uid="{00000000-0005-0000-0000-000015360000}"/>
    <cellStyle name="40% - uthevingsfarge 4 26 4 3 2 5" xfId="42854" xr:uid="{00000000-0005-0000-0000-000016360000}"/>
    <cellStyle name="40% - uthevingsfarge 4 26 4 3 2 6" xfId="43292" xr:uid="{00000000-0005-0000-0000-000017360000}"/>
    <cellStyle name="40% - uthevingsfarge 4 26 4 3 2 7" xfId="46140" xr:uid="{00000000-0005-0000-0000-000018360000}"/>
    <cellStyle name="40% - uthevingsfarge 4 26 4 3 2 8" xfId="46909" xr:uid="{00000000-0005-0000-0000-000019360000}"/>
    <cellStyle name="40% - uthevingsfarge 4 26 4 3 2 9" xfId="47495" xr:uid="{00000000-0005-0000-0000-00001A360000}"/>
    <cellStyle name="40% - uthevingsfarge 4 26 4 3 3" xfId="8291" xr:uid="{00000000-0005-0000-0000-00001B360000}"/>
    <cellStyle name="40% - uthevingsfarge 4 26 4 3 3 2" xfId="19877" xr:uid="{00000000-0005-0000-0000-00001C360000}"/>
    <cellStyle name="40% - uthevingsfarge 4 26 4 3 3 2 2" xfId="35990" xr:uid="{00000000-0005-0000-0000-00001D360000}"/>
    <cellStyle name="40% - uthevingsfarge 4 26 4 3 3 3" xfId="29506" xr:uid="{00000000-0005-0000-0000-00001E360000}"/>
    <cellStyle name="40% - uthevingsfarge 4 26 4 3 3 4" xfId="43945" xr:uid="{00000000-0005-0000-0000-00001F360000}"/>
    <cellStyle name="40% - uthevingsfarge 4 26 4 3 4" xfId="16299" xr:uid="{00000000-0005-0000-0000-000020360000}"/>
    <cellStyle name="40% - uthevingsfarge 4 26 4 3 4 2" xfId="35387" xr:uid="{00000000-0005-0000-0000-000021360000}"/>
    <cellStyle name="40% - uthevingsfarge 4 26 4 3 5" xfId="25046" xr:uid="{00000000-0005-0000-0000-000022360000}"/>
    <cellStyle name="40% - uthevingsfarge 4 26 4 3 6" xfId="25309" xr:uid="{00000000-0005-0000-0000-000023360000}"/>
    <cellStyle name="40% - uthevingsfarge 4 26 4 3 7" xfId="32898" xr:uid="{00000000-0005-0000-0000-000024360000}"/>
    <cellStyle name="40% - uthevingsfarge 4 26 4 3 8" xfId="43752" xr:uid="{00000000-0005-0000-0000-000025360000}"/>
    <cellStyle name="40% - uthevingsfarge 4 26 4 3 9" xfId="46678" xr:uid="{00000000-0005-0000-0000-000026360000}"/>
    <cellStyle name="40% - uthevingsfarge 4 26 4 4" xfId="5426" xr:uid="{00000000-0005-0000-0000-000027360000}"/>
    <cellStyle name="40% - uthevingsfarge 4 26 4 4 2" xfId="8841" xr:uid="{00000000-0005-0000-0000-000028360000}"/>
    <cellStyle name="40% - uthevingsfarge 4 26 4 4 2 2" xfId="23416" xr:uid="{00000000-0005-0000-0000-000029360000}"/>
    <cellStyle name="40% - uthevingsfarge 4 26 4 4 2 2 2" xfId="39472" xr:uid="{00000000-0005-0000-0000-00002A360000}"/>
    <cellStyle name="40% - uthevingsfarge 4 26 4 4 2 3" xfId="28957" xr:uid="{00000000-0005-0000-0000-00002B360000}"/>
    <cellStyle name="40% - uthevingsfarge 4 26 4 4 3" xfId="22072" xr:uid="{00000000-0005-0000-0000-00002C360000}"/>
    <cellStyle name="40% - uthevingsfarge 4 26 4 4 3 2" xfId="38146" xr:uid="{00000000-0005-0000-0000-00002D360000}"/>
    <cellStyle name="40% - uthevingsfarge 4 26 4 4 4" xfId="32348" xr:uid="{00000000-0005-0000-0000-00002E360000}"/>
    <cellStyle name="40% - uthevingsfarge 4 26 4 5" xfId="7141" xr:uid="{00000000-0005-0000-0000-00002F360000}"/>
    <cellStyle name="40% - uthevingsfarge 4 26 4 5 2" xfId="23155" xr:uid="{00000000-0005-0000-0000-000030360000}"/>
    <cellStyle name="40% - uthevingsfarge 4 26 4 5 2 2" xfId="39224" xr:uid="{00000000-0005-0000-0000-000031360000}"/>
    <cellStyle name="40% - uthevingsfarge 4 26 4 5 3" xfId="30657" xr:uid="{00000000-0005-0000-0000-000032360000}"/>
    <cellStyle name="40% - uthevingsfarge 4 26 4 6" xfId="11183" xr:uid="{00000000-0005-0000-0000-000033360000}"/>
    <cellStyle name="40% - uthevingsfarge 4 26 4 7" xfId="34044" xr:uid="{00000000-0005-0000-0000-000034360000}"/>
    <cellStyle name="40% - uthevingsfarge 4 26 4 8" xfId="43544" xr:uid="{00000000-0005-0000-0000-000035360000}"/>
    <cellStyle name="40% - uthevingsfarge 4 26 4 9" xfId="46448" xr:uid="{00000000-0005-0000-0000-000036360000}"/>
    <cellStyle name="40% - uthevingsfarge 4 26 4_Avviksanalyse løpende RNB15 (1)" xfId="16634" xr:uid="{00000000-0005-0000-0000-000037360000}"/>
    <cellStyle name="40% - uthevingsfarge 4 26 5" xfId="3750" xr:uid="{00000000-0005-0000-0000-000038360000}"/>
    <cellStyle name="40% - uthevingsfarge 4 26 5 2" xfId="5638" xr:uid="{00000000-0005-0000-0000-000039360000}"/>
    <cellStyle name="40% - uthevingsfarge 4 26 5 2 2" xfId="9053" xr:uid="{00000000-0005-0000-0000-00003A360000}"/>
    <cellStyle name="40% - uthevingsfarge 4 26 5 2 2 2" xfId="11732" xr:uid="{00000000-0005-0000-0000-00003B360000}"/>
    <cellStyle name="40% - uthevingsfarge 4 26 5 2 2 2 2" xfId="34846" xr:uid="{00000000-0005-0000-0000-00003C360000}"/>
    <cellStyle name="40% - uthevingsfarge 4 26 5 2 2 3" xfId="28745" xr:uid="{00000000-0005-0000-0000-00003D360000}"/>
    <cellStyle name="40% - uthevingsfarge 4 26 5 2 3" xfId="20150" xr:uid="{00000000-0005-0000-0000-00003E360000}"/>
    <cellStyle name="40% - uthevingsfarge 4 26 5 2 3 2" xfId="36252" xr:uid="{00000000-0005-0000-0000-00003F360000}"/>
    <cellStyle name="40% - uthevingsfarge 4 26 5 2 4" xfId="32136" xr:uid="{00000000-0005-0000-0000-000040360000}"/>
    <cellStyle name="40% - uthevingsfarge 4 26 5 3" xfId="7356" xr:uid="{00000000-0005-0000-0000-000041360000}"/>
    <cellStyle name="40% - uthevingsfarge 4 26 5 3 2" xfId="23191" xr:uid="{00000000-0005-0000-0000-000042360000}"/>
    <cellStyle name="40% - uthevingsfarge 4 26 5 3 2 2" xfId="39260" xr:uid="{00000000-0005-0000-0000-000043360000}"/>
    <cellStyle name="40% - uthevingsfarge 4 26 5 3 3" xfId="30442" xr:uid="{00000000-0005-0000-0000-000044360000}"/>
    <cellStyle name="40% - uthevingsfarge 4 26 5 4" xfId="21710" xr:uid="{00000000-0005-0000-0000-000045360000}"/>
    <cellStyle name="40% - uthevingsfarge 4 26 5 4 2" xfId="37788" xr:uid="{00000000-0005-0000-0000-000046360000}"/>
    <cellStyle name="40% - uthevingsfarge 4 26 5 5" xfId="33829" xr:uid="{00000000-0005-0000-0000-000047360000}"/>
    <cellStyle name="40% - uthevingsfarge 4 26 6" xfId="4214" xr:uid="{00000000-0005-0000-0000-000048360000}"/>
    <cellStyle name="40% - uthevingsfarge 4 26 6 2" xfId="6051" xr:uid="{00000000-0005-0000-0000-000049360000}"/>
    <cellStyle name="40% - uthevingsfarge 4 26 6 2 2" xfId="9466" xr:uid="{00000000-0005-0000-0000-00004A360000}"/>
    <cellStyle name="40% - uthevingsfarge 4 26 6 2 2 2" xfId="22613" xr:uid="{00000000-0005-0000-0000-00004B360000}"/>
    <cellStyle name="40% - uthevingsfarge 4 26 6 2 2 2 2" xfId="38682" xr:uid="{00000000-0005-0000-0000-00004C360000}"/>
    <cellStyle name="40% - uthevingsfarge 4 26 6 2 2 3" xfId="28332" xr:uid="{00000000-0005-0000-0000-00004D360000}"/>
    <cellStyle name="40% - uthevingsfarge 4 26 6 2 3" xfId="22965" xr:uid="{00000000-0005-0000-0000-00004E360000}"/>
    <cellStyle name="40% - uthevingsfarge 4 26 6 2 3 2" xfId="39034" xr:uid="{00000000-0005-0000-0000-00004F360000}"/>
    <cellStyle name="40% - uthevingsfarge 4 26 6 2 4" xfId="31727" xr:uid="{00000000-0005-0000-0000-000050360000}"/>
    <cellStyle name="40% - uthevingsfarge 4 26 6 3" xfId="7784" xr:uid="{00000000-0005-0000-0000-000051360000}"/>
    <cellStyle name="40% - uthevingsfarge 4 26 6 3 2" xfId="21740" xr:uid="{00000000-0005-0000-0000-000052360000}"/>
    <cellStyle name="40% - uthevingsfarge 4 26 6 3 2 2" xfId="37818" xr:uid="{00000000-0005-0000-0000-000053360000}"/>
    <cellStyle name="40% - uthevingsfarge 4 26 6 3 3" xfId="30015" xr:uid="{00000000-0005-0000-0000-000054360000}"/>
    <cellStyle name="40% - uthevingsfarge 4 26 6 4" xfId="19611" xr:uid="{00000000-0005-0000-0000-000055360000}"/>
    <cellStyle name="40% - uthevingsfarge 4 26 6 4 2" xfId="35725" xr:uid="{00000000-0005-0000-0000-000056360000}"/>
    <cellStyle name="40% - uthevingsfarge 4 26 6 5" xfId="33403" xr:uid="{00000000-0005-0000-0000-000057360000}"/>
    <cellStyle name="40% - uthevingsfarge 4 26 7" xfId="4685" xr:uid="{00000000-0005-0000-0000-000058360000}"/>
    <cellStyle name="40% - uthevingsfarge 4 26 7 2" xfId="6405" xr:uid="{00000000-0005-0000-0000-000059360000}"/>
    <cellStyle name="40% - uthevingsfarge 4 26 7 2 2" xfId="9815" xr:uid="{00000000-0005-0000-0000-00005A360000}"/>
    <cellStyle name="40% - uthevingsfarge 4 26 7 2 2 2" xfId="24568" xr:uid="{00000000-0005-0000-0000-00005B360000}"/>
    <cellStyle name="40% - uthevingsfarge 4 26 7 2 2 2 2" xfId="40612" xr:uid="{00000000-0005-0000-0000-00005C360000}"/>
    <cellStyle name="40% - uthevingsfarge 4 26 7 2 2 3" xfId="27984" xr:uid="{00000000-0005-0000-0000-00005D360000}"/>
    <cellStyle name="40% - uthevingsfarge 4 26 7 2 3" xfId="23033" xr:uid="{00000000-0005-0000-0000-00005E360000}"/>
    <cellStyle name="40% - uthevingsfarge 4 26 7 2 3 2" xfId="39102" xr:uid="{00000000-0005-0000-0000-00005F360000}"/>
    <cellStyle name="40% - uthevingsfarge 4 26 7 2 4" xfId="31385" xr:uid="{00000000-0005-0000-0000-000060360000}"/>
    <cellStyle name="40% - uthevingsfarge 4 26 7 3" xfId="8111" xr:uid="{00000000-0005-0000-0000-000061360000}"/>
    <cellStyle name="40% - uthevingsfarge 4 26 7 3 2" xfId="21003" xr:uid="{00000000-0005-0000-0000-000062360000}"/>
    <cellStyle name="40% - uthevingsfarge 4 26 7 3 2 2" xfId="37098" xr:uid="{00000000-0005-0000-0000-000063360000}"/>
    <cellStyle name="40% - uthevingsfarge 4 26 7 3 3" xfId="29687" xr:uid="{00000000-0005-0000-0000-000064360000}"/>
    <cellStyle name="40% - uthevingsfarge 4 26 7 4" xfId="22827" xr:uid="{00000000-0005-0000-0000-000065360000}"/>
    <cellStyle name="40% - uthevingsfarge 4 26 7 4 2" xfId="38896" xr:uid="{00000000-0005-0000-0000-000066360000}"/>
    <cellStyle name="40% - uthevingsfarge 4 26 7 5" xfId="33078" xr:uid="{00000000-0005-0000-0000-000067360000}"/>
    <cellStyle name="40% - uthevingsfarge 4 26 8" xfId="5049" xr:uid="{00000000-0005-0000-0000-000068360000}"/>
    <cellStyle name="40% - uthevingsfarge 4 26 8 2" xfId="6768" xr:uid="{00000000-0005-0000-0000-000069360000}"/>
    <cellStyle name="40% - uthevingsfarge 4 26 8 2 2" xfId="10174" xr:uid="{00000000-0005-0000-0000-00006A360000}"/>
    <cellStyle name="40% - uthevingsfarge 4 26 8 2 2 2" xfId="21636" xr:uid="{00000000-0005-0000-0000-00006B360000}"/>
    <cellStyle name="40% - uthevingsfarge 4 26 8 2 2 2 2" xfId="37716" xr:uid="{00000000-0005-0000-0000-00006C360000}"/>
    <cellStyle name="40% - uthevingsfarge 4 26 8 2 2 3" xfId="27625" xr:uid="{00000000-0005-0000-0000-00006D360000}"/>
    <cellStyle name="40% - uthevingsfarge 4 26 8 2 3" xfId="23093" xr:uid="{00000000-0005-0000-0000-00006E360000}"/>
    <cellStyle name="40% - uthevingsfarge 4 26 8 2 3 2" xfId="39162" xr:uid="{00000000-0005-0000-0000-00006F360000}"/>
    <cellStyle name="40% - uthevingsfarge 4 26 8 2 4" xfId="31026" xr:uid="{00000000-0005-0000-0000-000070360000}"/>
    <cellStyle name="40% - uthevingsfarge 4 26 8 3" xfId="8471" xr:uid="{00000000-0005-0000-0000-000071360000}"/>
    <cellStyle name="40% - uthevingsfarge 4 26 8 3 2" xfId="10539" xr:uid="{00000000-0005-0000-0000-000072360000}"/>
    <cellStyle name="40% - uthevingsfarge 4 26 8 3 2 2" xfId="34414" xr:uid="{00000000-0005-0000-0000-000073360000}"/>
    <cellStyle name="40% - uthevingsfarge 4 26 8 3 3" xfId="29327" xr:uid="{00000000-0005-0000-0000-000074360000}"/>
    <cellStyle name="40% - uthevingsfarge 4 26 8 4" xfId="20054" xr:uid="{00000000-0005-0000-0000-000075360000}"/>
    <cellStyle name="40% - uthevingsfarge 4 26 8 4 2" xfId="36158" xr:uid="{00000000-0005-0000-0000-000076360000}"/>
    <cellStyle name="40% - uthevingsfarge 4 26 8 5" xfId="32718" xr:uid="{00000000-0005-0000-0000-000077360000}"/>
    <cellStyle name="40% - uthevingsfarge 4 26 9" xfId="5204" xr:uid="{00000000-0005-0000-0000-000078360000}"/>
    <cellStyle name="40% - uthevingsfarge 4 26 9 2" xfId="8623" xr:uid="{00000000-0005-0000-0000-000079360000}"/>
    <cellStyle name="40% - uthevingsfarge 4 26 9 2 2" xfId="21140" xr:uid="{00000000-0005-0000-0000-00007A360000}"/>
    <cellStyle name="40% - uthevingsfarge 4 26 9 2 2 2" xfId="37220" xr:uid="{00000000-0005-0000-0000-00007B360000}"/>
    <cellStyle name="40% - uthevingsfarge 4 26 9 2 3" xfId="29175" xr:uid="{00000000-0005-0000-0000-00007C360000}"/>
    <cellStyle name="40% - uthevingsfarge 4 26 9 3" xfId="23850" xr:uid="{00000000-0005-0000-0000-00007D360000}"/>
    <cellStyle name="40% - uthevingsfarge 4 26 9 3 2" xfId="39906" xr:uid="{00000000-0005-0000-0000-00007E360000}"/>
    <cellStyle name="40% - uthevingsfarge 4 26 9 4" xfId="32566" xr:uid="{00000000-0005-0000-0000-00007F360000}"/>
    <cellStyle name="40% - uthevingsfarge 4 27" xfId="879" xr:uid="{00000000-0005-0000-0000-000080360000}"/>
    <cellStyle name="40% - uthevingsfarge 4 27 10" xfId="11184" xr:uid="{00000000-0005-0000-0000-000081360000}"/>
    <cellStyle name="40% - uthevingsfarge 4 27 11" xfId="34241" xr:uid="{00000000-0005-0000-0000-000082360000}"/>
    <cellStyle name="40% - uthevingsfarge 4 27 2" xfId="3347" xr:uid="{00000000-0005-0000-0000-000083360000}"/>
    <cellStyle name="40% - uthevingsfarge 4 27 2 10" xfId="34144" xr:uid="{00000000-0005-0000-0000-000084360000}"/>
    <cellStyle name="40% - uthevingsfarge 4 27 2 2" xfId="3579" xr:uid="{00000000-0005-0000-0000-000085360000}"/>
    <cellStyle name="40% - uthevingsfarge 4 27 2 2 10" xfId="47178" xr:uid="{00000000-0005-0000-0000-000086360000}"/>
    <cellStyle name="40% - uthevingsfarge 4 27 2 2 2" xfId="4009" xr:uid="{00000000-0005-0000-0000-000087360000}"/>
    <cellStyle name="40% - uthevingsfarge 4 27 2 2 2 2" xfId="5897" xr:uid="{00000000-0005-0000-0000-000088360000}"/>
    <cellStyle name="40% - uthevingsfarge 4 27 2 2 2 2 2" xfId="9312" xr:uid="{00000000-0005-0000-0000-000089360000}"/>
    <cellStyle name="40% - uthevingsfarge 4 27 2 2 2 2 2 2" xfId="21344" xr:uid="{00000000-0005-0000-0000-00008A360000}"/>
    <cellStyle name="40% - uthevingsfarge 4 27 2 2 2 2 2 2 2" xfId="37424" xr:uid="{00000000-0005-0000-0000-00008B360000}"/>
    <cellStyle name="40% - uthevingsfarge 4 27 2 2 2 2 2 3" xfId="28486" xr:uid="{00000000-0005-0000-0000-00008C360000}"/>
    <cellStyle name="40% - uthevingsfarge 4 27 2 2 2 2 3" xfId="22934" xr:uid="{00000000-0005-0000-0000-00008D360000}"/>
    <cellStyle name="40% - uthevingsfarge 4 27 2 2 2 2 3 2" xfId="39003" xr:uid="{00000000-0005-0000-0000-00008E360000}"/>
    <cellStyle name="40% - uthevingsfarge 4 27 2 2 2 2 4" xfId="31879" xr:uid="{00000000-0005-0000-0000-00008F360000}"/>
    <cellStyle name="40% - uthevingsfarge 4 27 2 2 2 3" xfId="7615" xr:uid="{00000000-0005-0000-0000-000090360000}"/>
    <cellStyle name="40% - uthevingsfarge 4 27 2 2 2 3 2" xfId="22211" xr:uid="{00000000-0005-0000-0000-000091360000}"/>
    <cellStyle name="40% - uthevingsfarge 4 27 2 2 2 3 2 2" xfId="38285" xr:uid="{00000000-0005-0000-0000-000092360000}"/>
    <cellStyle name="40% - uthevingsfarge 4 27 2 2 2 3 3" xfId="30183" xr:uid="{00000000-0005-0000-0000-000093360000}"/>
    <cellStyle name="40% - uthevingsfarge 4 27 2 2 2 4" xfId="18027" xr:uid="{00000000-0005-0000-0000-000094360000}"/>
    <cellStyle name="40% - uthevingsfarge 4 27 2 2 2 5" xfId="12440" xr:uid="{00000000-0005-0000-0000-000095360000}"/>
    <cellStyle name="40% - uthevingsfarge 4 27 2 2 2 5 2" xfId="35237" xr:uid="{00000000-0005-0000-0000-000096360000}"/>
    <cellStyle name="40% - uthevingsfarge 4 27 2 2 2 6" xfId="33570" xr:uid="{00000000-0005-0000-0000-000097360000}"/>
    <cellStyle name="40% - uthevingsfarge 4 27 2 2 3" xfId="4949" xr:uid="{00000000-0005-0000-0000-000098360000}"/>
    <cellStyle name="40% - uthevingsfarge 4 27 2 2 3 10" xfId="47368" xr:uid="{00000000-0005-0000-0000-000099360000}"/>
    <cellStyle name="40% - uthevingsfarge 4 27 2 2 3 2" xfId="6668" xr:uid="{00000000-0005-0000-0000-00009A360000}"/>
    <cellStyle name="40% - uthevingsfarge 4 27 2 2 3 2 2" xfId="10074" xr:uid="{00000000-0005-0000-0000-00009B360000}"/>
    <cellStyle name="40% - uthevingsfarge 4 27 2 2 3 2 2 2" xfId="21596" xr:uid="{00000000-0005-0000-0000-00009C360000}"/>
    <cellStyle name="40% - uthevingsfarge 4 27 2 2 3 2 2 2 2" xfId="37676" xr:uid="{00000000-0005-0000-0000-00009D360000}"/>
    <cellStyle name="40% - uthevingsfarge 4 27 2 2 3 2 2 3" xfId="27725" xr:uid="{00000000-0005-0000-0000-00009E360000}"/>
    <cellStyle name="40% - uthevingsfarge 4 27 2 2 3 2 3" xfId="19647" xr:uid="{00000000-0005-0000-0000-00009F360000}"/>
    <cellStyle name="40% - uthevingsfarge 4 27 2 2 3 2 3 2" xfId="35761" xr:uid="{00000000-0005-0000-0000-0000A0360000}"/>
    <cellStyle name="40% - uthevingsfarge 4 27 2 2 3 2 4" xfId="31126" xr:uid="{00000000-0005-0000-0000-0000A1360000}"/>
    <cellStyle name="40% - uthevingsfarge 4 27 2 2 3 2 5" xfId="43062" xr:uid="{00000000-0005-0000-0000-0000A2360000}"/>
    <cellStyle name="40% - uthevingsfarge 4 27 2 2 3 2 6" xfId="43359" xr:uid="{00000000-0005-0000-0000-0000A3360000}"/>
    <cellStyle name="40% - uthevingsfarge 4 27 2 2 3 2 7" xfId="46207" xr:uid="{00000000-0005-0000-0000-0000A4360000}"/>
    <cellStyle name="40% - uthevingsfarge 4 27 2 2 3 2 8" xfId="46979" xr:uid="{00000000-0005-0000-0000-0000A5360000}"/>
    <cellStyle name="40% - uthevingsfarge 4 27 2 2 3 2 9" xfId="47564" xr:uid="{00000000-0005-0000-0000-0000A6360000}"/>
    <cellStyle name="40% - uthevingsfarge 4 27 2 2 3 3" xfId="8371" xr:uid="{00000000-0005-0000-0000-0000A7360000}"/>
    <cellStyle name="40% - uthevingsfarge 4 27 2 2 3 3 2" xfId="19488" xr:uid="{00000000-0005-0000-0000-0000A8360000}"/>
    <cellStyle name="40% - uthevingsfarge 4 27 2 2 3 3 2 2" xfId="35602" xr:uid="{00000000-0005-0000-0000-0000A9360000}"/>
    <cellStyle name="40% - uthevingsfarge 4 27 2 2 3 3 3" xfId="29427" xr:uid="{00000000-0005-0000-0000-0000AA360000}"/>
    <cellStyle name="40% - uthevingsfarge 4 27 2 2 3 3 4" xfId="43946" xr:uid="{00000000-0005-0000-0000-0000AB360000}"/>
    <cellStyle name="40% - uthevingsfarge 4 27 2 2 3 4" xfId="16507" xr:uid="{00000000-0005-0000-0000-0000AC360000}"/>
    <cellStyle name="40% - uthevingsfarge 4 27 2 2 3 4 2" xfId="35454" xr:uid="{00000000-0005-0000-0000-0000AD360000}"/>
    <cellStyle name="40% - uthevingsfarge 4 27 2 2 3 5" xfId="25116" xr:uid="{00000000-0005-0000-0000-0000AE360000}"/>
    <cellStyle name="40% - uthevingsfarge 4 27 2 2 3 6" xfId="25310" xr:uid="{00000000-0005-0000-0000-0000AF360000}"/>
    <cellStyle name="40% - uthevingsfarge 4 27 2 2 3 7" xfId="32818" xr:uid="{00000000-0005-0000-0000-0000B0360000}"/>
    <cellStyle name="40% - uthevingsfarge 4 27 2 2 3 8" xfId="43820" xr:uid="{00000000-0005-0000-0000-0000B1360000}"/>
    <cellStyle name="40% - uthevingsfarge 4 27 2 2 3 9" xfId="46745" xr:uid="{00000000-0005-0000-0000-0000B2360000}"/>
    <cellStyle name="40% - uthevingsfarge 4 27 2 2 4" xfId="5503" xr:uid="{00000000-0005-0000-0000-0000B3360000}"/>
    <cellStyle name="40% - uthevingsfarge 4 27 2 2 4 2" xfId="8918" xr:uid="{00000000-0005-0000-0000-0000B4360000}"/>
    <cellStyle name="40% - uthevingsfarge 4 27 2 2 4 2 2" xfId="21731" xr:uid="{00000000-0005-0000-0000-0000B5360000}"/>
    <cellStyle name="40% - uthevingsfarge 4 27 2 2 4 2 2 2" xfId="37809" xr:uid="{00000000-0005-0000-0000-0000B6360000}"/>
    <cellStyle name="40% - uthevingsfarge 4 27 2 2 4 2 3" xfId="28880" xr:uid="{00000000-0005-0000-0000-0000B7360000}"/>
    <cellStyle name="40% - uthevingsfarge 4 27 2 2 4 3" xfId="22245" xr:uid="{00000000-0005-0000-0000-0000B8360000}"/>
    <cellStyle name="40% - uthevingsfarge 4 27 2 2 4 3 2" xfId="38319" xr:uid="{00000000-0005-0000-0000-0000B9360000}"/>
    <cellStyle name="40% - uthevingsfarge 4 27 2 2 4 4" xfId="32271" xr:uid="{00000000-0005-0000-0000-0000BA360000}"/>
    <cellStyle name="40% - uthevingsfarge 4 27 2 2 5" xfId="7221" xr:uid="{00000000-0005-0000-0000-0000BB360000}"/>
    <cellStyle name="40% - uthevingsfarge 4 27 2 2 5 2" xfId="22185" xr:uid="{00000000-0005-0000-0000-0000BC360000}"/>
    <cellStyle name="40% - uthevingsfarge 4 27 2 2 5 2 2" xfId="38259" xr:uid="{00000000-0005-0000-0000-0000BD360000}"/>
    <cellStyle name="40% - uthevingsfarge 4 27 2 2 5 3" xfId="30577" xr:uid="{00000000-0005-0000-0000-0000BE360000}"/>
    <cellStyle name="40% - uthevingsfarge 4 27 2 2 6" xfId="11186" xr:uid="{00000000-0005-0000-0000-0000BF360000}"/>
    <cellStyle name="40% - uthevingsfarge 4 27 2 2 7" xfId="33964" xr:uid="{00000000-0005-0000-0000-0000C0360000}"/>
    <cellStyle name="40% - uthevingsfarge 4 27 2 2 8" xfId="43611" xr:uid="{00000000-0005-0000-0000-0000C1360000}"/>
    <cellStyle name="40% - uthevingsfarge 4 27 2 2 9" xfId="46517" xr:uid="{00000000-0005-0000-0000-0000C2360000}"/>
    <cellStyle name="40% - uthevingsfarge 4 27 2 2_Avviksanalyse løpende RNB15 (1)" xfId="16635" xr:uid="{00000000-0005-0000-0000-0000C3360000}"/>
    <cellStyle name="40% - uthevingsfarge 4 27 2 3" xfId="3829" xr:uid="{00000000-0005-0000-0000-0000C4360000}"/>
    <cellStyle name="40% - uthevingsfarge 4 27 2 3 2" xfId="5717" xr:uid="{00000000-0005-0000-0000-0000C5360000}"/>
    <cellStyle name="40% - uthevingsfarge 4 27 2 3 2 2" xfId="9132" xr:uid="{00000000-0005-0000-0000-0000C6360000}"/>
    <cellStyle name="40% - uthevingsfarge 4 27 2 3 2 2 2" xfId="21287" xr:uid="{00000000-0005-0000-0000-0000C7360000}"/>
    <cellStyle name="40% - uthevingsfarge 4 27 2 3 2 2 2 2" xfId="37367" xr:uid="{00000000-0005-0000-0000-0000C8360000}"/>
    <cellStyle name="40% - uthevingsfarge 4 27 2 3 2 2 3" xfId="28666" xr:uid="{00000000-0005-0000-0000-0000C9360000}"/>
    <cellStyle name="40% - uthevingsfarge 4 27 2 3 2 3" xfId="20180" xr:uid="{00000000-0005-0000-0000-0000CA360000}"/>
    <cellStyle name="40% - uthevingsfarge 4 27 2 3 2 3 2" xfId="36280" xr:uid="{00000000-0005-0000-0000-0000CB360000}"/>
    <cellStyle name="40% - uthevingsfarge 4 27 2 3 2 4" xfId="32057" xr:uid="{00000000-0005-0000-0000-0000CC360000}"/>
    <cellStyle name="40% - uthevingsfarge 4 27 2 3 3" xfId="7435" xr:uid="{00000000-0005-0000-0000-0000CD360000}"/>
    <cellStyle name="40% - uthevingsfarge 4 27 2 3 3 2" xfId="24207" xr:uid="{00000000-0005-0000-0000-0000CE360000}"/>
    <cellStyle name="40% - uthevingsfarge 4 27 2 3 3 2 2" xfId="40260" xr:uid="{00000000-0005-0000-0000-0000CF360000}"/>
    <cellStyle name="40% - uthevingsfarge 4 27 2 3 3 3" xfId="30363" xr:uid="{00000000-0005-0000-0000-0000D0360000}"/>
    <cellStyle name="40% - uthevingsfarge 4 27 2 3 4" xfId="19598" xr:uid="{00000000-0005-0000-0000-0000D1360000}"/>
    <cellStyle name="40% - uthevingsfarge 4 27 2 3 4 2" xfId="35712" xr:uid="{00000000-0005-0000-0000-0000D2360000}"/>
    <cellStyle name="40% - uthevingsfarge 4 27 2 3 5" xfId="33750" xr:uid="{00000000-0005-0000-0000-0000D3360000}"/>
    <cellStyle name="40% - uthevingsfarge 4 27 2 4" xfId="4314" xr:uid="{00000000-0005-0000-0000-0000D4360000}"/>
    <cellStyle name="40% - uthevingsfarge 4 27 2 4 2" xfId="6143" xr:uid="{00000000-0005-0000-0000-0000D5360000}"/>
    <cellStyle name="40% - uthevingsfarge 4 27 2 4 2 2" xfId="9557" xr:uid="{00000000-0005-0000-0000-0000D6360000}"/>
    <cellStyle name="40% - uthevingsfarge 4 27 2 4 2 2 2" xfId="11651" xr:uid="{00000000-0005-0000-0000-0000D7360000}"/>
    <cellStyle name="40% - uthevingsfarge 4 27 2 4 2 2 2 2" xfId="34822" xr:uid="{00000000-0005-0000-0000-0000D8360000}"/>
    <cellStyle name="40% - uthevingsfarge 4 27 2 4 2 2 3" xfId="28241" xr:uid="{00000000-0005-0000-0000-0000D9360000}"/>
    <cellStyle name="40% - uthevingsfarge 4 27 2 4 2 3" xfId="20339" xr:uid="{00000000-0005-0000-0000-0000DA360000}"/>
    <cellStyle name="40% - uthevingsfarge 4 27 2 4 2 3 2" xfId="36438" xr:uid="{00000000-0005-0000-0000-0000DB360000}"/>
    <cellStyle name="40% - uthevingsfarge 4 27 2 4 2 4" xfId="31637" xr:uid="{00000000-0005-0000-0000-0000DC360000}"/>
    <cellStyle name="40% - uthevingsfarge 4 27 2 4 3" xfId="7876" xr:uid="{00000000-0005-0000-0000-0000DD360000}"/>
    <cellStyle name="40% - uthevingsfarge 4 27 2 4 3 2" xfId="11918" xr:uid="{00000000-0005-0000-0000-0000DE360000}"/>
    <cellStyle name="40% - uthevingsfarge 4 27 2 4 3 2 2" xfId="34950" xr:uid="{00000000-0005-0000-0000-0000DF360000}"/>
    <cellStyle name="40% - uthevingsfarge 4 27 2 4 3 3" xfId="29923" xr:uid="{00000000-0005-0000-0000-0000E0360000}"/>
    <cellStyle name="40% - uthevingsfarge 4 27 2 4 4" xfId="22726" xr:uid="{00000000-0005-0000-0000-0000E1360000}"/>
    <cellStyle name="40% - uthevingsfarge 4 27 2 4 4 2" xfId="38795" xr:uid="{00000000-0005-0000-0000-0000E2360000}"/>
    <cellStyle name="40% - uthevingsfarge 4 27 2 4 5" xfId="33311" xr:uid="{00000000-0005-0000-0000-0000E3360000}"/>
    <cellStyle name="40% - uthevingsfarge 4 27 2 5" xfId="4769" xr:uid="{00000000-0005-0000-0000-0000E4360000}"/>
    <cellStyle name="40% - uthevingsfarge 4 27 2 5 2" xfId="6489" xr:uid="{00000000-0005-0000-0000-0000E5360000}"/>
    <cellStyle name="40% - uthevingsfarge 4 27 2 5 2 2" xfId="9895" xr:uid="{00000000-0005-0000-0000-0000E6360000}"/>
    <cellStyle name="40% - uthevingsfarge 4 27 2 5 2 2 2" xfId="23578" xr:uid="{00000000-0005-0000-0000-0000E7360000}"/>
    <cellStyle name="40% - uthevingsfarge 4 27 2 5 2 2 2 2" xfId="39634" xr:uid="{00000000-0005-0000-0000-0000E8360000}"/>
    <cellStyle name="40% - uthevingsfarge 4 27 2 5 2 2 3" xfId="27904" xr:uid="{00000000-0005-0000-0000-0000E9360000}"/>
    <cellStyle name="40% - uthevingsfarge 4 27 2 5 2 3" xfId="23049" xr:uid="{00000000-0005-0000-0000-0000EA360000}"/>
    <cellStyle name="40% - uthevingsfarge 4 27 2 5 2 3 2" xfId="39118" xr:uid="{00000000-0005-0000-0000-0000EB360000}"/>
    <cellStyle name="40% - uthevingsfarge 4 27 2 5 2 4" xfId="31305" xr:uid="{00000000-0005-0000-0000-0000EC360000}"/>
    <cellStyle name="40% - uthevingsfarge 4 27 2 5 3" xfId="8191" xr:uid="{00000000-0005-0000-0000-0000ED360000}"/>
    <cellStyle name="40% - uthevingsfarge 4 27 2 5 3 2" xfId="24330" xr:uid="{00000000-0005-0000-0000-0000EE360000}"/>
    <cellStyle name="40% - uthevingsfarge 4 27 2 5 3 2 2" xfId="40380" xr:uid="{00000000-0005-0000-0000-0000EF360000}"/>
    <cellStyle name="40% - uthevingsfarge 4 27 2 5 3 3" xfId="29606" xr:uid="{00000000-0005-0000-0000-0000F0360000}"/>
    <cellStyle name="40% - uthevingsfarge 4 27 2 5 4" xfId="22553" xr:uid="{00000000-0005-0000-0000-0000F1360000}"/>
    <cellStyle name="40% - uthevingsfarge 4 27 2 5 4 2" xfId="38622" xr:uid="{00000000-0005-0000-0000-0000F2360000}"/>
    <cellStyle name="40% - uthevingsfarge 4 27 2 5 5" xfId="32998" xr:uid="{00000000-0005-0000-0000-0000F3360000}"/>
    <cellStyle name="40% - uthevingsfarge 4 27 2 6" xfId="5129" xr:uid="{00000000-0005-0000-0000-0000F4360000}"/>
    <cellStyle name="40% - uthevingsfarge 4 27 2 6 2" xfId="6848" xr:uid="{00000000-0005-0000-0000-0000F5360000}"/>
    <cellStyle name="40% - uthevingsfarge 4 27 2 6 2 2" xfId="10254" xr:uid="{00000000-0005-0000-0000-0000F6360000}"/>
    <cellStyle name="40% - uthevingsfarge 4 27 2 6 2 2 2" xfId="24697" xr:uid="{00000000-0005-0000-0000-0000F7360000}"/>
    <cellStyle name="40% - uthevingsfarge 4 27 2 6 2 2 2 2" xfId="40740" xr:uid="{00000000-0005-0000-0000-0000F8360000}"/>
    <cellStyle name="40% - uthevingsfarge 4 27 2 6 2 2 3" xfId="27545" xr:uid="{00000000-0005-0000-0000-0000F9360000}"/>
    <cellStyle name="40% - uthevingsfarge 4 27 2 6 2 3" xfId="24106" xr:uid="{00000000-0005-0000-0000-0000FA360000}"/>
    <cellStyle name="40% - uthevingsfarge 4 27 2 6 2 3 2" xfId="40159" xr:uid="{00000000-0005-0000-0000-0000FB360000}"/>
    <cellStyle name="40% - uthevingsfarge 4 27 2 6 2 4" xfId="30946" xr:uid="{00000000-0005-0000-0000-0000FC360000}"/>
    <cellStyle name="40% - uthevingsfarge 4 27 2 6 3" xfId="8551" xr:uid="{00000000-0005-0000-0000-0000FD360000}"/>
    <cellStyle name="40% - uthevingsfarge 4 27 2 6 3 2" xfId="21880" xr:uid="{00000000-0005-0000-0000-0000FE360000}"/>
    <cellStyle name="40% - uthevingsfarge 4 27 2 6 3 2 2" xfId="37955" xr:uid="{00000000-0005-0000-0000-0000FF360000}"/>
    <cellStyle name="40% - uthevingsfarge 4 27 2 6 3 3" xfId="29247" xr:uid="{00000000-0005-0000-0000-000000370000}"/>
    <cellStyle name="40% - uthevingsfarge 4 27 2 6 4" xfId="20062" xr:uid="{00000000-0005-0000-0000-000001370000}"/>
    <cellStyle name="40% - uthevingsfarge 4 27 2 6 4 2" xfId="36166" xr:uid="{00000000-0005-0000-0000-000002370000}"/>
    <cellStyle name="40% - uthevingsfarge 4 27 2 6 5" xfId="32638" xr:uid="{00000000-0005-0000-0000-000003370000}"/>
    <cellStyle name="40% - uthevingsfarge 4 27 2 7" xfId="5308" xr:uid="{00000000-0005-0000-0000-000004370000}"/>
    <cellStyle name="40% - uthevingsfarge 4 27 2 7 2" xfId="8723" xr:uid="{00000000-0005-0000-0000-000005370000}"/>
    <cellStyle name="40% - uthevingsfarge 4 27 2 7 2 2" xfId="21168" xr:uid="{00000000-0005-0000-0000-000006370000}"/>
    <cellStyle name="40% - uthevingsfarge 4 27 2 7 2 2 2" xfId="37248" xr:uid="{00000000-0005-0000-0000-000007370000}"/>
    <cellStyle name="40% - uthevingsfarge 4 27 2 7 2 3" xfId="29075" xr:uid="{00000000-0005-0000-0000-000008370000}"/>
    <cellStyle name="40% - uthevingsfarge 4 27 2 7 3" xfId="12078" xr:uid="{00000000-0005-0000-0000-000009370000}"/>
    <cellStyle name="40% - uthevingsfarge 4 27 2 7 3 2" xfId="35059" xr:uid="{00000000-0005-0000-0000-00000A370000}"/>
    <cellStyle name="40% - uthevingsfarge 4 27 2 7 4" xfId="32466" xr:uid="{00000000-0005-0000-0000-00000B370000}"/>
    <cellStyle name="40% - uthevingsfarge 4 27 2 8" xfId="7041" xr:uid="{00000000-0005-0000-0000-00000C370000}"/>
    <cellStyle name="40% - uthevingsfarge 4 27 2 8 2" xfId="20643" xr:uid="{00000000-0005-0000-0000-00000D370000}"/>
    <cellStyle name="40% - uthevingsfarge 4 27 2 8 2 2" xfId="36742" xr:uid="{00000000-0005-0000-0000-00000E370000}"/>
    <cellStyle name="40% - uthevingsfarge 4 27 2 8 3" xfId="30757" xr:uid="{00000000-0005-0000-0000-00000F370000}"/>
    <cellStyle name="40% - uthevingsfarge 4 27 2 9" xfId="11185" xr:uid="{00000000-0005-0000-0000-000010370000}"/>
    <cellStyle name="40% - uthevingsfarge 4 27 3" xfId="3494" xr:uid="{00000000-0005-0000-0000-000011370000}"/>
    <cellStyle name="40% - uthevingsfarge 4 27 3 10" xfId="47110" xr:uid="{00000000-0005-0000-0000-000012370000}"/>
    <cellStyle name="40% - uthevingsfarge 4 27 3 2" xfId="3930" xr:uid="{00000000-0005-0000-0000-000013370000}"/>
    <cellStyle name="40% - uthevingsfarge 4 27 3 2 2" xfId="5818" xr:uid="{00000000-0005-0000-0000-000014370000}"/>
    <cellStyle name="40% - uthevingsfarge 4 27 3 2 2 2" xfId="9233" xr:uid="{00000000-0005-0000-0000-000015370000}"/>
    <cellStyle name="40% - uthevingsfarge 4 27 3 2 2 2 2" xfId="21931" xr:uid="{00000000-0005-0000-0000-000016370000}"/>
    <cellStyle name="40% - uthevingsfarge 4 27 3 2 2 2 2 2" xfId="38006" xr:uid="{00000000-0005-0000-0000-000017370000}"/>
    <cellStyle name="40% - uthevingsfarge 4 27 3 2 2 2 3" xfId="28565" xr:uid="{00000000-0005-0000-0000-000018370000}"/>
    <cellStyle name="40% - uthevingsfarge 4 27 3 2 2 3" xfId="23924" xr:uid="{00000000-0005-0000-0000-000019370000}"/>
    <cellStyle name="40% - uthevingsfarge 4 27 3 2 2 3 2" xfId="39978" xr:uid="{00000000-0005-0000-0000-00001A370000}"/>
    <cellStyle name="40% - uthevingsfarge 4 27 3 2 2 4" xfId="31956" xr:uid="{00000000-0005-0000-0000-00001B370000}"/>
    <cellStyle name="40% - uthevingsfarge 4 27 3 2 3" xfId="7536" xr:uid="{00000000-0005-0000-0000-00001C370000}"/>
    <cellStyle name="40% - uthevingsfarge 4 27 3 2 3 2" xfId="11935" xr:uid="{00000000-0005-0000-0000-00001D370000}"/>
    <cellStyle name="40% - uthevingsfarge 4 27 3 2 3 2 2" xfId="34958" xr:uid="{00000000-0005-0000-0000-00001E370000}"/>
    <cellStyle name="40% - uthevingsfarge 4 27 3 2 3 3" xfId="30262" xr:uid="{00000000-0005-0000-0000-00001F370000}"/>
    <cellStyle name="40% - uthevingsfarge 4 27 3 2 4" xfId="18028" xr:uid="{00000000-0005-0000-0000-000020370000}"/>
    <cellStyle name="40% - uthevingsfarge 4 27 3 2 5" xfId="23751" xr:uid="{00000000-0005-0000-0000-000021370000}"/>
    <cellStyle name="40% - uthevingsfarge 4 27 3 2 5 2" xfId="39807" xr:uid="{00000000-0005-0000-0000-000022370000}"/>
    <cellStyle name="40% - uthevingsfarge 4 27 3 2 6" xfId="33649" xr:uid="{00000000-0005-0000-0000-000023370000}"/>
    <cellStyle name="40% - uthevingsfarge 4 27 3 3" xfId="4870" xr:uid="{00000000-0005-0000-0000-000024370000}"/>
    <cellStyle name="40% - uthevingsfarge 4 27 3 3 10" xfId="47300" xr:uid="{00000000-0005-0000-0000-000025370000}"/>
    <cellStyle name="40% - uthevingsfarge 4 27 3 3 2" xfId="6589" xr:uid="{00000000-0005-0000-0000-000026370000}"/>
    <cellStyle name="40% - uthevingsfarge 4 27 3 3 2 2" xfId="9995" xr:uid="{00000000-0005-0000-0000-000027370000}"/>
    <cellStyle name="40% - uthevingsfarge 4 27 3 3 2 2 2" xfId="24603" xr:uid="{00000000-0005-0000-0000-000028370000}"/>
    <cellStyle name="40% - uthevingsfarge 4 27 3 3 2 2 2 2" xfId="40647" xr:uid="{00000000-0005-0000-0000-000029370000}"/>
    <cellStyle name="40% - uthevingsfarge 4 27 3 3 2 2 3" xfId="27804" xr:uid="{00000000-0005-0000-0000-00002A370000}"/>
    <cellStyle name="40% - uthevingsfarge 4 27 3 3 2 3" xfId="20510" xr:uid="{00000000-0005-0000-0000-00002B370000}"/>
    <cellStyle name="40% - uthevingsfarge 4 27 3 3 2 3 2" xfId="36609" xr:uid="{00000000-0005-0000-0000-00002C370000}"/>
    <cellStyle name="40% - uthevingsfarge 4 27 3 3 2 4" xfId="31205" xr:uid="{00000000-0005-0000-0000-00002D370000}"/>
    <cellStyle name="40% - uthevingsfarge 4 27 3 3 2 5" xfId="42855" xr:uid="{00000000-0005-0000-0000-00002E370000}"/>
    <cellStyle name="40% - uthevingsfarge 4 27 3 3 2 6" xfId="43293" xr:uid="{00000000-0005-0000-0000-00002F370000}"/>
    <cellStyle name="40% - uthevingsfarge 4 27 3 3 2 7" xfId="46141" xr:uid="{00000000-0005-0000-0000-000030370000}"/>
    <cellStyle name="40% - uthevingsfarge 4 27 3 3 2 8" xfId="46910" xr:uid="{00000000-0005-0000-0000-000031370000}"/>
    <cellStyle name="40% - uthevingsfarge 4 27 3 3 2 9" xfId="47496" xr:uid="{00000000-0005-0000-0000-000032370000}"/>
    <cellStyle name="40% - uthevingsfarge 4 27 3 3 3" xfId="8292" xr:uid="{00000000-0005-0000-0000-000033370000}"/>
    <cellStyle name="40% - uthevingsfarge 4 27 3 3 3 2" xfId="19881" xr:uid="{00000000-0005-0000-0000-000034370000}"/>
    <cellStyle name="40% - uthevingsfarge 4 27 3 3 3 2 2" xfId="35994" xr:uid="{00000000-0005-0000-0000-000035370000}"/>
    <cellStyle name="40% - uthevingsfarge 4 27 3 3 3 3" xfId="29505" xr:uid="{00000000-0005-0000-0000-000036370000}"/>
    <cellStyle name="40% - uthevingsfarge 4 27 3 3 3 4" xfId="43947" xr:uid="{00000000-0005-0000-0000-000037370000}"/>
    <cellStyle name="40% - uthevingsfarge 4 27 3 3 4" xfId="16300" xr:uid="{00000000-0005-0000-0000-000038370000}"/>
    <cellStyle name="40% - uthevingsfarge 4 27 3 3 4 2" xfId="35388" xr:uid="{00000000-0005-0000-0000-000039370000}"/>
    <cellStyle name="40% - uthevingsfarge 4 27 3 3 5" xfId="25047" xr:uid="{00000000-0005-0000-0000-00003A370000}"/>
    <cellStyle name="40% - uthevingsfarge 4 27 3 3 6" xfId="25311" xr:uid="{00000000-0005-0000-0000-00003B370000}"/>
    <cellStyle name="40% - uthevingsfarge 4 27 3 3 7" xfId="32897" xr:uid="{00000000-0005-0000-0000-00003C370000}"/>
    <cellStyle name="40% - uthevingsfarge 4 27 3 3 8" xfId="43753" xr:uid="{00000000-0005-0000-0000-00003D370000}"/>
    <cellStyle name="40% - uthevingsfarge 4 27 3 3 9" xfId="46679" xr:uid="{00000000-0005-0000-0000-00003E370000}"/>
    <cellStyle name="40% - uthevingsfarge 4 27 3 4" xfId="5427" xr:uid="{00000000-0005-0000-0000-00003F370000}"/>
    <cellStyle name="40% - uthevingsfarge 4 27 3 4 2" xfId="8842" xr:uid="{00000000-0005-0000-0000-000040370000}"/>
    <cellStyle name="40% - uthevingsfarge 4 27 3 4 2 2" xfId="21200" xr:uid="{00000000-0005-0000-0000-000041370000}"/>
    <cellStyle name="40% - uthevingsfarge 4 27 3 4 2 2 2" xfId="37280" xr:uid="{00000000-0005-0000-0000-000042370000}"/>
    <cellStyle name="40% - uthevingsfarge 4 27 3 4 2 3" xfId="28956" xr:uid="{00000000-0005-0000-0000-000043370000}"/>
    <cellStyle name="40% - uthevingsfarge 4 27 3 4 3" xfId="10702" xr:uid="{00000000-0005-0000-0000-000044370000}"/>
    <cellStyle name="40% - uthevingsfarge 4 27 3 4 3 2" xfId="34550" xr:uid="{00000000-0005-0000-0000-000045370000}"/>
    <cellStyle name="40% - uthevingsfarge 4 27 3 4 4" xfId="32347" xr:uid="{00000000-0005-0000-0000-000046370000}"/>
    <cellStyle name="40% - uthevingsfarge 4 27 3 5" xfId="7142" xr:uid="{00000000-0005-0000-0000-000047370000}"/>
    <cellStyle name="40% - uthevingsfarge 4 27 3 5 2" xfId="19851" xr:uid="{00000000-0005-0000-0000-000048370000}"/>
    <cellStyle name="40% - uthevingsfarge 4 27 3 5 2 2" xfId="35964" xr:uid="{00000000-0005-0000-0000-000049370000}"/>
    <cellStyle name="40% - uthevingsfarge 4 27 3 5 3" xfId="30656" xr:uid="{00000000-0005-0000-0000-00004A370000}"/>
    <cellStyle name="40% - uthevingsfarge 4 27 3 6" xfId="11187" xr:uid="{00000000-0005-0000-0000-00004B370000}"/>
    <cellStyle name="40% - uthevingsfarge 4 27 3 7" xfId="34043" xr:uid="{00000000-0005-0000-0000-00004C370000}"/>
    <cellStyle name="40% - uthevingsfarge 4 27 3 8" xfId="43545" xr:uid="{00000000-0005-0000-0000-00004D370000}"/>
    <cellStyle name="40% - uthevingsfarge 4 27 3 9" xfId="46449" xr:uid="{00000000-0005-0000-0000-00004E370000}"/>
    <cellStyle name="40% - uthevingsfarge 4 27 3_Avviksanalyse løpende RNB15 (1)" xfId="16636" xr:uid="{00000000-0005-0000-0000-00004F370000}"/>
    <cellStyle name="40% - uthevingsfarge 4 27 4" xfId="3751" xr:uid="{00000000-0005-0000-0000-000050370000}"/>
    <cellStyle name="40% - uthevingsfarge 4 27 4 2" xfId="5639" xr:uid="{00000000-0005-0000-0000-000051370000}"/>
    <cellStyle name="40% - uthevingsfarge 4 27 4 2 2" xfId="9054" xr:uid="{00000000-0005-0000-0000-000052370000}"/>
    <cellStyle name="40% - uthevingsfarge 4 27 4 2 2 2" xfId="24452" xr:uid="{00000000-0005-0000-0000-000053370000}"/>
    <cellStyle name="40% - uthevingsfarge 4 27 4 2 2 2 2" xfId="40496" xr:uid="{00000000-0005-0000-0000-000054370000}"/>
    <cellStyle name="40% - uthevingsfarge 4 27 4 2 2 3" xfId="28744" xr:uid="{00000000-0005-0000-0000-000055370000}"/>
    <cellStyle name="40% - uthevingsfarge 4 27 4 2 3" xfId="23892" xr:uid="{00000000-0005-0000-0000-000056370000}"/>
    <cellStyle name="40% - uthevingsfarge 4 27 4 2 3 2" xfId="39948" xr:uid="{00000000-0005-0000-0000-000057370000}"/>
    <cellStyle name="40% - uthevingsfarge 4 27 4 2 4" xfId="32135" xr:uid="{00000000-0005-0000-0000-000058370000}"/>
    <cellStyle name="40% - uthevingsfarge 4 27 4 3" xfId="7357" xr:uid="{00000000-0005-0000-0000-000059370000}"/>
    <cellStyle name="40% - uthevingsfarge 4 27 4 3 2" xfId="20753" xr:uid="{00000000-0005-0000-0000-00005A370000}"/>
    <cellStyle name="40% - uthevingsfarge 4 27 4 3 2 2" xfId="36852" xr:uid="{00000000-0005-0000-0000-00005B370000}"/>
    <cellStyle name="40% - uthevingsfarge 4 27 4 3 3" xfId="30441" xr:uid="{00000000-0005-0000-0000-00005C370000}"/>
    <cellStyle name="40% - uthevingsfarge 4 27 4 4" xfId="22768" xr:uid="{00000000-0005-0000-0000-00005D370000}"/>
    <cellStyle name="40% - uthevingsfarge 4 27 4 4 2" xfId="38837" xr:uid="{00000000-0005-0000-0000-00005E370000}"/>
    <cellStyle name="40% - uthevingsfarge 4 27 4 5" xfId="33828" xr:uid="{00000000-0005-0000-0000-00005F370000}"/>
    <cellStyle name="40% - uthevingsfarge 4 27 5" xfId="4215" xr:uid="{00000000-0005-0000-0000-000060370000}"/>
    <cellStyle name="40% - uthevingsfarge 4 27 5 2" xfId="6052" xr:uid="{00000000-0005-0000-0000-000061370000}"/>
    <cellStyle name="40% - uthevingsfarge 4 27 5 2 2" xfId="9467" xr:uid="{00000000-0005-0000-0000-000062370000}"/>
    <cellStyle name="40% - uthevingsfarge 4 27 5 2 2 2" xfId="23512" xr:uid="{00000000-0005-0000-0000-000063370000}"/>
    <cellStyle name="40% - uthevingsfarge 4 27 5 2 2 2 2" xfId="39568" xr:uid="{00000000-0005-0000-0000-000064370000}"/>
    <cellStyle name="40% - uthevingsfarge 4 27 5 2 2 3" xfId="28331" xr:uid="{00000000-0005-0000-0000-000065370000}"/>
    <cellStyle name="40% - uthevingsfarge 4 27 5 2 3" xfId="20303" xr:uid="{00000000-0005-0000-0000-000066370000}"/>
    <cellStyle name="40% - uthevingsfarge 4 27 5 2 3 2" xfId="36402" xr:uid="{00000000-0005-0000-0000-000067370000}"/>
    <cellStyle name="40% - uthevingsfarge 4 27 5 2 4" xfId="31726" xr:uid="{00000000-0005-0000-0000-000068370000}"/>
    <cellStyle name="40% - uthevingsfarge 4 27 5 3" xfId="7785" xr:uid="{00000000-0005-0000-0000-000069370000}"/>
    <cellStyle name="40% - uthevingsfarge 4 27 5 3 2" xfId="23268" xr:uid="{00000000-0005-0000-0000-00006A370000}"/>
    <cellStyle name="40% - uthevingsfarge 4 27 5 3 2 2" xfId="39336" xr:uid="{00000000-0005-0000-0000-00006B370000}"/>
    <cellStyle name="40% - uthevingsfarge 4 27 5 3 3" xfId="30014" xr:uid="{00000000-0005-0000-0000-00006C370000}"/>
    <cellStyle name="40% - uthevingsfarge 4 27 5 4" xfId="22641" xr:uid="{00000000-0005-0000-0000-00006D370000}"/>
    <cellStyle name="40% - uthevingsfarge 4 27 5 4 2" xfId="38710" xr:uid="{00000000-0005-0000-0000-00006E370000}"/>
    <cellStyle name="40% - uthevingsfarge 4 27 5 5" xfId="33402" xr:uid="{00000000-0005-0000-0000-00006F370000}"/>
    <cellStyle name="40% - uthevingsfarge 4 27 6" xfId="4686" xr:uid="{00000000-0005-0000-0000-000070370000}"/>
    <cellStyle name="40% - uthevingsfarge 4 27 6 2" xfId="6406" xr:uid="{00000000-0005-0000-0000-000071370000}"/>
    <cellStyle name="40% - uthevingsfarge 4 27 6 2 2" xfId="9816" xr:uid="{00000000-0005-0000-0000-000072370000}"/>
    <cellStyle name="40% - uthevingsfarge 4 27 6 2 2 2" xfId="22624" xr:uid="{00000000-0005-0000-0000-000073370000}"/>
    <cellStyle name="40% - uthevingsfarge 4 27 6 2 2 2 2" xfId="38693" xr:uid="{00000000-0005-0000-0000-000074370000}"/>
    <cellStyle name="40% - uthevingsfarge 4 27 6 2 2 3" xfId="27983" xr:uid="{00000000-0005-0000-0000-000075370000}"/>
    <cellStyle name="40% - uthevingsfarge 4 27 6 2 3" xfId="20439" xr:uid="{00000000-0005-0000-0000-000076370000}"/>
    <cellStyle name="40% - uthevingsfarge 4 27 6 2 3 2" xfId="36538" xr:uid="{00000000-0005-0000-0000-000077370000}"/>
    <cellStyle name="40% - uthevingsfarge 4 27 6 2 4" xfId="31384" xr:uid="{00000000-0005-0000-0000-000078370000}"/>
    <cellStyle name="40% - uthevingsfarge 4 27 6 3" xfId="8112" xr:uid="{00000000-0005-0000-0000-000079370000}"/>
    <cellStyle name="40% - uthevingsfarge 4 27 6 3 2" xfId="24317" xr:uid="{00000000-0005-0000-0000-00007A370000}"/>
    <cellStyle name="40% - uthevingsfarge 4 27 6 3 2 2" xfId="40367" xr:uid="{00000000-0005-0000-0000-00007B370000}"/>
    <cellStyle name="40% - uthevingsfarge 4 27 6 3 3" xfId="29686" xr:uid="{00000000-0005-0000-0000-00007C370000}"/>
    <cellStyle name="40% - uthevingsfarge 4 27 6 4" xfId="22550" xr:uid="{00000000-0005-0000-0000-00007D370000}"/>
    <cellStyle name="40% - uthevingsfarge 4 27 6 4 2" xfId="38619" xr:uid="{00000000-0005-0000-0000-00007E370000}"/>
    <cellStyle name="40% - uthevingsfarge 4 27 6 5" xfId="33077" xr:uid="{00000000-0005-0000-0000-00007F370000}"/>
    <cellStyle name="40% - uthevingsfarge 4 27 7" xfId="5050" xr:uid="{00000000-0005-0000-0000-000080370000}"/>
    <cellStyle name="40% - uthevingsfarge 4 27 7 2" xfId="6769" xr:uid="{00000000-0005-0000-0000-000081370000}"/>
    <cellStyle name="40% - uthevingsfarge 4 27 7 2 2" xfId="10175" xr:uid="{00000000-0005-0000-0000-000082370000}"/>
    <cellStyle name="40% - uthevingsfarge 4 27 7 2 2 2" xfId="21637" xr:uid="{00000000-0005-0000-0000-000083370000}"/>
    <cellStyle name="40% - uthevingsfarge 4 27 7 2 2 2 2" xfId="37717" xr:uid="{00000000-0005-0000-0000-000084370000}"/>
    <cellStyle name="40% - uthevingsfarge 4 27 7 2 2 3" xfId="27624" xr:uid="{00000000-0005-0000-0000-000085370000}"/>
    <cellStyle name="40% - uthevingsfarge 4 27 7 2 3" xfId="20560" xr:uid="{00000000-0005-0000-0000-000086370000}"/>
    <cellStyle name="40% - uthevingsfarge 4 27 7 2 3 2" xfId="36659" xr:uid="{00000000-0005-0000-0000-000087370000}"/>
    <cellStyle name="40% - uthevingsfarge 4 27 7 2 4" xfId="31025" xr:uid="{00000000-0005-0000-0000-000088370000}"/>
    <cellStyle name="40% - uthevingsfarge 4 27 7 3" xfId="8472" xr:uid="{00000000-0005-0000-0000-000089370000}"/>
    <cellStyle name="40% - uthevingsfarge 4 27 7 3 2" xfId="19501" xr:uid="{00000000-0005-0000-0000-00008A370000}"/>
    <cellStyle name="40% - uthevingsfarge 4 27 7 3 2 2" xfId="35615" xr:uid="{00000000-0005-0000-0000-00008B370000}"/>
    <cellStyle name="40% - uthevingsfarge 4 27 7 3 3" xfId="29326" xr:uid="{00000000-0005-0000-0000-00008C370000}"/>
    <cellStyle name="40% - uthevingsfarge 4 27 7 4" xfId="23843" xr:uid="{00000000-0005-0000-0000-00008D370000}"/>
    <cellStyle name="40% - uthevingsfarge 4 27 7 4 2" xfId="39899" xr:uid="{00000000-0005-0000-0000-00008E370000}"/>
    <cellStyle name="40% - uthevingsfarge 4 27 7 5" xfId="32717" xr:uid="{00000000-0005-0000-0000-00008F370000}"/>
    <cellStyle name="40% - uthevingsfarge 4 27 8" xfId="5205" xr:uid="{00000000-0005-0000-0000-000090370000}"/>
    <cellStyle name="40% - uthevingsfarge 4 27 8 2" xfId="8624" xr:uid="{00000000-0005-0000-0000-000091370000}"/>
    <cellStyle name="40% - uthevingsfarge 4 27 8 2 2" xfId="21141" xr:uid="{00000000-0005-0000-0000-000092370000}"/>
    <cellStyle name="40% - uthevingsfarge 4 27 8 2 2 2" xfId="37221" xr:uid="{00000000-0005-0000-0000-000093370000}"/>
    <cellStyle name="40% - uthevingsfarge 4 27 8 2 3" xfId="29174" xr:uid="{00000000-0005-0000-0000-000094370000}"/>
    <cellStyle name="40% - uthevingsfarge 4 27 8 3" xfId="22052" xr:uid="{00000000-0005-0000-0000-000095370000}"/>
    <cellStyle name="40% - uthevingsfarge 4 27 8 3 2" xfId="38126" xr:uid="{00000000-0005-0000-0000-000096370000}"/>
    <cellStyle name="40% - uthevingsfarge 4 27 8 4" xfId="32565" xr:uid="{00000000-0005-0000-0000-000097370000}"/>
    <cellStyle name="40% - uthevingsfarge 4 27 9" xfId="6945" xr:uid="{00000000-0005-0000-0000-000098370000}"/>
    <cellStyle name="40% - uthevingsfarge 4 27 9 2" xfId="20606" xr:uid="{00000000-0005-0000-0000-000099370000}"/>
    <cellStyle name="40% - uthevingsfarge 4 27 9 2 2" xfId="36705" xr:uid="{00000000-0005-0000-0000-00009A370000}"/>
    <cellStyle name="40% - uthevingsfarge 4 27 9 3" xfId="30853" xr:uid="{00000000-0005-0000-0000-00009B370000}"/>
    <cellStyle name="40% - uthevingsfarge 4 28" xfId="880" xr:uid="{00000000-0005-0000-0000-00009C370000}"/>
    <cellStyle name="40% - uthevingsfarge 4 28 10" xfId="6946" xr:uid="{00000000-0005-0000-0000-00009D370000}"/>
    <cellStyle name="40% - uthevingsfarge 4 28 10 2" xfId="24119" xr:uid="{00000000-0005-0000-0000-00009E370000}"/>
    <cellStyle name="40% - uthevingsfarge 4 28 10 2 2" xfId="40172" xr:uid="{00000000-0005-0000-0000-00009F370000}"/>
    <cellStyle name="40% - uthevingsfarge 4 28 10 3" xfId="30852" xr:uid="{00000000-0005-0000-0000-0000A0370000}"/>
    <cellStyle name="40% - uthevingsfarge 4 28 11" xfId="11188" xr:uid="{00000000-0005-0000-0000-0000A1370000}"/>
    <cellStyle name="40% - uthevingsfarge 4 28 12" xfId="34240" xr:uid="{00000000-0005-0000-0000-0000A2370000}"/>
    <cellStyle name="40% - uthevingsfarge 4 28 2" xfId="3348" xr:uid="{00000000-0005-0000-0000-0000A3370000}"/>
    <cellStyle name="40% - uthevingsfarge 4 28 2 10" xfId="34143" xr:uid="{00000000-0005-0000-0000-0000A4370000}"/>
    <cellStyle name="40% - uthevingsfarge 4 28 2 2" xfId="3580" xr:uid="{00000000-0005-0000-0000-0000A5370000}"/>
    <cellStyle name="40% - uthevingsfarge 4 28 2 2 10" xfId="47179" xr:uid="{00000000-0005-0000-0000-0000A6370000}"/>
    <cellStyle name="40% - uthevingsfarge 4 28 2 2 2" xfId="4010" xr:uid="{00000000-0005-0000-0000-0000A7370000}"/>
    <cellStyle name="40% - uthevingsfarge 4 28 2 2 2 2" xfId="5898" xr:uid="{00000000-0005-0000-0000-0000A8370000}"/>
    <cellStyle name="40% - uthevingsfarge 4 28 2 2 2 2 2" xfId="9313" xr:uid="{00000000-0005-0000-0000-0000A9370000}"/>
    <cellStyle name="40% - uthevingsfarge 4 28 2 2 2 2 2 2" xfId="21345" xr:uid="{00000000-0005-0000-0000-0000AA370000}"/>
    <cellStyle name="40% - uthevingsfarge 4 28 2 2 2 2 2 2 2" xfId="37425" xr:uid="{00000000-0005-0000-0000-0000AB370000}"/>
    <cellStyle name="40% - uthevingsfarge 4 28 2 2 2 2 2 3" xfId="28485" xr:uid="{00000000-0005-0000-0000-0000AC370000}"/>
    <cellStyle name="40% - uthevingsfarge 4 28 2 2 2 2 3" xfId="20242" xr:uid="{00000000-0005-0000-0000-0000AD370000}"/>
    <cellStyle name="40% - uthevingsfarge 4 28 2 2 2 2 3 2" xfId="36341" xr:uid="{00000000-0005-0000-0000-0000AE370000}"/>
    <cellStyle name="40% - uthevingsfarge 4 28 2 2 2 2 4" xfId="31878" xr:uid="{00000000-0005-0000-0000-0000AF370000}"/>
    <cellStyle name="40% - uthevingsfarge 4 28 2 2 2 3" xfId="7616" xr:uid="{00000000-0005-0000-0000-0000B0370000}"/>
    <cellStyle name="40% - uthevingsfarge 4 28 2 2 2 3 2" xfId="23234" xr:uid="{00000000-0005-0000-0000-0000B1370000}"/>
    <cellStyle name="40% - uthevingsfarge 4 28 2 2 2 3 2 2" xfId="39302" xr:uid="{00000000-0005-0000-0000-0000B2370000}"/>
    <cellStyle name="40% - uthevingsfarge 4 28 2 2 2 3 3" xfId="30182" xr:uid="{00000000-0005-0000-0000-0000B3370000}"/>
    <cellStyle name="40% - uthevingsfarge 4 28 2 2 2 4" xfId="18029" xr:uid="{00000000-0005-0000-0000-0000B4370000}"/>
    <cellStyle name="40% - uthevingsfarge 4 28 2 2 2 5" xfId="19961" xr:uid="{00000000-0005-0000-0000-0000B5370000}"/>
    <cellStyle name="40% - uthevingsfarge 4 28 2 2 2 5 2" xfId="36065" xr:uid="{00000000-0005-0000-0000-0000B6370000}"/>
    <cellStyle name="40% - uthevingsfarge 4 28 2 2 2 6" xfId="33569" xr:uid="{00000000-0005-0000-0000-0000B7370000}"/>
    <cellStyle name="40% - uthevingsfarge 4 28 2 2 3" xfId="4950" xr:uid="{00000000-0005-0000-0000-0000B8370000}"/>
    <cellStyle name="40% - uthevingsfarge 4 28 2 2 3 10" xfId="47369" xr:uid="{00000000-0005-0000-0000-0000B9370000}"/>
    <cellStyle name="40% - uthevingsfarge 4 28 2 2 3 2" xfId="6669" xr:uid="{00000000-0005-0000-0000-0000BA370000}"/>
    <cellStyle name="40% - uthevingsfarge 4 28 2 2 3 2 2" xfId="10075" xr:uid="{00000000-0005-0000-0000-0000BB370000}"/>
    <cellStyle name="40% - uthevingsfarge 4 28 2 2 3 2 2 2" xfId="24619" xr:uid="{00000000-0005-0000-0000-0000BC370000}"/>
    <cellStyle name="40% - uthevingsfarge 4 28 2 2 3 2 2 2 2" xfId="40663" xr:uid="{00000000-0005-0000-0000-0000BD370000}"/>
    <cellStyle name="40% - uthevingsfarge 4 28 2 2 3 2 2 3" xfId="27724" xr:uid="{00000000-0005-0000-0000-0000BE370000}"/>
    <cellStyle name="40% - uthevingsfarge 4 28 2 2 3 2 3" xfId="11966" xr:uid="{00000000-0005-0000-0000-0000BF370000}"/>
    <cellStyle name="40% - uthevingsfarge 4 28 2 2 3 2 3 2" xfId="34988" xr:uid="{00000000-0005-0000-0000-0000C0370000}"/>
    <cellStyle name="40% - uthevingsfarge 4 28 2 2 3 2 4" xfId="31125" xr:uid="{00000000-0005-0000-0000-0000C1370000}"/>
    <cellStyle name="40% - uthevingsfarge 4 28 2 2 3 2 5" xfId="43063" xr:uid="{00000000-0005-0000-0000-0000C2370000}"/>
    <cellStyle name="40% - uthevingsfarge 4 28 2 2 3 2 6" xfId="43360" xr:uid="{00000000-0005-0000-0000-0000C3370000}"/>
    <cellStyle name="40% - uthevingsfarge 4 28 2 2 3 2 7" xfId="46208" xr:uid="{00000000-0005-0000-0000-0000C4370000}"/>
    <cellStyle name="40% - uthevingsfarge 4 28 2 2 3 2 8" xfId="46980" xr:uid="{00000000-0005-0000-0000-0000C5370000}"/>
    <cellStyle name="40% - uthevingsfarge 4 28 2 2 3 2 9" xfId="47565" xr:uid="{00000000-0005-0000-0000-0000C6370000}"/>
    <cellStyle name="40% - uthevingsfarge 4 28 2 2 3 3" xfId="8372" xr:uid="{00000000-0005-0000-0000-0000C7370000}"/>
    <cellStyle name="40% - uthevingsfarge 4 28 2 2 3 3 2" xfId="22704" xr:uid="{00000000-0005-0000-0000-0000C8370000}"/>
    <cellStyle name="40% - uthevingsfarge 4 28 2 2 3 3 2 2" xfId="38773" xr:uid="{00000000-0005-0000-0000-0000C9370000}"/>
    <cellStyle name="40% - uthevingsfarge 4 28 2 2 3 3 3" xfId="29426" xr:uid="{00000000-0005-0000-0000-0000CA370000}"/>
    <cellStyle name="40% - uthevingsfarge 4 28 2 2 3 3 4" xfId="43948" xr:uid="{00000000-0005-0000-0000-0000CB370000}"/>
    <cellStyle name="40% - uthevingsfarge 4 28 2 2 3 4" xfId="16508" xr:uid="{00000000-0005-0000-0000-0000CC370000}"/>
    <cellStyle name="40% - uthevingsfarge 4 28 2 2 3 4 2" xfId="35455" xr:uid="{00000000-0005-0000-0000-0000CD370000}"/>
    <cellStyle name="40% - uthevingsfarge 4 28 2 2 3 5" xfId="25117" xr:uid="{00000000-0005-0000-0000-0000CE370000}"/>
    <cellStyle name="40% - uthevingsfarge 4 28 2 2 3 6" xfId="25312" xr:uid="{00000000-0005-0000-0000-0000CF370000}"/>
    <cellStyle name="40% - uthevingsfarge 4 28 2 2 3 7" xfId="32817" xr:uid="{00000000-0005-0000-0000-0000D0370000}"/>
    <cellStyle name="40% - uthevingsfarge 4 28 2 2 3 8" xfId="43821" xr:uid="{00000000-0005-0000-0000-0000D1370000}"/>
    <cellStyle name="40% - uthevingsfarge 4 28 2 2 3 9" xfId="46746" xr:uid="{00000000-0005-0000-0000-0000D2370000}"/>
    <cellStyle name="40% - uthevingsfarge 4 28 2 2 4" xfId="5504" xr:uid="{00000000-0005-0000-0000-0000D3370000}"/>
    <cellStyle name="40% - uthevingsfarge 4 28 2 2 4 2" xfId="8919" xr:uid="{00000000-0005-0000-0000-0000D4370000}"/>
    <cellStyle name="40% - uthevingsfarge 4 28 2 2 4 2 2" xfId="23722" xr:uid="{00000000-0005-0000-0000-0000D5370000}"/>
    <cellStyle name="40% - uthevingsfarge 4 28 2 2 4 2 2 2" xfId="39778" xr:uid="{00000000-0005-0000-0000-0000D6370000}"/>
    <cellStyle name="40% - uthevingsfarge 4 28 2 2 4 2 3" xfId="28879" xr:uid="{00000000-0005-0000-0000-0000D7370000}"/>
    <cellStyle name="40% - uthevingsfarge 4 28 2 2 4 3" xfId="22862" xr:uid="{00000000-0005-0000-0000-0000D8370000}"/>
    <cellStyle name="40% - uthevingsfarge 4 28 2 2 4 3 2" xfId="38931" xr:uid="{00000000-0005-0000-0000-0000D9370000}"/>
    <cellStyle name="40% - uthevingsfarge 4 28 2 2 4 4" xfId="32270" xr:uid="{00000000-0005-0000-0000-0000DA370000}"/>
    <cellStyle name="40% - uthevingsfarge 4 28 2 2 5" xfId="7222" xr:uid="{00000000-0005-0000-0000-0000DB370000}"/>
    <cellStyle name="40% - uthevingsfarge 4 28 2 2 5 2" xfId="23164" xr:uid="{00000000-0005-0000-0000-0000DC370000}"/>
    <cellStyle name="40% - uthevingsfarge 4 28 2 2 5 2 2" xfId="39233" xr:uid="{00000000-0005-0000-0000-0000DD370000}"/>
    <cellStyle name="40% - uthevingsfarge 4 28 2 2 5 3" xfId="30576" xr:uid="{00000000-0005-0000-0000-0000DE370000}"/>
    <cellStyle name="40% - uthevingsfarge 4 28 2 2 6" xfId="11190" xr:uid="{00000000-0005-0000-0000-0000DF370000}"/>
    <cellStyle name="40% - uthevingsfarge 4 28 2 2 7" xfId="33963" xr:uid="{00000000-0005-0000-0000-0000E0370000}"/>
    <cellStyle name="40% - uthevingsfarge 4 28 2 2 8" xfId="43612" xr:uid="{00000000-0005-0000-0000-0000E1370000}"/>
    <cellStyle name="40% - uthevingsfarge 4 28 2 2 9" xfId="46518" xr:uid="{00000000-0005-0000-0000-0000E2370000}"/>
    <cellStyle name="40% - uthevingsfarge 4 28 2 2_Avviksanalyse løpende RNB15 (1)" xfId="16637" xr:uid="{00000000-0005-0000-0000-0000E3370000}"/>
    <cellStyle name="40% - uthevingsfarge 4 28 2 3" xfId="3830" xr:uid="{00000000-0005-0000-0000-0000E4370000}"/>
    <cellStyle name="40% - uthevingsfarge 4 28 2 3 2" xfId="5718" xr:uid="{00000000-0005-0000-0000-0000E5370000}"/>
    <cellStyle name="40% - uthevingsfarge 4 28 2 3 2 2" xfId="9133" xr:uid="{00000000-0005-0000-0000-0000E6370000}"/>
    <cellStyle name="40% - uthevingsfarge 4 28 2 3 2 2 2" xfId="24464" xr:uid="{00000000-0005-0000-0000-0000E7370000}"/>
    <cellStyle name="40% - uthevingsfarge 4 28 2 3 2 2 2 2" xfId="40508" xr:uid="{00000000-0005-0000-0000-0000E8370000}"/>
    <cellStyle name="40% - uthevingsfarge 4 28 2 3 2 2 3" xfId="28665" xr:uid="{00000000-0005-0000-0000-0000E9370000}"/>
    <cellStyle name="40% - uthevingsfarge 4 28 2 3 2 3" xfId="20181" xr:uid="{00000000-0005-0000-0000-0000EA370000}"/>
    <cellStyle name="40% - uthevingsfarge 4 28 2 3 2 3 2" xfId="36281" xr:uid="{00000000-0005-0000-0000-0000EB370000}"/>
    <cellStyle name="40% - uthevingsfarge 4 28 2 3 2 4" xfId="32056" xr:uid="{00000000-0005-0000-0000-0000EC370000}"/>
    <cellStyle name="40% - uthevingsfarge 4 28 2 3 3" xfId="7436" xr:uid="{00000000-0005-0000-0000-0000ED370000}"/>
    <cellStyle name="40% - uthevingsfarge 4 28 2 3 3 2" xfId="22451" xr:uid="{00000000-0005-0000-0000-0000EE370000}"/>
    <cellStyle name="40% - uthevingsfarge 4 28 2 3 3 2 2" xfId="38523" xr:uid="{00000000-0005-0000-0000-0000EF370000}"/>
    <cellStyle name="40% - uthevingsfarge 4 28 2 3 3 3" xfId="30362" xr:uid="{00000000-0005-0000-0000-0000F0370000}"/>
    <cellStyle name="40% - uthevingsfarge 4 28 2 3 4" xfId="12547" xr:uid="{00000000-0005-0000-0000-0000F1370000}"/>
    <cellStyle name="40% - uthevingsfarge 4 28 2 3 4 2" xfId="35273" xr:uid="{00000000-0005-0000-0000-0000F2370000}"/>
    <cellStyle name="40% - uthevingsfarge 4 28 2 3 5" xfId="33749" xr:uid="{00000000-0005-0000-0000-0000F3370000}"/>
    <cellStyle name="40% - uthevingsfarge 4 28 2 4" xfId="4315" xr:uid="{00000000-0005-0000-0000-0000F4370000}"/>
    <cellStyle name="40% - uthevingsfarge 4 28 2 4 2" xfId="6144" xr:uid="{00000000-0005-0000-0000-0000F5370000}"/>
    <cellStyle name="40% - uthevingsfarge 4 28 2 4 2 2" xfId="9558" xr:uid="{00000000-0005-0000-0000-0000F6370000}"/>
    <cellStyle name="40% - uthevingsfarge 4 28 2 4 2 2 2" xfId="23525" xr:uid="{00000000-0005-0000-0000-0000F7370000}"/>
    <cellStyle name="40% - uthevingsfarge 4 28 2 4 2 2 2 2" xfId="39581" xr:uid="{00000000-0005-0000-0000-0000F8370000}"/>
    <cellStyle name="40% - uthevingsfarge 4 28 2 4 2 2 3" xfId="28240" xr:uid="{00000000-0005-0000-0000-0000F9370000}"/>
    <cellStyle name="40% - uthevingsfarge 4 28 2 4 2 3" xfId="23986" xr:uid="{00000000-0005-0000-0000-0000FA370000}"/>
    <cellStyle name="40% - uthevingsfarge 4 28 2 4 2 3 2" xfId="40039" xr:uid="{00000000-0005-0000-0000-0000FB370000}"/>
    <cellStyle name="40% - uthevingsfarge 4 28 2 4 2 4" xfId="31636" xr:uid="{00000000-0005-0000-0000-0000FC370000}"/>
    <cellStyle name="40% - uthevingsfarge 4 28 2 4 3" xfId="7877" xr:uid="{00000000-0005-0000-0000-0000FD370000}"/>
    <cellStyle name="40% - uthevingsfarge 4 28 2 4 3 2" xfId="20931" xr:uid="{00000000-0005-0000-0000-0000FE370000}"/>
    <cellStyle name="40% - uthevingsfarge 4 28 2 4 3 2 2" xfId="37030" xr:uid="{00000000-0005-0000-0000-0000FF370000}"/>
    <cellStyle name="40% - uthevingsfarge 4 28 2 4 3 3" xfId="29922" xr:uid="{00000000-0005-0000-0000-000000380000}"/>
    <cellStyle name="40% - uthevingsfarge 4 28 2 4 4" xfId="19630" xr:uid="{00000000-0005-0000-0000-000001380000}"/>
    <cellStyle name="40% - uthevingsfarge 4 28 2 4 4 2" xfId="35744" xr:uid="{00000000-0005-0000-0000-000002380000}"/>
    <cellStyle name="40% - uthevingsfarge 4 28 2 4 5" xfId="33310" xr:uid="{00000000-0005-0000-0000-000003380000}"/>
    <cellStyle name="40% - uthevingsfarge 4 28 2 5" xfId="4770" xr:uid="{00000000-0005-0000-0000-000004380000}"/>
    <cellStyle name="40% - uthevingsfarge 4 28 2 5 2" xfId="6490" xr:uid="{00000000-0005-0000-0000-000005380000}"/>
    <cellStyle name="40% - uthevingsfarge 4 28 2 5 2 2" xfId="9896" xr:uid="{00000000-0005-0000-0000-000006380000}"/>
    <cellStyle name="40% - uthevingsfarge 4 28 2 5 2 2 2" xfId="21525" xr:uid="{00000000-0005-0000-0000-000007380000}"/>
    <cellStyle name="40% - uthevingsfarge 4 28 2 5 2 2 2 2" xfId="37605" xr:uid="{00000000-0005-0000-0000-000008380000}"/>
    <cellStyle name="40% - uthevingsfarge 4 28 2 5 2 2 3" xfId="27903" xr:uid="{00000000-0005-0000-0000-000009380000}"/>
    <cellStyle name="40% - uthevingsfarge 4 28 2 5 2 3" xfId="20471" xr:uid="{00000000-0005-0000-0000-00000A380000}"/>
    <cellStyle name="40% - uthevingsfarge 4 28 2 5 2 3 2" xfId="36570" xr:uid="{00000000-0005-0000-0000-00000B380000}"/>
    <cellStyle name="40% - uthevingsfarge 4 28 2 5 2 4" xfId="31304" xr:uid="{00000000-0005-0000-0000-00000C380000}"/>
    <cellStyle name="40% - uthevingsfarge 4 28 2 5 3" xfId="8192" xr:uid="{00000000-0005-0000-0000-00000D380000}"/>
    <cellStyle name="40% - uthevingsfarge 4 28 2 5 3 2" xfId="22048" xr:uid="{00000000-0005-0000-0000-00000E380000}"/>
    <cellStyle name="40% - uthevingsfarge 4 28 2 5 3 2 2" xfId="38122" xr:uid="{00000000-0005-0000-0000-00000F380000}"/>
    <cellStyle name="40% - uthevingsfarge 4 28 2 5 3 3" xfId="29605" xr:uid="{00000000-0005-0000-0000-000010380000}"/>
    <cellStyle name="40% - uthevingsfarge 4 28 2 5 4" xfId="19702" xr:uid="{00000000-0005-0000-0000-000011380000}"/>
    <cellStyle name="40% - uthevingsfarge 4 28 2 5 4 2" xfId="35816" xr:uid="{00000000-0005-0000-0000-000012380000}"/>
    <cellStyle name="40% - uthevingsfarge 4 28 2 5 5" xfId="32997" xr:uid="{00000000-0005-0000-0000-000013380000}"/>
    <cellStyle name="40% - uthevingsfarge 4 28 2 6" xfId="5130" xr:uid="{00000000-0005-0000-0000-000014380000}"/>
    <cellStyle name="40% - uthevingsfarge 4 28 2 6 2" xfId="6849" xr:uid="{00000000-0005-0000-0000-000015380000}"/>
    <cellStyle name="40% - uthevingsfarge 4 28 2 6 2 2" xfId="10255" xr:uid="{00000000-0005-0000-0000-000016380000}"/>
    <cellStyle name="40% - uthevingsfarge 4 28 2 6 2 2 2" xfId="24698" xr:uid="{00000000-0005-0000-0000-000017380000}"/>
    <cellStyle name="40% - uthevingsfarge 4 28 2 6 2 2 2 2" xfId="40741" xr:uid="{00000000-0005-0000-0000-000018380000}"/>
    <cellStyle name="40% - uthevingsfarge 4 28 2 6 2 2 3" xfId="27544" xr:uid="{00000000-0005-0000-0000-000019380000}"/>
    <cellStyle name="40% - uthevingsfarge 4 28 2 6 2 3" xfId="10649" xr:uid="{00000000-0005-0000-0000-00001A380000}"/>
    <cellStyle name="40% - uthevingsfarge 4 28 2 6 2 3 2" xfId="34497" xr:uid="{00000000-0005-0000-0000-00001B380000}"/>
    <cellStyle name="40% - uthevingsfarge 4 28 2 6 2 4" xfId="30945" xr:uid="{00000000-0005-0000-0000-00001C380000}"/>
    <cellStyle name="40% - uthevingsfarge 4 28 2 6 3" xfId="8552" xr:uid="{00000000-0005-0000-0000-00001D380000}"/>
    <cellStyle name="40% - uthevingsfarge 4 28 2 6 3 2" xfId="19862" xr:uid="{00000000-0005-0000-0000-00001E380000}"/>
    <cellStyle name="40% - uthevingsfarge 4 28 2 6 3 2 2" xfId="35975" xr:uid="{00000000-0005-0000-0000-00001F380000}"/>
    <cellStyle name="40% - uthevingsfarge 4 28 2 6 3 3" xfId="29246" xr:uid="{00000000-0005-0000-0000-000020380000}"/>
    <cellStyle name="40% - uthevingsfarge 4 28 2 6 4" xfId="23847" xr:uid="{00000000-0005-0000-0000-000021380000}"/>
    <cellStyle name="40% - uthevingsfarge 4 28 2 6 4 2" xfId="39903" xr:uid="{00000000-0005-0000-0000-000022380000}"/>
    <cellStyle name="40% - uthevingsfarge 4 28 2 6 5" xfId="32637" xr:uid="{00000000-0005-0000-0000-000023380000}"/>
    <cellStyle name="40% - uthevingsfarge 4 28 2 7" xfId="5309" xr:uid="{00000000-0005-0000-0000-000024380000}"/>
    <cellStyle name="40% - uthevingsfarge 4 28 2 7 2" xfId="8724" xr:uid="{00000000-0005-0000-0000-000025380000}"/>
    <cellStyle name="40% - uthevingsfarge 4 28 2 7 2 2" xfId="21169" xr:uid="{00000000-0005-0000-0000-000026380000}"/>
    <cellStyle name="40% - uthevingsfarge 4 28 2 7 2 2 2" xfId="37249" xr:uid="{00000000-0005-0000-0000-000027380000}"/>
    <cellStyle name="40% - uthevingsfarge 4 28 2 7 2 3" xfId="29074" xr:uid="{00000000-0005-0000-0000-000028380000}"/>
    <cellStyle name="40% - uthevingsfarge 4 28 2 7 3" xfId="10759" xr:uid="{00000000-0005-0000-0000-000029380000}"/>
    <cellStyle name="40% - uthevingsfarge 4 28 2 7 3 2" xfId="34586" xr:uid="{00000000-0005-0000-0000-00002A380000}"/>
    <cellStyle name="40% - uthevingsfarge 4 28 2 7 4" xfId="32465" xr:uid="{00000000-0005-0000-0000-00002B380000}"/>
    <cellStyle name="40% - uthevingsfarge 4 28 2 8" xfId="7042" xr:uid="{00000000-0005-0000-0000-00002C380000}"/>
    <cellStyle name="40% - uthevingsfarge 4 28 2 8 2" xfId="20644" xr:uid="{00000000-0005-0000-0000-00002D380000}"/>
    <cellStyle name="40% - uthevingsfarge 4 28 2 8 2 2" xfId="36743" xr:uid="{00000000-0005-0000-0000-00002E380000}"/>
    <cellStyle name="40% - uthevingsfarge 4 28 2 8 3" xfId="30756" xr:uid="{00000000-0005-0000-0000-00002F380000}"/>
    <cellStyle name="40% - uthevingsfarge 4 28 2 9" xfId="11189" xr:uid="{00000000-0005-0000-0000-000030380000}"/>
    <cellStyle name="40% - uthevingsfarge 4 28 3" xfId="3495" xr:uid="{00000000-0005-0000-0000-000031380000}"/>
    <cellStyle name="40% - uthevingsfarge 4 28 3 10" xfId="46450" xr:uid="{00000000-0005-0000-0000-000032380000}"/>
    <cellStyle name="40% - uthevingsfarge 4 28 3 11" xfId="47111" xr:uid="{00000000-0005-0000-0000-000033380000}"/>
    <cellStyle name="40% - uthevingsfarge 4 28 3 2" xfId="3931" xr:uid="{00000000-0005-0000-0000-000034380000}"/>
    <cellStyle name="40% - uthevingsfarge 4 28 3 2 2" xfId="5819" xr:uid="{00000000-0005-0000-0000-000035380000}"/>
    <cellStyle name="40% - uthevingsfarge 4 28 3 2 2 2" xfId="9234" xr:uid="{00000000-0005-0000-0000-000036380000}"/>
    <cellStyle name="40% - uthevingsfarge 4 28 3 2 2 2 2" xfId="23479" xr:uid="{00000000-0005-0000-0000-000037380000}"/>
    <cellStyle name="40% - uthevingsfarge 4 28 3 2 2 2 2 2" xfId="39535" xr:uid="{00000000-0005-0000-0000-000038380000}"/>
    <cellStyle name="40% - uthevingsfarge 4 28 3 2 2 2 3" xfId="28564" xr:uid="{00000000-0005-0000-0000-000039380000}"/>
    <cellStyle name="40% - uthevingsfarge 4 28 3 2 2 3" xfId="22284" xr:uid="{00000000-0005-0000-0000-00003A380000}"/>
    <cellStyle name="40% - uthevingsfarge 4 28 3 2 2 3 2" xfId="38356" xr:uid="{00000000-0005-0000-0000-00003B380000}"/>
    <cellStyle name="40% - uthevingsfarge 4 28 3 2 2 4" xfId="31955" xr:uid="{00000000-0005-0000-0000-00003C380000}"/>
    <cellStyle name="40% - uthevingsfarge 4 28 3 2 3" xfId="7537" xr:uid="{00000000-0005-0000-0000-00003D380000}"/>
    <cellStyle name="40% - uthevingsfarge 4 28 3 2 3 2" xfId="22204" xr:uid="{00000000-0005-0000-0000-00003E380000}"/>
    <cellStyle name="40% - uthevingsfarge 4 28 3 2 3 2 2" xfId="38278" xr:uid="{00000000-0005-0000-0000-00003F380000}"/>
    <cellStyle name="40% - uthevingsfarge 4 28 3 2 3 3" xfId="30261" xr:uid="{00000000-0005-0000-0000-000040380000}"/>
    <cellStyle name="40% - uthevingsfarge 4 28 3 2 4" xfId="18030" xr:uid="{00000000-0005-0000-0000-000041380000}"/>
    <cellStyle name="40% - uthevingsfarge 4 28 3 2 5" xfId="12487" xr:uid="{00000000-0005-0000-0000-000042380000}"/>
    <cellStyle name="40% - uthevingsfarge 4 28 3 2 5 2" xfId="35253" xr:uid="{00000000-0005-0000-0000-000043380000}"/>
    <cellStyle name="40% - uthevingsfarge 4 28 3 2 6" xfId="33648" xr:uid="{00000000-0005-0000-0000-000044380000}"/>
    <cellStyle name="40% - uthevingsfarge 4 28 3 3" xfId="4408" xr:uid="{00000000-0005-0000-0000-000045380000}"/>
    <cellStyle name="40% - uthevingsfarge 4 28 3 3 10" xfId="47301" xr:uid="{00000000-0005-0000-0000-000046380000}"/>
    <cellStyle name="40% - uthevingsfarge 4 28 3 3 2" xfId="6205" xr:uid="{00000000-0005-0000-0000-000047380000}"/>
    <cellStyle name="40% - uthevingsfarge 4 28 3 3 2 2" xfId="9619" xr:uid="{00000000-0005-0000-0000-000048380000}"/>
    <cellStyle name="40% - uthevingsfarge 4 28 3 3 2 2 2" xfId="19413" xr:uid="{00000000-0005-0000-0000-000049380000}"/>
    <cellStyle name="40% - uthevingsfarge 4 28 3 3 2 2 2 2" xfId="35527" xr:uid="{00000000-0005-0000-0000-00004A380000}"/>
    <cellStyle name="40% - uthevingsfarge 4 28 3 3 2 2 3" xfId="28179" xr:uid="{00000000-0005-0000-0000-00004B380000}"/>
    <cellStyle name="40% - uthevingsfarge 4 28 3 3 2 3" xfId="22328" xr:uid="{00000000-0005-0000-0000-00004C380000}"/>
    <cellStyle name="40% - uthevingsfarge 4 28 3 3 2 3 2" xfId="38400" xr:uid="{00000000-0005-0000-0000-00004D380000}"/>
    <cellStyle name="40% - uthevingsfarge 4 28 3 3 2 4" xfId="31580" xr:uid="{00000000-0005-0000-0000-00004E380000}"/>
    <cellStyle name="40% - uthevingsfarge 4 28 3 3 2 5" xfId="42856" xr:uid="{00000000-0005-0000-0000-00004F380000}"/>
    <cellStyle name="40% - uthevingsfarge 4 28 3 3 2 6" xfId="43294" xr:uid="{00000000-0005-0000-0000-000050380000}"/>
    <cellStyle name="40% - uthevingsfarge 4 28 3 3 2 7" xfId="46142" xr:uid="{00000000-0005-0000-0000-000051380000}"/>
    <cellStyle name="40% - uthevingsfarge 4 28 3 3 2 8" xfId="46911" xr:uid="{00000000-0005-0000-0000-000052380000}"/>
    <cellStyle name="40% - uthevingsfarge 4 28 3 3 2 9" xfId="47497" xr:uid="{00000000-0005-0000-0000-000053380000}"/>
    <cellStyle name="40% - uthevingsfarge 4 28 3 3 3" xfId="7939" xr:uid="{00000000-0005-0000-0000-000054380000}"/>
    <cellStyle name="40% - uthevingsfarge 4 28 3 3 3 2" xfId="24293" xr:uid="{00000000-0005-0000-0000-000055380000}"/>
    <cellStyle name="40% - uthevingsfarge 4 28 3 3 3 2 2" xfId="40345" xr:uid="{00000000-0005-0000-0000-000056380000}"/>
    <cellStyle name="40% - uthevingsfarge 4 28 3 3 3 3" xfId="29860" xr:uid="{00000000-0005-0000-0000-000057380000}"/>
    <cellStyle name="40% - uthevingsfarge 4 28 3 3 3 4" xfId="43949" xr:uid="{00000000-0005-0000-0000-000058380000}"/>
    <cellStyle name="40% - uthevingsfarge 4 28 3 3 4" xfId="16301" xr:uid="{00000000-0005-0000-0000-000059380000}"/>
    <cellStyle name="40% - uthevingsfarge 4 28 3 3 4 2" xfId="35389" xr:uid="{00000000-0005-0000-0000-00005A380000}"/>
    <cellStyle name="40% - uthevingsfarge 4 28 3 3 5" xfId="25048" xr:uid="{00000000-0005-0000-0000-00005B380000}"/>
    <cellStyle name="40% - uthevingsfarge 4 28 3 3 6" xfId="25313" xr:uid="{00000000-0005-0000-0000-00005C380000}"/>
    <cellStyle name="40% - uthevingsfarge 4 28 3 3 7" xfId="33249" xr:uid="{00000000-0005-0000-0000-00005D380000}"/>
    <cellStyle name="40% - uthevingsfarge 4 28 3 3 8" xfId="43754" xr:uid="{00000000-0005-0000-0000-00005E380000}"/>
    <cellStyle name="40% - uthevingsfarge 4 28 3 3 9" xfId="46680" xr:uid="{00000000-0005-0000-0000-00005F380000}"/>
    <cellStyle name="40% - uthevingsfarge 4 28 3 4" xfId="4871" xr:uid="{00000000-0005-0000-0000-000060380000}"/>
    <cellStyle name="40% - uthevingsfarge 4 28 3 4 2" xfId="6590" xr:uid="{00000000-0005-0000-0000-000061380000}"/>
    <cellStyle name="40% - uthevingsfarge 4 28 3 4 2 2" xfId="9996" xr:uid="{00000000-0005-0000-0000-000062380000}"/>
    <cellStyle name="40% - uthevingsfarge 4 28 3 4 2 2 2" xfId="22008" xr:uid="{00000000-0005-0000-0000-000063380000}"/>
    <cellStyle name="40% - uthevingsfarge 4 28 3 4 2 2 2 2" xfId="38083" xr:uid="{00000000-0005-0000-0000-000064380000}"/>
    <cellStyle name="40% - uthevingsfarge 4 28 3 4 2 2 3" xfId="27803" xr:uid="{00000000-0005-0000-0000-000065380000}"/>
    <cellStyle name="40% - uthevingsfarge 4 28 3 4 2 3" xfId="24070" xr:uid="{00000000-0005-0000-0000-000066380000}"/>
    <cellStyle name="40% - uthevingsfarge 4 28 3 4 2 3 2" xfId="40123" xr:uid="{00000000-0005-0000-0000-000067380000}"/>
    <cellStyle name="40% - uthevingsfarge 4 28 3 4 2 4" xfId="31204" xr:uid="{00000000-0005-0000-0000-000068380000}"/>
    <cellStyle name="40% - uthevingsfarge 4 28 3 4 3" xfId="8293" xr:uid="{00000000-0005-0000-0000-000069380000}"/>
    <cellStyle name="40% - uthevingsfarge 4 28 3 4 3 2" xfId="19885" xr:uid="{00000000-0005-0000-0000-00006A380000}"/>
    <cellStyle name="40% - uthevingsfarge 4 28 3 4 3 2 2" xfId="35998" xr:uid="{00000000-0005-0000-0000-00006B380000}"/>
    <cellStyle name="40% - uthevingsfarge 4 28 3 4 3 3" xfId="29504" xr:uid="{00000000-0005-0000-0000-00006C380000}"/>
    <cellStyle name="40% - uthevingsfarge 4 28 3 4 4" xfId="23840" xr:uid="{00000000-0005-0000-0000-00006D380000}"/>
    <cellStyle name="40% - uthevingsfarge 4 28 3 4 4 2" xfId="39896" xr:uid="{00000000-0005-0000-0000-00006E380000}"/>
    <cellStyle name="40% - uthevingsfarge 4 28 3 4 5" xfId="32896" xr:uid="{00000000-0005-0000-0000-00006F380000}"/>
    <cellStyle name="40% - uthevingsfarge 4 28 3 5" xfId="5251" xr:uid="{00000000-0005-0000-0000-000070380000}"/>
    <cellStyle name="40% - uthevingsfarge 4 28 3 5 2" xfId="8666" xr:uid="{00000000-0005-0000-0000-000071380000}"/>
    <cellStyle name="40% - uthevingsfarge 4 28 3 5 2 2" xfId="23394" xr:uid="{00000000-0005-0000-0000-000072380000}"/>
    <cellStyle name="40% - uthevingsfarge 4 28 3 5 2 2 2" xfId="39450" xr:uid="{00000000-0005-0000-0000-000073380000}"/>
    <cellStyle name="40% - uthevingsfarge 4 28 3 5 2 3" xfId="29132" xr:uid="{00000000-0005-0000-0000-000074380000}"/>
    <cellStyle name="40% - uthevingsfarge 4 28 3 5 3" xfId="20072" xr:uid="{00000000-0005-0000-0000-000075380000}"/>
    <cellStyle name="40% - uthevingsfarge 4 28 3 5 3 2" xfId="36176" xr:uid="{00000000-0005-0000-0000-000076380000}"/>
    <cellStyle name="40% - uthevingsfarge 4 28 3 5 4" xfId="32523" xr:uid="{00000000-0005-0000-0000-000077380000}"/>
    <cellStyle name="40% - uthevingsfarge 4 28 3 6" xfId="7143" xr:uid="{00000000-0005-0000-0000-000078380000}"/>
    <cellStyle name="40% - uthevingsfarge 4 28 3 6 2" xfId="20681" xr:uid="{00000000-0005-0000-0000-000079380000}"/>
    <cellStyle name="40% - uthevingsfarge 4 28 3 6 2 2" xfId="36780" xr:uid="{00000000-0005-0000-0000-00007A380000}"/>
    <cellStyle name="40% - uthevingsfarge 4 28 3 6 3" xfId="30655" xr:uid="{00000000-0005-0000-0000-00007B380000}"/>
    <cellStyle name="40% - uthevingsfarge 4 28 3 7" xfId="11191" xr:uid="{00000000-0005-0000-0000-00007C380000}"/>
    <cellStyle name="40% - uthevingsfarge 4 28 3 8" xfId="34042" xr:uid="{00000000-0005-0000-0000-00007D380000}"/>
    <cellStyle name="40% - uthevingsfarge 4 28 3 9" xfId="43546" xr:uid="{00000000-0005-0000-0000-00007E380000}"/>
    <cellStyle name="40% - uthevingsfarge 4 28 3_Avviksanalyse løpende RNB15 (1)" xfId="16638" xr:uid="{00000000-0005-0000-0000-00007F380000}"/>
    <cellStyle name="40% - uthevingsfarge 4 28 4" xfId="3752" xr:uid="{00000000-0005-0000-0000-000080380000}"/>
    <cellStyle name="40% - uthevingsfarge 4 28 4 2" xfId="5640" xr:uid="{00000000-0005-0000-0000-000081380000}"/>
    <cellStyle name="40% - uthevingsfarge 4 28 4 2 2" xfId="9055" xr:uid="{00000000-0005-0000-0000-000082380000}"/>
    <cellStyle name="40% - uthevingsfarge 4 28 4 2 2 2" xfId="21787" xr:uid="{00000000-0005-0000-0000-000083380000}"/>
    <cellStyle name="40% - uthevingsfarge 4 28 4 2 2 2 2" xfId="37863" xr:uid="{00000000-0005-0000-0000-000084380000}"/>
    <cellStyle name="40% - uthevingsfarge 4 28 4 2 2 3" xfId="28743" xr:uid="{00000000-0005-0000-0000-000085380000}"/>
    <cellStyle name="40% - uthevingsfarge 4 28 4 2 3" xfId="22078" xr:uid="{00000000-0005-0000-0000-000086380000}"/>
    <cellStyle name="40% - uthevingsfarge 4 28 4 2 3 2" xfId="38152" xr:uid="{00000000-0005-0000-0000-000087380000}"/>
    <cellStyle name="40% - uthevingsfarge 4 28 4 2 4" xfId="32134" xr:uid="{00000000-0005-0000-0000-000088380000}"/>
    <cellStyle name="40% - uthevingsfarge 4 28 4 3" xfId="7358" xr:uid="{00000000-0005-0000-0000-000089380000}"/>
    <cellStyle name="40% - uthevingsfarge 4 28 4 3 2" xfId="24193" xr:uid="{00000000-0005-0000-0000-00008A380000}"/>
    <cellStyle name="40% - uthevingsfarge 4 28 4 3 2 2" xfId="40246" xr:uid="{00000000-0005-0000-0000-00008B380000}"/>
    <cellStyle name="40% - uthevingsfarge 4 28 4 3 3" xfId="30440" xr:uid="{00000000-0005-0000-0000-00008C380000}"/>
    <cellStyle name="40% - uthevingsfarge 4 28 4 4" xfId="23763" xr:uid="{00000000-0005-0000-0000-00008D380000}"/>
    <cellStyle name="40% - uthevingsfarge 4 28 4 4 2" xfId="39819" xr:uid="{00000000-0005-0000-0000-00008E380000}"/>
    <cellStyle name="40% - uthevingsfarge 4 28 4 5" xfId="33827" xr:uid="{00000000-0005-0000-0000-00008F380000}"/>
    <cellStyle name="40% - uthevingsfarge 4 28 5" xfId="4251" xr:uid="{00000000-0005-0000-0000-000090380000}"/>
    <cellStyle name="40% - uthevingsfarge 4 28 5 2" xfId="6083" xr:uid="{00000000-0005-0000-0000-000091380000}"/>
    <cellStyle name="40% - uthevingsfarge 4 28 5 2 2" xfId="9498" xr:uid="{00000000-0005-0000-0000-000092380000}"/>
    <cellStyle name="40% - uthevingsfarge 4 28 5 2 2 2" xfId="21404" xr:uid="{00000000-0005-0000-0000-000093380000}"/>
    <cellStyle name="40% - uthevingsfarge 4 28 5 2 2 2 2" xfId="37484" xr:uid="{00000000-0005-0000-0000-000094380000}"/>
    <cellStyle name="40% - uthevingsfarge 4 28 5 2 2 3" xfId="28300" xr:uid="{00000000-0005-0000-0000-000095380000}"/>
    <cellStyle name="40% - uthevingsfarge 4 28 5 2 3" xfId="20316" xr:uid="{00000000-0005-0000-0000-000096380000}"/>
    <cellStyle name="40% - uthevingsfarge 4 28 5 2 3 2" xfId="36415" xr:uid="{00000000-0005-0000-0000-000097380000}"/>
    <cellStyle name="40% - uthevingsfarge 4 28 5 2 4" xfId="31695" xr:uid="{00000000-0005-0000-0000-000098380000}"/>
    <cellStyle name="40% - uthevingsfarge 4 28 5 3" xfId="7817" xr:uid="{00000000-0005-0000-0000-000099380000}"/>
    <cellStyle name="40% - uthevingsfarge 4 28 5 3 2" xfId="24277" xr:uid="{00000000-0005-0000-0000-00009A380000}"/>
    <cellStyle name="40% - uthevingsfarge 4 28 5 3 2 2" xfId="40330" xr:uid="{00000000-0005-0000-0000-00009B380000}"/>
    <cellStyle name="40% - uthevingsfarge 4 28 5 3 3" xfId="29982" xr:uid="{00000000-0005-0000-0000-00009C380000}"/>
    <cellStyle name="40% - uthevingsfarge 4 28 5 4" xfId="23810" xr:uid="{00000000-0005-0000-0000-00009D380000}"/>
    <cellStyle name="40% - uthevingsfarge 4 28 5 4 2" xfId="39866" xr:uid="{00000000-0005-0000-0000-00009E380000}"/>
    <cellStyle name="40% - uthevingsfarge 4 28 5 5" xfId="33370" xr:uid="{00000000-0005-0000-0000-00009F380000}"/>
    <cellStyle name="40% - uthevingsfarge 4 28 6" xfId="4391" xr:uid="{00000000-0005-0000-0000-0000A0380000}"/>
    <cellStyle name="40% - uthevingsfarge 4 28 6 2" xfId="6194" xr:uid="{00000000-0005-0000-0000-0000A1380000}"/>
    <cellStyle name="40% - uthevingsfarge 4 28 6 2 2" xfId="9608" xr:uid="{00000000-0005-0000-0000-0000A2380000}"/>
    <cellStyle name="40% - uthevingsfarge 4 28 6 2 2 2" xfId="21436" xr:uid="{00000000-0005-0000-0000-0000A3380000}"/>
    <cellStyle name="40% - uthevingsfarge 4 28 6 2 2 2 2" xfId="37516" xr:uid="{00000000-0005-0000-0000-0000A4380000}"/>
    <cellStyle name="40% - uthevingsfarge 4 28 6 2 2 3" xfId="28190" xr:uid="{00000000-0005-0000-0000-0000A5380000}"/>
    <cellStyle name="40% - uthevingsfarge 4 28 6 2 3" xfId="23996" xr:uid="{00000000-0005-0000-0000-0000A6380000}"/>
    <cellStyle name="40% - uthevingsfarge 4 28 6 2 3 2" xfId="40049" xr:uid="{00000000-0005-0000-0000-0000A7380000}"/>
    <cellStyle name="40% - uthevingsfarge 4 28 6 2 4" xfId="34312" xr:uid="{00000000-0005-0000-0000-0000A8380000}"/>
    <cellStyle name="40% - uthevingsfarge 4 28 6 3" xfId="7928" xr:uid="{00000000-0005-0000-0000-0000A9380000}"/>
    <cellStyle name="40% - uthevingsfarge 4 28 6 3 2" xfId="23289" xr:uid="{00000000-0005-0000-0000-0000AA380000}"/>
    <cellStyle name="40% - uthevingsfarge 4 28 6 3 2 2" xfId="39356" xr:uid="{00000000-0005-0000-0000-0000AB380000}"/>
    <cellStyle name="40% - uthevingsfarge 4 28 6 3 3" xfId="29871" xr:uid="{00000000-0005-0000-0000-0000AC380000}"/>
    <cellStyle name="40% - uthevingsfarge 4 28 6 4" xfId="12352" xr:uid="{00000000-0005-0000-0000-0000AD380000}"/>
    <cellStyle name="40% - uthevingsfarge 4 28 6 4 2" xfId="35203" xr:uid="{00000000-0005-0000-0000-0000AE380000}"/>
    <cellStyle name="40% - uthevingsfarge 4 28 6 5" xfId="33259" xr:uid="{00000000-0005-0000-0000-0000AF380000}"/>
    <cellStyle name="40% - uthevingsfarge 4 28 7" xfId="4687" xr:uid="{00000000-0005-0000-0000-0000B0380000}"/>
    <cellStyle name="40% - uthevingsfarge 4 28 7 2" xfId="6407" xr:uid="{00000000-0005-0000-0000-0000B1380000}"/>
    <cellStyle name="40% - uthevingsfarge 4 28 7 2 2" xfId="9817" xr:uid="{00000000-0005-0000-0000-0000B2380000}"/>
    <cellStyle name="40% - uthevingsfarge 4 28 7 2 2 2" xfId="23563" xr:uid="{00000000-0005-0000-0000-0000B3380000}"/>
    <cellStyle name="40% - uthevingsfarge 4 28 7 2 2 2 2" xfId="39619" xr:uid="{00000000-0005-0000-0000-0000B4380000}"/>
    <cellStyle name="40% - uthevingsfarge 4 28 7 2 2 3" xfId="27982" xr:uid="{00000000-0005-0000-0000-0000B5380000}"/>
    <cellStyle name="40% - uthevingsfarge 4 28 7 2 3" xfId="24036" xr:uid="{00000000-0005-0000-0000-0000B6380000}"/>
    <cellStyle name="40% - uthevingsfarge 4 28 7 2 3 2" xfId="40089" xr:uid="{00000000-0005-0000-0000-0000B7380000}"/>
    <cellStyle name="40% - uthevingsfarge 4 28 7 2 4" xfId="31383" xr:uid="{00000000-0005-0000-0000-0000B8380000}"/>
    <cellStyle name="40% - uthevingsfarge 4 28 7 3" xfId="8113" xr:uid="{00000000-0005-0000-0000-0000B9380000}"/>
    <cellStyle name="40% - uthevingsfarge 4 28 7 3 2" xfId="22504" xr:uid="{00000000-0005-0000-0000-0000BA380000}"/>
    <cellStyle name="40% - uthevingsfarge 4 28 7 3 2 2" xfId="38576" xr:uid="{00000000-0005-0000-0000-0000BB380000}"/>
    <cellStyle name="40% - uthevingsfarge 4 28 7 3 3" xfId="29685" xr:uid="{00000000-0005-0000-0000-0000BC380000}"/>
    <cellStyle name="40% - uthevingsfarge 4 28 7 4" xfId="19683" xr:uid="{00000000-0005-0000-0000-0000BD380000}"/>
    <cellStyle name="40% - uthevingsfarge 4 28 7 4 2" xfId="35797" xr:uid="{00000000-0005-0000-0000-0000BE380000}"/>
    <cellStyle name="40% - uthevingsfarge 4 28 7 5" xfId="33076" xr:uid="{00000000-0005-0000-0000-0000BF380000}"/>
    <cellStyle name="40% - uthevingsfarge 4 28 8" xfId="5051" xr:uid="{00000000-0005-0000-0000-0000C0380000}"/>
    <cellStyle name="40% - uthevingsfarge 4 28 8 2" xfId="6770" xr:uid="{00000000-0005-0000-0000-0000C1380000}"/>
    <cellStyle name="40% - uthevingsfarge 4 28 8 2 2" xfId="10176" xr:uid="{00000000-0005-0000-0000-0000C2380000}"/>
    <cellStyle name="40% - uthevingsfarge 4 28 8 2 2 2" xfId="24639" xr:uid="{00000000-0005-0000-0000-0000C3380000}"/>
    <cellStyle name="40% - uthevingsfarge 4 28 8 2 2 2 2" xfId="40683" xr:uid="{00000000-0005-0000-0000-0000C4380000}"/>
    <cellStyle name="40% - uthevingsfarge 4 28 8 2 2 3" xfId="27623" xr:uid="{00000000-0005-0000-0000-0000C5380000}"/>
    <cellStyle name="40% - uthevingsfarge 4 28 8 2 3" xfId="24096" xr:uid="{00000000-0005-0000-0000-0000C6380000}"/>
    <cellStyle name="40% - uthevingsfarge 4 28 8 2 3 2" xfId="40149" xr:uid="{00000000-0005-0000-0000-0000C7380000}"/>
    <cellStyle name="40% - uthevingsfarge 4 28 8 2 4" xfId="31024" xr:uid="{00000000-0005-0000-0000-0000C8380000}"/>
    <cellStyle name="40% - uthevingsfarge 4 28 8 3" xfId="8473" xr:uid="{00000000-0005-0000-0000-0000C9380000}"/>
    <cellStyle name="40% - uthevingsfarge 4 28 8 3 2" xfId="15111" xr:uid="{00000000-0005-0000-0000-0000CA380000}"/>
    <cellStyle name="40% - uthevingsfarge 4 28 8 3 2 2" xfId="35306" xr:uid="{00000000-0005-0000-0000-0000CB380000}"/>
    <cellStyle name="40% - uthevingsfarge 4 28 8 3 3" xfId="29325" xr:uid="{00000000-0005-0000-0000-0000CC380000}"/>
    <cellStyle name="40% - uthevingsfarge 4 28 8 4" xfId="10850" xr:uid="{00000000-0005-0000-0000-0000CD380000}"/>
    <cellStyle name="40% - uthevingsfarge 4 28 8 4 2" xfId="34648" xr:uid="{00000000-0005-0000-0000-0000CE380000}"/>
    <cellStyle name="40% - uthevingsfarge 4 28 8 5" xfId="32716" xr:uid="{00000000-0005-0000-0000-0000CF380000}"/>
    <cellStyle name="40% - uthevingsfarge 4 28 9" xfId="5226" xr:uid="{00000000-0005-0000-0000-0000D0380000}"/>
    <cellStyle name="40% - uthevingsfarge 4 28 9 2" xfId="8641" xr:uid="{00000000-0005-0000-0000-0000D1380000}"/>
    <cellStyle name="40% - uthevingsfarge 4 28 9 2 2" xfId="23389" xr:uid="{00000000-0005-0000-0000-0000D2380000}"/>
    <cellStyle name="40% - uthevingsfarge 4 28 9 2 2 2" xfId="39445" xr:uid="{00000000-0005-0000-0000-0000D3380000}"/>
    <cellStyle name="40% - uthevingsfarge 4 28 9 2 3" xfId="29157" xr:uid="{00000000-0005-0000-0000-0000D4380000}"/>
    <cellStyle name="40% - uthevingsfarge 4 28 9 3" xfId="12122" xr:uid="{00000000-0005-0000-0000-0000D5380000}"/>
    <cellStyle name="40% - uthevingsfarge 4 28 9 3 2" xfId="35082" xr:uid="{00000000-0005-0000-0000-0000D6380000}"/>
    <cellStyle name="40% - uthevingsfarge 4 28 9 4" xfId="32548" xr:uid="{00000000-0005-0000-0000-0000D7380000}"/>
    <cellStyle name="40% - uthevingsfarge 4 29" xfId="881" xr:uid="{00000000-0005-0000-0000-0000D8380000}"/>
    <cellStyle name="40% - uthevingsfarge 4 29 10" xfId="11192" xr:uid="{00000000-0005-0000-0000-0000D9380000}"/>
    <cellStyle name="40% - uthevingsfarge 4 29 11" xfId="34239" xr:uid="{00000000-0005-0000-0000-0000DA380000}"/>
    <cellStyle name="40% - uthevingsfarge 4 29 2" xfId="3349" xr:uid="{00000000-0005-0000-0000-0000DB380000}"/>
    <cellStyle name="40% - uthevingsfarge 4 29 2 10" xfId="34142" xr:uid="{00000000-0005-0000-0000-0000DC380000}"/>
    <cellStyle name="40% - uthevingsfarge 4 29 2 2" xfId="3581" xr:uid="{00000000-0005-0000-0000-0000DD380000}"/>
    <cellStyle name="40% - uthevingsfarge 4 29 2 2 10" xfId="47180" xr:uid="{00000000-0005-0000-0000-0000DE380000}"/>
    <cellStyle name="40% - uthevingsfarge 4 29 2 2 2" xfId="4011" xr:uid="{00000000-0005-0000-0000-0000DF380000}"/>
    <cellStyle name="40% - uthevingsfarge 4 29 2 2 2 2" xfId="5899" xr:uid="{00000000-0005-0000-0000-0000E0380000}"/>
    <cellStyle name="40% - uthevingsfarge 4 29 2 2 2 2 2" xfId="9314" xr:uid="{00000000-0005-0000-0000-0000E1380000}"/>
    <cellStyle name="40% - uthevingsfarge 4 29 2 2 2 2 2 2" xfId="24493" xr:uid="{00000000-0005-0000-0000-0000E2380000}"/>
    <cellStyle name="40% - uthevingsfarge 4 29 2 2 2 2 2 2 2" xfId="40537" xr:uid="{00000000-0005-0000-0000-0000E3380000}"/>
    <cellStyle name="40% - uthevingsfarge 4 29 2 2 2 2 2 3" xfId="28484" xr:uid="{00000000-0005-0000-0000-0000E4380000}"/>
    <cellStyle name="40% - uthevingsfarge 4 29 2 2 2 2 3" xfId="23938" xr:uid="{00000000-0005-0000-0000-0000E5380000}"/>
    <cellStyle name="40% - uthevingsfarge 4 29 2 2 2 2 3 2" xfId="39992" xr:uid="{00000000-0005-0000-0000-0000E6380000}"/>
    <cellStyle name="40% - uthevingsfarge 4 29 2 2 2 2 4" xfId="31877" xr:uid="{00000000-0005-0000-0000-0000E7380000}"/>
    <cellStyle name="40% - uthevingsfarge 4 29 2 2 2 3" xfId="7617" xr:uid="{00000000-0005-0000-0000-0000E8380000}"/>
    <cellStyle name="40% - uthevingsfarge 4 29 2 2 2 3 2" xfId="20838" xr:uid="{00000000-0005-0000-0000-0000E9380000}"/>
    <cellStyle name="40% - uthevingsfarge 4 29 2 2 2 3 2 2" xfId="36937" xr:uid="{00000000-0005-0000-0000-0000EA380000}"/>
    <cellStyle name="40% - uthevingsfarge 4 29 2 2 2 3 3" xfId="30181" xr:uid="{00000000-0005-0000-0000-0000EB380000}"/>
    <cellStyle name="40% - uthevingsfarge 4 29 2 2 2 4" xfId="18031" xr:uid="{00000000-0005-0000-0000-0000EC380000}"/>
    <cellStyle name="40% - uthevingsfarge 4 29 2 2 2 5" xfId="23794" xr:uid="{00000000-0005-0000-0000-0000ED380000}"/>
    <cellStyle name="40% - uthevingsfarge 4 29 2 2 2 5 2" xfId="39850" xr:uid="{00000000-0005-0000-0000-0000EE380000}"/>
    <cellStyle name="40% - uthevingsfarge 4 29 2 2 2 6" xfId="33568" xr:uid="{00000000-0005-0000-0000-0000EF380000}"/>
    <cellStyle name="40% - uthevingsfarge 4 29 2 2 3" xfId="4951" xr:uid="{00000000-0005-0000-0000-0000F0380000}"/>
    <cellStyle name="40% - uthevingsfarge 4 29 2 2 3 10" xfId="47370" xr:uid="{00000000-0005-0000-0000-0000F1380000}"/>
    <cellStyle name="40% - uthevingsfarge 4 29 2 2 3 2" xfId="6670" xr:uid="{00000000-0005-0000-0000-0000F2380000}"/>
    <cellStyle name="40% - uthevingsfarge 4 29 2 2 3 2 2" xfId="10076" xr:uid="{00000000-0005-0000-0000-0000F3380000}"/>
    <cellStyle name="40% - uthevingsfarge 4 29 2 2 3 2 2 2" xfId="22018" xr:uid="{00000000-0005-0000-0000-0000F4380000}"/>
    <cellStyle name="40% - uthevingsfarge 4 29 2 2 3 2 2 2 2" xfId="38093" xr:uid="{00000000-0005-0000-0000-0000F5380000}"/>
    <cellStyle name="40% - uthevingsfarge 4 29 2 2 3 2 2 3" xfId="27723" xr:uid="{00000000-0005-0000-0000-0000F6380000}"/>
    <cellStyle name="40% - uthevingsfarge 4 29 2 2 3 2 3" xfId="20536" xr:uid="{00000000-0005-0000-0000-0000F7380000}"/>
    <cellStyle name="40% - uthevingsfarge 4 29 2 2 3 2 3 2" xfId="36635" xr:uid="{00000000-0005-0000-0000-0000F8380000}"/>
    <cellStyle name="40% - uthevingsfarge 4 29 2 2 3 2 4" xfId="31124" xr:uid="{00000000-0005-0000-0000-0000F9380000}"/>
    <cellStyle name="40% - uthevingsfarge 4 29 2 2 3 2 5" xfId="43064" xr:uid="{00000000-0005-0000-0000-0000FA380000}"/>
    <cellStyle name="40% - uthevingsfarge 4 29 2 2 3 2 6" xfId="43361" xr:uid="{00000000-0005-0000-0000-0000FB380000}"/>
    <cellStyle name="40% - uthevingsfarge 4 29 2 2 3 2 7" xfId="46209" xr:uid="{00000000-0005-0000-0000-0000FC380000}"/>
    <cellStyle name="40% - uthevingsfarge 4 29 2 2 3 2 8" xfId="46981" xr:uid="{00000000-0005-0000-0000-0000FD380000}"/>
    <cellStyle name="40% - uthevingsfarge 4 29 2 2 3 2 9" xfId="47566" xr:uid="{00000000-0005-0000-0000-0000FE380000}"/>
    <cellStyle name="40% - uthevingsfarge 4 29 2 2 3 3" xfId="8373" xr:uid="{00000000-0005-0000-0000-0000FF380000}"/>
    <cellStyle name="40% - uthevingsfarge 4 29 2 2 3 3 2" xfId="24355" xr:uid="{00000000-0005-0000-0000-000000390000}"/>
    <cellStyle name="40% - uthevingsfarge 4 29 2 2 3 3 2 2" xfId="40402" xr:uid="{00000000-0005-0000-0000-000001390000}"/>
    <cellStyle name="40% - uthevingsfarge 4 29 2 2 3 3 3" xfId="29425" xr:uid="{00000000-0005-0000-0000-000002390000}"/>
    <cellStyle name="40% - uthevingsfarge 4 29 2 2 3 3 4" xfId="43950" xr:uid="{00000000-0005-0000-0000-000003390000}"/>
    <cellStyle name="40% - uthevingsfarge 4 29 2 2 3 4" xfId="16509" xr:uid="{00000000-0005-0000-0000-000004390000}"/>
    <cellStyle name="40% - uthevingsfarge 4 29 2 2 3 4 2" xfId="35456" xr:uid="{00000000-0005-0000-0000-000005390000}"/>
    <cellStyle name="40% - uthevingsfarge 4 29 2 2 3 5" xfId="25118" xr:uid="{00000000-0005-0000-0000-000006390000}"/>
    <cellStyle name="40% - uthevingsfarge 4 29 2 2 3 6" xfId="25314" xr:uid="{00000000-0005-0000-0000-000007390000}"/>
    <cellStyle name="40% - uthevingsfarge 4 29 2 2 3 7" xfId="32816" xr:uid="{00000000-0005-0000-0000-000008390000}"/>
    <cellStyle name="40% - uthevingsfarge 4 29 2 2 3 8" xfId="43822" xr:uid="{00000000-0005-0000-0000-000009390000}"/>
    <cellStyle name="40% - uthevingsfarge 4 29 2 2 3 9" xfId="46747" xr:uid="{00000000-0005-0000-0000-00000A390000}"/>
    <cellStyle name="40% - uthevingsfarge 4 29 2 2 4" xfId="5505" xr:uid="{00000000-0005-0000-0000-00000B390000}"/>
    <cellStyle name="40% - uthevingsfarge 4 29 2 2 4 2" xfId="8920" xr:uid="{00000000-0005-0000-0000-00000C390000}"/>
    <cellStyle name="40% - uthevingsfarge 4 29 2 2 4 2 2" xfId="19390" xr:uid="{00000000-0005-0000-0000-00000D390000}"/>
    <cellStyle name="40% - uthevingsfarge 4 29 2 2 4 2 2 2" xfId="35504" xr:uid="{00000000-0005-0000-0000-00000E390000}"/>
    <cellStyle name="40% - uthevingsfarge 4 29 2 2 4 2 3" xfId="28878" xr:uid="{00000000-0005-0000-0000-00000F390000}"/>
    <cellStyle name="40% - uthevingsfarge 4 29 2 2 4 3" xfId="20099" xr:uid="{00000000-0005-0000-0000-000010390000}"/>
    <cellStyle name="40% - uthevingsfarge 4 29 2 2 4 3 2" xfId="36203" xr:uid="{00000000-0005-0000-0000-000011390000}"/>
    <cellStyle name="40% - uthevingsfarge 4 29 2 2 4 4" xfId="32269" xr:uid="{00000000-0005-0000-0000-000012390000}"/>
    <cellStyle name="40% - uthevingsfarge 4 29 2 2 5" xfId="7223" xr:uid="{00000000-0005-0000-0000-000013390000}"/>
    <cellStyle name="40% - uthevingsfarge 4 29 2 2 5 2" xfId="20700" xr:uid="{00000000-0005-0000-0000-000014390000}"/>
    <cellStyle name="40% - uthevingsfarge 4 29 2 2 5 2 2" xfId="36799" xr:uid="{00000000-0005-0000-0000-000015390000}"/>
    <cellStyle name="40% - uthevingsfarge 4 29 2 2 5 3" xfId="30575" xr:uid="{00000000-0005-0000-0000-000016390000}"/>
    <cellStyle name="40% - uthevingsfarge 4 29 2 2 6" xfId="11194" xr:uid="{00000000-0005-0000-0000-000017390000}"/>
    <cellStyle name="40% - uthevingsfarge 4 29 2 2 7" xfId="33962" xr:uid="{00000000-0005-0000-0000-000018390000}"/>
    <cellStyle name="40% - uthevingsfarge 4 29 2 2 8" xfId="43613" xr:uid="{00000000-0005-0000-0000-000019390000}"/>
    <cellStyle name="40% - uthevingsfarge 4 29 2 2 9" xfId="46519" xr:uid="{00000000-0005-0000-0000-00001A390000}"/>
    <cellStyle name="40% - uthevingsfarge 4 29 2 2_Avviksanalyse løpende RNB15 (1)" xfId="16639" xr:uid="{00000000-0005-0000-0000-00001B390000}"/>
    <cellStyle name="40% - uthevingsfarge 4 29 2 3" xfId="3831" xr:uid="{00000000-0005-0000-0000-00001C390000}"/>
    <cellStyle name="40% - uthevingsfarge 4 29 2 3 2" xfId="5719" xr:uid="{00000000-0005-0000-0000-00001D390000}"/>
    <cellStyle name="40% - uthevingsfarge 4 29 2 3 2 2" xfId="9134" xr:uid="{00000000-0005-0000-0000-00001E390000}"/>
    <cellStyle name="40% - uthevingsfarge 4 29 2 3 2 2 2" xfId="22602" xr:uid="{00000000-0005-0000-0000-00001F390000}"/>
    <cellStyle name="40% - uthevingsfarge 4 29 2 3 2 2 2 2" xfId="38671" xr:uid="{00000000-0005-0000-0000-000020390000}"/>
    <cellStyle name="40% - uthevingsfarge 4 29 2 3 2 2 3" xfId="28664" xr:uid="{00000000-0005-0000-0000-000021390000}"/>
    <cellStyle name="40% - uthevingsfarge 4 29 2 3 2 3" xfId="10685" xr:uid="{00000000-0005-0000-0000-000022390000}"/>
    <cellStyle name="40% - uthevingsfarge 4 29 2 3 2 3 2" xfId="34533" xr:uid="{00000000-0005-0000-0000-000023390000}"/>
    <cellStyle name="40% - uthevingsfarge 4 29 2 3 2 4" xfId="32055" xr:uid="{00000000-0005-0000-0000-000024390000}"/>
    <cellStyle name="40% - uthevingsfarge 4 29 2 3 3" xfId="7437" xr:uid="{00000000-0005-0000-0000-000025390000}"/>
    <cellStyle name="40% - uthevingsfarge 4 29 2 3 3 2" xfId="23206" xr:uid="{00000000-0005-0000-0000-000026390000}"/>
    <cellStyle name="40% - uthevingsfarge 4 29 2 3 3 2 2" xfId="39275" xr:uid="{00000000-0005-0000-0000-000027390000}"/>
    <cellStyle name="40% - uthevingsfarge 4 29 2 3 3 3" xfId="30361" xr:uid="{00000000-0005-0000-0000-000028390000}"/>
    <cellStyle name="40% - uthevingsfarge 4 29 2 3 4" xfId="22050" xr:uid="{00000000-0005-0000-0000-000029390000}"/>
    <cellStyle name="40% - uthevingsfarge 4 29 2 3 4 2" xfId="38124" xr:uid="{00000000-0005-0000-0000-00002A390000}"/>
    <cellStyle name="40% - uthevingsfarge 4 29 2 3 5" xfId="33748" xr:uid="{00000000-0005-0000-0000-00002B390000}"/>
    <cellStyle name="40% - uthevingsfarge 4 29 2 4" xfId="4316" xr:uid="{00000000-0005-0000-0000-00002C390000}"/>
    <cellStyle name="40% - uthevingsfarge 4 29 2 4 2" xfId="6145" xr:uid="{00000000-0005-0000-0000-00002D390000}"/>
    <cellStyle name="40% - uthevingsfarge 4 29 2 4 2 2" xfId="9559" xr:uid="{00000000-0005-0000-0000-00002E390000}"/>
    <cellStyle name="40% - uthevingsfarge 4 29 2 4 2 2 2" xfId="10418" xr:uid="{00000000-0005-0000-0000-00002F390000}"/>
    <cellStyle name="40% - uthevingsfarge 4 29 2 4 2 2 2 2" xfId="34354" xr:uid="{00000000-0005-0000-0000-000030390000}"/>
    <cellStyle name="40% - uthevingsfarge 4 29 2 4 2 2 3" xfId="28239" xr:uid="{00000000-0005-0000-0000-000031390000}"/>
    <cellStyle name="40% - uthevingsfarge 4 29 2 4 2 3" xfId="22317" xr:uid="{00000000-0005-0000-0000-000032390000}"/>
    <cellStyle name="40% - uthevingsfarge 4 29 2 4 2 3 2" xfId="38389" xr:uid="{00000000-0005-0000-0000-000033390000}"/>
    <cellStyle name="40% - uthevingsfarge 4 29 2 4 2 4" xfId="31635" xr:uid="{00000000-0005-0000-0000-000034390000}"/>
    <cellStyle name="40% - uthevingsfarge 4 29 2 4 3" xfId="7878" xr:uid="{00000000-0005-0000-0000-000035390000}"/>
    <cellStyle name="40% - uthevingsfarge 4 29 2 4 3 2" xfId="20932" xr:uid="{00000000-0005-0000-0000-000036390000}"/>
    <cellStyle name="40% - uthevingsfarge 4 29 2 4 3 2 2" xfId="37031" xr:uid="{00000000-0005-0000-0000-000037390000}"/>
    <cellStyle name="40% - uthevingsfarge 4 29 2 4 3 3" xfId="29921" xr:uid="{00000000-0005-0000-0000-000038390000}"/>
    <cellStyle name="40% - uthevingsfarge 4 29 2 4 4" xfId="12378" xr:uid="{00000000-0005-0000-0000-000039390000}"/>
    <cellStyle name="40% - uthevingsfarge 4 29 2 4 4 2" xfId="35213" xr:uid="{00000000-0005-0000-0000-00003A390000}"/>
    <cellStyle name="40% - uthevingsfarge 4 29 2 4 5" xfId="33309" xr:uid="{00000000-0005-0000-0000-00003B390000}"/>
    <cellStyle name="40% - uthevingsfarge 4 29 2 5" xfId="4771" xr:uid="{00000000-0005-0000-0000-00003C390000}"/>
    <cellStyle name="40% - uthevingsfarge 4 29 2 5 2" xfId="6491" xr:uid="{00000000-0005-0000-0000-00003D390000}"/>
    <cellStyle name="40% - uthevingsfarge 4 29 2 5 2 2" xfId="9897" xr:uid="{00000000-0005-0000-0000-00003E390000}"/>
    <cellStyle name="40% - uthevingsfarge 4 29 2 5 2 2 2" xfId="21526" xr:uid="{00000000-0005-0000-0000-00003F390000}"/>
    <cellStyle name="40% - uthevingsfarge 4 29 2 5 2 2 2 2" xfId="37606" xr:uid="{00000000-0005-0000-0000-000040390000}"/>
    <cellStyle name="40% - uthevingsfarge 4 29 2 5 2 2 3" xfId="27902" xr:uid="{00000000-0005-0000-0000-000041390000}"/>
    <cellStyle name="40% - uthevingsfarge 4 29 2 5 2 3" xfId="20472" xr:uid="{00000000-0005-0000-0000-000042390000}"/>
    <cellStyle name="40% - uthevingsfarge 4 29 2 5 2 3 2" xfId="36571" xr:uid="{00000000-0005-0000-0000-000043390000}"/>
    <cellStyle name="40% - uthevingsfarge 4 29 2 5 2 4" xfId="31303" xr:uid="{00000000-0005-0000-0000-000044390000}"/>
    <cellStyle name="40% - uthevingsfarge 4 29 2 5 3" xfId="8193" xr:uid="{00000000-0005-0000-0000-000045390000}"/>
    <cellStyle name="40% - uthevingsfarge 4 29 2 5 3 2" xfId="23328" xr:uid="{00000000-0005-0000-0000-000046390000}"/>
    <cellStyle name="40% - uthevingsfarge 4 29 2 5 3 2 2" xfId="39392" xr:uid="{00000000-0005-0000-0000-000047390000}"/>
    <cellStyle name="40% - uthevingsfarge 4 29 2 5 3 3" xfId="29604" xr:uid="{00000000-0005-0000-0000-000048390000}"/>
    <cellStyle name="40% - uthevingsfarge 4 29 2 5 4" xfId="12268" xr:uid="{00000000-0005-0000-0000-000049390000}"/>
    <cellStyle name="40% - uthevingsfarge 4 29 2 5 4 2" xfId="35144" xr:uid="{00000000-0005-0000-0000-00004A390000}"/>
    <cellStyle name="40% - uthevingsfarge 4 29 2 5 5" xfId="32996" xr:uid="{00000000-0005-0000-0000-00004B390000}"/>
    <cellStyle name="40% - uthevingsfarge 4 29 2 6" xfId="5131" xr:uid="{00000000-0005-0000-0000-00004C390000}"/>
    <cellStyle name="40% - uthevingsfarge 4 29 2 6 2" xfId="6850" xr:uid="{00000000-0005-0000-0000-00004D390000}"/>
    <cellStyle name="40% - uthevingsfarge 4 29 2 6 2 2" xfId="10256" xr:uid="{00000000-0005-0000-0000-00004E390000}"/>
    <cellStyle name="40% - uthevingsfarge 4 29 2 6 2 2 2" xfId="24699" xr:uid="{00000000-0005-0000-0000-00004F390000}"/>
    <cellStyle name="40% - uthevingsfarge 4 29 2 6 2 2 2 2" xfId="40742" xr:uid="{00000000-0005-0000-0000-000050390000}"/>
    <cellStyle name="40% - uthevingsfarge 4 29 2 6 2 2 3" xfId="27543" xr:uid="{00000000-0005-0000-0000-000051390000}"/>
    <cellStyle name="40% - uthevingsfarge 4 29 2 6 2 3" xfId="23745" xr:uid="{00000000-0005-0000-0000-000052390000}"/>
    <cellStyle name="40% - uthevingsfarge 4 29 2 6 2 3 2" xfId="39801" xr:uid="{00000000-0005-0000-0000-000053390000}"/>
    <cellStyle name="40% - uthevingsfarge 4 29 2 6 2 4" xfId="30944" xr:uid="{00000000-0005-0000-0000-000054390000}"/>
    <cellStyle name="40% - uthevingsfarge 4 29 2 6 3" xfId="8553" xr:uid="{00000000-0005-0000-0000-000055390000}"/>
    <cellStyle name="40% - uthevingsfarge 4 29 2 6 3 2" xfId="19866" xr:uid="{00000000-0005-0000-0000-000056390000}"/>
    <cellStyle name="40% - uthevingsfarge 4 29 2 6 3 2 2" xfId="35979" xr:uid="{00000000-0005-0000-0000-000057390000}"/>
    <cellStyle name="40% - uthevingsfarge 4 29 2 6 3 3" xfId="29245" xr:uid="{00000000-0005-0000-0000-000058390000}"/>
    <cellStyle name="40% - uthevingsfarge 4 29 2 6 4" xfId="10806" xr:uid="{00000000-0005-0000-0000-000059390000}"/>
    <cellStyle name="40% - uthevingsfarge 4 29 2 6 4 2" xfId="34624" xr:uid="{00000000-0005-0000-0000-00005A390000}"/>
    <cellStyle name="40% - uthevingsfarge 4 29 2 6 5" xfId="32636" xr:uid="{00000000-0005-0000-0000-00005B390000}"/>
    <cellStyle name="40% - uthevingsfarge 4 29 2 7" xfId="5310" xr:uid="{00000000-0005-0000-0000-00005C390000}"/>
    <cellStyle name="40% - uthevingsfarge 4 29 2 7 2" xfId="8725" xr:uid="{00000000-0005-0000-0000-00005D390000}"/>
    <cellStyle name="40% - uthevingsfarge 4 29 2 7 2 2" xfId="24403" xr:uid="{00000000-0005-0000-0000-00005E390000}"/>
    <cellStyle name="40% - uthevingsfarge 4 29 2 7 2 2 2" xfId="40447" xr:uid="{00000000-0005-0000-0000-00005F390000}"/>
    <cellStyle name="40% - uthevingsfarge 4 29 2 7 2 3" xfId="29073" xr:uid="{00000000-0005-0000-0000-000060390000}"/>
    <cellStyle name="40% - uthevingsfarge 4 29 2 7 3" xfId="22763" xr:uid="{00000000-0005-0000-0000-000061390000}"/>
    <cellStyle name="40% - uthevingsfarge 4 29 2 7 3 2" xfId="38832" xr:uid="{00000000-0005-0000-0000-000062390000}"/>
    <cellStyle name="40% - uthevingsfarge 4 29 2 7 4" xfId="32464" xr:uid="{00000000-0005-0000-0000-000063390000}"/>
    <cellStyle name="40% - uthevingsfarge 4 29 2 8" xfId="7043" xr:uid="{00000000-0005-0000-0000-000064390000}"/>
    <cellStyle name="40% - uthevingsfarge 4 29 2 8 2" xfId="24138" xr:uid="{00000000-0005-0000-0000-000065390000}"/>
    <cellStyle name="40% - uthevingsfarge 4 29 2 8 2 2" xfId="40191" xr:uid="{00000000-0005-0000-0000-000066390000}"/>
    <cellStyle name="40% - uthevingsfarge 4 29 2 8 3" xfId="30755" xr:uid="{00000000-0005-0000-0000-000067390000}"/>
    <cellStyle name="40% - uthevingsfarge 4 29 2 9" xfId="11193" xr:uid="{00000000-0005-0000-0000-000068390000}"/>
    <cellStyle name="40% - uthevingsfarge 4 29 3" xfId="3496" xr:uid="{00000000-0005-0000-0000-000069390000}"/>
    <cellStyle name="40% - uthevingsfarge 4 29 3 10" xfId="47112" xr:uid="{00000000-0005-0000-0000-00006A390000}"/>
    <cellStyle name="40% - uthevingsfarge 4 29 3 2" xfId="3932" xr:uid="{00000000-0005-0000-0000-00006B390000}"/>
    <cellStyle name="40% - uthevingsfarge 4 29 3 2 2" xfId="5820" xr:uid="{00000000-0005-0000-0000-00006C390000}"/>
    <cellStyle name="40% - uthevingsfarge 4 29 3 2 2 2" xfId="9235" xr:uid="{00000000-0005-0000-0000-00006D390000}"/>
    <cellStyle name="40% - uthevingsfarge 4 29 3 2 2 2 2" xfId="21325" xr:uid="{00000000-0005-0000-0000-00006E390000}"/>
    <cellStyle name="40% - uthevingsfarge 4 29 3 2 2 2 2 2" xfId="37405" xr:uid="{00000000-0005-0000-0000-00006F390000}"/>
    <cellStyle name="40% - uthevingsfarge 4 29 3 2 2 2 3" xfId="28563" xr:uid="{00000000-0005-0000-0000-000070390000}"/>
    <cellStyle name="40% - uthevingsfarge 4 29 3 2 2 3" xfId="22921" xr:uid="{00000000-0005-0000-0000-000071390000}"/>
    <cellStyle name="40% - uthevingsfarge 4 29 3 2 2 3 2" xfId="38990" xr:uid="{00000000-0005-0000-0000-000072390000}"/>
    <cellStyle name="40% - uthevingsfarge 4 29 3 2 2 4" xfId="31954" xr:uid="{00000000-0005-0000-0000-000073390000}"/>
    <cellStyle name="40% - uthevingsfarge 4 29 3 2 3" xfId="7538" xr:uid="{00000000-0005-0000-0000-000074390000}"/>
    <cellStyle name="40% - uthevingsfarge 4 29 3 2 3 2" xfId="23221" xr:uid="{00000000-0005-0000-0000-000075390000}"/>
    <cellStyle name="40% - uthevingsfarge 4 29 3 2 3 2 2" xfId="39290" xr:uid="{00000000-0005-0000-0000-000076390000}"/>
    <cellStyle name="40% - uthevingsfarge 4 29 3 2 3 3" xfId="30260" xr:uid="{00000000-0005-0000-0000-000077390000}"/>
    <cellStyle name="40% - uthevingsfarge 4 29 3 2 4" xfId="18032" xr:uid="{00000000-0005-0000-0000-000078390000}"/>
    <cellStyle name="40% - uthevingsfarge 4 29 3 2 5" xfId="19950" xr:uid="{00000000-0005-0000-0000-000079390000}"/>
    <cellStyle name="40% - uthevingsfarge 4 29 3 2 5 2" xfId="36054" xr:uid="{00000000-0005-0000-0000-00007A390000}"/>
    <cellStyle name="40% - uthevingsfarge 4 29 3 2 6" xfId="33647" xr:uid="{00000000-0005-0000-0000-00007B390000}"/>
    <cellStyle name="40% - uthevingsfarge 4 29 3 3" xfId="4872" xr:uid="{00000000-0005-0000-0000-00007C390000}"/>
    <cellStyle name="40% - uthevingsfarge 4 29 3 3 10" xfId="47302" xr:uid="{00000000-0005-0000-0000-00007D390000}"/>
    <cellStyle name="40% - uthevingsfarge 4 29 3 3 2" xfId="6591" xr:uid="{00000000-0005-0000-0000-00007E390000}"/>
    <cellStyle name="40% - uthevingsfarge 4 29 3 3 2 2" xfId="9997" xr:uid="{00000000-0005-0000-0000-00007F390000}"/>
    <cellStyle name="40% - uthevingsfarge 4 29 3 3 2 2 2" xfId="23598" xr:uid="{00000000-0005-0000-0000-000080390000}"/>
    <cellStyle name="40% - uthevingsfarge 4 29 3 3 2 2 2 2" xfId="39654" xr:uid="{00000000-0005-0000-0000-000081390000}"/>
    <cellStyle name="40% - uthevingsfarge 4 29 3 3 2 2 3" xfId="27802" xr:uid="{00000000-0005-0000-0000-000082390000}"/>
    <cellStyle name="40% - uthevingsfarge 4 29 3 3 2 3" xfId="22368" xr:uid="{00000000-0005-0000-0000-000083390000}"/>
    <cellStyle name="40% - uthevingsfarge 4 29 3 3 2 3 2" xfId="38440" xr:uid="{00000000-0005-0000-0000-000084390000}"/>
    <cellStyle name="40% - uthevingsfarge 4 29 3 3 2 4" xfId="31203" xr:uid="{00000000-0005-0000-0000-000085390000}"/>
    <cellStyle name="40% - uthevingsfarge 4 29 3 3 2 5" xfId="42857" xr:uid="{00000000-0005-0000-0000-000086390000}"/>
    <cellStyle name="40% - uthevingsfarge 4 29 3 3 2 6" xfId="43295" xr:uid="{00000000-0005-0000-0000-000087390000}"/>
    <cellStyle name="40% - uthevingsfarge 4 29 3 3 2 7" xfId="46143" xr:uid="{00000000-0005-0000-0000-000088390000}"/>
    <cellStyle name="40% - uthevingsfarge 4 29 3 3 2 8" xfId="46912" xr:uid="{00000000-0005-0000-0000-000089390000}"/>
    <cellStyle name="40% - uthevingsfarge 4 29 3 3 2 9" xfId="47498" xr:uid="{00000000-0005-0000-0000-00008A390000}"/>
    <cellStyle name="40% - uthevingsfarge 4 29 3 3 3" xfId="8294" xr:uid="{00000000-0005-0000-0000-00008B390000}"/>
    <cellStyle name="40% - uthevingsfarge 4 29 3 3 3 2" xfId="10581" xr:uid="{00000000-0005-0000-0000-00008C390000}"/>
    <cellStyle name="40% - uthevingsfarge 4 29 3 3 3 2 2" xfId="34435" xr:uid="{00000000-0005-0000-0000-00008D390000}"/>
    <cellStyle name="40% - uthevingsfarge 4 29 3 3 3 3" xfId="29503" xr:uid="{00000000-0005-0000-0000-00008E390000}"/>
    <cellStyle name="40% - uthevingsfarge 4 29 3 3 3 4" xfId="43951" xr:uid="{00000000-0005-0000-0000-00008F390000}"/>
    <cellStyle name="40% - uthevingsfarge 4 29 3 3 4" xfId="16302" xr:uid="{00000000-0005-0000-0000-000090390000}"/>
    <cellStyle name="40% - uthevingsfarge 4 29 3 3 4 2" xfId="35390" xr:uid="{00000000-0005-0000-0000-000091390000}"/>
    <cellStyle name="40% - uthevingsfarge 4 29 3 3 5" xfId="25049" xr:uid="{00000000-0005-0000-0000-000092390000}"/>
    <cellStyle name="40% - uthevingsfarge 4 29 3 3 6" xfId="25315" xr:uid="{00000000-0005-0000-0000-000093390000}"/>
    <cellStyle name="40% - uthevingsfarge 4 29 3 3 7" xfId="32895" xr:uid="{00000000-0005-0000-0000-000094390000}"/>
    <cellStyle name="40% - uthevingsfarge 4 29 3 3 8" xfId="43755" xr:uid="{00000000-0005-0000-0000-000095390000}"/>
    <cellStyle name="40% - uthevingsfarge 4 29 3 3 9" xfId="46681" xr:uid="{00000000-0005-0000-0000-000096390000}"/>
    <cellStyle name="40% - uthevingsfarge 4 29 3 4" xfId="5428" xr:uid="{00000000-0005-0000-0000-000097390000}"/>
    <cellStyle name="40% - uthevingsfarge 4 29 3 4 2" xfId="8843" xr:uid="{00000000-0005-0000-0000-000098390000}"/>
    <cellStyle name="40% - uthevingsfarge 4 29 3 4 2 2" xfId="24421" xr:uid="{00000000-0005-0000-0000-000099390000}"/>
    <cellStyle name="40% - uthevingsfarge 4 29 3 4 2 2 2" xfId="40465" xr:uid="{00000000-0005-0000-0000-00009A390000}"/>
    <cellStyle name="40% - uthevingsfarge 4 29 3 4 2 3" xfId="28955" xr:uid="{00000000-0005-0000-0000-00009B390000}"/>
    <cellStyle name="40% - uthevingsfarge 4 29 3 4 3" xfId="19832" xr:uid="{00000000-0005-0000-0000-00009C390000}"/>
    <cellStyle name="40% - uthevingsfarge 4 29 3 4 3 2" xfId="35945" xr:uid="{00000000-0005-0000-0000-00009D390000}"/>
    <cellStyle name="40% - uthevingsfarge 4 29 3 4 4" xfId="32346" xr:uid="{00000000-0005-0000-0000-00009E390000}"/>
    <cellStyle name="40% - uthevingsfarge 4 29 3 5" xfId="7144" xr:uid="{00000000-0005-0000-0000-00009F390000}"/>
    <cellStyle name="40% - uthevingsfarge 4 29 3 5 2" xfId="10641" xr:uid="{00000000-0005-0000-0000-0000A0390000}"/>
    <cellStyle name="40% - uthevingsfarge 4 29 3 5 2 2" xfId="34489" xr:uid="{00000000-0005-0000-0000-0000A1390000}"/>
    <cellStyle name="40% - uthevingsfarge 4 29 3 5 3" xfId="30654" xr:uid="{00000000-0005-0000-0000-0000A2390000}"/>
    <cellStyle name="40% - uthevingsfarge 4 29 3 6" xfId="11195" xr:uid="{00000000-0005-0000-0000-0000A3390000}"/>
    <cellStyle name="40% - uthevingsfarge 4 29 3 7" xfId="34041" xr:uid="{00000000-0005-0000-0000-0000A4390000}"/>
    <cellStyle name="40% - uthevingsfarge 4 29 3 8" xfId="43547" xr:uid="{00000000-0005-0000-0000-0000A5390000}"/>
    <cellStyle name="40% - uthevingsfarge 4 29 3 9" xfId="46451" xr:uid="{00000000-0005-0000-0000-0000A6390000}"/>
    <cellStyle name="40% - uthevingsfarge 4 29 3_Avviksanalyse løpende RNB15 (1)" xfId="16640" xr:uid="{00000000-0005-0000-0000-0000A7390000}"/>
    <cellStyle name="40% - uthevingsfarge 4 29 4" xfId="3753" xr:uid="{00000000-0005-0000-0000-0000A8390000}"/>
    <cellStyle name="40% - uthevingsfarge 4 29 4 2" xfId="5641" xr:uid="{00000000-0005-0000-0000-0000A9390000}"/>
    <cellStyle name="40% - uthevingsfarge 4 29 4 2 2" xfId="9056" xr:uid="{00000000-0005-0000-0000-0000AA390000}"/>
    <cellStyle name="40% - uthevingsfarge 4 29 4 2 2 2" xfId="23448" xr:uid="{00000000-0005-0000-0000-0000AB390000}"/>
    <cellStyle name="40% - uthevingsfarge 4 29 4 2 2 2 2" xfId="39504" xr:uid="{00000000-0005-0000-0000-0000AC390000}"/>
    <cellStyle name="40% - uthevingsfarge 4 29 4 2 2 3" xfId="28742" xr:uid="{00000000-0005-0000-0000-0000AD390000}"/>
    <cellStyle name="40% - uthevingsfarge 4 29 4 2 3" xfId="22889" xr:uid="{00000000-0005-0000-0000-0000AE390000}"/>
    <cellStyle name="40% - uthevingsfarge 4 29 4 2 3 2" xfId="38958" xr:uid="{00000000-0005-0000-0000-0000AF390000}"/>
    <cellStyle name="40% - uthevingsfarge 4 29 4 2 4" xfId="32133" xr:uid="{00000000-0005-0000-0000-0000B0390000}"/>
    <cellStyle name="40% - uthevingsfarge 4 29 4 3" xfId="7359" xr:uid="{00000000-0005-0000-0000-0000B1390000}"/>
    <cellStyle name="40% - uthevingsfarge 4 29 4 3 2" xfId="22194" xr:uid="{00000000-0005-0000-0000-0000B2390000}"/>
    <cellStyle name="40% - uthevingsfarge 4 29 4 3 2 2" xfId="38268" xr:uid="{00000000-0005-0000-0000-0000B3390000}"/>
    <cellStyle name="40% - uthevingsfarge 4 29 4 3 3" xfId="30439" xr:uid="{00000000-0005-0000-0000-0000B4390000}"/>
    <cellStyle name="40% - uthevingsfarge 4 29 4 4" xfId="11074" xr:uid="{00000000-0005-0000-0000-0000B5390000}"/>
    <cellStyle name="40% - uthevingsfarge 4 29 4 4 2" xfId="34778" xr:uid="{00000000-0005-0000-0000-0000B6390000}"/>
    <cellStyle name="40% - uthevingsfarge 4 29 4 5" xfId="33826" xr:uid="{00000000-0005-0000-0000-0000B7390000}"/>
    <cellStyle name="40% - uthevingsfarge 4 29 5" xfId="4252" xr:uid="{00000000-0005-0000-0000-0000B8390000}"/>
    <cellStyle name="40% - uthevingsfarge 4 29 5 2" xfId="6084" xr:uid="{00000000-0005-0000-0000-0000B9390000}"/>
    <cellStyle name="40% - uthevingsfarge 4 29 5 2 2" xfId="9499" xr:uid="{00000000-0005-0000-0000-0000BA390000}"/>
    <cellStyle name="40% - uthevingsfarge 4 29 5 2 2 2" xfId="24523" xr:uid="{00000000-0005-0000-0000-0000BB390000}"/>
    <cellStyle name="40% - uthevingsfarge 4 29 5 2 2 2 2" xfId="40567" xr:uid="{00000000-0005-0000-0000-0000BC390000}"/>
    <cellStyle name="40% - uthevingsfarge 4 29 5 2 2 3" xfId="28299" xr:uid="{00000000-0005-0000-0000-0000BD390000}"/>
    <cellStyle name="40% - uthevingsfarge 4 29 5 2 3" xfId="23975" xr:uid="{00000000-0005-0000-0000-0000BE390000}"/>
    <cellStyle name="40% - uthevingsfarge 4 29 5 2 3 2" xfId="40029" xr:uid="{00000000-0005-0000-0000-0000BF390000}"/>
    <cellStyle name="40% - uthevingsfarge 4 29 5 2 4" xfId="31694" xr:uid="{00000000-0005-0000-0000-0000C0390000}"/>
    <cellStyle name="40% - uthevingsfarge 4 29 5 3" xfId="7818" xr:uid="{00000000-0005-0000-0000-0000C1390000}"/>
    <cellStyle name="40% - uthevingsfarge 4 29 5 3 2" xfId="21756" xr:uid="{00000000-0005-0000-0000-0000C2390000}"/>
    <cellStyle name="40% - uthevingsfarge 4 29 5 3 2 2" xfId="37834" xr:uid="{00000000-0005-0000-0000-0000C3390000}"/>
    <cellStyle name="40% - uthevingsfarge 4 29 5 3 3" xfId="29981" xr:uid="{00000000-0005-0000-0000-0000C4390000}"/>
    <cellStyle name="40% - uthevingsfarge 4 29 5 4" xfId="21838" xr:uid="{00000000-0005-0000-0000-0000C5390000}"/>
    <cellStyle name="40% - uthevingsfarge 4 29 5 4 2" xfId="37914" xr:uid="{00000000-0005-0000-0000-0000C6390000}"/>
    <cellStyle name="40% - uthevingsfarge 4 29 5 5" xfId="33369" xr:uid="{00000000-0005-0000-0000-0000C7390000}"/>
    <cellStyle name="40% - uthevingsfarge 4 29 6" xfId="4688" xr:uid="{00000000-0005-0000-0000-0000C8390000}"/>
    <cellStyle name="40% - uthevingsfarge 4 29 6 2" xfId="6408" xr:uid="{00000000-0005-0000-0000-0000C9390000}"/>
    <cellStyle name="40% - uthevingsfarge 4 29 6 2 2" xfId="9818" xr:uid="{00000000-0005-0000-0000-0000CA390000}"/>
    <cellStyle name="40% - uthevingsfarge 4 29 6 2 2 2" xfId="21496" xr:uid="{00000000-0005-0000-0000-0000CB390000}"/>
    <cellStyle name="40% - uthevingsfarge 4 29 6 2 2 2 2" xfId="37576" xr:uid="{00000000-0005-0000-0000-0000CC390000}"/>
    <cellStyle name="40% - uthevingsfarge 4 29 6 2 2 3" xfId="27981" xr:uid="{00000000-0005-0000-0000-0000CD390000}"/>
    <cellStyle name="40% - uthevingsfarge 4 29 6 2 3" xfId="22129" xr:uid="{00000000-0005-0000-0000-0000CE390000}"/>
    <cellStyle name="40% - uthevingsfarge 4 29 6 2 3 2" xfId="38203" xr:uid="{00000000-0005-0000-0000-0000CF390000}"/>
    <cellStyle name="40% - uthevingsfarge 4 29 6 2 4" xfId="31382" xr:uid="{00000000-0005-0000-0000-0000D0390000}"/>
    <cellStyle name="40% - uthevingsfarge 4 29 6 3" xfId="8114" xr:uid="{00000000-0005-0000-0000-0000D1390000}"/>
    <cellStyle name="40% - uthevingsfarge 4 29 6 3 2" xfId="23315" xr:uid="{00000000-0005-0000-0000-0000D2390000}"/>
    <cellStyle name="40% - uthevingsfarge 4 29 6 3 2 2" xfId="39381" xr:uid="{00000000-0005-0000-0000-0000D3390000}"/>
    <cellStyle name="40% - uthevingsfarge 4 29 6 3 3" xfId="29684" xr:uid="{00000000-0005-0000-0000-0000D4390000}"/>
    <cellStyle name="40% - uthevingsfarge 4 29 6 4" xfId="12287" xr:uid="{00000000-0005-0000-0000-0000D5390000}"/>
    <cellStyle name="40% - uthevingsfarge 4 29 6 4 2" xfId="35163" xr:uid="{00000000-0005-0000-0000-0000D6390000}"/>
    <cellStyle name="40% - uthevingsfarge 4 29 6 5" xfId="33075" xr:uid="{00000000-0005-0000-0000-0000D7390000}"/>
    <cellStyle name="40% - uthevingsfarge 4 29 7" xfId="5052" xr:uid="{00000000-0005-0000-0000-0000D8390000}"/>
    <cellStyle name="40% - uthevingsfarge 4 29 7 2" xfId="6771" xr:uid="{00000000-0005-0000-0000-0000D9390000}"/>
    <cellStyle name="40% - uthevingsfarge 4 29 7 2 2" xfId="10177" xr:uid="{00000000-0005-0000-0000-0000DA390000}"/>
    <cellStyle name="40% - uthevingsfarge 4 29 7 2 2 2" xfId="22634" xr:uid="{00000000-0005-0000-0000-0000DB390000}"/>
    <cellStyle name="40% - uthevingsfarge 4 29 7 2 2 2 2" xfId="38703" xr:uid="{00000000-0005-0000-0000-0000DC390000}"/>
    <cellStyle name="40% - uthevingsfarge 4 29 7 2 2 3" xfId="27622" xr:uid="{00000000-0005-0000-0000-0000DD390000}"/>
    <cellStyle name="40% - uthevingsfarge 4 29 7 2 3" xfId="22385" xr:uid="{00000000-0005-0000-0000-0000DE390000}"/>
    <cellStyle name="40% - uthevingsfarge 4 29 7 2 3 2" xfId="38457" xr:uid="{00000000-0005-0000-0000-0000DF390000}"/>
    <cellStyle name="40% - uthevingsfarge 4 29 7 2 4" xfId="31023" xr:uid="{00000000-0005-0000-0000-0000E0390000}"/>
    <cellStyle name="40% - uthevingsfarge 4 29 7 3" xfId="8474" xr:uid="{00000000-0005-0000-0000-0000E1390000}"/>
    <cellStyle name="40% - uthevingsfarge 4 29 7 3 2" xfId="21102" xr:uid="{00000000-0005-0000-0000-0000E2390000}"/>
    <cellStyle name="40% - uthevingsfarge 4 29 7 3 2 2" xfId="37185" xr:uid="{00000000-0005-0000-0000-0000E3390000}"/>
    <cellStyle name="40% - uthevingsfarge 4 29 7 3 3" xfId="29324" xr:uid="{00000000-0005-0000-0000-0000E4390000}"/>
    <cellStyle name="40% - uthevingsfarge 4 29 7 4" xfId="19738" xr:uid="{00000000-0005-0000-0000-0000E5390000}"/>
    <cellStyle name="40% - uthevingsfarge 4 29 7 4 2" xfId="35852" xr:uid="{00000000-0005-0000-0000-0000E6390000}"/>
    <cellStyle name="40% - uthevingsfarge 4 29 7 5" xfId="32715" xr:uid="{00000000-0005-0000-0000-0000E7390000}"/>
    <cellStyle name="40% - uthevingsfarge 4 29 8" xfId="5252" xr:uid="{00000000-0005-0000-0000-0000E8390000}"/>
    <cellStyle name="40% - uthevingsfarge 4 29 8 2" xfId="8667" xr:uid="{00000000-0005-0000-0000-0000E9390000}"/>
    <cellStyle name="40% - uthevingsfarge 4 29 8 2 2" xfId="21157" xr:uid="{00000000-0005-0000-0000-0000EA390000}"/>
    <cellStyle name="40% - uthevingsfarge 4 29 8 2 2 2" xfId="37237" xr:uid="{00000000-0005-0000-0000-0000EB390000}"/>
    <cellStyle name="40% - uthevingsfarge 4 29 8 2 3" xfId="29131" xr:uid="{00000000-0005-0000-0000-0000EC390000}"/>
    <cellStyle name="40% - uthevingsfarge 4 29 8 3" xfId="10776" xr:uid="{00000000-0005-0000-0000-0000ED390000}"/>
    <cellStyle name="40% - uthevingsfarge 4 29 8 3 2" xfId="34599" xr:uid="{00000000-0005-0000-0000-0000EE390000}"/>
    <cellStyle name="40% - uthevingsfarge 4 29 8 4" xfId="32522" xr:uid="{00000000-0005-0000-0000-0000EF390000}"/>
    <cellStyle name="40% - uthevingsfarge 4 29 9" xfId="6947" xr:uid="{00000000-0005-0000-0000-0000F0390000}"/>
    <cellStyle name="40% - uthevingsfarge 4 29 9 2" xfId="22401" xr:uid="{00000000-0005-0000-0000-0000F1390000}"/>
    <cellStyle name="40% - uthevingsfarge 4 29 9 2 2" xfId="38473" xr:uid="{00000000-0005-0000-0000-0000F2390000}"/>
    <cellStyle name="40% - uthevingsfarge 4 29 9 3" xfId="30851" xr:uid="{00000000-0005-0000-0000-0000F3390000}"/>
    <cellStyle name="40% - uthevingsfarge 4 3" xfId="882" xr:uid="{00000000-0005-0000-0000-0000F4390000}"/>
    <cellStyle name="40% - uthevingsfarge 4 3 2" xfId="883" xr:uid="{00000000-0005-0000-0000-0000F5390000}"/>
    <cellStyle name="40% - uthevingsfarge 4 30" xfId="884" xr:uid="{00000000-0005-0000-0000-0000F6390000}"/>
    <cellStyle name="40% - uthevingsfarge 4 30 10" xfId="11197" xr:uid="{00000000-0005-0000-0000-0000F7390000}"/>
    <cellStyle name="40% - uthevingsfarge 4 30 11" xfId="34238" xr:uid="{00000000-0005-0000-0000-0000F8390000}"/>
    <cellStyle name="40% - uthevingsfarge 4 30 2" xfId="3350" xr:uid="{00000000-0005-0000-0000-0000F9390000}"/>
    <cellStyle name="40% - uthevingsfarge 4 30 2 10" xfId="34141" xr:uid="{00000000-0005-0000-0000-0000FA390000}"/>
    <cellStyle name="40% - uthevingsfarge 4 30 2 2" xfId="3582" xr:uid="{00000000-0005-0000-0000-0000FB390000}"/>
    <cellStyle name="40% - uthevingsfarge 4 30 2 2 10" xfId="47181" xr:uid="{00000000-0005-0000-0000-0000FC390000}"/>
    <cellStyle name="40% - uthevingsfarge 4 30 2 2 2" xfId="4012" xr:uid="{00000000-0005-0000-0000-0000FD390000}"/>
    <cellStyle name="40% - uthevingsfarge 4 30 2 2 2 2" xfId="5900" xr:uid="{00000000-0005-0000-0000-0000FE390000}"/>
    <cellStyle name="40% - uthevingsfarge 4 30 2 2 2 2 2" xfId="9315" xr:uid="{00000000-0005-0000-0000-0000FF390000}"/>
    <cellStyle name="40% - uthevingsfarge 4 30 2 2 2 2 2 2" xfId="22609" xr:uid="{00000000-0005-0000-0000-0000003A0000}"/>
    <cellStyle name="40% - uthevingsfarge 4 30 2 2 2 2 2 2 2" xfId="38678" xr:uid="{00000000-0005-0000-0000-0000013A0000}"/>
    <cellStyle name="40% - uthevingsfarge 4 30 2 2 2 2 2 3" xfId="28483" xr:uid="{00000000-0005-0000-0000-0000023A0000}"/>
    <cellStyle name="40% - uthevingsfarge 4 30 2 2 2 2 3" xfId="22096" xr:uid="{00000000-0005-0000-0000-0000033A0000}"/>
    <cellStyle name="40% - uthevingsfarge 4 30 2 2 2 2 3 2" xfId="38170" xr:uid="{00000000-0005-0000-0000-0000043A0000}"/>
    <cellStyle name="40% - uthevingsfarge 4 30 2 2 2 2 4" xfId="31876" xr:uid="{00000000-0005-0000-0000-0000053A0000}"/>
    <cellStyle name="40% - uthevingsfarge 4 30 2 2 2 3" xfId="7618" xr:uid="{00000000-0005-0000-0000-0000063A0000}"/>
    <cellStyle name="40% - uthevingsfarge 4 30 2 2 2 3 2" xfId="20839" xr:uid="{00000000-0005-0000-0000-0000073A0000}"/>
    <cellStyle name="40% - uthevingsfarge 4 30 2 2 2 3 2 2" xfId="36938" xr:uid="{00000000-0005-0000-0000-0000083A0000}"/>
    <cellStyle name="40% - uthevingsfarge 4 30 2 2 2 3 3" xfId="30180" xr:uid="{00000000-0005-0000-0000-0000093A0000}"/>
    <cellStyle name="40% - uthevingsfarge 4 30 2 2 2 4" xfId="18033" xr:uid="{00000000-0005-0000-0000-00000A3A0000}"/>
    <cellStyle name="40% - uthevingsfarge 4 30 2 2 2 5" xfId="21830" xr:uid="{00000000-0005-0000-0000-00000B3A0000}"/>
    <cellStyle name="40% - uthevingsfarge 4 30 2 2 2 5 2" xfId="37906" xr:uid="{00000000-0005-0000-0000-00000C3A0000}"/>
    <cellStyle name="40% - uthevingsfarge 4 30 2 2 2 6" xfId="33567" xr:uid="{00000000-0005-0000-0000-00000D3A0000}"/>
    <cellStyle name="40% - uthevingsfarge 4 30 2 2 3" xfId="4952" xr:uid="{00000000-0005-0000-0000-00000E3A0000}"/>
    <cellStyle name="40% - uthevingsfarge 4 30 2 2 3 10" xfId="47371" xr:uid="{00000000-0005-0000-0000-00000F3A0000}"/>
    <cellStyle name="40% - uthevingsfarge 4 30 2 2 3 2" xfId="6671" xr:uid="{00000000-0005-0000-0000-0000103A0000}"/>
    <cellStyle name="40% - uthevingsfarge 4 30 2 2 3 2 2" xfId="10077" xr:uid="{00000000-0005-0000-0000-0000113A0000}"/>
    <cellStyle name="40% - uthevingsfarge 4 30 2 2 3 2 2 2" xfId="23614" xr:uid="{00000000-0005-0000-0000-0000123A0000}"/>
    <cellStyle name="40% - uthevingsfarge 4 30 2 2 3 2 2 2 2" xfId="39670" xr:uid="{00000000-0005-0000-0000-0000133A0000}"/>
    <cellStyle name="40% - uthevingsfarge 4 30 2 2 3 2 2 3" xfId="27722" xr:uid="{00000000-0005-0000-0000-0000143A0000}"/>
    <cellStyle name="40% - uthevingsfarge 4 30 2 2 3 2 3" xfId="10666" xr:uid="{00000000-0005-0000-0000-0000153A0000}"/>
    <cellStyle name="40% - uthevingsfarge 4 30 2 2 3 2 3 2" xfId="34514" xr:uid="{00000000-0005-0000-0000-0000163A0000}"/>
    <cellStyle name="40% - uthevingsfarge 4 30 2 2 3 2 4" xfId="31123" xr:uid="{00000000-0005-0000-0000-0000173A0000}"/>
    <cellStyle name="40% - uthevingsfarge 4 30 2 2 3 2 5" xfId="43065" xr:uid="{00000000-0005-0000-0000-0000183A0000}"/>
    <cellStyle name="40% - uthevingsfarge 4 30 2 2 3 2 6" xfId="43362" xr:uid="{00000000-0005-0000-0000-0000193A0000}"/>
    <cellStyle name="40% - uthevingsfarge 4 30 2 2 3 2 7" xfId="46210" xr:uid="{00000000-0005-0000-0000-00001A3A0000}"/>
    <cellStyle name="40% - uthevingsfarge 4 30 2 2 3 2 8" xfId="46982" xr:uid="{00000000-0005-0000-0000-00001B3A0000}"/>
    <cellStyle name="40% - uthevingsfarge 4 30 2 2 3 2 9" xfId="47567" xr:uid="{00000000-0005-0000-0000-00001C3A0000}"/>
    <cellStyle name="40% - uthevingsfarge 4 30 2 2 3 3" xfId="8374" xr:uid="{00000000-0005-0000-0000-00001D3A0000}"/>
    <cellStyle name="40% - uthevingsfarge 4 30 2 2 3 3 2" xfId="21865" xr:uid="{00000000-0005-0000-0000-00001E3A0000}"/>
    <cellStyle name="40% - uthevingsfarge 4 30 2 2 3 3 2 2" xfId="37941" xr:uid="{00000000-0005-0000-0000-00001F3A0000}"/>
    <cellStyle name="40% - uthevingsfarge 4 30 2 2 3 3 3" xfId="29424" xr:uid="{00000000-0005-0000-0000-0000203A0000}"/>
    <cellStyle name="40% - uthevingsfarge 4 30 2 2 3 3 4" xfId="43952" xr:uid="{00000000-0005-0000-0000-0000213A0000}"/>
    <cellStyle name="40% - uthevingsfarge 4 30 2 2 3 4" xfId="16510" xr:uid="{00000000-0005-0000-0000-0000223A0000}"/>
    <cellStyle name="40% - uthevingsfarge 4 30 2 2 3 4 2" xfId="35457" xr:uid="{00000000-0005-0000-0000-0000233A0000}"/>
    <cellStyle name="40% - uthevingsfarge 4 30 2 2 3 5" xfId="25119" xr:uid="{00000000-0005-0000-0000-0000243A0000}"/>
    <cellStyle name="40% - uthevingsfarge 4 30 2 2 3 6" xfId="25316" xr:uid="{00000000-0005-0000-0000-0000253A0000}"/>
    <cellStyle name="40% - uthevingsfarge 4 30 2 2 3 7" xfId="32815" xr:uid="{00000000-0005-0000-0000-0000263A0000}"/>
    <cellStyle name="40% - uthevingsfarge 4 30 2 2 3 8" xfId="43823" xr:uid="{00000000-0005-0000-0000-0000273A0000}"/>
    <cellStyle name="40% - uthevingsfarge 4 30 2 2 3 9" xfId="46748" xr:uid="{00000000-0005-0000-0000-0000283A0000}"/>
    <cellStyle name="40% - uthevingsfarge 4 30 2 2 4" xfId="5506" xr:uid="{00000000-0005-0000-0000-0000293A0000}"/>
    <cellStyle name="40% - uthevingsfarge 4 30 2 2 4 2" xfId="8921" xr:uid="{00000000-0005-0000-0000-00002A3A0000}"/>
    <cellStyle name="40% - uthevingsfarge 4 30 2 2 4 2 2" xfId="11737" xr:uid="{00000000-0005-0000-0000-00002B3A0000}"/>
    <cellStyle name="40% - uthevingsfarge 4 30 2 2 4 2 2 2" xfId="34849" xr:uid="{00000000-0005-0000-0000-00002C3A0000}"/>
    <cellStyle name="40% - uthevingsfarge 4 30 2 2 4 2 3" xfId="28877" xr:uid="{00000000-0005-0000-0000-00002D3A0000}"/>
    <cellStyle name="40% - uthevingsfarge 4 30 2 2 4 3" xfId="23866" xr:uid="{00000000-0005-0000-0000-00002E3A0000}"/>
    <cellStyle name="40% - uthevingsfarge 4 30 2 2 4 3 2" xfId="39922" xr:uid="{00000000-0005-0000-0000-00002F3A0000}"/>
    <cellStyle name="40% - uthevingsfarge 4 30 2 2 4 4" xfId="32268" xr:uid="{00000000-0005-0000-0000-0000303A0000}"/>
    <cellStyle name="40% - uthevingsfarge 4 30 2 2 5" xfId="7224" xr:uid="{00000000-0005-0000-0000-0000313A0000}"/>
    <cellStyle name="40% - uthevingsfarge 4 30 2 2 5 2" xfId="20701" xr:uid="{00000000-0005-0000-0000-0000323A0000}"/>
    <cellStyle name="40% - uthevingsfarge 4 30 2 2 5 2 2" xfId="36800" xr:uid="{00000000-0005-0000-0000-0000333A0000}"/>
    <cellStyle name="40% - uthevingsfarge 4 30 2 2 5 3" xfId="30574" xr:uid="{00000000-0005-0000-0000-0000343A0000}"/>
    <cellStyle name="40% - uthevingsfarge 4 30 2 2 6" xfId="11199" xr:uid="{00000000-0005-0000-0000-0000353A0000}"/>
    <cellStyle name="40% - uthevingsfarge 4 30 2 2 7" xfId="33961" xr:uid="{00000000-0005-0000-0000-0000363A0000}"/>
    <cellStyle name="40% - uthevingsfarge 4 30 2 2 8" xfId="43614" xr:uid="{00000000-0005-0000-0000-0000373A0000}"/>
    <cellStyle name="40% - uthevingsfarge 4 30 2 2 9" xfId="46520" xr:uid="{00000000-0005-0000-0000-0000383A0000}"/>
    <cellStyle name="40% - uthevingsfarge 4 30 2 2_Avviksanalyse løpende RNB15 (1)" xfId="16641" xr:uid="{00000000-0005-0000-0000-0000393A0000}"/>
    <cellStyle name="40% - uthevingsfarge 4 30 2 3" xfId="3832" xr:uid="{00000000-0005-0000-0000-00003A3A0000}"/>
    <cellStyle name="40% - uthevingsfarge 4 30 2 3 2" xfId="5720" xr:uid="{00000000-0005-0000-0000-00003B3A0000}"/>
    <cellStyle name="40% - uthevingsfarge 4 30 2 3 2 2" xfId="9135" xr:uid="{00000000-0005-0000-0000-00003C3A0000}"/>
    <cellStyle name="40% - uthevingsfarge 4 30 2 3 2 2 2" xfId="23460" xr:uid="{00000000-0005-0000-0000-00003D3A0000}"/>
    <cellStyle name="40% - uthevingsfarge 4 30 2 3 2 2 2 2" xfId="39516" xr:uid="{00000000-0005-0000-0000-00003E3A0000}"/>
    <cellStyle name="40% - uthevingsfarge 4 30 2 3 2 2 3" xfId="28663" xr:uid="{00000000-0005-0000-0000-00003F3A0000}"/>
    <cellStyle name="40% - uthevingsfarge 4 30 2 3 2 3" xfId="10366" xr:uid="{00000000-0005-0000-0000-0000403A0000}"/>
    <cellStyle name="40% - uthevingsfarge 4 30 2 3 2 3 2" xfId="34330" xr:uid="{00000000-0005-0000-0000-0000413A0000}"/>
    <cellStyle name="40% - uthevingsfarge 4 30 2 3 2 4" xfId="32054" xr:uid="{00000000-0005-0000-0000-0000423A0000}"/>
    <cellStyle name="40% - uthevingsfarge 4 30 2 3 3" xfId="7438" xr:uid="{00000000-0005-0000-0000-0000433A0000}"/>
    <cellStyle name="40% - uthevingsfarge 4 30 2 3 3 2" xfId="20782" xr:uid="{00000000-0005-0000-0000-0000443A0000}"/>
    <cellStyle name="40% - uthevingsfarge 4 30 2 3 3 2 2" xfId="36881" xr:uid="{00000000-0005-0000-0000-0000453A0000}"/>
    <cellStyle name="40% - uthevingsfarge 4 30 2 3 3 3" xfId="30360" xr:uid="{00000000-0005-0000-0000-0000463A0000}"/>
    <cellStyle name="40% - uthevingsfarge 4 30 2 3 4" xfId="22783" xr:uid="{00000000-0005-0000-0000-0000473A0000}"/>
    <cellStyle name="40% - uthevingsfarge 4 30 2 3 4 2" xfId="38852" xr:uid="{00000000-0005-0000-0000-0000483A0000}"/>
    <cellStyle name="40% - uthevingsfarge 4 30 2 3 5" xfId="33747" xr:uid="{00000000-0005-0000-0000-0000493A0000}"/>
    <cellStyle name="40% - uthevingsfarge 4 30 2 4" xfId="4317" xr:uid="{00000000-0005-0000-0000-00004A3A0000}"/>
    <cellStyle name="40% - uthevingsfarge 4 30 2 4 2" xfId="6146" xr:uid="{00000000-0005-0000-0000-00004B3A0000}"/>
    <cellStyle name="40% - uthevingsfarge 4 30 2 4 2 2" xfId="9560" xr:uid="{00000000-0005-0000-0000-00004C3A0000}"/>
    <cellStyle name="40% - uthevingsfarge 4 30 2 4 2 2 2" xfId="19412" xr:uid="{00000000-0005-0000-0000-00004D3A0000}"/>
    <cellStyle name="40% - uthevingsfarge 4 30 2 4 2 2 2 2" xfId="35526" xr:uid="{00000000-0005-0000-0000-00004E3A0000}"/>
    <cellStyle name="40% - uthevingsfarge 4 30 2 4 2 2 3" xfId="28238" xr:uid="{00000000-0005-0000-0000-00004F3A0000}"/>
    <cellStyle name="40% - uthevingsfarge 4 30 2 4 2 3" xfId="22983" xr:uid="{00000000-0005-0000-0000-0000503A0000}"/>
    <cellStyle name="40% - uthevingsfarge 4 30 2 4 2 3 2" xfId="39052" xr:uid="{00000000-0005-0000-0000-0000513A0000}"/>
    <cellStyle name="40% - uthevingsfarge 4 30 2 4 2 4" xfId="34313" xr:uid="{00000000-0005-0000-0000-0000523A0000}"/>
    <cellStyle name="40% - uthevingsfarge 4 30 2 4 3" xfId="7879" xr:uid="{00000000-0005-0000-0000-0000533A0000}"/>
    <cellStyle name="40% - uthevingsfarge 4 30 2 4 3 2" xfId="10621" xr:uid="{00000000-0005-0000-0000-0000543A0000}"/>
    <cellStyle name="40% - uthevingsfarge 4 30 2 4 3 2 2" xfId="34469" xr:uid="{00000000-0005-0000-0000-0000553A0000}"/>
    <cellStyle name="40% - uthevingsfarge 4 30 2 4 3 3" xfId="29920" xr:uid="{00000000-0005-0000-0000-0000563A0000}"/>
    <cellStyle name="40% - uthevingsfarge 4 30 2 4 4" xfId="20003" xr:uid="{00000000-0005-0000-0000-0000573A0000}"/>
    <cellStyle name="40% - uthevingsfarge 4 30 2 4 4 2" xfId="36107" xr:uid="{00000000-0005-0000-0000-0000583A0000}"/>
    <cellStyle name="40% - uthevingsfarge 4 30 2 4 5" xfId="33308" xr:uid="{00000000-0005-0000-0000-0000593A0000}"/>
    <cellStyle name="40% - uthevingsfarge 4 30 2 5" xfId="4772" xr:uid="{00000000-0005-0000-0000-00005A3A0000}"/>
    <cellStyle name="40% - uthevingsfarge 4 30 2 5 2" xfId="6492" xr:uid="{00000000-0005-0000-0000-00005B3A0000}"/>
    <cellStyle name="40% - uthevingsfarge 4 30 2 5 2 2" xfId="9898" xr:uid="{00000000-0005-0000-0000-00005C3A0000}"/>
    <cellStyle name="40% - uthevingsfarge 4 30 2 5 2 2 2" xfId="19880" xr:uid="{00000000-0005-0000-0000-00005D3A0000}"/>
    <cellStyle name="40% - uthevingsfarge 4 30 2 5 2 2 2 2" xfId="35993" xr:uid="{00000000-0005-0000-0000-00005E3A0000}"/>
    <cellStyle name="40% - uthevingsfarge 4 30 2 5 2 2 3" xfId="27901" xr:uid="{00000000-0005-0000-0000-00005F3A0000}"/>
    <cellStyle name="40% - uthevingsfarge 4 30 2 5 2 3" xfId="20473" xr:uid="{00000000-0005-0000-0000-0000603A0000}"/>
    <cellStyle name="40% - uthevingsfarge 4 30 2 5 2 3 2" xfId="36572" xr:uid="{00000000-0005-0000-0000-0000613A0000}"/>
    <cellStyle name="40% - uthevingsfarge 4 30 2 5 2 4" xfId="31302" xr:uid="{00000000-0005-0000-0000-0000623A0000}"/>
    <cellStyle name="40% - uthevingsfarge 4 30 2 5 3" xfId="8194" xr:uid="{00000000-0005-0000-0000-0000633A0000}"/>
    <cellStyle name="40% - uthevingsfarge 4 30 2 5 3 2" xfId="21028" xr:uid="{00000000-0005-0000-0000-0000643A0000}"/>
    <cellStyle name="40% - uthevingsfarge 4 30 2 5 3 2 2" xfId="37121" xr:uid="{00000000-0005-0000-0000-0000653A0000}"/>
    <cellStyle name="40% - uthevingsfarge 4 30 2 5 3 3" xfId="29603" xr:uid="{00000000-0005-0000-0000-0000663A0000}"/>
    <cellStyle name="40% - uthevingsfarge 4 30 2 5 4" xfId="23711" xr:uid="{00000000-0005-0000-0000-0000673A0000}"/>
    <cellStyle name="40% - uthevingsfarge 4 30 2 5 4 2" xfId="39767" xr:uid="{00000000-0005-0000-0000-0000683A0000}"/>
    <cellStyle name="40% - uthevingsfarge 4 30 2 5 5" xfId="32995" xr:uid="{00000000-0005-0000-0000-0000693A0000}"/>
    <cellStyle name="40% - uthevingsfarge 4 30 2 6" xfId="5132" xr:uid="{00000000-0005-0000-0000-00006A3A0000}"/>
    <cellStyle name="40% - uthevingsfarge 4 30 2 6 2" xfId="6851" xr:uid="{00000000-0005-0000-0000-00006B3A0000}"/>
    <cellStyle name="40% - uthevingsfarge 4 30 2 6 2 2" xfId="10257" xr:uid="{00000000-0005-0000-0000-00006C3A0000}"/>
    <cellStyle name="40% - uthevingsfarge 4 30 2 6 2 2 2" xfId="24700" xr:uid="{00000000-0005-0000-0000-00006D3A0000}"/>
    <cellStyle name="40% - uthevingsfarge 4 30 2 6 2 2 2 2" xfId="40743" xr:uid="{00000000-0005-0000-0000-00006E3A0000}"/>
    <cellStyle name="40% - uthevingsfarge 4 30 2 6 2 2 3" xfId="27542" xr:uid="{00000000-0005-0000-0000-00006F3A0000}"/>
    <cellStyle name="40% - uthevingsfarge 4 30 2 6 2 3" xfId="22695" xr:uid="{00000000-0005-0000-0000-0000703A0000}"/>
    <cellStyle name="40% - uthevingsfarge 4 30 2 6 2 3 2" xfId="38764" xr:uid="{00000000-0005-0000-0000-0000713A0000}"/>
    <cellStyle name="40% - uthevingsfarge 4 30 2 6 2 4" xfId="30943" xr:uid="{00000000-0005-0000-0000-0000723A0000}"/>
    <cellStyle name="40% - uthevingsfarge 4 30 2 6 3" xfId="8554" xr:uid="{00000000-0005-0000-0000-0000733A0000}"/>
    <cellStyle name="40% - uthevingsfarge 4 30 2 6 3 2" xfId="19870" xr:uid="{00000000-0005-0000-0000-0000743A0000}"/>
    <cellStyle name="40% - uthevingsfarge 4 30 2 6 3 2 2" xfId="35983" xr:uid="{00000000-0005-0000-0000-0000753A0000}"/>
    <cellStyle name="40% - uthevingsfarge 4 30 2 6 3 3" xfId="29244" xr:uid="{00000000-0005-0000-0000-0000763A0000}"/>
    <cellStyle name="40% - uthevingsfarge 4 30 2 6 4" xfId="19762" xr:uid="{00000000-0005-0000-0000-0000773A0000}"/>
    <cellStyle name="40% - uthevingsfarge 4 30 2 6 4 2" xfId="35876" xr:uid="{00000000-0005-0000-0000-0000783A0000}"/>
    <cellStyle name="40% - uthevingsfarge 4 30 2 6 5" xfId="32635" xr:uid="{00000000-0005-0000-0000-0000793A0000}"/>
    <cellStyle name="40% - uthevingsfarge 4 30 2 7" xfId="5311" xr:uid="{00000000-0005-0000-0000-00007A3A0000}"/>
    <cellStyle name="40% - uthevingsfarge 4 30 2 7 2" xfId="8726" xr:uid="{00000000-0005-0000-0000-00007B3A0000}"/>
    <cellStyle name="40% - uthevingsfarge 4 30 2 7 2 2" xfId="22480" xr:uid="{00000000-0005-0000-0000-00007C3A0000}"/>
    <cellStyle name="40% - uthevingsfarge 4 30 2 7 2 2 2" xfId="38552" xr:uid="{00000000-0005-0000-0000-00007D3A0000}"/>
    <cellStyle name="40% - uthevingsfarge 4 30 2 7 2 3" xfId="29072" xr:uid="{00000000-0005-0000-0000-00007E3A0000}"/>
    <cellStyle name="40% - uthevingsfarge 4 30 2 7 3" xfId="12079" xr:uid="{00000000-0005-0000-0000-00007F3A0000}"/>
    <cellStyle name="40% - uthevingsfarge 4 30 2 7 3 2" xfId="35060" xr:uid="{00000000-0005-0000-0000-0000803A0000}"/>
    <cellStyle name="40% - uthevingsfarge 4 30 2 7 4" xfId="32463" xr:uid="{00000000-0005-0000-0000-0000813A0000}"/>
    <cellStyle name="40% - uthevingsfarge 4 30 2 8" xfId="7044" xr:uid="{00000000-0005-0000-0000-0000823A0000}"/>
    <cellStyle name="40% - uthevingsfarge 4 30 2 8 2" xfId="22412" xr:uid="{00000000-0005-0000-0000-0000833A0000}"/>
    <cellStyle name="40% - uthevingsfarge 4 30 2 8 2 2" xfId="38484" xr:uid="{00000000-0005-0000-0000-0000843A0000}"/>
    <cellStyle name="40% - uthevingsfarge 4 30 2 8 3" xfId="30754" xr:uid="{00000000-0005-0000-0000-0000853A0000}"/>
    <cellStyle name="40% - uthevingsfarge 4 30 2 9" xfId="11198" xr:uid="{00000000-0005-0000-0000-0000863A0000}"/>
    <cellStyle name="40% - uthevingsfarge 4 30 3" xfId="3497" xr:uid="{00000000-0005-0000-0000-0000873A0000}"/>
    <cellStyle name="40% - uthevingsfarge 4 30 3 10" xfId="47113" xr:uid="{00000000-0005-0000-0000-0000883A0000}"/>
    <cellStyle name="40% - uthevingsfarge 4 30 3 2" xfId="3933" xr:uid="{00000000-0005-0000-0000-0000893A0000}"/>
    <cellStyle name="40% - uthevingsfarge 4 30 3 2 2" xfId="5821" xr:uid="{00000000-0005-0000-0000-00008A3A0000}"/>
    <cellStyle name="40% - uthevingsfarge 4 30 3 2 2 2" xfId="9236" xr:uid="{00000000-0005-0000-0000-00008B3A0000}"/>
    <cellStyle name="40% - uthevingsfarge 4 30 3 2 2 2 2" xfId="21326" xr:uid="{00000000-0005-0000-0000-00008C3A0000}"/>
    <cellStyle name="40% - uthevingsfarge 4 30 3 2 2 2 2 2" xfId="37406" xr:uid="{00000000-0005-0000-0000-00008D3A0000}"/>
    <cellStyle name="40% - uthevingsfarge 4 30 3 2 2 2 3" xfId="28562" xr:uid="{00000000-0005-0000-0000-00008E3A0000}"/>
    <cellStyle name="40% - uthevingsfarge 4 30 3 2 2 3" xfId="20216" xr:uid="{00000000-0005-0000-0000-00008F3A0000}"/>
    <cellStyle name="40% - uthevingsfarge 4 30 3 2 2 3 2" xfId="36315" xr:uid="{00000000-0005-0000-0000-0000903A0000}"/>
    <cellStyle name="40% - uthevingsfarge 4 30 3 2 2 4" xfId="31953" xr:uid="{00000000-0005-0000-0000-0000913A0000}"/>
    <cellStyle name="40% - uthevingsfarge 4 30 3 2 3" xfId="7539" xr:uid="{00000000-0005-0000-0000-0000923A0000}"/>
    <cellStyle name="40% - uthevingsfarge 4 30 3 2 3 2" xfId="20812" xr:uid="{00000000-0005-0000-0000-0000933A0000}"/>
    <cellStyle name="40% - uthevingsfarge 4 30 3 2 3 2 2" xfId="36911" xr:uid="{00000000-0005-0000-0000-0000943A0000}"/>
    <cellStyle name="40% - uthevingsfarge 4 30 3 2 3 3" xfId="30259" xr:uid="{00000000-0005-0000-0000-0000953A0000}"/>
    <cellStyle name="40% - uthevingsfarge 4 30 3 2 4" xfId="18034" xr:uid="{00000000-0005-0000-0000-0000963A0000}"/>
    <cellStyle name="40% - uthevingsfarge 4 30 3 2 5" xfId="11050" xr:uid="{00000000-0005-0000-0000-0000973A0000}"/>
    <cellStyle name="40% - uthevingsfarge 4 30 3 2 5 2" xfId="34758" xr:uid="{00000000-0005-0000-0000-0000983A0000}"/>
    <cellStyle name="40% - uthevingsfarge 4 30 3 2 6" xfId="33646" xr:uid="{00000000-0005-0000-0000-0000993A0000}"/>
    <cellStyle name="40% - uthevingsfarge 4 30 3 3" xfId="4873" xr:uid="{00000000-0005-0000-0000-00009A3A0000}"/>
    <cellStyle name="40% - uthevingsfarge 4 30 3 3 10" xfId="47303" xr:uid="{00000000-0005-0000-0000-00009B3A0000}"/>
    <cellStyle name="40% - uthevingsfarge 4 30 3 3 2" xfId="6592" xr:uid="{00000000-0005-0000-0000-00009C3A0000}"/>
    <cellStyle name="40% - uthevingsfarge 4 30 3 3 2 2" xfId="9998" xr:uid="{00000000-0005-0000-0000-00009D3A0000}"/>
    <cellStyle name="40% - uthevingsfarge 4 30 3 3 2 2 2" xfId="21565" xr:uid="{00000000-0005-0000-0000-00009E3A0000}"/>
    <cellStyle name="40% - uthevingsfarge 4 30 3 3 2 2 2 2" xfId="37645" xr:uid="{00000000-0005-0000-0000-00009F3A0000}"/>
    <cellStyle name="40% - uthevingsfarge 4 30 3 3 2 2 3" xfId="27801" xr:uid="{00000000-0005-0000-0000-0000A03A0000}"/>
    <cellStyle name="40% - uthevingsfarge 4 30 3 3 2 3" xfId="23068" xr:uid="{00000000-0005-0000-0000-0000A13A0000}"/>
    <cellStyle name="40% - uthevingsfarge 4 30 3 3 2 3 2" xfId="39137" xr:uid="{00000000-0005-0000-0000-0000A23A0000}"/>
    <cellStyle name="40% - uthevingsfarge 4 30 3 3 2 4" xfId="31202" xr:uid="{00000000-0005-0000-0000-0000A33A0000}"/>
    <cellStyle name="40% - uthevingsfarge 4 30 3 3 2 5" xfId="42858" xr:uid="{00000000-0005-0000-0000-0000A43A0000}"/>
    <cellStyle name="40% - uthevingsfarge 4 30 3 3 2 6" xfId="43296" xr:uid="{00000000-0005-0000-0000-0000A53A0000}"/>
    <cellStyle name="40% - uthevingsfarge 4 30 3 3 2 7" xfId="46144" xr:uid="{00000000-0005-0000-0000-0000A63A0000}"/>
    <cellStyle name="40% - uthevingsfarge 4 30 3 3 2 8" xfId="46913" xr:uid="{00000000-0005-0000-0000-0000A73A0000}"/>
    <cellStyle name="40% - uthevingsfarge 4 30 3 3 2 9" xfId="47499" xr:uid="{00000000-0005-0000-0000-0000A83A0000}"/>
    <cellStyle name="40% - uthevingsfarge 4 30 3 3 3" xfId="8295" xr:uid="{00000000-0005-0000-0000-0000A93A0000}"/>
    <cellStyle name="40% - uthevingsfarge 4 30 3 3 3 2" xfId="19480" xr:uid="{00000000-0005-0000-0000-0000AA3A0000}"/>
    <cellStyle name="40% - uthevingsfarge 4 30 3 3 3 2 2" xfId="35594" xr:uid="{00000000-0005-0000-0000-0000AB3A0000}"/>
    <cellStyle name="40% - uthevingsfarge 4 30 3 3 3 3" xfId="29502" xr:uid="{00000000-0005-0000-0000-0000AC3A0000}"/>
    <cellStyle name="40% - uthevingsfarge 4 30 3 3 3 4" xfId="43953" xr:uid="{00000000-0005-0000-0000-0000AD3A0000}"/>
    <cellStyle name="40% - uthevingsfarge 4 30 3 3 4" xfId="16303" xr:uid="{00000000-0005-0000-0000-0000AE3A0000}"/>
    <cellStyle name="40% - uthevingsfarge 4 30 3 3 4 2" xfId="35391" xr:uid="{00000000-0005-0000-0000-0000AF3A0000}"/>
    <cellStyle name="40% - uthevingsfarge 4 30 3 3 5" xfId="25050" xr:uid="{00000000-0005-0000-0000-0000B03A0000}"/>
    <cellStyle name="40% - uthevingsfarge 4 30 3 3 6" xfId="25317" xr:uid="{00000000-0005-0000-0000-0000B13A0000}"/>
    <cellStyle name="40% - uthevingsfarge 4 30 3 3 7" xfId="32894" xr:uid="{00000000-0005-0000-0000-0000B23A0000}"/>
    <cellStyle name="40% - uthevingsfarge 4 30 3 3 8" xfId="43756" xr:uid="{00000000-0005-0000-0000-0000B33A0000}"/>
    <cellStyle name="40% - uthevingsfarge 4 30 3 3 9" xfId="46682" xr:uid="{00000000-0005-0000-0000-0000B43A0000}"/>
    <cellStyle name="40% - uthevingsfarge 4 30 3 4" xfId="5429" xr:uid="{00000000-0005-0000-0000-0000B53A0000}"/>
    <cellStyle name="40% - uthevingsfarge 4 30 3 4 2" xfId="8844" xr:uid="{00000000-0005-0000-0000-0000B63A0000}"/>
    <cellStyle name="40% - uthevingsfarge 4 30 3 4 2 2" xfId="21739" xr:uid="{00000000-0005-0000-0000-0000B73A0000}"/>
    <cellStyle name="40% - uthevingsfarge 4 30 3 4 2 2 2" xfId="37817" xr:uid="{00000000-0005-0000-0000-0000B83A0000}"/>
    <cellStyle name="40% - uthevingsfarge 4 30 3 4 2 3" xfId="28954" xr:uid="{00000000-0005-0000-0000-0000B93A0000}"/>
    <cellStyle name="40% - uthevingsfarge 4 30 3 4 3" xfId="12005" xr:uid="{00000000-0005-0000-0000-0000BA3A0000}"/>
    <cellStyle name="40% - uthevingsfarge 4 30 3 4 3 2" xfId="35026" xr:uid="{00000000-0005-0000-0000-0000BB3A0000}"/>
    <cellStyle name="40% - uthevingsfarge 4 30 3 4 4" xfId="32345" xr:uid="{00000000-0005-0000-0000-0000BC3A0000}"/>
    <cellStyle name="40% - uthevingsfarge 4 30 3 5" xfId="7145" xr:uid="{00000000-0005-0000-0000-0000BD3A0000}"/>
    <cellStyle name="40% - uthevingsfarge 4 30 3 5 2" xfId="19439" xr:uid="{00000000-0005-0000-0000-0000BE3A0000}"/>
    <cellStyle name="40% - uthevingsfarge 4 30 3 5 2 2" xfId="35553" xr:uid="{00000000-0005-0000-0000-0000BF3A0000}"/>
    <cellStyle name="40% - uthevingsfarge 4 30 3 5 3" xfId="30653" xr:uid="{00000000-0005-0000-0000-0000C03A0000}"/>
    <cellStyle name="40% - uthevingsfarge 4 30 3 6" xfId="11200" xr:uid="{00000000-0005-0000-0000-0000C13A0000}"/>
    <cellStyle name="40% - uthevingsfarge 4 30 3 7" xfId="34040" xr:uid="{00000000-0005-0000-0000-0000C23A0000}"/>
    <cellStyle name="40% - uthevingsfarge 4 30 3 8" xfId="43548" xr:uid="{00000000-0005-0000-0000-0000C33A0000}"/>
    <cellStyle name="40% - uthevingsfarge 4 30 3 9" xfId="46452" xr:uid="{00000000-0005-0000-0000-0000C43A0000}"/>
    <cellStyle name="40% - uthevingsfarge 4 30 3_Avviksanalyse løpende RNB15 (1)" xfId="16642" xr:uid="{00000000-0005-0000-0000-0000C53A0000}"/>
    <cellStyle name="40% - uthevingsfarge 4 30 4" xfId="3754" xr:uid="{00000000-0005-0000-0000-0000C63A0000}"/>
    <cellStyle name="40% - uthevingsfarge 4 30 4 2" xfId="5642" xr:uid="{00000000-0005-0000-0000-0000C73A0000}"/>
    <cellStyle name="40% - uthevingsfarge 4 30 4 2 2" xfId="9057" xr:uid="{00000000-0005-0000-0000-0000C83A0000}"/>
    <cellStyle name="40% - uthevingsfarge 4 30 4 2 2 2" xfId="23737" xr:uid="{00000000-0005-0000-0000-0000C93A0000}"/>
    <cellStyle name="40% - uthevingsfarge 4 30 4 2 2 2 2" xfId="39793" xr:uid="{00000000-0005-0000-0000-0000CA3A0000}"/>
    <cellStyle name="40% - uthevingsfarge 4 30 4 2 2 3" xfId="28741" xr:uid="{00000000-0005-0000-0000-0000CB3A0000}"/>
    <cellStyle name="40% - uthevingsfarge 4 30 4 2 3" xfId="20151" xr:uid="{00000000-0005-0000-0000-0000CC3A0000}"/>
    <cellStyle name="40% - uthevingsfarge 4 30 4 2 3 2" xfId="36253" xr:uid="{00000000-0005-0000-0000-0000CD3A0000}"/>
    <cellStyle name="40% - uthevingsfarge 4 30 4 2 4" xfId="32132" xr:uid="{00000000-0005-0000-0000-0000CE3A0000}"/>
    <cellStyle name="40% - uthevingsfarge 4 30 4 3" xfId="7360" xr:uid="{00000000-0005-0000-0000-0000CF3A0000}"/>
    <cellStyle name="40% - uthevingsfarge 4 30 4 3 2" xfId="23192" xr:uid="{00000000-0005-0000-0000-0000D03A0000}"/>
    <cellStyle name="40% - uthevingsfarge 4 30 4 3 2 2" xfId="39261" xr:uid="{00000000-0005-0000-0000-0000D13A0000}"/>
    <cellStyle name="40% - uthevingsfarge 4 30 4 3 3" xfId="30438" xr:uid="{00000000-0005-0000-0000-0000D23A0000}"/>
    <cellStyle name="40% - uthevingsfarge 4 30 4 4" xfId="22756" xr:uid="{00000000-0005-0000-0000-0000D33A0000}"/>
    <cellStyle name="40% - uthevingsfarge 4 30 4 4 2" xfId="38825" xr:uid="{00000000-0005-0000-0000-0000D43A0000}"/>
    <cellStyle name="40% - uthevingsfarge 4 30 4 5" xfId="33825" xr:uid="{00000000-0005-0000-0000-0000D53A0000}"/>
    <cellStyle name="40% - uthevingsfarge 4 30 5" xfId="4253" xr:uid="{00000000-0005-0000-0000-0000D63A0000}"/>
    <cellStyle name="40% - uthevingsfarge 4 30 5 2" xfId="6085" xr:uid="{00000000-0005-0000-0000-0000D73A0000}"/>
    <cellStyle name="40% - uthevingsfarge 4 30 5 2 2" xfId="9500" xr:uid="{00000000-0005-0000-0000-0000D83A0000}"/>
    <cellStyle name="40% - uthevingsfarge 4 30 5 2 2 2" xfId="21955" xr:uid="{00000000-0005-0000-0000-0000D93A0000}"/>
    <cellStyle name="40% - uthevingsfarge 4 30 5 2 2 2 2" xfId="38030" xr:uid="{00000000-0005-0000-0000-0000DA3A0000}"/>
    <cellStyle name="40% - uthevingsfarge 4 30 5 2 2 3" xfId="28298" xr:uid="{00000000-0005-0000-0000-0000DB3A0000}"/>
    <cellStyle name="40% - uthevingsfarge 4 30 5 2 3" xfId="22107" xr:uid="{00000000-0005-0000-0000-0000DC3A0000}"/>
    <cellStyle name="40% - uthevingsfarge 4 30 5 2 3 2" xfId="38181" xr:uid="{00000000-0005-0000-0000-0000DD3A0000}"/>
    <cellStyle name="40% - uthevingsfarge 4 30 5 2 4" xfId="31693" xr:uid="{00000000-0005-0000-0000-0000DE3A0000}"/>
    <cellStyle name="40% - uthevingsfarge 4 30 5 3" xfId="7819" xr:uid="{00000000-0005-0000-0000-0000DF3A0000}"/>
    <cellStyle name="40% - uthevingsfarge 4 30 5 3 2" xfId="23275" xr:uid="{00000000-0005-0000-0000-0000E03A0000}"/>
    <cellStyle name="40% - uthevingsfarge 4 30 5 3 2 2" xfId="39343" xr:uid="{00000000-0005-0000-0000-0000E13A0000}"/>
    <cellStyle name="40% - uthevingsfarge 4 30 5 3 3" xfId="29980" xr:uid="{00000000-0005-0000-0000-0000E23A0000}"/>
    <cellStyle name="40% - uthevingsfarge 4 30 5 4" xfId="22809" xr:uid="{00000000-0005-0000-0000-0000E33A0000}"/>
    <cellStyle name="40% - uthevingsfarge 4 30 5 4 2" xfId="38878" xr:uid="{00000000-0005-0000-0000-0000E43A0000}"/>
    <cellStyle name="40% - uthevingsfarge 4 30 5 5" xfId="33368" xr:uid="{00000000-0005-0000-0000-0000E53A0000}"/>
    <cellStyle name="40% - uthevingsfarge 4 30 6" xfId="4689" xr:uid="{00000000-0005-0000-0000-0000E63A0000}"/>
    <cellStyle name="40% - uthevingsfarge 4 30 6 2" xfId="6409" xr:uid="{00000000-0005-0000-0000-0000E73A0000}"/>
    <cellStyle name="40% - uthevingsfarge 4 30 6 2 2" xfId="9819" xr:uid="{00000000-0005-0000-0000-0000E83A0000}"/>
    <cellStyle name="40% - uthevingsfarge 4 30 6 2 2 2" xfId="24569" xr:uid="{00000000-0005-0000-0000-0000E93A0000}"/>
    <cellStyle name="40% - uthevingsfarge 4 30 6 2 2 2 2" xfId="40613" xr:uid="{00000000-0005-0000-0000-0000EA3A0000}"/>
    <cellStyle name="40% - uthevingsfarge 4 30 6 2 2 3" xfId="27980" xr:uid="{00000000-0005-0000-0000-0000EB3A0000}"/>
    <cellStyle name="40% - uthevingsfarge 4 30 6 2 3" xfId="23034" xr:uid="{00000000-0005-0000-0000-0000EC3A0000}"/>
    <cellStyle name="40% - uthevingsfarge 4 30 6 2 3 2" xfId="39103" xr:uid="{00000000-0005-0000-0000-0000ED3A0000}"/>
    <cellStyle name="40% - uthevingsfarge 4 30 6 2 4" xfId="31381" xr:uid="{00000000-0005-0000-0000-0000EE3A0000}"/>
    <cellStyle name="40% - uthevingsfarge 4 30 6 3" xfId="8115" xr:uid="{00000000-0005-0000-0000-0000EF3A0000}"/>
    <cellStyle name="40% - uthevingsfarge 4 30 6 3 2" xfId="21004" xr:uid="{00000000-0005-0000-0000-0000F03A0000}"/>
    <cellStyle name="40% - uthevingsfarge 4 30 6 3 2 2" xfId="37099" xr:uid="{00000000-0005-0000-0000-0000F13A0000}"/>
    <cellStyle name="40% - uthevingsfarge 4 30 6 3 3" xfId="29683" xr:uid="{00000000-0005-0000-0000-0000F23A0000}"/>
    <cellStyle name="40% - uthevingsfarge 4 30 6 4" xfId="23707" xr:uid="{00000000-0005-0000-0000-0000F33A0000}"/>
    <cellStyle name="40% - uthevingsfarge 4 30 6 4 2" xfId="39763" xr:uid="{00000000-0005-0000-0000-0000F43A0000}"/>
    <cellStyle name="40% - uthevingsfarge 4 30 6 5" xfId="33074" xr:uid="{00000000-0005-0000-0000-0000F53A0000}"/>
    <cellStyle name="40% - uthevingsfarge 4 30 7" xfId="5053" xr:uid="{00000000-0005-0000-0000-0000F63A0000}"/>
    <cellStyle name="40% - uthevingsfarge 4 30 7 2" xfId="6772" xr:uid="{00000000-0005-0000-0000-0000F73A0000}"/>
    <cellStyle name="40% - uthevingsfarge 4 30 7 2 2" xfId="10178" xr:uid="{00000000-0005-0000-0000-0000F83A0000}"/>
    <cellStyle name="40% - uthevingsfarge 4 30 7 2 2 2" xfId="23634" xr:uid="{00000000-0005-0000-0000-0000F93A0000}"/>
    <cellStyle name="40% - uthevingsfarge 4 30 7 2 2 2 2" xfId="39690" xr:uid="{00000000-0005-0000-0000-0000FA3A0000}"/>
    <cellStyle name="40% - uthevingsfarge 4 30 7 2 2 3" xfId="27621" xr:uid="{00000000-0005-0000-0000-0000FB3A0000}"/>
    <cellStyle name="40% - uthevingsfarge 4 30 7 2 3" xfId="23094" xr:uid="{00000000-0005-0000-0000-0000FC3A0000}"/>
    <cellStyle name="40% - uthevingsfarge 4 30 7 2 3 2" xfId="39163" xr:uid="{00000000-0005-0000-0000-0000FD3A0000}"/>
    <cellStyle name="40% - uthevingsfarge 4 30 7 2 4" xfId="31022" xr:uid="{00000000-0005-0000-0000-0000FE3A0000}"/>
    <cellStyle name="40% - uthevingsfarge 4 30 7 3" xfId="8475" xr:uid="{00000000-0005-0000-0000-0000FF3A0000}"/>
    <cellStyle name="40% - uthevingsfarge 4 30 7 3 2" xfId="21103" xr:uid="{00000000-0005-0000-0000-0000003B0000}"/>
    <cellStyle name="40% - uthevingsfarge 4 30 7 3 2 2" xfId="37186" xr:uid="{00000000-0005-0000-0000-0000013B0000}"/>
    <cellStyle name="40% - uthevingsfarge 4 30 7 3 3" xfId="29323" xr:uid="{00000000-0005-0000-0000-0000023B0000}"/>
    <cellStyle name="40% - uthevingsfarge 4 30 7 4" xfId="12191" xr:uid="{00000000-0005-0000-0000-0000033B0000}"/>
    <cellStyle name="40% - uthevingsfarge 4 30 7 4 2" xfId="35119" xr:uid="{00000000-0005-0000-0000-0000043B0000}"/>
    <cellStyle name="40% - uthevingsfarge 4 30 7 5" xfId="32714" xr:uid="{00000000-0005-0000-0000-0000053B0000}"/>
    <cellStyle name="40% - uthevingsfarge 4 30 8" xfId="5253" xr:uid="{00000000-0005-0000-0000-0000063B0000}"/>
    <cellStyle name="40% - uthevingsfarge 4 30 8 2" xfId="8668" xr:uid="{00000000-0005-0000-0000-0000073B0000}"/>
    <cellStyle name="40% - uthevingsfarge 4 30 8 2 2" xfId="21158" xr:uid="{00000000-0005-0000-0000-0000083B0000}"/>
    <cellStyle name="40% - uthevingsfarge 4 30 8 2 2 2" xfId="37238" xr:uid="{00000000-0005-0000-0000-0000093B0000}"/>
    <cellStyle name="40% - uthevingsfarge 4 30 8 2 3" xfId="29130" xr:uid="{00000000-0005-0000-0000-00000A3B0000}"/>
    <cellStyle name="40% - uthevingsfarge 4 30 8 3" xfId="19786" xr:uid="{00000000-0005-0000-0000-00000B3B0000}"/>
    <cellStyle name="40% - uthevingsfarge 4 30 8 3 2" xfId="35900" xr:uid="{00000000-0005-0000-0000-00000C3B0000}"/>
    <cellStyle name="40% - uthevingsfarge 4 30 8 4" xfId="32521" xr:uid="{00000000-0005-0000-0000-00000D3B0000}"/>
    <cellStyle name="40% - uthevingsfarge 4 30 9" xfId="6948" xr:uid="{00000000-0005-0000-0000-00000E3B0000}"/>
    <cellStyle name="40% - uthevingsfarge 4 30 9 2" xfId="23118" xr:uid="{00000000-0005-0000-0000-00000F3B0000}"/>
    <cellStyle name="40% - uthevingsfarge 4 30 9 2 2" xfId="39187" xr:uid="{00000000-0005-0000-0000-0000103B0000}"/>
    <cellStyle name="40% - uthevingsfarge 4 30 9 3" xfId="30850" xr:uid="{00000000-0005-0000-0000-0000113B0000}"/>
    <cellStyle name="40% - uthevingsfarge 4 31" xfId="3447" xr:uid="{00000000-0005-0000-0000-0000123B0000}"/>
    <cellStyle name="40% - uthevingsfarge 4 31 2" xfId="3639" xr:uid="{00000000-0005-0000-0000-0000133B0000}"/>
    <cellStyle name="40% - uthevingsfarge 4 31 2 2" xfId="4067" xr:uid="{00000000-0005-0000-0000-0000143B0000}"/>
    <cellStyle name="40% - uthevingsfarge 4 31 2 2 2" xfId="5955" xr:uid="{00000000-0005-0000-0000-0000153B0000}"/>
    <cellStyle name="40% - uthevingsfarge 4 31 2 2 2 2" xfId="9370" xr:uid="{00000000-0005-0000-0000-0000163B0000}"/>
    <cellStyle name="40% - uthevingsfarge 4 31 2 2 2 2 2" xfId="21944" xr:uid="{00000000-0005-0000-0000-0000173B0000}"/>
    <cellStyle name="40% - uthevingsfarge 4 31 2 2 2 2 2 2" xfId="38019" xr:uid="{00000000-0005-0000-0000-0000183B0000}"/>
    <cellStyle name="40% - uthevingsfarge 4 31 2 2 2 2 3" xfId="28428" xr:uid="{00000000-0005-0000-0000-0000193B0000}"/>
    <cellStyle name="40% - uthevingsfarge 4 31 2 2 2 3" xfId="22946" xr:uid="{00000000-0005-0000-0000-00001A3B0000}"/>
    <cellStyle name="40% - uthevingsfarge 4 31 2 2 2 3 2" xfId="39015" xr:uid="{00000000-0005-0000-0000-00001B3B0000}"/>
    <cellStyle name="40% - uthevingsfarge 4 31 2 2 2 4" xfId="31823" xr:uid="{00000000-0005-0000-0000-00001C3B0000}"/>
    <cellStyle name="40% - uthevingsfarge 4 31 2 2 3" xfId="7673" xr:uid="{00000000-0005-0000-0000-00001D3B0000}"/>
    <cellStyle name="40% - uthevingsfarge 4 31 2 2 3 2" xfId="24248" xr:uid="{00000000-0005-0000-0000-00001E3B0000}"/>
    <cellStyle name="40% - uthevingsfarge 4 31 2 2 3 2 2" xfId="40301" xr:uid="{00000000-0005-0000-0000-00001F3B0000}"/>
    <cellStyle name="40% - uthevingsfarge 4 31 2 2 3 3" xfId="30125" xr:uid="{00000000-0005-0000-0000-0000203B0000}"/>
    <cellStyle name="40% - uthevingsfarge 4 31 2 2 4" xfId="19575" xr:uid="{00000000-0005-0000-0000-0000213B0000}"/>
    <cellStyle name="40% - uthevingsfarge 4 31 2 2 4 2" xfId="35689" xr:uid="{00000000-0005-0000-0000-0000223B0000}"/>
    <cellStyle name="40% - uthevingsfarge 4 31 2 2 5" xfId="33512" xr:uid="{00000000-0005-0000-0000-0000233B0000}"/>
    <cellStyle name="40% - uthevingsfarge 4 31 2 3" xfId="5007" xr:uid="{00000000-0005-0000-0000-0000243B0000}"/>
    <cellStyle name="40% - uthevingsfarge 4 31 2 3 2" xfId="6726" xr:uid="{00000000-0005-0000-0000-0000253B0000}"/>
    <cellStyle name="40% - uthevingsfarge 4 31 2 3 2 2" xfId="10132" xr:uid="{00000000-0005-0000-0000-0000263B0000}"/>
    <cellStyle name="40% - uthevingsfarge 4 31 2 3 2 2 2" xfId="23625" xr:uid="{00000000-0005-0000-0000-0000273B0000}"/>
    <cellStyle name="40% - uthevingsfarge 4 31 2 3 2 2 2 2" xfId="39681" xr:uid="{00000000-0005-0000-0000-0000283B0000}"/>
    <cellStyle name="40% - uthevingsfarge 4 31 2 3 2 2 3" xfId="27667" xr:uid="{00000000-0005-0000-0000-0000293B0000}"/>
    <cellStyle name="40% - uthevingsfarge 4 31 2 3 2 3" xfId="24090" xr:uid="{00000000-0005-0000-0000-00002A3B0000}"/>
    <cellStyle name="40% - uthevingsfarge 4 31 2 3 2 3 2" xfId="40143" xr:uid="{00000000-0005-0000-0000-00002B3B0000}"/>
    <cellStyle name="40% - uthevingsfarge 4 31 2 3 2 4" xfId="31068" xr:uid="{00000000-0005-0000-0000-00002C3B0000}"/>
    <cellStyle name="40% - uthevingsfarge 4 31 2 3 3" xfId="8429" xr:uid="{00000000-0005-0000-0000-00002D3B0000}"/>
    <cellStyle name="40% - uthevingsfarge 4 31 2 3 3 2" xfId="19496" xr:uid="{00000000-0005-0000-0000-00002E3B0000}"/>
    <cellStyle name="40% - uthevingsfarge 4 31 2 3 3 2 2" xfId="35610" xr:uid="{00000000-0005-0000-0000-00002F3B0000}"/>
    <cellStyle name="40% - uthevingsfarge 4 31 2 3 3 3" xfId="29369" xr:uid="{00000000-0005-0000-0000-0000303B0000}"/>
    <cellStyle name="40% - uthevingsfarge 4 31 2 3 4" xfId="20049" xr:uid="{00000000-0005-0000-0000-0000313B0000}"/>
    <cellStyle name="40% - uthevingsfarge 4 31 2 3 4 2" xfId="36153" xr:uid="{00000000-0005-0000-0000-0000323B0000}"/>
    <cellStyle name="40% - uthevingsfarge 4 31 2 3 5" xfId="32760" xr:uid="{00000000-0005-0000-0000-0000333B0000}"/>
    <cellStyle name="40% - uthevingsfarge 4 31 2 4" xfId="5561" xr:uid="{00000000-0005-0000-0000-0000343B0000}"/>
    <cellStyle name="40% - uthevingsfarge 4 31 2 4 2" xfId="8976" xr:uid="{00000000-0005-0000-0000-0000353B0000}"/>
    <cellStyle name="40% - uthevingsfarge 4 31 2 4 2 2" xfId="22557" xr:uid="{00000000-0005-0000-0000-0000363B0000}"/>
    <cellStyle name="40% - uthevingsfarge 4 31 2 4 2 2 2" xfId="38626" xr:uid="{00000000-0005-0000-0000-0000373B0000}"/>
    <cellStyle name="40% - uthevingsfarge 4 31 2 4 2 3" xfId="28822" xr:uid="{00000000-0005-0000-0000-0000383B0000}"/>
    <cellStyle name="40% - uthevingsfarge 4 31 2 4 3" xfId="23877" xr:uid="{00000000-0005-0000-0000-0000393B0000}"/>
    <cellStyle name="40% - uthevingsfarge 4 31 2 4 3 2" xfId="39933" xr:uid="{00000000-0005-0000-0000-00003A3B0000}"/>
    <cellStyle name="40% - uthevingsfarge 4 31 2 4 4" xfId="32213" xr:uid="{00000000-0005-0000-0000-00003B3B0000}"/>
    <cellStyle name="40% - uthevingsfarge 4 31 2 5" xfId="7279" xr:uid="{00000000-0005-0000-0000-00003C3B0000}"/>
    <cellStyle name="40% - uthevingsfarge 4 31 2 5 2" xfId="23176" xr:uid="{00000000-0005-0000-0000-00003D3B0000}"/>
    <cellStyle name="40% - uthevingsfarge 4 31 2 5 2 2" xfId="39245" xr:uid="{00000000-0005-0000-0000-00003E3B0000}"/>
    <cellStyle name="40% - uthevingsfarge 4 31 2 5 3" xfId="30519" xr:uid="{00000000-0005-0000-0000-00003F3B0000}"/>
    <cellStyle name="40% - uthevingsfarge 4 31 2 6" xfId="23766" xr:uid="{00000000-0005-0000-0000-0000403B0000}"/>
    <cellStyle name="40% - uthevingsfarge 4 31 2 6 2" xfId="39822" xr:uid="{00000000-0005-0000-0000-0000413B0000}"/>
    <cellStyle name="40% - uthevingsfarge 4 31 2 7" xfId="33906" xr:uid="{00000000-0005-0000-0000-0000423B0000}"/>
    <cellStyle name="40% - uthevingsfarge 4 31 3" xfId="3887" xr:uid="{00000000-0005-0000-0000-0000433B0000}"/>
    <cellStyle name="40% - uthevingsfarge 4 31 3 2" xfId="5775" xr:uid="{00000000-0005-0000-0000-0000443B0000}"/>
    <cellStyle name="40% - uthevingsfarge 4 31 3 2 2" xfId="9190" xr:uid="{00000000-0005-0000-0000-0000453B0000}"/>
    <cellStyle name="40% - uthevingsfarge 4 31 3 2 2 2" xfId="24475" xr:uid="{00000000-0005-0000-0000-0000463B0000}"/>
    <cellStyle name="40% - uthevingsfarge 4 31 3 2 2 2 2" xfId="40519" xr:uid="{00000000-0005-0000-0000-0000473B0000}"/>
    <cellStyle name="40% - uthevingsfarge 4 31 3 2 2 3" xfId="28608" xr:uid="{00000000-0005-0000-0000-0000483B0000}"/>
    <cellStyle name="40% - uthevingsfarge 4 31 3 2 3" xfId="22278" xr:uid="{00000000-0005-0000-0000-0000493B0000}"/>
    <cellStyle name="40% - uthevingsfarge 4 31 3 2 3 2" xfId="38350" xr:uid="{00000000-0005-0000-0000-00004A3B0000}"/>
    <cellStyle name="40% - uthevingsfarge 4 31 3 2 4" xfId="31999" xr:uid="{00000000-0005-0000-0000-00004B3B0000}"/>
    <cellStyle name="40% - uthevingsfarge 4 31 3 3" xfId="7493" xr:uid="{00000000-0005-0000-0000-00004C3B0000}"/>
    <cellStyle name="40% - uthevingsfarge 4 31 3 3 2" xfId="20804" xr:uid="{00000000-0005-0000-0000-00004D3B0000}"/>
    <cellStyle name="40% - uthevingsfarge 4 31 3 3 2 2" xfId="36903" xr:uid="{00000000-0005-0000-0000-00004E3B0000}"/>
    <cellStyle name="40% - uthevingsfarge 4 31 3 3 3" xfId="30305" xr:uid="{00000000-0005-0000-0000-00004F3B0000}"/>
    <cellStyle name="40% - uthevingsfarge 4 31 3 4" xfId="11059" xr:uid="{00000000-0005-0000-0000-0000503B0000}"/>
    <cellStyle name="40% - uthevingsfarge 4 31 3 4 2" xfId="34767" xr:uid="{00000000-0005-0000-0000-0000513B0000}"/>
    <cellStyle name="40% - uthevingsfarge 4 31 3 5" xfId="33692" xr:uid="{00000000-0005-0000-0000-0000523B0000}"/>
    <cellStyle name="40% - uthevingsfarge 4 31 4" xfId="4827" xr:uid="{00000000-0005-0000-0000-0000533B0000}"/>
    <cellStyle name="40% - uthevingsfarge 4 31 4 2" xfId="6546" xr:uid="{00000000-0005-0000-0000-0000543B0000}"/>
    <cellStyle name="40% - uthevingsfarge 4 31 4 2 2" xfId="9952" xr:uid="{00000000-0005-0000-0000-0000553B0000}"/>
    <cellStyle name="40% - uthevingsfarge 4 31 4 2 2 2" xfId="23589" xr:uid="{00000000-0005-0000-0000-0000563B0000}"/>
    <cellStyle name="40% - uthevingsfarge 4 31 4 2 2 2 2" xfId="39645" xr:uid="{00000000-0005-0000-0000-0000573B0000}"/>
    <cellStyle name="40% - uthevingsfarge 4 31 4 2 2 3" xfId="27847" xr:uid="{00000000-0005-0000-0000-0000583B0000}"/>
    <cellStyle name="40% - uthevingsfarge 4 31 4 2 3" xfId="22366" xr:uid="{00000000-0005-0000-0000-0000593B0000}"/>
    <cellStyle name="40% - uthevingsfarge 4 31 4 2 3 2" xfId="38438" xr:uid="{00000000-0005-0000-0000-00005A3B0000}"/>
    <cellStyle name="40% - uthevingsfarge 4 31 4 2 4" xfId="31248" xr:uid="{00000000-0005-0000-0000-00005B3B0000}"/>
    <cellStyle name="40% - uthevingsfarge 4 31 4 3" xfId="8249" xr:uid="{00000000-0005-0000-0000-00005C3B0000}"/>
    <cellStyle name="40% - uthevingsfarge 4 31 4 3 2" xfId="24338" xr:uid="{00000000-0005-0000-0000-00005D3B0000}"/>
    <cellStyle name="40% - uthevingsfarge 4 31 4 3 2 2" xfId="40388" xr:uid="{00000000-0005-0000-0000-00005E3B0000}"/>
    <cellStyle name="40% - uthevingsfarge 4 31 4 3 3" xfId="29548" xr:uid="{00000000-0005-0000-0000-00005F3B0000}"/>
    <cellStyle name="40% - uthevingsfarge 4 31 4 4" xfId="19717" xr:uid="{00000000-0005-0000-0000-0000603B0000}"/>
    <cellStyle name="40% - uthevingsfarge 4 31 4 4 2" xfId="35831" xr:uid="{00000000-0005-0000-0000-0000613B0000}"/>
    <cellStyle name="40% - uthevingsfarge 4 31 4 5" xfId="32940" xr:uid="{00000000-0005-0000-0000-0000623B0000}"/>
    <cellStyle name="40% - uthevingsfarge 4 31 5" xfId="5391" xr:uid="{00000000-0005-0000-0000-0000633B0000}"/>
    <cellStyle name="40% - uthevingsfarge 4 31 5 2" xfId="8806" xr:uid="{00000000-0005-0000-0000-0000643B0000}"/>
    <cellStyle name="40% - uthevingsfarge 4 31 5 2 2" xfId="11761" xr:uid="{00000000-0005-0000-0000-0000653B0000}"/>
    <cellStyle name="40% - uthevingsfarge 4 31 5 2 2 2" xfId="34856" xr:uid="{00000000-0005-0000-0000-0000663B0000}"/>
    <cellStyle name="40% - uthevingsfarge 4 31 5 2 3" xfId="28992" xr:uid="{00000000-0005-0000-0000-0000673B0000}"/>
    <cellStyle name="40% - uthevingsfarge 4 31 5 3" xfId="12041" xr:uid="{00000000-0005-0000-0000-0000683B0000}"/>
    <cellStyle name="40% - uthevingsfarge 4 31 5 3 2" xfId="35041" xr:uid="{00000000-0005-0000-0000-0000693B0000}"/>
    <cellStyle name="40% - uthevingsfarge 4 31 5 4" xfId="32383" xr:uid="{00000000-0005-0000-0000-00006A3B0000}"/>
    <cellStyle name="40% - uthevingsfarge 4 31 6" xfId="7099" xr:uid="{00000000-0005-0000-0000-00006B3B0000}"/>
    <cellStyle name="40% - uthevingsfarge 4 31 6 2" xfId="23148" xr:uid="{00000000-0005-0000-0000-00006C3B0000}"/>
    <cellStyle name="40% - uthevingsfarge 4 31 6 2 2" xfId="39217" xr:uid="{00000000-0005-0000-0000-00006D3B0000}"/>
    <cellStyle name="40% - uthevingsfarge 4 31 6 3" xfId="30699" xr:uid="{00000000-0005-0000-0000-00006E3B0000}"/>
    <cellStyle name="40% - uthevingsfarge 4 31 7" xfId="12623" xr:uid="{00000000-0005-0000-0000-00006F3B0000}"/>
    <cellStyle name="40% - uthevingsfarge 4 31 7 2" xfId="35293" xr:uid="{00000000-0005-0000-0000-0000703B0000}"/>
    <cellStyle name="40% - uthevingsfarge 4 31 8" xfId="34086" xr:uid="{00000000-0005-0000-0000-0000713B0000}"/>
    <cellStyle name="40% - uthevingsfarge 4 32" xfId="4451" xr:uid="{00000000-0005-0000-0000-0000723B0000}"/>
    <cellStyle name="40% - uthevingsfarge 4 32 2" xfId="6248" xr:uid="{00000000-0005-0000-0000-0000733B0000}"/>
    <cellStyle name="40% - uthevingsfarge 4 32 2 2" xfId="9658" xr:uid="{00000000-0005-0000-0000-0000743B0000}"/>
    <cellStyle name="40% - uthevingsfarge 4 32 2 2 2" xfId="11631" xr:uid="{00000000-0005-0000-0000-0000753B0000}"/>
    <cellStyle name="40% - uthevingsfarge 4 32 2 2 2 2" xfId="34812" xr:uid="{00000000-0005-0000-0000-0000763B0000}"/>
    <cellStyle name="40% - uthevingsfarge 4 32 2 2 3" xfId="28141" xr:uid="{00000000-0005-0000-0000-0000773B0000}"/>
    <cellStyle name="40% - uthevingsfarge 4 32 2 3" xfId="24005" xr:uid="{00000000-0005-0000-0000-0000783B0000}"/>
    <cellStyle name="40% - uthevingsfarge 4 32 2 3 2" xfId="40058" xr:uid="{00000000-0005-0000-0000-0000793B0000}"/>
    <cellStyle name="40% - uthevingsfarge 4 32 2 4" xfId="31542" xr:uid="{00000000-0005-0000-0000-00007A3B0000}"/>
    <cellStyle name="40% - uthevingsfarge 4 32 3" xfId="7954" xr:uid="{00000000-0005-0000-0000-00007B3B0000}"/>
    <cellStyle name="40% - uthevingsfarge 4 32 3 2" xfId="24296" xr:uid="{00000000-0005-0000-0000-00007C3B0000}"/>
    <cellStyle name="40% - uthevingsfarge 4 32 3 2 2" xfId="40348" xr:uid="{00000000-0005-0000-0000-00007D3B0000}"/>
    <cellStyle name="40% - uthevingsfarge 4 32 3 3" xfId="29845" xr:uid="{00000000-0005-0000-0000-00007E3B0000}"/>
    <cellStyle name="40% - uthevingsfarge 4 32 4" xfId="12338" xr:uid="{00000000-0005-0000-0000-00007F3B0000}"/>
    <cellStyle name="40% - uthevingsfarge 4 32 4 2" xfId="35199" xr:uid="{00000000-0005-0000-0000-0000803B0000}"/>
    <cellStyle name="40% - uthevingsfarge 4 32 5" xfId="33234" xr:uid="{00000000-0005-0000-0000-0000813B0000}"/>
    <cellStyle name="40% - uthevingsfarge 4 33" xfId="5356" xr:uid="{00000000-0005-0000-0000-0000823B0000}"/>
    <cellStyle name="40% - uthevingsfarge 4 33 2" xfId="8771" xr:uid="{00000000-0005-0000-0000-0000833B0000}"/>
    <cellStyle name="40% - uthevingsfarge 4 33 2 2" xfId="22590" xr:uid="{00000000-0005-0000-0000-0000843B0000}"/>
    <cellStyle name="40% - uthevingsfarge 4 33 2 2 2" xfId="38659" xr:uid="{00000000-0005-0000-0000-0000853B0000}"/>
    <cellStyle name="40% - uthevingsfarge 4 33 2 3" xfId="29027" xr:uid="{00000000-0005-0000-0000-0000863B0000}"/>
    <cellStyle name="40% - uthevingsfarge 4 33 3" xfId="22854" xr:uid="{00000000-0005-0000-0000-0000873B0000}"/>
    <cellStyle name="40% - uthevingsfarge 4 33 3 2" xfId="38923" xr:uid="{00000000-0005-0000-0000-0000883B0000}"/>
    <cellStyle name="40% - uthevingsfarge 4 33 4" xfId="32418" xr:uid="{00000000-0005-0000-0000-0000893B0000}"/>
    <cellStyle name="40% - uthevingsfarge 4 34" xfId="40955" xr:uid="{00000000-0005-0000-0000-00008A3B0000}"/>
    <cellStyle name="40% - uthevingsfarge 4 35" xfId="43154" xr:uid="{00000000-0005-0000-0000-00008B3B0000}"/>
    <cellStyle name="40% - uthevingsfarge 4 36" xfId="40908" xr:uid="{00000000-0005-0000-0000-00008C3B0000}"/>
    <cellStyle name="40% - uthevingsfarge 4 37" xfId="40807" xr:uid="{00000000-0005-0000-0000-00008D3B0000}"/>
    <cellStyle name="40% - uthevingsfarge 4 38" xfId="40875" xr:uid="{00000000-0005-0000-0000-00008E3B0000}"/>
    <cellStyle name="40% - uthevingsfarge 4 39" xfId="40836" xr:uid="{00000000-0005-0000-0000-00008F3B0000}"/>
    <cellStyle name="40% - uthevingsfarge 4 4" xfId="885" xr:uid="{00000000-0005-0000-0000-0000903B0000}"/>
    <cellStyle name="40% - uthevingsfarge 4 4 2" xfId="886" xr:uid="{00000000-0005-0000-0000-0000913B0000}"/>
    <cellStyle name="40% - uthevingsfarge 4 40" xfId="40856" xr:uid="{00000000-0005-0000-0000-0000923B0000}"/>
    <cellStyle name="40% - uthevingsfarge 4 41" xfId="43216" xr:uid="{00000000-0005-0000-0000-0000933B0000}"/>
    <cellStyle name="40% - uthevingsfarge 4 42" xfId="43430" xr:uid="{00000000-0005-0000-0000-0000943B0000}"/>
    <cellStyle name="40% - uthevingsfarge 4 43" xfId="43458" xr:uid="{00000000-0005-0000-0000-0000953B0000}"/>
    <cellStyle name="40% - uthevingsfarge 4 44" xfId="46284" xr:uid="{00000000-0005-0000-0000-0000963B0000}"/>
    <cellStyle name="40% - uthevingsfarge 4 45" xfId="46277" xr:uid="{00000000-0005-0000-0000-0000973B0000}"/>
    <cellStyle name="40% - uthevingsfarge 4 46" xfId="46318" xr:uid="{00000000-0005-0000-0000-0000983B0000}"/>
    <cellStyle name="40% - uthevingsfarge 4 47" xfId="46842" xr:uid="{00000000-0005-0000-0000-0000993B0000}"/>
    <cellStyle name="40% - uthevingsfarge 4 48" xfId="46351" xr:uid="{00000000-0005-0000-0000-00009A3B0000}"/>
    <cellStyle name="40% - uthevingsfarge 4 49" xfId="46565" xr:uid="{00000000-0005-0000-0000-00009B3B0000}"/>
    <cellStyle name="40% - uthevingsfarge 4 5" xfId="887" xr:uid="{00000000-0005-0000-0000-00009C3B0000}"/>
    <cellStyle name="40% - uthevingsfarge 4 5 2" xfId="888" xr:uid="{00000000-0005-0000-0000-00009D3B0000}"/>
    <cellStyle name="40% - uthevingsfarge 4 50" xfId="46378" xr:uid="{00000000-0005-0000-0000-00009E3B0000}"/>
    <cellStyle name="40% - uthevingsfarge 4 51" xfId="46346" xr:uid="{00000000-0005-0000-0000-00009F3B0000}"/>
    <cellStyle name="40% - uthevingsfarge 4 6" xfId="889" xr:uid="{00000000-0005-0000-0000-0000A03B0000}"/>
    <cellStyle name="40% - uthevingsfarge 4 6 2" xfId="890" xr:uid="{00000000-0005-0000-0000-0000A13B0000}"/>
    <cellStyle name="40% - uthevingsfarge 4 7" xfId="891" xr:uid="{00000000-0005-0000-0000-0000A23B0000}"/>
    <cellStyle name="40% - uthevingsfarge 4 7 2" xfId="892" xr:uid="{00000000-0005-0000-0000-0000A33B0000}"/>
    <cellStyle name="40% - uthevingsfarge 4 8" xfId="893" xr:uid="{00000000-0005-0000-0000-0000A43B0000}"/>
    <cellStyle name="40% - uthevingsfarge 4 8 2" xfId="894" xr:uid="{00000000-0005-0000-0000-0000A53B0000}"/>
    <cellStyle name="40% - uthevingsfarge 4 9" xfId="895" xr:uid="{00000000-0005-0000-0000-0000A63B0000}"/>
    <cellStyle name="40% - uthevingsfarge 4 9 2" xfId="896" xr:uid="{00000000-0005-0000-0000-0000A73B0000}"/>
    <cellStyle name="40% - uthevingsfarge 5" xfId="4574" xr:uid="{00000000-0005-0000-0000-0000A83B0000}"/>
    <cellStyle name="40% - uthevingsfarge 5 10" xfId="898" xr:uid="{00000000-0005-0000-0000-0000A93B0000}"/>
    <cellStyle name="40% - uthevingsfarge 5 10 2" xfId="899" xr:uid="{00000000-0005-0000-0000-0000AA3B0000}"/>
    <cellStyle name="40% - uthevingsfarge 5 11" xfId="900" xr:uid="{00000000-0005-0000-0000-0000AB3B0000}"/>
    <cellStyle name="40% - uthevingsfarge 5 11 2" xfId="901" xr:uid="{00000000-0005-0000-0000-0000AC3B0000}"/>
    <cellStyle name="40% - uthevingsfarge 5 12" xfId="902" xr:uid="{00000000-0005-0000-0000-0000AD3B0000}"/>
    <cellStyle name="40% - uthevingsfarge 5 12 2" xfId="903" xr:uid="{00000000-0005-0000-0000-0000AE3B0000}"/>
    <cellStyle name="40% - uthevingsfarge 5 13" xfId="904" xr:uid="{00000000-0005-0000-0000-0000AF3B0000}"/>
    <cellStyle name="40% - uthevingsfarge 5 13 2" xfId="905" xr:uid="{00000000-0005-0000-0000-0000B03B0000}"/>
    <cellStyle name="40% - uthevingsfarge 5 14" xfId="906" xr:uid="{00000000-0005-0000-0000-0000B13B0000}"/>
    <cellStyle name="40% - uthevingsfarge 5 14 2" xfId="907" xr:uid="{00000000-0005-0000-0000-0000B23B0000}"/>
    <cellStyle name="40% - uthevingsfarge 5 15" xfId="908" xr:uid="{00000000-0005-0000-0000-0000B33B0000}"/>
    <cellStyle name="40% - uthevingsfarge 5 15 2" xfId="909" xr:uid="{00000000-0005-0000-0000-0000B43B0000}"/>
    <cellStyle name="40% - uthevingsfarge 5 16" xfId="910" xr:uid="{00000000-0005-0000-0000-0000B53B0000}"/>
    <cellStyle name="40% - uthevingsfarge 5 16 2" xfId="911" xr:uid="{00000000-0005-0000-0000-0000B63B0000}"/>
    <cellStyle name="40% - uthevingsfarge 5 17" xfId="912" xr:uid="{00000000-0005-0000-0000-0000B73B0000}"/>
    <cellStyle name="40% - uthevingsfarge 5 17 2" xfId="913" xr:uid="{00000000-0005-0000-0000-0000B83B0000}"/>
    <cellStyle name="40% - uthevingsfarge 5 18" xfId="914" xr:uid="{00000000-0005-0000-0000-0000B93B0000}"/>
    <cellStyle name="40% - uthevingsfarge 5 18 2" xfId="915" xr:uid="{00000000-0005-0000-0000-0000BA3B0000}"/>
    <cellStyle name="40% - uthevingsfarge 5 19" xfId="916" xr:uid="{00000000-0005-0000-0000-0000BB3B0000}"/>
    <cellStyle name="40% - uthevingsfarge 5 19 2" xfId="917" xr:uid="{00000000-0005-0000-0000-0000BC3B0000}"/>
    <cellStyle name="40% - uthevingsfarge 5 2" xfId="918" xr:uid="{00000000-0005-0000-0000-0000BD3B0000}"/>
    <cellStyle name="40% - uthevingsfarge 5 2 2" xfId="919" xr:uid="{00000000-0005-0000-0000-0000BE3B0000}"/>
    <cellStyle name="40% - uthevingsfarge 5 2 3" xfId="920" xr:uid="{00000000-0005-0000-0000-0000BF3B0000}"/>
    <cellStyle name="40% - uthevingsfarge 5 2 4" xfId="921" xr:uid="{00000000-0005-0000-0000-0000C03B0000}"/>
    <cellStyle name="40% - uthevingsfarge 5 2 5" xfId="11206" xr:uid="{00000000-0005-0000-0000-0000C13B0000}"/>
    <cellStyle name="40% - uthevingsfarge 5 2 6" xfId="11207" xr:uid="{00000000-0005-0000-0000-0000C23B0000}"/>
    <cellStyle name="40% - uthevingsfarge 5 2 7" xfId="11208" xr:uid="{00000000-0005-0000-0000-0000C33B0000}"/>
    <cellStyle name="40% - uthevingsfarge 5 2 8" xfId="11209" xr:uid="{00000000-0005-0000-0000-0000C43B0000}"/>
    <cellStyle name="40% - uthevingsfarge 5 2 9" xfId="11210" xr:uid="{00000000-0005-0000-0000-0000C53B0000}"/>
    <cellStyle name="40% - uthevingsfarge 5 20" xfId="922" xr:uid="{00000000-0005-0000-0000-0000C63B0000}"/>
    <cellStyle name="40% - uthevingsfarge 5 20 2" xfId="923" xr:uid="{00000000-0005-0000-0000-0000C73B0000}"/>
    <cellStyle name="40% - uthevingsfarge 5 21" xfId="924" xr:uid="{00000000-0005-0000-0000-0000C83B0000}"/>
    <cellStyle name="40% - uthevingsfarge 5 22" xfId="925" xr:uid="{00000000-0005-0000-0000-0000C93B0000}"/>
    <cellStyle name="40% - uthevingsfarge 5 23" xfId="926" xr:uid="{00000000-0005-0000-0000-0000CA3B0000}"/>
    <cellStyle name="40% - uthevingsfarge 5 24" xfId="927" xr:uid="{00000000-0005-0000-0000-0000CB3B0000}"/>
    <cellStyle name="40% - uthevingsfarge 5 25" xfId="928" xr:uid="{00000000-0005-0000-0000-0000CC3B0000}"/>
    <cellStyle name="40% - uthevingsfarge 5 26" xfId="929" xr:uid="{00000000-0005-0000-0000-0000CD3B0000}"/>
    <cellStyle name="40% - uthevingsfarge 5 26 10" xfId="6950" xr:uid="{00000000-0005-0000-0000-0000CE3B0000}"/>
    <cellStyle name="40% - uthevingsfarge 5 26 10 2" xfId="24120" xr:uid="{00000000-0005-0000-0000-0000CF3B0000}"/>
    <cellStyle name="40% - uthevingsfarge 5 26 10 2 2" xfId="40173" xr:uid="{00000000-0005-0000-0000-0000D03B0000}"/>
    <cellStyle name="40% - uthevingsfarge 5 26 10 3" xfId="30848" xr:uid="{00000000-0005-0000-0000-0000D13B0000}"/>
    <cellStyle name="40% - uthevingsfarge 5 26 11" xfId="11212" xr:uid="{00000000-0005-0000-0000-0000D23B0000}"/>
    <cellStyle name="40% - uthevingsfarge 5 26 12" xfId="34236" xr:uid="{00000000-0005-0000-0000-0000D33B0000}"/>
    <cellStyle name="40% - uthevingsfarge 5 26 2" xfId="930" xr:uid="{00000000-0005-0000-0000-0000D43B0000}"/>
    <cellStyle name="40% - uthevingsfarge 5 26 3" xfId="3351" xr:uid="{00000000-0005-0000-0000-0000D53B0000}"/>
    <cellStyle name="40% - uthevingsfarge 5 26 3 10" xfId="34140" xr:uid="{00000000-0005-0000-0000-0000D63B0000}"/>
    <cellStyle name="40% - uthevingsfarge 5 26 3 2" xfId="3583" xr:uid="{00000000-0005-0000-0000-0000D73B0000}"/>
    <cellStyle name="40% - uthevingsfarge 5 26 3 2 10" xfId="47182" xr:uid="{00000000-0005-0000-0000-0000D83B0000}"/>
    <cellStyle name="40% - uthevingsfarge 5 26 3 2 2" xfId="4013" xr:uid="{00000000-0005-0000-0000-0000D93B0000}"/>
    <cellStyle name="40% - uthevingsfarge 5 26 3 2 2 2" xfId="5901" xr:uid="{00000000-0005-0000-0000-0000DA3B0000}"/>
    <cellStyle name="40% - uthevingsfarge 5 26 3 2 2 2 2" xfId="9316" xr:uid="{00000000-0005-0000-0000-0000DB3B0000}"/>
    <cellStyle name="40% - uthevingsfarge 5 26 3 2 2 2 2 2" xfId="23489" xr:uid="{00000000-0005-0000-0000-0000DC3B0000}"/>
    <cellStyle name="40% - uthevingsfarge 5 26 3 2 2 2 2 2 2" xfId="39545" xr:uid="{00000000-0005-0000-0000-0000DD3B0000}"/>
    <cellStyle name="40% - uthevingsfarge 5 26 3 2 2 2 2 3" xfId="28482" xr:uid="{00000000-0005-0000-0000-0000DE3B0000}"/>
    <cellStyle name="40% - uthevingsfarge 5 26 3 2 2 2 3" xfId="22935" xr:uid="{00000000-0005-0000-0000-0000DF3B0000}"/>
    <cellStyle name="40% - uthevingsfarge 5 26 3 2 2 2 3 2" xfId="39004" xr:uid="{00000000-0005-0000-0000-0000E03B0000}"/>
    <cellStyle name="40% - uthevingsfarge 5 26 3 2 2 2 4" xfId="31875" xr:uid="{00000000-0005-0000-0000-0000E13B0000}"/>
    <cellStyle name="40% - uthevingsfarge 5 26 3 2 2 3" xfId="7619" xr:uid="{00000000-0005-0000-0000-0000E23B0000}"/>
    <cellStyle name="40% - uthevingsfarge 5 26 3 2 2 3 2" xfId="20840" xr:uid="{00000000-0005-0000-0000-0000E33B0000}"/>
    <cellStyle name="40% - uthevingsfarge 5 26 3 2 2 3 2 2" xfId="36939" xr:uid="{00000000-0005-0000-0000-0000E43B0000}"/>
    <cellStyle name="40% - uthevingsfarge 5 26 3 2 2 3 3" xfId="30179" xr:uid="{00000000-0005-0000-0000-0000E53B0000}"/>
    <cellStyle name="40% - uthevingsfarge 5 26 3 2 2 4" xfId="18035" xr:uid="{00000000-0005-0000-0000-0000E63B0000}"/>
    <cellStyle name="40% - uthevingsfarge 5 26 3 2 2 5" xfId="11038" xr:uid="{00000000-0005-0000-0000-0000E73B0000}"/>
    <cellStyle name="40% - uthevingsfarge 5 26 3 2 2 5 2" xfId="34746" xr:uid="{00000000-0005-0000-0000-0000E83B0000}"/>
    <cellStyle name="40% - uthevingsfarge 5 26 3 2 2 6" xfId="33566" xr:uid="{00000000-0005-0000-0000-0000E93B0000}"/>
    <cellStyle name="40% - uthevingsfarge 5 26 3 2 3" xfId="4953" xr:uid="{00000000-0005-0000-0000-0000EA3B0000}"/>
    <cellStyle name="40% - uthevingsfarge 5 26 3 2 3 10" xfId="47372" xr:uid="{00000000-0005-0000-0000-0000EB3B0000}"/>
    <cellStyle name="40% - uthevingsfarge 5 26 3 2 3 2" xfId="6672" xr:uid="{00000000-0005-0000-0000-0000EC3B0000}"/>
    <cellStyle name="40% - uthevingsfarge 5 26 3 2 3 2 2" xfId="10078" xr:uid="{00000000-0005-0000-0000-0000ED3B0000}"/>
    <cellStyle name="40% - uthevingsfarge 5 26 3 2 3 2 2 2" xfId="21597" xr:uid="{00000000-0005-0000-0000-0000EE3B0000}"/>
    <cellStyle name="40% - uthevingsfarge 5 26 3 2 3 2 2 2 2" xfId="37677" xr:uid="{00000000-0005-0000-0000-0000EF3B0000}"/>
    <cellStyle name="40% - uthevingsfarge 5 26 3 2 3 2 2 3" xfId="27721" xr:uid="{00000000-0005-0000-0000-0000F03B0000}"/>
    <cellStyle name="40% - uthevingsfarge 5 26 3 2 3 2 3" xfId="10354" xr:uid="{00000000-0005-0000-0000-0000F13B0000}"/>
    <cellStyle name="40% - uthevingsfarge 5 26 3 2 3 2 3 2" xfId="34324" xr:uid="{00000000-0005-0000-0000-0000F23B0000}"/>
    <cellStyle name="40% - uthevingsfarge 5 26 3 2 3 2 4" xfId="31122" xr:uid="{00000000-0005-0000-0000-0000F33B0000}"/>
    <cellStyle name="40% - uthevingsfarge 5 26 3 2 3 2 5" xfId="43066" xr:uid="{00000000-0005-0000-0000-0000F43B0000}"/>
    <cellStyle name="40% - uthevingsfarge 5 26 3 2 3 2 6" xfId="43363" xr:uid="{00000000-0005-0000-0000-0000F53B0000}"/>
    <cellStyle name="40% - uthevingsfarge 5 26 3 2 3 2 7" xfId="46211" xr:uid="{00000000-0005-0000-0000-0000F63B0000}"/>
    <cellStyle name="40% - uthevingsfarge 5 26 3 2 3 2 8" xfId="46983" xr:uid="{00000000-0005-0000-0000-0000F73B0000}"/>
    <cellStyle name="40% - uthevingsfarge 5 26 3 2 3 2 9" xfId="47568" xr:uid="{00000000-0005-0000-0000-0000F83B0000}"/>
    <cellStyle name="40% - uthevingsfarge 5 26 3 2 3 3" xfId="8375" xr:uid="{00000000-0005-0000-0000-0000F93B0000}"/>
    <cellStyle name="40% - uthevingsfarge 5 26 3 2 3 3 2" xfId="10563" xr:uid="{00000000-0005-0000-0000-0000FA3B0000}"/>
    <cellStyle name="40% - uthevingsfarge 5 26 3 2 3 3 2 2" xfId="34426" xr:uid="{00000000-0005-0000-0000-0000FB3B0000}"/>
    <cellStyle name="40% - uthevingsfarge 5 26 3 2 3 3 3" xfId="29423" xr:uid="{00000000-0005-0000-0000-0000FC3B0000}"/>
    <cellStyle name="40% - uthevingsfarge 5 26 3 2 3 3 4" xfId="43955" xr:uid="{00000000-0005-0000-0000-0000FD3B0000}"/>
    <cellStyle name="40% - uthevingsfarge 5 26 3 2 3 4" xfId="16511" xr:uid="{00000000-0005-0000-0000-0000FE3B0000}"/>
    <cellStyle name="40% - uthevingsfarge 5 26 3 2 3 4 2" xfId="35458" xr:uid="{00000000-0005-0000-0000-0000FF3B0000}"/>
    <cellStyle name="40% - uthevingsfarge 5 26 3 2 3 5" xfId="25120" xr:uid="{00000000-0005-0000-0000-0000003C0000}"/>
    <cellStyle name="40% - uthevingsfarge 5 26 3 2 3 6" xfId="25318" xr:uid="{00000000-0005-0000-0000-0000013C0000}"/>
    <cellStyle name="40% - uthevingsfarge 5 26 3 2 3 7" xfId="32814" xr:uid="{00000000-0005-0000-0000-0000023C0000}"/>
    <cellStyle name="40% - uthevingsfarge 5 26 3 2 3 8" xfId="43824" xr:uid="{00000000-0005-0000-0000-0000033C0000}"/>
    <cellStyle name="40% - uthevingsfarge 5 26 3 2 3 9" xfId="46749" xr:uid="{00000000-0005-0000-0000-0000043C0000}"/>
    <cellStyle name="40% - uthevingsfarge 5 26 3 2 4" xfId="5507" xr:uid="{00000000-0005-0000-0000-0000053C0000}"/>
    <cellStyle name="40% - uthevingsfarge 5 26 3 2 4 2" xfId="8922" xr:uid="{00000000-0005-0000-0000-0000063C0000}"/>
    <cellStyle name="40% - uthevingsfarge 5 26 3 2 4 2 2" xfId="24661" xr:uid="{00000000-0005-0000-0000-0000073C0000}"/>
    <cellStyle name="40% - uthevingsfarge 5 26 3 2 4 2 2 2" xfId="40704" xr:uid="{00000000-0005-0000-0000-0000083C0000}"/>
    <cellStyle name="40% - uthevingsfarge 5 26 3 2 4 2 3" xfId="28876" xr:uid="{00000000-0005-0000-0000-0000093C0000}"/>
    <cellStyle name="40% - uthevingsfarge 5 26 3 2 4 3" xfId="22071" xr:uid="{00000000-0005-0000-0000-00000A3C0000}"/>
    <cellStyle name="40% - uthevingsfarge 5 26 3 2 4 3 2" xfId="38145" xr:uid="{00000000-0005-0000-0000-00000B3C0000}"/>
    <cellStyle name="40% - uthevingsfarge 5 26 3 2 4 4" xfId="32267" xr:uid="{00000000-0005-0000-0000-00000C3C0000}"/>
    <cellStyle name="40% - uthevingsfarge 5 26 3 2 5" xfId="7225" xr:uid="{00000000-0005-0000-0000-00000D3C0000}"/>
    <cellStyle name="40% - uthevingsfarge 5 26 3 2 5 2" xfId="20702" xr:uid="{00000000-0005-0000-0000-00000E3C0000}"/>
    <cellStyle name="40% - uthevingsfarge 5 26 3 2 5 2 2" xfId="36801" xr:uid="{00000000-0005-0000-0000-00000F3C0000}"/>
    <cellStyle name="40% - uthevingsfarge 5 26 3 2 5 3" xfId="30573" xr:uid="{00000000-0005-0000-0000-0000103C0000}"/>
    <cellStyle name="40% - uthevingsfarge 5 26 3 2 6" xfId="11214" xr:uid="{00000000-0005-0000-0000-0000113C0000}"/>
    <cellStyle name="40% - uthevingsfarge 5 26 3 2 7" xfId="33960" xr:uid="{00000000-0005-0000-0000-0000123C0000}"/>
    <cellStyle name="40% - uthevingsfarge 5 26 3 2 8" xfId="43615" xr:uid="{00000000-0005-0000-0000-0000133C0000}"/>
    <cellStyle name="40% - uthevingsfarge 5 26 3 2 9" xfId="46521" xr:uid="{00000000-0005-0000-0000-0000143C0000}"/>
    <cellStyle name="40% - uthevingsfarge 5 26 3 2_Avviksanalyse løpende RNB15 (1)" xfId="16643" xr:uid="{00000000-0005-0000-0000-0000153C0000}"/>
    <cellStyle name="40% - uthevingsfarge 5 26 3 3" xfId="3833" xr:uid="{00000000-0005-0000-0000-0000163C0000}"/>
    <cellStyle name="40% - uthevingsfarge 5 26 3 3 2" xfId="5721" xr:uid="{00000000-0005-0000-0000-0000173C0000}"/>
    <cellStyle name="40% - uthevingsfarge 5 26 3 3 2 2" xfId="9136" xr:uid="{00000000-0005-0000-0000-0000183C0000}"/>
    <cellStyle name="40% - uthevingsfarge 5 26 3 3 2 2 2" xfId="21288" xr:uid="{00000000-0005-0000-0000-0000193C0000}"/>
    <cellStyle name="40% - uthevingsfarge 5 26 3 3 2 2 2 2" xfId="37368" xr:uid="{00000000-0005-0000-0000-00001A3C0000}"/>
    <cellStyle name="40% - uthevingsfarge 5 26 3 3 2 2 3" xfId="28662" xr:uid="{00000000-0005-0000-0000-00001B3C0000}"/>
    <cellStyle name="40% - uthevingsfarge 5 26 3 3 2 3" xfId="11986" xr:uid="{00000000-0005-0000-0000-00001C3C0000}"/>
    <cellStyle name="40% - uthevingsfarge 5 26 3 3 2 3 2" xfId="35008" xr:uid="{00000000-0005-0000-0000-00001D3C0000}"/>
    <cellStyle name="40% - uthevingsfarge 5 26 3 3 2 4" xfId="32053" xr:uid="{00000000-0005-0000-0000-00001E3C0000}"/>
    <cellStyle name="40% - uthevingsfarge 5 26 3 3 3" xfId="7439" xr:uid="{00000000-0005-0000-0000-00001F3C0000}"/>
    <cellStyle name="40% - uthevingsfarge 5 26 3 3 3 2" xfId="20783" xr:uid="{00000000-0005-0000-0000-0000203C0000}"/>
    <cellStyle name="40% - uthevingsfarge 5 26 3 3 3 2 2" xfId="36882" xr:uid="{00000000-0005-0000-0000-0000213C0000}"/>
    <cellStyle name="40% - uthevingsfarge 5 26 3 3 3 3" xfId="30359" xr:uid="{00000000-0005-0000-0000-0000223C0000}"/>
    <cellStyle name="40% - uthevingsfarge 5 26 3 3 4" xfId="19935" xr:uid="{00000000-0005-0000-0000-0000233C0000}"/>
    <cellStyle name="40% - uthevingsfarge 5 26 3 3 4 2" xfId="36039" xr:uid="{00000000-0005-0000-0000-0000243C0000}"/>
    <cellStyle name="40% - uthevingsfarge 5 26 3 3 5" xfId="33746" xr:uid="{00000000-0005-0000-0000-0000253C0000}"/>
    <cellStyle name="40% - uthevingsfarge 5 26 3 4" xfId="4318" xr:uid="{00000000-0005-0000-0000-0000263C0000}"/>
    <cellStyle name="40% - uthevingsfarge 5 26 3 4 2" xfId="6147" xr:uid="{00000000-0005-0000-0000-0000273C0000}"/>
    <cellStyle name="40% - uthevingsfarge 5 26 3 4 2 2" xfId="9561" xr:uid="{00000000-0005-0000-0000-0000283C0000}"/>
    <cellStyle name="40% - uthevingsfarge 5 26 3 4 2 2 2" xfId="11650" xr:uid="{00000000-0005-0000-0000-0000293C0000}"/>
    <cellStyle name="40% - uthevingsfarge 5 26 3 4 2 2 2 2" xfId="34821" xr:uid="{00000000-0005-0000-0000-00002A3C0000}"/>
    <cellStyle name="40% - uthevingsfarge 5 26 3 4 2 2 3" xfId="28237" xr:uid="{00000000-0005-0000-0000-00002B3C0000}"/>
    <cellStyle name="40% - uthevingsfarge 5 26 3 4 2 3" xfId="20340" xr:uid="{00000000-0005-0000-0000-00002C3C0000}"/>
    <cellStyle name="40% - uthevingsfarge 5 26 3 4 2 3 2" xfId="36439" xr:uid="{00000000-0005-0000-0000-00002D3C0000}"/>
    <cellStyle name="40% - uthevingsfarge 5 26 3 4 2 4" xfId="31634" xr:uid="{00000000-0005-0000-0000-00002E3C0000}"/>
    <cellStyle name="40% - uthevingsfarge 5 26 3 4 3" xfId="7880" xr:uid="{00000000-0005-0000-0000-00002F3C0000}"/>
    <cellStyle name="40% - uthevingsfarge 5 26 3 4 3 2" xfId="19449" xr:uid="{00000000-0005-0000-0000-0000303C0000}"/>
    <cellStyle name="40% - uthevingsfarge 5 26 3 4 3 2 2" xfId="35563" xr:uid="{00000000-0005-0000-0000-0000313C0000}"/>
    <cellStyle name="40% - uthevingsfarge 5 26 3 4 3 3" xfId="29919" xr:uid="{00000000-0005-0000-0000-0000323C0000}"/>
    <cellStyle name="40% - uthevingsfarge 5 26 3 4 4" xfId="23816" xr:uid="{00000000-0005-0000-0000-0000333C0000}"/>
    <cellStyle name="40% - uthevingsfarge 5 26 3 4 4 2" xfId="39872" xr:uid="{00000000-0005-0000-0000-0000343C0000}"/>
    <cellStyle name="40% - uthevingsfarge 5 26 3 4 5" xfId="33307" xr:uid="{00000000-0005-0000-0000-0000353C0000}"/>
    <cellStyle name="40% - uthevingsfarge 5 26 3 5" xfId="4773" xr:uid="{00000000-0005-0000-0000-0000363C0000}"/>
    <cellStyle name="40% - uthevingsfarge 5 26 3 5 2" xfId="6493" xr:uid="{00000000-0005-0000-0000-0000373C0000}"/>
    <cellStyle name="40% - uthevingsfarge 5 26 3 5 2 2" xfId="9899" xr:uid="{00000000-0005-0000-0000-0000383C0000}"/>
    <cellStyle name="40% - uthevingsfarge 5 26 3 5 2 2 2" xfId="24584" xr:uid="{00000000-0005-0000-0000-0000393C0000}"/>
    <cellStyle name="40% - uthevingsfarge 5 26 3 5 2 2 2 2" xfId="40628" xr:uid="{00000000-0005-0000-0000-00003A3C0000}"/>
    <cellStyle name="40% - uthevingsfarge 5 26 3 5 2 2 3" xfId="27900" xr:uid="{00000000-0005-0000-0000-00003B3C0000}"/>
    <cellStyle name="40% - uthevingsfarge 5 26 3 5 2 3" xfId="20474" xr:uid="{00000000-0005-0000-0000-00003C3C0000}"/>
    <cellStyle name="40% - uthevingsfarge 5 26 3 5 2 3 2" xfId="36573" xr:uid="{00000000-0005-0000-0000-00003D3C0000}"/>
    <cellStyle name="40% - uthevingsfarge 5 26 3 5 2 4" xfId="31301" xr:uid="{00000000-0005-0000-0000-00003E3C0000}"/>
    <cellStyle name="40% - uthevingsfarge 5 26 3 5 3" xfId="8195" xr:uid="{00000000-0005-0000-0000-00003F3C0000}"/>
    <cellStyle name="40% - uthevingsfarge 5 26 3 5 3 2" xfId="21029" xr:uid="{00000000-0005-0000-0000-0000403C0000}"/>
    <cellStyle name="40% - uthevingsfarge 5 26 3 5 3 2 2" xfId="37122" xr:uid="{00000000-0005-0000-0000-0000413C0000}"/>
    <cellStyle name="40% - uthevingsfarge 5 26 3 5 3 3" xfId="29602" xr:uid="{00000000-0005-0000-0000-0000423C0000}"/>
    <cellStyle name="40% - uthevingsfarge 5 26 3 5 4" xfId="19701" xr:uid="{00000000-0005-0000-0000-0000433C0000}"/>
    <cellStyle name="40% - uthevingsfarge 5 26 3 5 4 2" xfId="35815" xr:uid="{00000000-0005-0000-0000-0000443C0000}"/>
    <cellStyle name="40% - uthevingsfarge 5 26 3 5 5" xfId="32994" xr:uid="{00000000-0005-0000-0000-0000453C0000}"/>
    <cellStyle name="40% - uthevingsfarge 5 26 3 6" xfId="5133" xr:uid="{00000000-0005-0000-0000-0000463C0000}"/>
    <cellStyle name="40% - uthevingsfarge 5 26 3 6 2" xfId="6852" xr:uid="{00000000-0005-0000-0000-0000473C0000}"/>
    <cellStyle name="40% - uthevingsfarge 5 26 3 6 2 2" xfId="10258" xr:uid="{00000000-0005-0000-0000-0000483C0000}"/>
    <cellStyle name="40% - uthevingsfarge 5 26 3 6 2 2 2" xfId="24701" xr:uid="{00000000-0005-0000-0000-0000493C0000}"/>
    <cellStyle name="40% - uthevingsfarge 5 26 3 6 2 2 2 2" xfId="40744" xr:uid="{00000000-0005-0000-0000-00004A3C0000}"/>
    <cellStyle name="40% - uthevingsfarge 5 26 3 6 2 2 3" xfId="27541" xr:uid="{00000000-0005-0000-0000-00004B3C0000}"/>
    <cellStyle name="40% - uthevingsfarge 5 26 3 6 2 3" xfId="22394" xr:uid="{00000000-0005-0000-0000-00004C3C0000}"/>
    <cellStyle name="40% - uthevingsfarge 5 26 3 6 2 3 2" xfId="38466" xr:uid="{00000000-0005-0000-0000-00004D3C0000}"/>
    <cellStyle name="40% - uthevingsfarge 5 26 3 6 2 4" xfId="30942" xr:uid="{00000000-0005-0000-0000-00004E3C0000}"/>
    <cellStyle name="40% - uthevingsfarge 5 26 3 6 3" xfId="8555" xr:uid="{00000000-0005-0000-0000-00004F3C0000}"/>
    <cellStyle name="40% - uthevingsfarge 5 26 3 6 3 2" xfId="19874" xr:uid="{00000000-0005-0000-0000-0000503C0000}"/>
    <cellStyle name="40% - uthevingsfarge 5 26 3 6 3 2 2" xfId="35987" xr:uid="{00000000-0005-0000-0000-0000513C0000}"/>
    <cellStyle name="40% - uthevingsfarge 5 26 3 6 3 3" xfId="29243" xr:uid="{00000000-0005-0000-0000-0000523C0000}"/>
    <cellStyle name="40% - uthevingsfarge 5 26 3 6 4" xfId="12152" xr:uid="{00000000-0005-0000-0000-0000533C0000}"/>
    <cellStyle name="40% - uthevingsfarge 5 26 3 6 4 2" xfId="35096" xr:uid="{00000000-0005-0000-0000-0000543C0000}"/>
    <cellStyle name="40% - uthevingsfarge 5 26 3 6 5" xfId="32634" xr:uid="{00000000-0005-0000-0000-0000553C0000}"/>
    <cellStyle name="40% - uthevingsfarge 5 26 3 7" xfId="5312" xr:uid="{00000000-0005-0000-0000-0000563C0000}"/>
    <cellStyle name="40% - uthevingsfarge 5 26 3 7 2" xfId="8727" xr:uid="{00000000-0005-0000-0000-0000573C0000}"/>
    <cellStyle name="40% - uthevingsfarge 5 26 3 7 2 2" xfId="23400" xr:uid="{00000000-0005-0000-0000-0000583C0000}"/>
    <cellStyle name="40% - uthevingsfarge 5 26 3 7 2 2 2" xfId="39456" xr:uid="{00000000-0005-0000-0000-0000593C0000}"/>
    <cellStyle name="40% - uthevingsfarge 5 26 3 7 2 3" xfId="29071" xr:uid="{00000000-0005-0000-0000-00005A3C0000}"/>
    <cellStyle name="40% - uthevingsfarge 5 26 3 7 3" xfId="22070" xr:uid="{00000000-0005-0000-0000-00005B3C0000}"/>
    <cellStyle name="40% - uthevingsfarge 5 26 3 7 3 2" xfId="38144" xr:uid="{00000000-0005-0000-0000-00005C3C0000}"/>
    <cellStyle name="40% - uthevingsfarge 5 26 3 7 4" xfId="32462" xr:uid="{00000000-0005-0000-0000-00005D3C0000}"/>
    <cellStyle name="40% - uthevingsfarge 5 26 3 8" xfId="7045" xr:uid="{00000000-0005-0000-0000-00005E3C0000}"/>
    <cellStyle name="40% - uthevingsfarge 5 26 3 8 2" xfId="23137" xr:uid="{00000000-0005-0000-0000-00005F3C0000}"/>
    <cellStyle name="40% - uthevingsfarge 5 26 3 8 2 2" xfId="39206" xr:uid="{00000000-0005-0000-0000-0000603C0000}"/>
    <cellStyle name="40% - uthevingsfarge 5 26 3 8 3" xfId="30753" xr:uid="{00000000-0005-0000-0000-0000613C0000}"/>
    <cellStyle name="40% - uthevingsfarge 5 26 3 9" xfId="11213" xr:uid="{00000000-0005-0000-0000-0000623C0000}"/>
    <cellStyle name="40% - uthevingsfarge 5 26 4" xfId="3498" xr:uid="{00000000-0005-0000-0000-0000633C0000}"/>
    <cellStyle name="40% - uthevingsfarge 5 26 4 10" xfId="47114" xr:uid="{00000000-0005-0000-0000-0000643C0000}"/>
    <cellStyle name="40% - uthevingsfarge 5 26 4 2" xfId="3934" xr:uid="{00000000-0005-0000-0000-0000653C0000}"/>
    <cellStyle name="40% - uthevingsfarge 5 26 4 2 2" xfId="5822" xr:uid="{00000000-0005-0000-0000-0000663C0000}"/>
    <cellStyle name="40% - uthevingsfarge 5 26 4 2 2 2" xfId="9237" xr:uid="{00000000-0005-0000-0000-0000673C0000}"/>
    <cellStyle name="40% - uthevingsfarge 5 26 4 2 2 2 2" xfId="19883" xr:uid="{00000000-0005-0000-0000-0000683C0000}"/>
    <cellStyle name="40% - uthevingsfarge 5 26 4 2 2 2 2 2" xfId="35996" xr:uid="{00000000-0005-0000-0000-0000693C0000}"/>
    <cellStyle name="40% - uthevingsfarge 5 26 4 2 2 2 3" xfId="28561" xr:uid="{00000000-0005-0000-0000-00006A3C0000}"/>
    <cellStyle name="40% - uthevingsfarge 5 26 4 2 2 3" xfId="23925" xr:uid="{00000000-0005-0000-0000-00006B3C0000}"/>
    <cellStyle name="40% - uthevingsfarge 5 26 4 2 2 3 2" xfId="39979" xr:uid="{00000000-0005-0000-0000-00006C3C0000}"/>
    <cellStyle name="40% - uthevingsfarge 5 26 4 2 2 4" xfId="31952" xr:uid="{00000000-0005-0000-0000-00006D3C0000}"/>
    <cellStyle name="40% - uthevingsfarge 5 26 4 2 3" xfId="7540" xr:uid="{00000000-0005-0000-0000-00006E3C0000}"/>
    <cellStyle name="40% - uthevingsfarge 5 26 4 2 3 2" xfId="20813" xr:uid="{00000000-0005-0000-0000-00006F3C0000}"/>
    <cellStyle name="40% - uthevingsfarge 5 26 4 2 3 2 2" xfId="36912" xr:uid="{00000000-0005-0000-0000-0000703C0000}"/>
    <cellStyle name="40% - uthevingsfarge 5 26 4 2 3 3" xfId="30258" xr:uid="{00000000-0005-0000-0000-0000713C0000}"/>
    <cellStyle name="40% - uthevingsfarge 5 26 4 2 4" xfId="18036" xr:uid="{00000000-0005-0000-0000-0000723C0000}"/>
    <cellStyle name="40% - uthevingsfarge 5 26 4 2 5" xfId="19560" xr:uid="{00000000-0005-0000-0000-0000733C0000}"/>
    <cellStyle name="40% - uthevingsfarge 5 26 4 2 5 2" xfId="35674" xr:uid="{00000000-0005-0000-0000-0000743C0000}"/>
    <cellStyle name="40% - uthevingsfarge 5 26 4 2 6" xfId="33645" xr:uid="{00000000-0005-0000-0000-0000753C0000}"/>
    <cellStyle name="40% - uthevingsfarge 5 26 4 3" xfId="4874" xr:uid="{00000000-0005-0000-0000-0000763C0000}"/>
    <cellStyle name="40% - uthevingsfarge 5 26 4 3 10" xfId="47304" xr:uid="{00000000-0005-0000-0000-0000773C0000}"/>
    <cellStyle name="40% - uthevingsfarge 5 26 4 3 2" xfId="6593" xr:uid="{00000000-0005-0000-0000-0000783C0000}"/>
    <cellStyle name="40% - uthevingsfarge 5 26 4 3 2 2" xfId="9999" xr:uid="{00000000-0005-0000-0000-0000793C0000}"/>
    <cellStyle name="40% - uthevingsfarge 5 26 4 3 2 2 2" xfId="21566" xr:uid="{00000000-0005-0000-0000-00007A3C0000}"/>
    <cellStyle name="40% - uthevingsfarge 5 26 4 3 2 2 2 2" xfId="37646" xr:uid="{00000000-0005-0000-0000-00007B3C0000}"/>
    <cellStyle name="40% - uthevingsfarge 5 26 4 3 2 2 3" xfId="27800" xr:uid="{00000000-0005-0000-0000-00007C3C0000}"/>
    <cellStyle name="40% - uthevingsfarge 5 26 4 3 2 3" xfId="20511" xr:uid="{00000000-0005-0000-0000-00007D3C0000}"/>
    <cellStyle name="40% - uthevingsfarge 5 26 4 3 2 3 2" xfId="36610" xr:uid="{00000000-0005-0000-0000-00007E3C0000}"/>
    <cellStyle name="40% - uthevingsfarge 5 26 4 3 2 4" xfId="31201" xr:uid="{00000000-0005-0000-0000-00007F3C0000}"/>
    <cellStyle name="40% - uthevingsfarge 5 26 4 3 2 5" xfId="42859" xr:uid="{00000000-0005-0000-0000-0000803C0000}"/>
    <cellStyle name="40% - uthevingsfarge 5 26 4 3 2 6" xfId="43297" xr:uid="{00000000-0005-0000-0000-0000813C0000}"/>
    <cellStyle name="40% - uthevingsfarge 5 26 4 3 2 7" xfId="46145" xr:uid="{00000000-0005-0000-0000-0000823C0000}"/>
    <cellStyle name="40% - uthevingsfarge 5 26 4 3 2 8" xfId="46914" xr:uid="{00000000-0005-0000-0000-0000833C0000}"/>
    <cellStyle name="40% - uthevingsfarge 5 26 4 3 2 9" xfId="47500" xr:uid="{00000000-0005-0000-0000-0000843C0000}"/>
    <cellStyle name="40% - uthevingsfarge 5 26 4 3 3" xfId="8296" xr:uid="{00000000-0005-0000-0000-0000853C0000}"/>
    <cellStyle name="40% - uthevingsfarge 5 26 4 3 3 2" xfId="11873" xr:uid="{00000000-0005-0000-0000-0000863C0000}"/>
    <cellStyle name="40% - uthevingsfarge 5 26 4 3 3 2 2" xfId="34910" xr:uid="{00000000-0005-0000-0000-0000873C0000}"/>
    <cellStyle name="40% - uthevingsfarge 5 26 4 3 3 3" xfId="29501" xr:uid="{00000000-0005-0000-0000-0000883C0000}"/>
    <cellStyle name="40% - uthevingsfarge 5 26 4 3 3 4" xfId="43956" xr:uid="{00000000-0005-0000-0000-0000893C0000}"/>
    <cellStyle name="40% - uthevingsfarge 5 26 4 3 4" xfId="16304" xr:uid="{00000000-0005-0000-0000-00008A3C0000}"/>
    <cellStyle name="40% - uthevingsfarge 5 26 4 3 4 2" xfId="35392" xr:uid="{00000000-0005-0000-0000-00008B3C0000}"/>
    <cellStyle name="40% - uthevingsfarge 5 26 4 3 5" xfId="25051" xr:uid="{00000000-0005-0000-0000-00008C3C0000}"/>
    <cellStyle name="40% - uthevingsfarge 5 26 4 3 6" xfId="25319" xr:uid="{00000000-0005-0000-0000-00008D3C0000}"/>
    <cellStyle name="40% - uthevingsfarge 5 26 4 3 7" xfId="32893" xr:uid="{00000000-0005-0000-0000-00008E3C0000}"/>
    <cellStyle name="40% - uthevingsfarge 5 26 4 3 8" xfId="43757" xr:uid="{00000000-0005-0000-0000-00008F3C0000}"/>
    <cellStyle name="40% - uthevingsfarge 5 26 4 3 9" xfId="46683" xr:uid="{00000000-0005-0000-0000-0000903C0000}"/>
    <cellStyle name="40% - uthevingsfarge 5 26 4 4" xfId="5430" xr:uid="{00000000-0005-0000-0000-0000913C0000}"/>
    <cellStyle name="40% - uthevingsfarge 5 26 4 4 2" xfId="8845" xr:uid="{00000000-0005-0000-0000-0000923C0000}"/>
    <cellStyle name="40% - uthevingsfarge 5 26 4 4 2 2" xfId="23417" xr:uid="{00000000-0005-0000-0000-0000933C0000}"/>
    <cellStyle name="40% - uthevingsfarge 5 26 4 4 2 2 2" xfId="39473" xr:uid="{00000000-0005-0000-0000-0000943C0000}"/>
    <cellStyle name="40% - uthevingsfarge 5 26 4 4 2 3" xfId="28953" xr:uid="{00000000-0005-0000-0000-0000953C0000}"/>
    <cellStyle name="40% - uthevingsfarge 5 26 4 4 3" xfId="10706" xr:uid="{00000000-0005-0000-0000-0000963C0000}"/>
    <cellStyle name="40% - uthevingsfarge 5 26 4 4 3 2" xfId="34554" xr:uid="{00000000-0005-0000-0000-0000973C0000}"/>
    <cellStyle name="40% - uthevingsfarge 5 26 4 4 4" xfId="32344" xr:uid="{00000000-0005-0000-0000-0000983C0000}"/>
    <cellStyle name="40% - uthevingsfarge 5 26 4 5" xfId="7146" xr:uid="{00000000-0005-0000-0000-0000993C0000}"/>
    <cellStyle name="40% - uthevingsfarge 5 26 4 5 2" xfId="23674" xr:uid="{00000000-0005-0000-0000-00009A3C0000}"/>
    <cellStyle name="40% - uthevingsfarge 5 26 4 5 2 2" xfId="39730" xr:uid="{00000000-0005-0000-0000-00009B3C0000}"/>
    <cellStyle name="40% - uthevingsfarge 5 26 4 5 3" xfId="30652" xr:uid="{00000000-0005-0000-0000-00009C3C0000}"/>
    <cellStyle name="40% - uthevingsfarge 5 26 4 6" xfId="11215" xr:uid="{00000000-0005-0000-0000-00009D3C0000}"/>
    <cellStyle name="40% - uthevingsfarge 5 26 4 7" xfId="34039" xr:uid="{00000000-0005-0000-0000-00009E3C0000}"/>
    <cellStyle name="40% - uthevingsfarge 5 26 4 8" xfId="43549" xr:uid="{00000000-0005-0000-0000-00009F3C0000}"/>
    <cellStyle name="40% - uthevingsfarge 5 26 4 9" xfId="46453" xr:uid="{00000000-0005-0000-0000-0000A03C0000}"/>
    <cellStyle name="40% - uthevingsfarge 5 26 4_Avviksanalyse løpende RNB15 (1)" xfId="16644" xr:uid="{00000000-0005-0000-0000-0000A13C0000}"/>
    <cellStyle name="40% - uthevingsfarge 5 26 5" xfId="3755" xr:uid="{00000000-0005-0000-0000-0000A23C0000}"/>
    <cellStyle name="40% - uthevingsfarge 5 26 5 2" xfId="5643" xr:uid="{00000000-0005-0000-0000-0000A33C0000}"/>
    <cellStyle name="40% - uthevingsfarge 5 26 5 2 2" xfId="9058" xr:uid="{00000000-0005-0000-0000-0000A43C0000}"/>
    <cellStyle name="40% - uthevingsfarge 5 26 5 2 2 2" xfId="22666" xr:uid="{00000000-0005-0000-0000-0000A53C0000}"/>
    <cellStyle name="40% - uthevingsfarge 5 26 5 2 2 2 2" xfId="38735" xr:uid="{00000000-0005-0000-0000-0000A63C0000}"/>
    <cellStyle name="40% - uthevingsfarge 5 26 5 2 2 3" xfId="28740" xr:uid="{00000000-0005-0000-0000-0000A73C0000}"/>
    <cellStyle name="40% - uthevingsfarge 5 26 5 2 3" xfId="20152" xr:uid="{00000000-0005-0000-0000-0000A83C0000}"/>
    <cellStyle name="40% - uthevingsfarge 5 26 5 2 3 2" xfId="36254" xr:uid="{00000000-0005-0000-0000-0000A93C0000}"/>
    <cellStyle name="40% - uthevingsfarge 5 26 5 2 4" xfId="32131" xr:uid="{00000000-0005-0000-0000-0000AA3C0000}"/>
    <cellStyle name="40% - uthevingsfarge 5 26 5 3" xfId="7361" xr:uid="{00000000-0005-0000-0000-0000AB3C0000}"/>
    <cellStyle name="40% - uthevingsfarge 5 26 5 3 2" xfId="20754" xr:uid="{00000000-0005-0000-0000-0000AC3C0000}"/>
    <cellStyle name="40% - uthevingsfarge 5 26 5 3 2 2" xfId="36853" xr:uid="{00000000-0005-0000-0000-0000AD3C0000}"/>
    <cellStyle name="40% - uthevingsfarge 5 26 5 3 3" xfId="30437" xr:uid="{00000000-0005-0000-0000-0000AE3C0000}"/>
    <cellStyle name="40% - uthevingsfarge 5 26 5 4" xfId="12579" xr:uid="{00000000-0005-0000-0000-0000AF3C0000}"/>
    <cellStyle name="40% - uthevingsfarge 5 26 5 4 2" xfId="35282" xr:uid="{00000000-0005-0000-0000-0000B03C0000}"/>
    <cellStyle name="40% - uthevingsfarge 5 26 5 5" xfId="33824" xr:uid="{00000000-0005-0000-0000-0000B13C0000}"/>
    <cellStyle name="40% - uthevingsfarge 5 26 6" xfId="4216" xr:uid="{00000000-0005-0000-0000-0000B23C0000}"/>
    <cellStyle name="40% - uthevingsfarge 5 26 6 2" xfId="6053" xr:uid="{00000000-0005-0000-0000-0000B33C0000}"/>
    <cellStyle name="40% - uthevingsfarge 5 26 6 2 2" xfId="9468" xr:uid="{00000000-0005-0000-0000-0000B43C0000}"/>
    <cellStyle name="40% - uthevingsfarge 5 26 6 2 2 2" xfId="21392" xr:uid="{00000000-0005-0000-0000-0000B53C0000}"/>
    <cellStyle name="40% - uthevingsfarge 5 26 6 2 2 2 2" xfId="37472" xr:uid="{00000000-0005-0000-0000-0000B63C0000}"/>
    <cellStyle name="40% - uthevingsfarge 5 26 6 2 2 3" xfId="28330" xr:uid="{00000000-0005-0000-0000-0000B73C0000}"/>
    <cellStyle name="40% - uthevingsfarge 5 26 6 2 3" xfId="23969" xr:uid="{00000000-0005-0000-0000-0000B83C0000}"/>
    <cellStyle name="40% - uthevingsfarge 5 26 6 2 3 2" xfId="40023" xr:uid="{00000000-0005-0000-0000-0000B93C0000}"/>
    <cellStyle name="40% - uthevingsfarge 5 26 6 2 4" xfId="31725" xr:uid="{00000000-0005-0000-0000-0000BA3C0000}"/>
    <cellStyle name="40% - uthevingsfarge 5 26 6 3" xfId="7786" xr:uid="{00000000-0005-0000-0000-0000BB3C0000}"/>
    <cellStyle name="40% - uthevingsfarge 5 26 6 3 2" xfId="20901" xr:uid="{00000000-0005-0000-0000-0000BC3C0000}"/>
    <cellStyle name="40% - uthevingsfarge 5 26 6 3 2 2" xfId="37000" xr:uid="{00000000-0005-0000-0000-0000BD3C0000}"/>
    <cellStyle name="40% - uthevingsfarge 5 26 6 3 3" xfId="30013" xr:uid="{00000000-0005-0000-0000-0000BE3C0000}"/>
    <cellStyle name="40% - uthevingsfarge 5 26 6 4" xfId="22807" xr:uid="{00000000-0005-0000-0000-0000BF3C0000}"/>
    <cellStyle name="40% - uthevingsfarge 5 26 6 4 2" xfId="38876" xr:uid="{00000000-0005-0000-0000-0000C03C0000}"/>
    <cellStyle name="40% - uthevingsfarge 5 26 6 5" xfId="33401" xr:uid="{00000000-0005-0000-0000-0000C13C0000}"/>
    <cellStyle name="40% - uthevingsfarge 5 26 7" xfId="4690" xr:uid="{00000000-0005-0000-0000-0000C23C0000}"/>
    <cellStyle name="40% - uthevingsfarge 5 26 7 2" xfId="6410" xr:uid="{00000000-0005-0000-0000-0000C33C0000}"/>
    <cellStyle name="40% - uthevingsfarge 5 26 7 2 2" xfId="9820" xr:uid="{00000000-0005-0000-0000-0000C43C0000}"/>
    <cellStyle name="40% - uthevingsfarge 5 26 7 2 2 2" xfId="21984" xr:uid="{00000000-0005-0000-0000-0000C53C0000}"/>
    <cellStyle name="40% - uthevingsfarge 5 26 7 2 2 2 2" xfId="38059" xr:uid="{00000000-0005-0000-0000-0000C63C0000}"/>
    <cellStyle name="40% - uthevingsfarge 5 26 7 2 2 3" xfId="27979" xr:uid="{00000000-0005-0000-0000-0000C73C0000}"/>
    <cellStyle name="40% - uthevingsfarge 5 26 7 2 3" xfId="20440" xr:uid="{00000000-0005-0000-0000-0000C83C0000}"/>
    <cellStyle name="40% - uthevingsfarge 5 26 7 2 3 2" xfId="36539" xr:uid="{00000000-0005-0000-0000-0000C93C0000}"/>
    <cellStyle name="40% - uthevingsfarge 5 26 7 2 4" xfId="31380" xr:uid="{00000000-0005-0000-0000-0000CA3C0000}"/>
    <cellStyle name="40% - uthevingsfarge 5 26 7 3" xfId="8116" xr:uid="{00000000-0005-0000-0000-0000CB3C0000}"/>
    <cellStyle name="40% - uthevingsfarge 5 26 7 3 2" xfId="24318" xr:uid="{00000000-0005-0000-0000-0000CC3C0000}"/>
    <cellStyle name="40% - uthevingsfarge 5 26 7 3 2 2" xfId="40368" xr:uid="{00000000-0005-0000-0000-0000CD3C0000}"/>
    <cellStyle name="40% - uthevingsfarge 5 26 7 3 3" xfId="29682" xr:uid="{00000000-0005-0000-0000-0000CE3C0000}"/>
    <cellStyle name="40% - uthevingsfarge 5 26 7 4" xfId="19682" xr:uid="{00000000-0005-0000-0000-0000CF3C0000}"/>
    <cellStyle name="40% - uthevingsfarge 5 26 7 4 2" xfId="35796" xr:uid="{00000000-0005-0000-0000-0000D03C0000}"/>
    <cellStyle name="40% - uthevingsfarge 5 26 7 5" xfId="33073" xr:uid="{00000000-0005-0000-0000-0000D13C0000}"/>
    <cellStyle name="40% - uthevingsfarge 5 26 8" xfId="5054" xr:uid="{00000000-0005-0000-0000-0000D23C0000}"/>
    <cellStyle name="40% - uthevingsfarge 5 26 8 2" xfId="6773" xr:uid="{00000000-0005-0000-0000-0000D33C0000}"/>
    <cellStyle name="40% - uthevingsfarge 5 26 8 2 2" xfId="10179" xr:uid="{00000000-0005-0000-0000-0000D43C0000}"/>
    <cellStyle name="40% - uthevingsfarge 5 26 8 2 2 2" xfId="21638" xr:uid="{00000000-0005-0000-0000-0000D53C0000}"/>
    <cellStyle name="40% - uthevingsfarge 5 26 8 2 2 2 2" xfId="37718" xr:uid="{00000000-0005-0000-0000-0000D63C0000}"/>
    <cellStyle name="40% - uthevingsfarge 5 26 8 2 2 3" xfId="27620" xr:uid="{00000000-0005-0000-0000-0000D73C0000}"/>
    <cellStyle name="40% - uthevingsfarge 5 26 8 2 3" xfId="20561" xr:uid="{00000000-0005-0000-0000-0000D83C0000}"/>
    <cellStyle name="40% - uthevingsfarge 5 26 8 2 3 2" xfId="36660" xr:uid="{00000000-0005-0000-0000-0000D93C0000}"/>
    <cellStyle name="40% - uthevingsfarge 5 26 8 2 4" xfId="31021" xr:uid="{00000000-0005-0000-0000-0000DA3C0000}"/>
    <cellStyle name="40% - uthevingsfarge 5 26 8 3" xfId="8476" xr:uid="{00000000-0005-0000-0000-0000DB3C0000}"/>
    <cellStyle name="40% - uthevingsfarge 5 26 8 3 2" xfId="24370" xr:uid="{00000000-0005-0000-0000-0000DC3C0000}"/>
    <cellStyle name="40% - uthevingsfarge 5 26 8 3 2 2" xfId="40416" xr:uid="{00000000-0005-0000-0000-0000DD3C0000}"/>
    <cellStyle name="40% - uthevingsfarge 5 26 8 3 3" xfId="29322" xr:uid="{00000000-0005-0000-0000-0000DE3C0000}"/>
    <cellStyle name="40% - uthevingsfarge 5 26 8 4" xfId="10851" xr:uid="{00000000-0005-0000-0000-0000DF3C0000}"/>
    <cellStyle name="40% - uthevingsfarge 5 26 8 4 2" xfId="34649" xr:uid="{00000000-0005-0000-0000-0000E03C0000}"/>
    <cellStyle name="40% - uthevingsfarge 5 26 8 5" xfId="32713" xr:uid="{00000000-0005-0000-0000-0000E13C0000}"/>
    <cellStyle name="40% - uthevingsfarge 5 26 9" xfId="5206" xr:uid="{00000000-0005-0000-0000-0000E23C0000}"/>
    <cellStyle name="40% - uthevingsfarge 5 26 9 2" xfId="8625" xr:uid="{00000000-0005-0000-0000-0000E33C0000}"/>
    <cellStyle name="40% - uthevingsfarge 5 26 9 2 2" xfId="24389" xr:uid="{00000000-0005-0000-0000-0000E43C0000}"/>
    <cellStyle name="40% - uthevingsfarge 5 26 9 2 2 2" xfId="40433" xr:uid="{00000000-0005-0000-0000-0000E53C0000}"/>
    <cellStyle name="40% - uthevingsfarge 5 26 9 2 3" xfId="29173" xr:uid="{00000000-0005-0000-0000-0000E63C0000}"/>
    <cellStyle name="40% - uthevingsfarge 5 26 9 3" xfId="10787" xr:uid="{00000000-0005-0000-0000-0000E73C0000}"/>
    <cellStyle name="40% - uthevingsfarge 5 26 9 3 2" xfId="34610" xr:uid="{00000000-0005-0000-0000-0000E83C0000}"/>
    <cellStyle name="40% - uthevingsfarge 5 26 9 4" xfId="32564" xr:uid="{00000000-0005-0000-0000-0000E93C0000}"/>
    <cellStyle name="40% - uthevingsfarge 5 27" xfId="931" xr:uid="{00000000-0005-0000-0000-0000EA3C0000}"/>
    <cellStyle name="40% - uthevingsfarge 5 27 10" xfId="11216" xr:uid="{00000000-0005-0000-0000-0000EB3C0000}"/>
    <cellStyle name="40% - uthevingsfarge 5 27 11" xfId="34235" xr:uid="{00000000-0005-0000-0000-0000EC3C0000}"/>
    <cellStyle name="40% - uthevingsfarge 5 27 2" xfId="3352" xr:uid="{00000000-0005-0000-0000-0000ED3C0000}"/>
    <cellStyle name="40% - uthevingsfarge 5 27 2 10" xfId="34139" xr:uid="{00000000-0005-0000-0000-0000EE3C0000}"/>
    <cellStyle name="40% - uthevingsfarge 5 27 2 2" xfId="3584" xr:uid="{00000000-0005-0000-0000-0000EF3C0000}"/>
    <cellStyle name="40% - uthevingsfarge 5 27 2 2 10" xfId="47183" xr:uid="{00000000-0005-0000-0000-0000F03C0000}"/>
    <cellStyle name="40% - uthevingsfarge 5 27 2 2 2" xfId="4014" xr:uid="{00000000-0005-0000-0000-0000F13C0000}"/>
    <cellStyle name="40% - uthevingsfarge 5 27 2 2 2 2" xfId="5902" xr:uid="{00000000-0005-0000-0000-0000F23C0000}"/>
    <cellStyle name="40% - uthevingsfarge 5 27 2 2 2 2 2" xfId="9317" xr:uid="{00000000-0005-0000-0000-0000F33C0000}"/>
    <cellStyle name="40% - uthevingsfarge 5 27 2 2 2 2 2 2" xfId="21346" xr:uid="{00000000-0005-0000-0000-0000F43C0000}"/>
    <cellStyle name="40% - uthevingsfarge 5 27 2 2 2 2 2 2 2" xfId="37426" xr:uid="{00000000-0005-0000-0000-0000F53C0000}"/>
    <cellStyle name="40% - uthevingsfarge 5 27 2 2 2 2 2 3" xfId="28481" xr:uid="{00000000-0005-0000-0000-0000F63C0000}"/>
    <cellStyle name="40% - uthevingsfarge 5 27 2 2 2 2 3" xfId="20243" xr:uid="{00000000-0005-0000-0000-0000F73C0000}"/>
    <cellStyle name="40% - uthevingsfarge 5 27 2 2 2 2 3 2" xfId="36342" xr:uid="{00000000-0005-0000-0000-0000F83C0000}"/>
    <cellStyle name="40% - uthevingsfarge 5 27 2 2 2 2 4" xfId="31874" xr:uid="{00000000-0005-0000-0000-0000F93C0000}"/>
    <cellStyle name="40% - uthevingsfarge 5 27 2 2 2 3" xfId="7620" xr:uid="{00000000-0005-0000-0000-0000FA3C0000}"/>
    <cellStyle name="40% - uthevingsfarge 5 27 2 2 2 3 2" xfId="24237" xr:uid="{00000000-0005-0000-0000-0000FB3C0000}"/>
    <cellStyle name="40% - uthevingsfarge 5 27 2 2 2 3 2 2" xfId="40290" xr:uid="{00000000-0005-0000-0000-0000FC3C0000}"/>
    <cellStyle name="40% - uthevingsfarge 5 27 2 2 2 3 3" xfId="30178" xr:uid="{00000000-0005-0000-0000-0000FD3C0000}"/>
    <cellStyle name="40% - uthevingsfarge 5 27 2 2 2 4" xfId="18037" xr:uid="{00000000-0005-0000-0000-0000FE3C0000}"/>
    <cellStyle name="40% - uthevingsfarge 5 27 2 2 2 5" xfId="19603" xr:uid="{00000000-0005-0000-0000-0000FF3C0000}"/>
    <cellStyle name="40% - uthevingsfarge 5 27 2 2 2 5 2" xfId="35717" xr:uid="{00000000-0005-0000-0000-0000003D0000}"/>
    <cellStyle name="40% - uthevingsfarge 5 27 2 2 2 6" xfId="33565" xr:uid="{00000000-0005-0000-0000-0000013D0000}"/>
    <cellStyle name="40% - uthevingsfarge 5 27 2 2 3" xfId="4954" xr:uid="{00000000-0005-0000-0000-0000023D0000}"/>
    <cellStyle name="40% - uthevingsfarge 5 27 2 2 3 10" xfId="47373" xr:uid="{00000000-0005-0000-0000-0000033D0000}"/>
    <cellStyle name="40% - uthevingsfarge 5 27 2 2 3 2" xfId="6673" xr:uid="{00000000-0005-0000-0000-0000043D0000}"/>
    <cellStyle name="40% - uthevingsfarge 5 27 2 2 3 2 2" xfId="10079" xr:uid="{00000000-0005-0000-0000-0000053D0000}"/>
    <cellStyle name="40% - uthevingsfarge 5 27 2 2 3 2 2 2" xfId="21598" xr:uid="{00000000-0005-0000-0000-0000063D0000}"/>
    <cellStyle name="40% - uthevingsfarge 5 27 2 2 3 2 2 2 2" xfId="37678" xr:uid="{00000000-0005-0000-0000-0000073D0000}"/>
    <cellStyle name="40% - uthevingsfarge 5 27 2 2 3 2 2 3" xfId="27720" xr:uid="{00000000-0005-0000-0000-0000083D0000}"/>
    <cellStyle name="40% - uthevingsfarge 5 27 2 2 3 2 3" xfId="11965" xr:uid="{00000000-0005-0000-0000-0000093D0000}"/>
    <cellStyle name="40% - uthevingsfarge 5 27 2 2 3 2 3 2" xfId="34987" xr:uid="{00000000-0005-0000-0000-00000A3D0000}"/>
    <cellStyle name="40% - uthevingsfarge 5 27 2 2 3 2 4" xfId="31121" xr:uid="{00000000-0005-0000-0000-00000B3D0000}"/>
    <cellStyle name="40% - uthevingsfarge 5 27 2 2 3 2 5" xfId="43067" xr:uid="{00000000-0005-0000-0000-00000C3D0000}"/>
    <cellStyle name="40% - uthevingsfarge 5 27 2 2 3 2 6" xfId="43364" xr:uid="{00000000-0005-0000-0000-00000D3D0000}"/>
    <cellStyle name="40% - uthevingsfarge 5 27 2 2 3 2 7" xfId="46212" xr:uid="{00000000-0005-0000-0000-00000E3D0000}"/>
    <cellStyle name="40% - uthevingsfarge 5 27 2 2 3 2 8" xfId="46984" xr:uid="{00000000-0005-0000-0000-00000F3D0000}"/>
    <cellStyle name="40% - uthevingsfarge 5 27 2 2 3 2 9" xfId="47569" xr:uid="{00000000-0005-0000-0000-0000103D0000}"/>
    <cellStyle name="40% - uthevingsfarge 5 27 2 2 3 3" xfId="8376" xr:uid="{00000000-0005-0000-0000-0000113D0000}"/>
    <cellStyle name="40% - uthevingsfarge 5 27 2 2 3 3 2" xfId="19489" xr:uid="{00000000-0005-0000-0000-0000123D0000}"/>
    <cellStyle name="40% - uthevingsfarge 5 27 2 2 3 3 2 2" xfId="35603" xr:uid="{00000000-0005-0000-0000-0000133D0000}"/>
    <cellStyle name="40% - uthevingsfarge 5 27 2 2 3 3 3" xfId="29422" xr:uid="{00000000-0005-0000-0000-0000143D0000}"/>
    <cellStyle name="40% - uthevingsfarge 5 27 2 2 3 3 4" xfId="43957" xr:uid="{00000000-0005-0000-0000-0000153D0000}"/>
    <cellStyle name="40% - uthevingsfarge 5 27 2 2 3 4" xfId="16512" xr:uid="{00000000-0005-0000-0000-0000163D0000}"/>
    <cellStyle name="40% - uthevingsfarge 5 27 2 2 3 4 2" xfId="35459" xr:uid="{00000000-0005-0000-0000-0000173D0000}"/>
    <cellStyle name="40% - uthevingsfarge 5 27 2 2 3 5" xfId="25121" xr:uid="{00000000-0005-0000-0000-0000183D0000}"/>
    <cellStyle name="40% - uthevingsfarge 5 27 2 2 3 6" xfId="25320" xr:uid="{00000000-0005-0000-0000-0000193D0000}"/>
    <cellStyle name="40% - uthevingsfarge 5 27 2 2 3 7" xfId="32813" xr:uid="{00000000-0005-0000-0000-00001A3D0000}"/>
    <cellStyle name="40% - uthevingsfarge 5 27 2 2 3 8" xfId="43825" xr:uid="{00000000-0005-0000-0000-00001B3D0000}"/>
    <cellStyle name="40% - uthevingsfarge 5 27 2 2 3 9" xfId="46750" xr:uid="{00000000-0005-0000-0000-00001C3D0000}"/>
    <cellStyle name="40% - uthevingsfarge 5 27 2 2 4" xfId="5508" xr:uid="{00000000-0005-0000-0000-00001D3D0000}"/>
    <cellStyle name="40% - uthevingsfarge 5 27 2 2 4 2" xfId="8923" xr:uid="{00000000-0005-0000-0000-00001E3D0000}"/>
    <cellStyle name="40% - uthevingsfarge 5 27 2 2 4 2 2" xfId="21737" xr:uid="{00000000-0005-0000-0000-00001F3D0000}"/>
    <cellStyle name="40% - uthevingsfarge 5 27 2 2 4 2 2 2" xfId="37815" xr:uid="{00000000-0005-0000-0000-0000203D0000}"/>
    <cellStyle name="40% - uthevingsfarge 5 27 2 2 4 2 3" xfId="28875" xr:uid="{00000000-0005-0000-0000-0000213D0000}"/>
    <cellStyle name="40% - uthevingsfarge 5 27 2 2 4 3" xfId="22863" xr:uid="{00000000-0005-0000-0000-0000223D0000}"/>
    <cellStyle name="40% - uthevingsfarge 5 27 2 2 4 3 2" xfId="38932" xr:uid="{00000000-0005-0000-0000-0000233D0000}"/>
    <cellStyle name="40% - uthevingsfarge 5 27 2 2 4 4" xfId="32266" xr:uid="{00000000-0005-0000-0000-0000243D0000}"/>
    <cellStyle name="40% - uthevingsfarge 5 27 2 2 5" xfId="7226" xr:uid="{00000000-0005-0000-0000-0000253D0000}"/>
    <cellStyle name="40% - uthevingsfarge 5 27 2 2 5 2" xfId="24166" xr:uid="{00000000-0005-0000-0000-0000263D0000}"/>
    <cellStyle name="40% - uthevingsfarge 5 27 2 2 5 2 2" xfId="40219" xr:uid="{00000000-0005-0000-0000-0000273D0000}"/>
    <cellStyle name="40% - uthevingsfarge 5 27 2 2 5 3" xfId="30572" xr:uid="{00000000-0005-0000-0000-0000283D0000}"/>
    <cellStyle name="40% - uthevingsfarge 5 27 2 2 6" xfId="11218" xr:uid="{00000000-0005-0000-0000-0000293D0000}"/>
    <cellStyle name="40% - uthevingsfarge 5 27 2 2 7" xfId="33959" xr:uid="{00000000-0005-0000-0000-00002A3D0000}"/>
    <cellStyle name="40% - uthevingsfarge 5 27 2 2 8" xfId="43616" xr:uid="{00000000-0005-0000-0000-00002B3D0000}"/>
    <cellStyle name="40% - uthevingsfarge 5 27 2 2 9" xfId="46522" xr:uid="{00000000-0005-0000-0000-00002C3D0000}"/>
    <cellStyle name="40% - uthevingsfarge 5 27 2 2_Avviksanalyse løpende RNB15 (1)" xfId="16645" xr:uid="{00000000-0005-0000-0000-00002D3D0000}"/>
    <cellStyle name="40% - uthevingsfarge 5 27 2 3" xfId="3834" xr:uid="{00000000-0005-0000-0000-00002E3D0000}"/>
    <cellStyle name="40% - uthevingsfarge 5 27 2 3 2" xfId="5722" xr:uid="{00000000-0005-0000-0000-00002F3D0000}"/>
    <cellStyle name="40% - uthevingsfarge 5 27 2 3 2 2" xfId="9137" xr:uid="{00000000-0005-0000-0000-0000303D0000}"/>
    <cellStyle name="40% - uthevingsfarge 5 27 2 3 2 2 2" xfId="24465" xr:uid="{00000000-0005-0000-0000-0000313D0000}"/>
    <cellStyle name="40% - uthevingsfarge 5 27 2 3 2 2 2 2" xfId="40509" xr:uid="{00000000-0005-0000-0000-0000323D0000}"/>
    <cellStyle name="40% - uthevingsfarge 5 27 2 3 2 2 3" xfId="28661" xr:uid="{00000000-0005-0000-0000-0000333D0000}"/>
    <cellStyle name="40% - uthevingsfarge 5 27 2 3 2 3" xfId="20182" xr:uid="{00000000-0005-0000-0000-0000343D0000}"/>
    <cellStyle name="40% - uthevingsfarge 5 27 2 3 2 3 2" xfId="36282" xr:uid="{00000000-0005-0000-0000-0000353D0000}"/>
    <cellStyle name="40% - uthevingsfarge 5 27 2 3 2 4" xfId="32052" xr:uid="{00000000-0005-0000-0000-0000363D0000}"/>
    <cellStyle name="40% - uthevingsfarge 5 27 2 3 3" xfId="7440" xr:uid="{00000000-0005-0000-0000-0000373D0000}"/>
    <cellStyle name="40% - uthevingsfarge 5 27 2 3 3 2" xfId="20784" xr:uid="{00000000-0005-0000-0000-0000383D0000}"/>
    <cellStyle name="40% - uthevingsfarge 5 27 2 3 3 2 2" xfId="36883" xr:uid="{00000000-0005-0000-0000-0000393D0000}"/>
    <cellStyle name="40% - uthevingsfarge 5 27 2 3 3 3" xfId="30358" xr:uid="{00000000-0005-0000-0000-00003A3D0000}"/>
    <cellStyle name="40% - uthevingsfarge 5 27 2 3 4" xfId="22719" xr:uid="{00000000-0005-0000-0000-00003B3D0000}"/>
    <cellStyle name="40% - uthevingsfarge 5 27 2 3 4 2" xfId="38788" xr:uid="{00000000-0005-0000-0000-00003C3D0000}"/>
    <cellStyle name="40% - uthevingsfarge 5 27 2 3 5" xfId="33745" xr:uid="{00000000-0005-0000-0000-00003D3D0000}"/>
    <cellStyle name="40% - uthevingsfarge 5 27 2 4" xfId="4319" xr:uid="{00000000-0005-0000-0000-00003E3D0000}"/>
    <cellStyle name="40% - uthevingsfarge 5 27 2 4 2" xfId="6148" xr:uid="{00000000-0005-0000-0000-00003F3D0000}"/>
    <cellStyle name="40% - uthevingsfarge 5 27 2 4 2 2" xfId="9562" xr:uid="{00000000-0005-0000-0000-0000403D0000}"/>
    <cellStyle name="40% - uthevingsfarge 5 27 2 4 2 2 2" xfId="21417" xr:uid="{00000000-0005-0000-0000-0000413D0000}"/>
    <cellStyle name="40% - uthevingsfarge 5 27 2 4 2 2 2 2" xfId="37497" xr:uid="{00000000-0005-0000-0000-0000423D0000}"/>
    <cellStyle name="40% - uthevingsfarge 5 27 2 4 2 2 3" xfId="28236" xr:uid="{00000000-0005-0000-0000-0000433D0000}"/>
    <cellStyle name="40% - uthevingsfarge 5 27 2 4 2 3" xfId="20341" xr:uid="{00000000-0005-0000-0000-0000443D0000}"/>
    <cellStyle name="40% - uthevingsfarge 5 27 2 4 2 3 2" xfId="36440" xr:uid="{00000000-0005-0000-0000-0000453D0000}"/>
    <cellStyle name="40% - uthevingsfarge 5 27 2 4 2 4" xfId="31633" xr:uid="{00000000-0005-0000-0000-0000463D0000}"/>
    <cellStyle name="40% - uthevingsfarge 5 27 2 4 3" xfId="7881" xr:uid="{00000000-0005-0000-0000-0000473D0000}"/>
    <cellStyle name="40% - uthevingsfarge 5 27 2 4 3 2" xfId="11914" xr:uid="{00000000-0005-0000-0000-0000483D0000}"/>
    <cellStyle name="40% - uthevingsfarge 5 27 2 4 3 2 2" xfId="34949" xr:uid="{00000000-0005-0000-0000-0000493D0000}"/>
    <cellStyle name="40% - uthevingsfarge 5 27 2 4 3 3" xfId="29918" xr:uid="{00000000-0005-0000-0000-00004A3D0000}"/>
    <cellStyle name="40% - uthevingsfarge 5 27 2 4 4" xfId="10983" xr:uid="{00000000-0005-0000-0000-00004B3D0000}"/>
    <cellStyle name="40% - uthevingsfarge 5 27 2 4 4 2" xfId="34717" xr:uid="{00000000-0005-0000-0000-00004C3D0000}"/>
    <cellStyle name="40% - uthevingsfarge 5 27 2 4 5" xfId="33306" xr:uid="{00000000-0005-0000-0000-00004D3D0000}"/>
    <cellStyle name="40% - uthevingsfarge 5 27 2 5" xfId="4774" xr:uid="{00000000-0005-0000-0000-00004E3D0000}"/>
    <cellStyle name="40% - uthevingsfarge 5 27 2 5 2" xfId="6494" xr:uid="{00000000-0005-0000-0000-00004F3D0000}"/>
    <cellStyle name="40% - uthevingsfarge 5 27 2 5 2 2" xfId="9900" xr:uid="{00000000-0005-0000-0000-0000503D0000}"/>
    <cellStyle name="40% - uthevingsfarge 5 27 2 5 2 2 2" xfId="21807" xr:uid="{00000000-0005-0000-0000-0000513D0000}"/>
    <cellStyle name="40% - uthevingsfarge 5 27 2 5 2 2 2 2" xfId="37883" xr:uid="{00000000-0005-0000-0000-0000523D0000}"/>
    <cellStyle name="40% - uthevingsfarge 5 27 2 5 2 2 3" xfId="27899" xr:uid="{00000000-0005-0000-0000-0000533D0000}"/>
    <cellStyle name="40% - uthevingsfarge 5 27 2 5 2 3" xfId="24052" xr:uid="{00000000-0005-0000-0000-0000543D0000}"/>
    <cellStyle name="40% - uthevingsfarge 5 27 2 5 2 3 2" xfId="40105" xr:uid="{00000000-0005-0000-0000-0000553D0000}"/>
    <cellStyle name="40% - uthevingsfarge 5 27 2 5 2 4" xfId="31300" xr:uid="{00000000-0005-0000-0000-0000563D0000}"/>
    <cellStyle name="40% - uthevingsfarge 5 27 2 5 3" xfId="8196" xr:uid="{00000000-0005-0000-0000-0000573D0000}"/>
    <cellStyle name="40% - uthevingsfarge 5 27 2 5 3 2" xfId="19850" xr:uid="{00000000-0005-0000-0000-0000583D0000}"/>
    <cellStyle name="40% - uthevingsfarge 5 27 2 5 3 2 2" xfId="35963" xr:uid="{00000000-0005-0000-0000-0000593D0000}"/>
    <cellStyle name="40% - uthevingsfarge 5 27 2 5 3 3" xfId="29601" xr:uid="{00000000-0005-0000-0000-00005A3D0000}"/>
    <cellStyle name="40% - uthevingsfarge 5 27 2 5 4" xfId="12269" xr:uid="{00000000-0005-0000-0000-00005B3D0000}"/>
    <cellStyle name="40% - uthevingsfarge 5 27 2 5 4 2" xfId="35145" xr:uid="{00000000-0005-0000-0000-00005C3D0000}"/>
    <cellStyle name="40% - uthevingsfarge 5 27 2 5 5" xfId="32993" xr:uid="{00000000-0005-0000-0000-00005D3D0000}"/>
    <cellStyle name="40% - uthevingsfarge 5 27 2 6" xfId="5134" xr:uid="{00000000-0005-0000-0000-00005E3D0000}"/>
    <cellStyle name="40% - uthevingsfarge 5 27 2 6 2" xfId="6853" xr:uid="{00000000-0005-0000-0000-00005F3D0000}"/>
    <cellStyle name="40% - uthevingsfarge 5 27 2 6 2 2" xfId="10259" xr:uid="{00000000-0005-0000-0000-0000603D0000}"/>
    <cellStyle name="40% - uthevingsfarge 5 27 2 6 2 2 2" xfId="24702" xr:uid="{00000000-0005-0000-0000-0000613D0000}"/>
    <cellStyle name="40% - uthevingsfarge 5 27 2 6 2 2 2 2" xfId="40745" xr:uid="{00000000-0005-0000-0000-0000623D0000}"/>
    <cellStyle name="40% - uthevingsfarge 5 27 2 6 2 2 3" xfId="27540" xr:uid="{00000000-0005-0000-0000-0000633D0000}"/>
    <cellStyle name="40% - uthevingsfarge 5 27 2 6 2 3" xfId="10648" xr:uid="{00000000-0005-0000-0000-0000643D0000}"/>
    <cellStyle name="40% - uthevingsfarge 5 27 2 6 2 3 2" xfId="34496" xr:uid="{00000000-0005-0000-0000-0000653D0000}"/>
    <cellStyle name="40% - uthevingsfarge 5 27 2 6 2 4" xfId="30941" xr:uid="{00000000-0005-0000-0000-0000663D0000}"/>
    <cellStyle name="40% - uthevingsfarge 5 27 2 6 3" xfId="8556" xr:uid="{00000000-0005-0000-0000-0000673D0000}"/>
    <cellStyle name="40% - uthevingsfarge 5 27 2 6 3 2" xfId="19878" xr:uid="{00000000-0005-0000-0000-0000683D0000}"/>
    <cellStyle name="40% - uthevingsfarge 5 27 2 6 3 2 2" xfId="35991" xr:uid="{00000000-0005-0000-0000-0000693D0000}"/>
    <cellStyle name="40% - uthevingsfarge 5 27 2 6 3 3" xfId="29242" xr:uid="{00000000-0005-0000-0000-00006A3D0000}"/>
    <cellStyle name="40% - uthevingsfarge 5 27 2 6 4" xfId="10810" xr:uid="{00000000-0005-0000-0000-00006B3D0000}"/>
    <cellStyle name="40% - uthevingsfarge 5 27 2 6 4 2" xfId="34628" xr:uid="{00000000-0005-0000-0000-00006C3D0000}"/>
    <cellStyle name="40% - uthevingsfarge 5 27 2 6 5" xfId="32633" xr:uid="{00000000-0005-0000-0000-00006D3D0000}"/>
    <cellStyle name="40% - uthevingsfarge 5 27 2 7" xfId="5313" xr:uid="{00000000-0005-0000-0000-00006E3D0000}"/>
    <cellStyle name="40% - uthevingsfarge 5 27 2 7 2" xfId="8728" xr:uid="{00000000-0005-0000-0000-00006F3D0000}"/>
    <cellStyle name="40% - uthevingsfarge 5 27 2 7 2 2" xfId="21170" xr:uid="{00000000-0005-0000-0000-0000703D0000}"/>
    <cellStyle name="40% - uthevingsfarge 5 27 2 7 2 2 2" xfId="37250" xr:uid="{00000000-0005-0000-0000-0000713D0000}"/>
    <cellStyle name="40% - uthevingsfarge 5 27 2 7 2 3" xfId="29070" xr:uid="{00000000-0005-0000-0000-0000723D0000}"/>
    <cellStyle name="40% - uthevingsfarge 5 27 2 7 3" xfId="22852" xr:uid="{00000000-0005-0000-0000-0000733D0000}"/>
    <cellStyle name="40% - uthevingsfarge 5 27 2 7 3 2" xfId="38921" xr:uid="{00000000-0005-0000-0000-0000743D0000}"/>
    <cellStyle name="40% - uthevingsfarge 5 27 2 7 4" xfId="32461" xr:uid="{00000000-0005-0000-0000-0000753D0000}"/>
    <cellStyle name="40% - uthevingsfarge 5 27 2 8" xfId="7046" xr:uid="{00000000-0005-0000-0000-0000763D0000}"/>
    <cellStyle name="40% - uthevingsfarge 5 27 2 8 2" xfId="20645" xr:uid="{00000000-0005-0000-0000-0000773D0000}"/>
    <cellStyle name="40% - uthevingsfarge 5 27 2 8 2 2" xfId="36744" xr:uid="{00000000-0005-0000-0000-0000783D0000}"/>
    <cellStyle name="40% - uthevingsfarge 5 27 2 8 3" xfId="30752" xr:uid="{00000000-0005-0000-0000-0000793D0000}"/>
    <cellStyle name="40% - uthevingsfarge 5 27 2 9" xfId="11217" xr:uid="{00000000-0005-0000-0000-00007A3D0000}"/>
    <cellStyle name="40% - uthevingsfarge 5 27 3" xfId="3499" xr:uid="{00000000-0005-0000-0000-00007B3D0000}"/>
    <cellStyle name="40% - uthevingsfarge 5 27 3 10" xfId="47115" xr:uid="{00000000-0005-0000-0000-00007C3D0000}"/>
    <cellStyle name="40% - uthevingsfarge 5 27 3 2" xfId="3935" xr:uid="{00000000-0005-0000-0000-00007D3D0000}"/>
    <cellStyle name="40% - uthevingsfarge 5 27 3 2 2" xfId="5823" xr:uid="{00000000-0005-0000-0000-00007E3D0000}"/>
    <cellStyle name="40% - uthevingsfarge 5 27 3 2 2 2" xfId="9238" xr:uid="{00000000-0005-0000-0000-00007F3D0000}"/>
    <cellStyle name="40% - uthevingsfarge 5 27 3 2 2 2 2" xfId="21327" xr:uid="{00000000-0005-0000-0000-0000803D0000}"/>
    <cellStyle name="40% - uthevingsfarge 5 27 3 2 2 2 2 2" xfId="37407" xr:uid="{00000000-0005-0000-0000-0000813D0000}"/>
    <cellStyle name="40% - uthevingsfarge 5 27 3 2 2 2 3" xfId="28560" xr:uid="{00000000-0005-0000-0000-0000823D0000}"/>
    <cellStyle name="40% - uthevingsfarge 5 27 3 2 2 3" xfId="22283" xr:uid="{00000000-0005-0000-0000-0000833D0000}"/>
    <cellStyle name="40% - uthevingsfarge 5 27 3 2 2 3 2" xfId="38355" xr:uid="{00000000-0005-0000-0000-0000843D0000}"/>
    <cellStyle name="40% - uthevingsfarge 5 27 3 2 2 4" xfId="31951" xr:uid="{00000000-0005-0000-0000-0000853D0000}"/>
    <cellStyle name="40% - uthevingsfarge 5 27 3 2 3" xfId="7541" xr:uid="{00000000-0005-0000-0000-0000863D0000}"/>
    <cellStyle name="40% - uthevingsfarge 5 27 3 2 3 2" xfId="20814" xr:uid="{00000000-0005-0000-0000-0000873D0000}"/>
    <cellStyle name="40% - uthevingsfarge 5 27 3 2 3 2 2" xfId="36913" xr:uid="{00000000-0005-0000-0000-0000883D0000}"/>
    <cellStyle name="40% - uthevingsfarge 5 27 3 2 3 3" xfId="30257" xr:uid="{00000000-0005-0000-0000-0000893D0000}"/>
    <cellStyle name="40% - uthevingsfarge 5 27 3 2 4" xfId="18038" xr:uid="{00000000-0005-0000-0000-00008A3D0000}"/>
    <cellStyle name="40% - uthevingsfarge 5 27 3 2 5" xfId="12484" xr:uid="{00000000-0005-0000-0000-00008B3D0000}"/>
    <cellStyle name="40% - uthevingsfarge 5 27 3 2 5 2" xfId="35252" xr:uid="{00000000-0005-0000-0000-00008C3D0000}"/>
    <cellStyle name="40% - uthevingsfarge 5 27 3 2 6" xfId="33644" xr:uid="{00000000-0005-0000-0000-00008D3D0000}"/>
    <cellStyle name="40% - uthevingsfarge 5 27 3 3" xfId="4875" xr:uid="{00000000-0005-0000-0000-00008E3D0000}"/>
    <cellStyle name="40% - uthevingsfarge 5 27 3 3 10" xfId="47305" xr:uid="{00000000-0005-0000-0000-00008F3D0000}"/>
    <cellStyle name="40% - uthevingsfarge 5 27 3 3 2" xfId="6594" xr:uid="{00000000-0005-0000-0000-0000903D0000}"/>
    <cellStyle name="40% - uthevingsfarge 5 27 3 3 2 2" xfId="10000" xr:uid="{00000000-0005-0000-0000-0000913D0000}"/>
    <cellStyle name="40% - uthevingsfarge 5 27 3 3 2 2 2" xfId="24604" xr:uid="{00000000-0005-0000-0000-0000923D0000}"/>
    <cellStyle name="40% - uthevingsfarge 5 27 3 3 2 2 2 2" xfId="40648" xr:uid="{00000000-0005-0000-0000-0000933D0000}"/>
    <cellStyle name="40% - uthevingsfarge 5 27 3 3 2 2 3" xfId="27799" xr:uid="{00000000-0005-0000-0000-0000943D0000}"/>
    <cellStyle name="40% - uthevingsfarge 5 27 3 3 2 3" xfId="24071" xr:uid="{00000000-0005-0000-0000-0000953D0000}"/>
    <cellStyle name="40% - uthevingsfarge 5 27 3 3 2 3 2" xfId="40124" xr:uid="{00000000-0005-0000-0000-0000963D0000}"/>
    <cellStyle name="40% - uthevingsfarge 5 27 3 3 2 4" xfId="31200" xr:uid="{00000000-0005-0000-0000-0000973D0000}"/>
    <cellStyle name="40% - uthevingsfarge 5 27 3 3 2 5" xfId="42860" xr:uid="{00000000-0005-0000-0000-0000983D0000}"/>
    <cellStyle name="40% - uthevingsfarge 5 27 3 3 2 6" xfId="43298" xr:uid="{00000000-0005-0000-0000-0000993D0000}"/>
    <cellStyle name="40% - uthevingsfarge 5 27 3 3 2 7" xfId="46146" xr:uid="{00000000-0005-0000-0000-00009A3D0000}"/>
    <cellStyle name="40% - uthevingsfarge 5 27 3 3 2 8" xfId="46915" xr:uid="{00000000-0005-0000-0000-00009B3D0000}"/>
    <cellStyle name="40% - uthevingsfarge 5 27 3 3 2 9" xfId="47501" xr:uid="{00000000-0005-0000-0000-00009C3D0000}"/>
    <cellStyle name="40% - uthevingsfarge 5 27 3 3 3" xfId="8297" xr:uid="{00000000-0005-0000-0000-00009D3D0000}"/>
    <cellStyle name="40% - uthevingsfarge 5 27 3 3 3 2" xfId="22574" xr:uid="{00000000-0005-0000-0000-00009E3D0000}"/>
    <cellStyle name="40% - uthevingsfarge 5 27 3 3 3 2 2" xfId="38643" xr:uid="{00000000-0005-0000-0000-00009F3D0000}"/>
    <cellStyle name="40% - uthevingsfarge 5 27 3 3 3 3" xfId="29500" xr:uid="{00000000-0005-0000-0000-0000A03D0000}"/>
    <cellStyle name="40% - uthevingsfarge 5 27 3 3 3 4" xfId="43958" xr:uid="{00000000-0005-0000-0000-0000A13D0000}"/>
    <cellStyle name="40% - uthevingsfarge 5 27 3 3 4" xfId="16305" xr:uid="{00000000-0005-0000-0000-0000A23D0000}"/>
    <cellStyle name="40% - uthevingsfarge 5 27 3 3 4 2" xfId="35393" xr:uid="{00000000-0005-0000-0000-0000A33D0000}"/>
    <cellStyle name="40% - uthevingsfarge 5 27 3 3 5" xfId="25052" xr:uid="{00000000-0005-0000-0000-0000A43D0000}"/>
    <cellStyle name="40% - uthevingsfarge 5 27 3 3 6" xfId="25321" xr:uid="{00000000-0005-0000-0000-0000A53D0000}"/>
    <cellStyle name="40% - uthevingsfarge 5 27 3 3 7" xfId="32892" xr:uid="{00000000-0005-0000-0000-0000A63D0000}"/>
    <cellStyle name="40% - uthevingsfarge 5 27 3 3 8" xfId="43758" xr:uid="{00000000-0005-0000-0000-0000A73D0000}"/>
    <cellStyle name="40% - uthevingsfarge 5 27 3 3 9" xfId="46684" xr:uid="{00000000-0005-0000-0000-0000A83D0000}"/>
    <cellStyle name="40% - uthevingsfarge 5 27 3 4" xfId="5431" xr:uid="{00000000-0005-0000-0000-0000A93D0000}"/>
    <cellStyle name="40% - uthevingsfarge 5 27 3 4 2" xfId="8846" xr:uid="{00000000-0005-0000-0000-0000AA3D0000}"/>
    <cellStyle name="40% - uthevingsfarge 5 27 3 4 2 2" xfId="21201" xr:uid="{00000000-0005-0000-0000-0000AB3D0000}"/>
    <cellStyle name="40% - uthevingsfarge 5 27 3 4 2 2 2" xfId="37281" xr:uid="{00000000-0005-0000-0000-0000AC3D0000}"/>
    <cellStyle name="40% - uthevingsfarge 5 27 3 4 2 3" xfId="28952" xr:uid="{00000000-0005-0000-0000-0000AD3D0000}"/>
    <cellStyle name="40% - uthevingsfarge 5 27 3 4 3" xfId="19828" xr:uid="{00000000-0005-0000-0000-0000AE3D0000}"/>
    <cellStyle name="40% - uthevingsfarge 5 27 3 4 3 2" xfId="35941" xr:uid="{00000000-0005-0000-0000-0000AF3D0000}"/>
    <cellStyle name="40% - uthevingsfarge 5 27 3 4 4" xfId="32343" xr:uid="{00000000-0005-0000-0000-0000B03D0000}"/>
    <cellStyle name="40% - uthevingsfarge 5 27 3 5" xfId="7147" xr:uid="{00000000-0005-0000-0000-0000B13D0000}"/>
    <cellStyle name="40% - uthevingsfarge 5 27 3 5 2" xfId="24157" xr:uid="{00000000-0005-0000-0000-0000B23D0000}"/>
    <cellStyle name="40% - uthevingsfarge 5 27 3 5 2 2" xfId="40210" xr:uid="{00000000-0005-0000-0000-0000B33D0000}"/>
    <cellStyle name="40% - uthevingsfarge 5 27 3 5 3" xfId="30651" xr:uid="{00000000-0005-0000-0000-0000B43D0000}"/>
    <cellStyle name="40% - uthevingsfarge 5 27 3 6" xfId="11219" xr:uid="{00000000-0005-0000-0000-0000B53D0000}"/>
    <cellStyle name="40% - uthevingsfarge 5 27 3 7" xfId="34038" xr:uid="{00000000-0005-0000-0000-0000B63D0000}"/>
    <cellStyle name="40% - uthevingsfarge 5 27 3 8" xfId="43550" xr:uid="{00000000-0005-0000-0000-0000B73D0000}"/>
    <cellStyle name="40% - uthevingsfarge 5 27 3 9" xfId="46454" xr:uid="{00000000-0005-0000-0000-0000B83D0000}"/>
    <cellStyle name="40% - uthevingsfarge 5 27 3_Avviksanalyse løpende RNB15 (1)" xfId="16646" xr:uid="{00000000-0005-0000-0000-0000B93D0000}"/>
    <cellStyle name="40% - uthevingsfarge 5 27 4" xfId="3756" xr:uid="{00000000-0005-0000-0000-0000BA3D0000}"/>
    <cellStyle name="40% - uthevingsfarge 5 27 4 2" xfId="5644" xr:uid="{00000000-0005-0000-0000-0000BB3D0000}"/>
    <cellStyle name="40% - uthevingsfarge 5 27 4 2 2" xfId="9059" xr:uid="{00000000-0005-0000-0000-0000BC3D0000}"/>
    <cellStyle name="40% - uthevingsfarge 5 27 4 2 2 2" xfId="23684" xr:uid="{00000000-0005-0000-0000-0000BD3D0000}"/>
    <cellStyle name="40% - uthevingsfarge 5 27 4 2 2 2 2" xfId="39740" xr:uid="{00000000-0005-0000-0000-0000BE3D0000}"/>
    <cellStyle name="40% - uthevingsfarge 5 27 4 2 2 3" xfId="28739" xr:uid="{00000000-0005-0000-0000-0000BF3D0000}"/>
    <cellStyle name="40% - uthevingsfarge 5 27 4 2 3" xfId="20153" xr:uid="{00000000-0005-0000-0000-0000C03D0000}"/>
    <cellStyle name="40% - uthevingsfarge 5 27 4 2 3 2" xfId="36255" xr:uid="{00000000-0005-0000-0000-0000C13D0000}"/>
    <cellStyle name="40% - uthevingsfarge 5 27 4 2 4" xfId="32130" xr:uid="{00000000-0005-0000-0000-0000C23D0000}"/>
    <cellStyle name="40% - uthevingsfarge 5 27 4 3" xfId="7362" xr:uid="{00000000-0005-0000-0000-0000C33D0000}"/>
    <cellStyle name="40% - uthevingsfarge 5 27 4 3 2" xfId="20755" xr:uid="{00000000-0005-0000-0000-0000C43D0000}"/>
    <cellStyle name="40% - uthevingsfarge 5 27 4 3 2 2" xfId="36854" xr:uid="{00000000-0005-0000-0000-0000C53D0000}"/>
    <cellStyle name="40% - uthevingsfarge 5 27 4 3 3" xfId="30436" xr:uid="{00000000-0005-0000-0000-0000C63D0000}"/>
    <cellStyle name="40% - uthevingsfarge 5 27 4 4" xfId="21708" xr:uid="{00000000-0005-0000-0000-0000C73D0000}"/>
    <cellStyle name="40% - uthevingsfarge 5 27 4 4 2" xfId="37786" xr:uid="{00000000-0005-0000-0000-0000C83D0000}"/>
    <cellStyle name="40% - uthevingsfarge 5 27 4 5" xfId="33823" xr:uid="{00000000-0005-0000-0000-0000C93D0000}"/>
    <cellStyle name="40% - uthevingsfarge 5 27 5" xfId="4217" xr:uid="{00000000-0005-0000-0000-0000CA3D0000}"/>
    <cellStyle name="40% - uthevingsfarge 5 27 5 2" xfId="6054" xr:uid="{00000000-0005-0000-0000-0000CB3D0000}"/>
    <cellStyle name="40% - uthevingsfarge 5 27 5 2 2" xfId="9469" xr:uid="{00000000-0005-0000-0000-0000CC3D0000}"/>
    <cellStyle name="40% - uthevingsfarge 5 27 5 2 2 2" xfId="24517" xr:uid="{00000000-0005-0000-0000-0000CD3D0000}"/>
    <cellStyle name="40% - uthevingsfarge 5 27 5 2 2 2 2" xfId="40561" xr:uid="{00000000-0005-0000-0000-0000CE3D0000}"/>
    <cellStyle name="40% - uthevingsfarge 5 27 5 2 2 3" xfId="28329" xr:uid="{00000000-0005-0000-0000-0000CF3D0000}"/>
    <cellStyle name="40% - uthevingsfarge 5 27 5 2 3" xfId="22311" xr:uid="{00000000-0005-0000-0000-0000D03D0000}"/>
    <cellStyle name="40% - uthevingsfarge 5 27 5 2 3 2" xfId="38383" xr:uid="{00000000-0005-0000-0000-0000D13D0000}"/>
    <cellStyle name="40% - uthevingsfarge 5 27 5 2 4" xfId="31724" xr:uid="{00000000-0005-0000-0000-0000D23D0000}"/>
    <cellStyle name="40% - uthevingsfarge 5 27 5 3" xfId="7787" xr:uid="{00000000-0005-0000-0000-0000D33D0000}"/>
    <cellStyle name="40% - uthevingsfarge 5 27 5 3 2" xfId="24271" xr:uid="{00000000-0005-0000-0000-0000D43D0000}"/>
    <cellStyle name="40% - uthevingsfarge 5 27 5 3 2 2" xfId="40324" xr:uid="{00000000-0005-0000-0000-0000D53D0000}"/>
    <cellStyle name="40% - uthevingsfarge 5 27 5 3 3" xfId="30012" xr:uid="{00000000-0005-0000-0000-0000D63D0000}"/>
    <cellStyle name="40% - uthevingsfarge 5 27 5 4" xfId="10989" xr:uid="{00000000-0005-0000-0000-0000D73D0000}"/>
    <cellStyle name="40% - uthevingsfarge 5 27 5 4 2" xfId="34723" xr:uid="{00000000-0005-0000-0000-0000D83D0000}"/>
    <cellStyle name="40% - uthevingsfarge 5 27 5 5" xfId="33400" xr:uid="{00000000-0005-0000-0000-0000D93D0000}"/>
    <cellStyle name="40% - uthevingsfarge 5 27 6" xfId="4691" xr:uid="{00000000-0005-0000-0000-0000DA3D0000}"/>
    <cellStyle name="40% - uthevingsfarge 5 27 6 2" xfId="6411" xr:uid="{00000000-0005-0000-0000-0000DB3D0000}"/>
    <cellStyle name="40% - uthevingsfarge 5 27 6 2 2" xfId="9821" xr:uid="{00000000-0005-0000-0000-0000DC3D0000}"/>
    <cellStyle name="40% - uthevingsfarge 5 27 6 2 2 2" xfId="23564" xr:uid="{00000000-0005-0000-0000-0000DD3D0000}"/>
    <cellStyle name="40% - uthevingsfarge 5 27 6 2 2 2 2" xfId="39620" xr:uid="{00000000-0005-0000-0000-0000DE3D0000}"/>
    <cellStyle name="40% - uthevingsfarge 5 27 6 2 2 3" xfId="27978" xr:uid="{00000000-0005-0000-0000-0000DF3D0000}"/>
    <cellStyle name="40% - uthevingsfarge 5 27 6 2 3" xfId="20441" xr:uid="{00000000-0005-0000-0000-0000E03D0000}"/>
    <cellStyle name="40% - uthevingsfarge 5 27 6 2 3 2" xfId="36540" xr:uid="{00000000-0005-0000-0000-0000E13D0000}"/>
    <cellStyle name="40% - uthevingsfarge 5 27 6 2 4" xfId="31379" xr:uid="{00000000-0005-0000-0000-0000E23D0000}"/>
    <cellStyle name="40% - uthevingsfarge 5 27 6 3" xfId="8117" xr:uid="{00000000-0005-0000-0000-0000E33D0000}"/>
    <cellStyle name="40% - uthevingsfarge 5 27 6 3 2" xfId="21769" xr:uid="{00000000-0005-0000-0000-0000E43D0000}"/>
    <cellStyle name="40% - uthevingsfarge 5 27 6 3 2 2" xfId="37846" xr:uid="{00000000-0005-0000-0000-0000E53D0000}"/>
    <cellStyle name="40% - uthevingsfarge 5 27 6 3 3" xfId="29681" xr:uid="{00000000-0005-0000-0000-0000E63D0000}"/>
    <cellStyle name="40% - uthevingsfarge 5 27 6 4" xfId="12288" xr:uid="{00000000-0005-0000-0000-0000E73D0000}"/>
    <cellStyle name="40% - uthevingsfarge 5 27 6 4 2" xfId="35164" xr:uid="{00000000-0005-0000-0000-0000E83D0000}"/>
    <cellStyle name="40% - uthevingsfarge 5 27 6 5" xfId="33072" xr:uid="{00000000-0005-0000-0000-0000E93D0000}"/>
    <cellStyle name="40% - uthevingsfarge 5 27 7" xfId="5055" xr:uid="{00000000-0005-0000-0000-0000EA3D0000}"/>
    <cellStyle name="40% - uthevingsfarge 5 27 7 2" xfId="6774" xr:uid="{00000000-0005-0000-0000-0000EB3D0000}"/>
    <cellStyle name="40% - uthevingsfarge 5 27 7 2 2" xfId="10180" xr:uid="{00000000-0005-0000-0000-0000EC3D0000}"/>
    <cellStyle name="40% - uthevingsfarge 5 27 7 2 2 2" xfId="21639" xr:uid="{00000000-0005-0000-0000-0000ED3D0000}"/>
    <cellStyle name="40% - uthevingsfarge 5 27 7 2 2 2 2" xfId="37719" xr:uid="{00000000-0005-0000-0000-0000EE3D0000}"/>
    <cellStyle name="40% - uthevingsfarge 5 27 7 2 2 3" xfId="27619" xr:uid="{00000000-0005-0000-0000-0000EF3D0000}"/>
    <cellStyle name="40% - uthevingsfarge 5 27 7 2 3" xfId="24097" xr:uid="{00000000-0005-0000-0000-0000F03D0000}"/>
    <cellStyle name="40% - uthevingsfarge 5 27 7 2 3 2" xfId="40150" xr:uid="{00000000-0005-0000-0000-0000F13D0000}"/>
    <cellStyle name="40% - uthevingsfarge 5 27 7 2 4" xfId="31020" xr:uid="{00000000-0005-0000-0000-0000F23D0000}"/>
    <cellStyle name="40% - uthevingsfarge 5 27 7 3" xfId="8477" xr:uid="{00000000-0005-0000-0000-0000F33D0000}"/>
    <cellStyle name="40% - uthevingsfarge 5 27 7 3 2" xfId="21876" xr:uid="{00000000-0005-0000-0000-0000F43D0000}"/>
    <cellStyle name="40% - uthevingsfarge 5 27 7 3 2 2" xfId="37951" xr:uid="{00000000-0005-0000-0000-0000F53D0000}"/>
    <cellStyle name="40% - uthevingsfarge 5 27 7 3 3" xfId="29321" xr:uid="{00000000-0005-0000-0000-0000F63D0000}"/>
    <cellStyle name="40% - uthevingsfarge 5 27 7 4" xfId="19737" xr:uid="{00000000-0005-0000-0000-0000F73D0000}"/>
    <cellStyle name="40% - uthevingsfarge 5 27 7 4 2" xfId="35851" xr:uid="{00000000-0005-0000-0000-0000F83D0000}"/>
    <cellStyle name="40% - uthevingsfarge 5 27 7 5" xfId="32712" xr:uid="{00000000-0005-0000-0000-0000F93D0000}"/>
    <cellStyle name="40% - uthevingsfarge 5 27 8" xfId="5207" xr:uid="{00000000-0005-0000-0000-0000FA3D0000}"/>
    <cellStyle name="40% - uthevingsfarge 5 27 8 2" xfId="8626" xr:uid="{00000000-0005-0000-0000-0000FB3D0000}"/>
    <cellStyle name="40% - uthevingsfarge 5 27 8 2 2" xfId="22588" xr:uid="{00000000-0005-0000-0000-0000FC3D0000}"/>
    <cellStyle name="40% - uthevingsfarge 5 27 8 2 2 2" xfId="38657" xr:uid="{00000000-0005-0000-0000-0000FD3D0000}"/>
    <cellStyle name="40% - uthevingsfarge 5 27 8 2 3" xfId="29172" xr:uid="{00000000-0005-0000-0000-0000FE3D0000}"/>
    <cellStyle name="40% - uthevingsfarge 5 27 8 3" xfId="19775" xr:uid="{00000000-0005-0000-0000-0000FF3D0000}"/>
    <cellStyle name="40% - uthevingsfarge 5 27 8 3 2" xfId="35889" xr:uid="{00000000-0005-0000-0000-0000003E0000}"/>
    <cellStyle name="40% - uthevingsfarge 5 27 8 4" xfId="32563" xr:uid="{00000000-0005-0000-0000-0000013E0000}"/>
    <cellStyle name="40% - uthevingsfarge 5 27 9" xfId="6951" xr:uid="{00000000-0005-0000-0000-0000023E0000}"/>
    <cellStyle name="40% - uthevingsfarge 5 27 9 2" xfId="22159" xr:uid="{00000000-0005-0000-0000-0000033E0000}"/>
    <cellStyle name="40% - uthevingsfarge 5 27 9 2 2" xfId="38233" xr:uid="{00000000-0005-0000-0000-0000043E0000}"/>
    <cellStyle name="40% - uthevingsfarge 5 27 9 3" xfId="30847" xr:uid="{00000000-0005-0000-0000-0000053E0000}"/>
    <cellStyle name="40% - uthevingsfarge 5 28" xfId="932" xr:uid="{00000000-0005-0000-0000-0000063E0000}"/>
    <cellStyle name="40% - uthevingsfarge 5 28 10" xfId="6952" xr:uid="{00000000-0005-0000-0000-0000073E0000}"/>
    <cellStyle name="40% - uthevingsfarge 5 28 10 2" xfId="19853" xr:uid="{00000000-0005-0000-0000-0000083E0000}"/>
    <cellStyle name="40% - uthevingsfarge 5 28 10 2 2" xfId="35966" xr:uid="{00000000-0005-0000-0000-0000093E0000}"/>
    <cellStyle name="40% - uthevingsfarge 5 28 10 3" xfId="30846" xr:uid="{00000000-0005-0000-0000-00000A3E0000}"/>
    <cellStyle name="40% - uthevingsfarge 5 28 11" xfId="11220" xr:uid="{00000000-0005-0000-0000-00000B3E0000}"/>
    <cellStyle name="40% - uthevingsfarge 5 28 12" xfId="34234" xr:uid="{00000000-0005-0000-0000-00000C3E0000}"/>
    <cellStyle name="40% - uthevingsfarge 5 28 2" xfId="3353" xr:uid="{00000000-0005-0000-0000-00000D3E0000}"/>
    <cellStyle name="40% - uthevingsfarge 5 28 2 10" xfId="34138" xr:uid="{00000000-0005-0000-0000-00000E3E0000}"/>
    <cellStyle name="40% - uthevingsfarge 5 28 2 2" xfId="3585" xr:uid="{00000000-0005-0000-0000-00000F3E0000}"/>
    <cellStyle name="40% - uthevingsfarge 5 28 2 2 10" xfId="47184" xr:uid="{00000000-0005-0000-0000-0000103E0000}"/>
    <cellStyle name="40% - uthevingsfarge 5 28 2 2 2" xfId="4015" xr:uid="{00000000-0005-0000-0000-0000113E0000}"/>
    <cellStyle name="40% - uthevingsfarge 5 28 2 2 2 2" xfId="5903" xr:uid="{00000000-0005-0000-0000-0000123E0000}"/>
    <cellStyle name="40% - uthevingsfarge 5 28 2 2 2 2 2" xfId="9318" xr:uid="{00000000-0005-0000-0000-0000133E0000}"/>
    <cellStyle name="40% - uthevingsfarge 5 28 2 2 2 2 2 2" xfId="24494" xr:uid="{00000000-0005-0000-0000-0000143E0000}"/>
    <cellStyle name="40% - uthevingsfarge 5 28 2 2 2 2 2 2 2" xfId="40538" xr:uid="{00000000-0005-0000-0000-0000153E0000}"/>
    <cellStyle name="40% - uthevingsfarge 5 28 2 2 2 2 2 3" xfId="28480" xr:uid="{00000000-0005-0000-0000-0000163E0000}"/>
    <cellStyle name="40% - uthevingsfarge 5 28 2 2 2 2 3" xfId="20244" xr:uid="{00000000-0005-0000-0000-0000173E0000}"/>
    <cellStyle name="40% - uthevingsfarge 5 28 2 2 2 2 3 2" xfId="36343" xr:uid="{00000000-0005-0000-0000-0000183E0000}"/>
    <cellStyle name="40% - uthevingsfarge 5 28 2 2 2 2 4" xfId="31873" xr:uid="{00000000-0005-0000-0000-0000193E0000}"/>
    <cellStyle name="40% - uthevingsfarge 5 28 2 2 2 3" xfId="7621" xr:uid="{00000000-0005-0000-0000-00001A3E0000}"/>
    <cellStyle name="40% - uthevingsfarge 5 28 2 2 2 3 2" xfId="22472" xr:uid="{00000000-0005-0000-0000-00001B3E0000}"/>
    <cellStyle name="40% - uthevingsfarge 5 28 2 2 2 3 2 2" xfId="38544" xr:uid="{00000000-0005-0000-0000-00001C3E0000}"/>
    <cellStyle name="40% - uthevingsfarge 5 28 2 2 2 3 3" xfId="30177" xr:uid="{00000000-0005-0000-0000-00001D3E0000}"/>
    <cellStyle name="40% - uthevingsfarge 5 28 2 2 2 4" xfId="18039" xr:uid="{00000000-0005-0000-0000-00001E3E0000}"/>
    <cellStyle name="40% - uthevingsfarge 5 28 2 2 2 5" xfId="12439" xr:uid="{00000000-0005-0000-0000-00001F3E0000}"/>
    <cellStyle name="40% - uthevingsfarge 5 28 2 2 2 5 2" xfId="35236" xr:uid="{00000000-0005-0000-0000-0000203E0000}"/>
    <cellStyle name="40% - uthevingsfarge 5 28 2 2 2 6" xfId="33564" xr:uid="{00000000-0005-0000-0000-0000213E0000}"/>
    <cellStyle name="40% - uthevingsfarge 5 28 2 2 3" xfId="4955" xr:uid="{00000000-0005-0000-0000-0000223E0000}"/>
    <cellStyle name="40% - uthevingsfarge 5 28 2 2 3 10" xfId="47374" xr:uid="{00000000-0005-0000-0000-0000233E0000}"/>
    <cellStyle name="40% - uthevingsfarge 5 28 2 2 3 2" xfId="6674" xr:uid="{00000000-0005-0000-0000-0000243E0000}"/>
    <cellStyle name="40% - uthevingsfarge 5 28 2 2 3 2 2" xfId="10080" xr:uid="{00000000-0005-0000-0000-0000253E0000}"/>
    <cellStyle name="40% - uthevingsfarge 5 28 2 2 3 2 2 2" xfId="24620" xr:uid="{00000000-0005-0000-0000-0000263E0000}"/>
    <cellStyle name="40% - uthevingsfarge 5 28 2 2 3 2 2 2 2" xfId="40664" xr:uid="{00000000-0005-0000-0000-0000273E0000}"/>
    <cellStyle name="40% - uthevingsfarge 5 28 2 2 3 2 2 3" xfId="27719" xr:uid="{00000000-0005-0000-0000-0000283E0000}"/>
    <cellStyle name="40% - uthevingsfarge 5 28 2 2 3 2 3" xfId="24084" xr:uid="{00000000-0005-0000-0000-0000293E0000}"/>
    <cellStyle name="40% - uthevingsfarge 5 28 2 2 3 2 3 2" xfId="40137" xr:uid="{00000000-0005-0000-0000-00002A3E0000}"/>
    <cellStyle name="40% - uthevingsfarge 5 28 2 2 3 2 4" xfId="31120" xr:uid="{00000000-0005-0000-0000-00002B3E0000}"/>
    <cellStyle name="40% - uthevingsfarge 5 28 2 2 3 2 5" xfId="43068" xr:uid="{00000000-0005-0000-0000-00002C3E0000}"/>
    <cellStyle name="40% - uthevingsfarge 5 28 2 2 3 2 6" xfId="43365" xr:uid="{00000000-0005-0000-0000-00002D3E0000}"/>
    <cellStyle name="40% - uthevingsfarge 5 28 2 2 3 2 7" xfId="46213" xr:uid="{00000000-0005-0000-0000-00002E3E0000}"/>
    <cellStyle name="40% - uthevingsfarge 5 28 2 2 3 2 8" xfId="46985" xr:uid="{00000000-0005-0000-0000-00002F3E0000}"/>
    <cellStyle name="40% - uthevingsfarge 5 28 2 2 3 2 9" xfId="47570" xr:uid="{00000000-0005-0000-0000-0000303E0000}"/>
    <cellStyle name="40% - uthevingsfarge 5 28 2 2 3 3" xfId="8377" xr:uid="{00000000-0005-0000-0000-0000313E0000}"/>
    <cellStyle name="40% - uthevingsfarge 5 28 2 2 3 3 2" xfId="11867" xr:uid="{00000000-0005-0000-0000-0000323E0000}"/>
    <cellStyle name="40% - uthevingsfarge 5 28 2 2 3 3 2 2" xfId="34904" xr:uid="{00000000-0005-0000-0000-0000333E0000}"/>
    <cellStyle name="40% - uthevingsfarge 5 28 2 2 3 3 3" xfId="29421" xr:uid="{00000000-0005-0000-0000-0000343E0000}"/>
    <cellStyle name="40% - uthevingsfarge 5 28 2 2 3 3 4" xfId="43959" xr:uid="{00000000-0005-0000-0000-0000353E0000}"/>
    <cellStyle name="40% - uthevingsfarge 5 28 2 2 3 4" xfId="16513" xr:uid="{00000000-0005-0000-0000-0000363E0000}"/>
    <cellStyle name="40% - uthevingsfarge 5 28 2 2 3 4 2" xfId="35460" xr:uid="{00000000-0005-0000-0000-0000373E0000}"/>
    <cellStyle name="40% - uthevingsfarge 5 28 2 2 3 5" xfId="25122" xr:uid="{00000000-0005-0000-0000-0000383E0000}"/>
    <cellStyle name="40% - uthevingsfarge 5 28 2 2 3 6" xfId="25322" xr:uid="{00000000-0005-0000-0000-0000393E0000}"/>
    <cellStyle name="40% - uthevingsfarge 5 28 2 2 3 7" xfId="32812" xr:uid="{00000000-0005-0000-0000-00003A3E0000}"/>
    <cellStyle name="40% - uthevingsfarge 5 28 2 2 3 8" xfId="43826" xr:uid="{00000000-0005-0000-0000-00003B3E0000}"/>
    <cellStyle name="40% - uthevingsfarge 5 28 2 2 3 9" xfId="46751" xr:uid="{00000000-0005-0000-0000-00003C3E0000}"/>
    <cellStyle name="40% - uthevingsfarge 5 28 2 2 4" xfId="5509" xr:uid="{00000000-0005-0000-0000-00003D3E0000}"/>
    <cellStyle name="40% - uthevingsfarge 5 28 2 2 4 2" xfId="8924" xr:uid="{00000000-0005-0000-0000-00003E3E0000}"/>
    <cellStyle name="40% - uthevingsfarge 5 28 2 2 4 2 2" xfId="21217" xr:uid="{00000000-0005-0000-0000-00003F3E0000}"/>
    <cellStyle name="40% - uthevingsfarge 5 28 2 2 4 2 2 2" xfId="37297" xr:uid="{00000000-0005-0000-0000-0000403E0000}"/>
    <cellStyle name="40% - uthevingsfarge 5 28 2 2 4 2 3" xfId="28874" xr:uid="{00000000-0005-0000-0000-0000413E0000}"/>
    <cellStyle name="40% - uthevingsfarge 5 28 2 2 4 3" xfId="20100" xr:uid="{00000000-0005-0000-0000-0000423E0000}"/>
    <cellStyle name="40% - uthevingsfarge 5 28 2 2 4 3 2" xfId="36204" xr:uid="{00000000-0005-0000-0000-0000433E0000}"/>
    <cellStyle name="40% - uthevingsfarge 5 28 2 2 4 4" xfId="32265" xr:uid="{00000000-0005-0000-0000-0000443E0000}"/>
    <cellStyle name="40% - uthevingsfarge 5 28 2 2 5" xfId="7227" xr:uid="{00000000-0005-0000-0000-0000453E0000}"/>
    <cellStyle name="40% - uthevingsfarge 5 28 2 2 5 2" xfId="22428" xr:uid="{00000000-0005-0000-0000-0000463E0000}"/>
    <cellStyle name="40% - uthevingsfarge 5 28 2 2 5 2 2" xfId="38500" xr:uid="{00000000-0005-0000-0000-0000473E0000}"/>
    <cellStyle name="40% - uthevingsfarge 5 28 2 2 5 3" xfId="30571" xr:uid="{00000000-0005-0000-0000-0000483E0000}"/>
    <cellStyle name="40% - uthevingsfarge 5 28 2 2 6" xfId="11222" xr:uid="{00000000-0005-0000-0000-0000493E0000}"/>
    <cellStyle name="40% - uthevingsfarge 5 28 2 2 7" xfId="33958" xr:uid="{00000000-0005-0000-0000-00004A3E0000}"/>
    <cellStyle name="40% - uthevingsfarge 5 28 2 2 8" xfId="43617" xr:uid="{00000000-0005-0000-0000-00004B3E0000}"/>
    <cellStyle name="40% - uthevingsfarge 5 28 2 2 9" xfId="46523" xr:uid="{00000000-0005-0000-0000-00004C3E0000}"/>
    <cellStyle name="40% - uthevingsfarge 5 28 2 2_Avviksanalyse løpende RNB15 (1)" xfId="16647" xr:uid="{00000000-0005-0000-0000-00004D3E0000}"/>
    <cellStyle name="40% - uthevingsfarge 5 28 2 3" xfId="3835" xr:uid="{00000000-0005-0000-0000-00004E3E0000}"/>
    <cellStyle name="40% - uthevingsfarge 5 28 2 3 2" xfId="5723" xr:uid="{00000000-0005-0000-0000-00004F3E0000}"/>
    <cellStyle name="40% - uthevingsfarge 5 28 2 3 2 2" xfId="9138" xr:uid="{00000000-0005-0000-0000-0000503E0000}"/>
    <cellStyle name="40% - uthevingsfarge 5 28 2 3 2 2 2" xfId="21918" xr:uid="{00000000-0005-0000-0000-0000513E0000}"/>
    <cellStyle name="40% - uthevingsfarge 5 28 2 3 2 2 2 2" xfId="37993" xr:uid="{00000000-0005-0000-0000-0000523E0000}"/>
    <cellStyle name="40% - uthevingsfarge 5 28 2 3 2 2 3" xfId="28660" xr:uid="{00000000-0005-0000-0000-0000533E0000}"/>
    <cellStyle name="40% - uthevingsfarge 5 28 2 3 2 3" xfId="23907" xr:uid="{00000000-0005-0000-0000-0000543E0000}"/>
    <cellStyle name="40% - uthevingsfarge 5 28 2 3 2 3 2" xfId="39963" xr:uid="{00000000-0005-0000-0000-0000553E0000}"/>
    <cellStyle name="40% - uthevingsfarge 5 28 2 3 2 4" xfId="32051" xr:uid="{00000000-0005-0000-0000-0000563E0000}"/>
    <cellStyle name="40% - uthevingsfarge 5 28 2 3 3" xfId="7441" xr:uid="{00000000-0005-0000-0000-0000573E0000}"/>
    <cellStyle name="40% - uthevingsfarge 5 28 2 3 3 2" xfId="24208" xr:uid="{00000000-0005-0000-0000-0000583E0000}"/>
    <cellStyle name="40% - uthevingsfarge 5 28 2 3 3 2 2" xfId="40261" xr:uid="{00000000-0005-0000-0000-0000593E0000}"/>
    <cellStyle name="40% - uthevingsfarge 5 28 2 3 3 3" xfId="30357" xr:uid="{00000000-0005-0000-0000-00005A3E0000}"/>
    <cellStyle name="40% - uthevingsfarge 5 28 2 3 4" xfId="23749" xr:uid="{00000000-0005-0000-0000-00005B3E0000}"/>
    <cellStyle name="40% - uthevingsfarge 5 28 2 3 4 2" xfId="39805" xr:uid="{00000000-0005-0000-0000-00005C3E0000}"/>
    <cellStyle name="40% - uthevingsfarge 5 28 2 3 5" xfId="33744" xr:uid="{00000000-0005-0000-0000-00005D3E0000}"/>
    <cellStyle name="40% - uthevingsfarge 5 28 2 4" xfId="4320" xr:uid="{00000000-0005-0000-0000-00005E3E0000}"/>
    <cellStyle name="40% - uthevingsfarge 5 28 2 4 2" xfId="6149" xr:uid="{00000000-0005-0000-0000-00005F3E0000}"/>
    <cellStyle name="40% - uthevingsfarge 5 28 2 4 2 2" xfId="9563" xr:uid="{00000000-0005-0000-0000-0000603E0000}"/>
    <cellStyle name="40% - uthevingsfarge 5 28 2 4 2 2 2" xfId="21418" xr:uid="{00000000-0005-0000-0000-0000613E0000}"/>
    <cellStyle name="40% - uthevingsfarge 5 28 2 4 2 2 2 2" xfId="37498" xr:uid="{00000000-0005-0000-0000-0000623E0000}"/>
    <cellStyle name="40% - uthevingsfarge 5 28 2 4 2 2 3" xfId="28235" xr:uid="{00000000-0005-0000-0000-0000633E0000}"/>
    <cellStyle name="40% - uthevingsfarge 5 28 2 4 2 3" xfId="20342" xr:uid="{00000000-0005-0000-0000-0000643E0000}"/>
    <cellStyle name="40% - uthevingsfarge 5 28 2 4 2 3 2" xfId="36441" xr:uid="{00000000-0005-0000-0000-0000653E0000}"/>
    <cellStyle name="40% - uthevingsfarge 5 28 2 4 2 4" xfId="31632" xr:uid="{00000000-0005-0000-0000-0000663E0000}"/>
    <cellStyle name="40% - uthevingsfarge 5 28 2 4 3" xfId="7882" xr:uid="{00000000-0005-0000-0000-0000673E0000}"/>
    <cellStyle name="40% - uthevingsfarge 5 28 2 4 3 2" xfId="24285" xr:uid="{00000000-0005-0000-0000-0000683E0000}"/>
    <cellStyle name="40% - uthevingsfarge 5 28 2 4 3 2 2" xfId="40337" xr:uid="{00000000-0005-0000-0000-0000693E0000}"/>
    <cellStyle name="40% - uthevingsfarge 5 28 2 4 3 3" xfId="29917" xr:uid="{00000000-0005-0000-0000-00006A3E0000}"/>
    <cellStyle name="40% - uthevingsfarge 5 28 2 4 4" xfId="19631" xr:uid="{00000000-0005-0000-0000-00006B3E0000}"/>
    <cellStyle name="40% - uthevingsfarge 5 28 2 4 4 2" xfId="35745" xr:uid="{00000000-0005-0000-0000-00006C3E0000}"/>
    <cellStyle name="40% - uthevingsfarge 5 28 2 4 5" xfId="33305" xr:uid="{00000000-0005-0000-0000-00006D3E0000}"/>
    <cellStyle name="40% - uthevingsfarge 5 28 2 5" xfId="4775" xr:uid="{00000000-0005-0000-0000-00006E3E0000}"/>
    <cellStyle name="40% - uthevingsfarge 5 28 2 5 2" xfId="6495" xr:uid="{00000000-0005-0000-0000-00006F3E0000}"/>
    <cellStyle name="40% - uthevingsfarge 5 28 2 5 2 2" xfId="9901" xr:uid="{00000000-0005-0000-0000-0000703E0000}"/>
    <cellStyle name="40% - uthevingsfarge 5 28 2 5 2 2 2" xfId="23579" xr:uid="{00000000-0005-0000-0000-0000713E0000}"/>
    <cellStyle name="40% - uthevingsfarge 5 28 2 5 2 2 2 2" xfId="39635" xr:uid="{00000000-0005-0000-0000-0000723E0000}"/>
    <cellStyle name="40% - uthevingsfarge 5 28 2 5 2 2 3" xfId="27898" xr:uid="{00000000-0005-0000-0000-0000733E0000}"/>
    <cellStyle name="40% - uthevingsfarge 5 28 2 5 2 3" xfId="22139" xr:uid="{00000000-0005-0000-0000-0000743E0000}"/>
    <cellStyle name="40% - uthevingsfarge 5 28 2 5 2 3 2" xfId="38213" xr:uid="{00000000-0005-0000-0000-0000753E0000}"/>
    <cellStyle name="40% - uthevingsfarge 5 28 2 5 2 4" xfId="31299" xr:uid="{00000000-0005-0000-0000-0000763E0000}"/>
    <cellStyle name="40% - uthevingsfarge 5 28 2 5 3" xfId="8197" xr:uid="{00000000-0005-0000-0000-0000773E0000}"/>
    <cellStyle name="40% - uthevingsfarge 5 28 2 5 3 2" xfId="11884" xr:uid="{00000000-0005-0000-0000-0000783E0000}"/>
    <cellStyle name="40% - uthevingsfarge 5 28 2 5 3 2 2" xfId="34921" xr:uid="{00000000-0005-0000-0000-0000793E0000}"/>
    <cellStyle name="40% - uthevingsfarge 5 28 2 5 3 3" xfId="29600" xr:uid="{00000000-0005-0000-0000-00007A3E0000}"/>
    <cellStyle name="40% - uthevingsfarge 5 28 2 5 4" xfId="20040" xr:uid="{00000000-0005-0000-0000-00007B3E0000}"/>
    <cellStyle name="40% - uthevingsfarge 5 28 2 5 4 2" xfId="36144" xr:uid="{00000000-0005-0000-0000-00007C3E0000}"/>
    <cellStyle name="40% - uthevingsfarge 5 28 2 5 5" xfId="32992" xr:uid="{00000000-0005-0000-0000-00007D3E0000}"/>
    <cellStyle name="40% - uthevingsfarge 5 28 2 6" xfId="5135" xr:uid="{00000000-0005-0000-0000-00007E3E0000}"/>
    <cellStyle name="40% - uthevingsfarge 5 28 2 6 2" xfId="6854" xr:uid="{00000000-0005-0000-0000-00007F3E0000}"/>
    <cellStyle name="40% - uthevingsfarge 5 28 2 6 2 2" xfId="10260" xr:uid="{00000000-0005-0000-0000-0000803E0000}"/>
    <cellStyle name="40% - uthevingsfarge 5 28 2 6 2 2 2" xfId="24703" xr:uid="{00000000-0005-0000-0000-0000813E0000}"/>
    <cellStyle name="40% - uthevingsfarge 5 28 2 6 2 2 2 2" xfId="40746" xr:uid="{00000000-0005-0000-0000-0000823E0000}"/>
    <cellStyle name="40% - uthevingsfarge 5 28 2 6 2 2 3" xfId="27539" xr:uid="{00000000-0005-0000-0000-0000833E0000}"/>
    <cellStyle name="40% - uthevingsfarge 5 28 2 6 2 3" xfId="10337" xr:uid="{00000000-0005-0000-0000-0000843E0000}"/>
    <cellStyle name="40% - uthevingsfarge 5 28 2 6 2 3 2" xfId="34303" xr:uid="{00000000-0005-0000-0000-0000853E0000}"/>
    <cellStyle name="40% - uthevingsfarge 5 28 2 6 2 4" xfId="30940" xr:uid="{00000000-0005-0000-0000-0000863E0000}"/>
    <cellStyle name="40% - uthevingsfarge 5 28 2 6 3" xfId="8557" xr:uid="{00000000-0005-0000-0000-0000873E0000}"/>
    <cellStyle name="40% - uthevingsfarge 5 28 2 6 3 2" xfId="19882" xr:uid="{00000000-0005-0000-0000-0000883E0000}"/>
    <cellStyle name="40% - uthevingsfarge 5 28 2 6 3 2 2" xfId="35995" xr:uid="{00000000-0005-0000-0000-0000893E0000}"/>
    <cellStyle name="40% - uthevingsfarge 5 28 2 6 3 3" xfId="29241" xr:uid="{00000000-0005-0000-0000-00008A3E0000}"/>
    <cellStyle name="40% - uthevingsfarge 5 28 2 6 4" xfId="19758" xr:uid="{00000000-0005-0000-0000-00008B3E0000}"/>
    <cellStyle name="40% - uthevingsfarge 5 28 2 6 4 2" xfId="35872" xr:uid="{00000000-0005-0000-0000-00008C3E0000}"/>
    <cellStyle name="40% - uthevingsfarge 5 28 2 6 5" xfId="32632" xr:uid="{00000000-0005-0000-0000-00008D3E0000}"/>
    <cellStyle name="40% - uthevingsfarge 5 28 2 7" xfId="5314" xr:uid="{00000000-0005-0000-0000-00008E3E0000}"/>
    <cellStyle name="40% - uthevingsfarge 5 28 2 7 2" xfId="8729" xr:uid="{00000000-0005-0000-0000-00008F3E0000}"/>
    <cellStyle name="40% - uthevingsfarge 5 28 2 7 2 2" xfId="24404" xr:uid="{00000000-0005-0000-0000-0000903E0000}"/>
    <cellStyle name="40% - uthevingsfarge 5 28 2 7 2 2 2" xfId="40448" xr:uid="{00000000-0005-0000-0000-0000913E0000}"/>
    <cellStyle name="40% - uthevingsfarge 5 28 2 7 2 3" xfId="29069" xr:uid="{00000000-0005-0000-0000-0000923E0000}"/>
    <cellStyle name="40% - uthevingsfarge 5 28 2 7 3" xfId="10740" xr:uid="{00000000-0005-0000-0000-0000933E0000}"/>
    <cellStyle name="40% - uthevingsfarge 5 28 2 7 3 2" xfId="34583" xr:uid="{00000000-0005-0000-0000-0000943E0000}"/>
    <cellStyle name="40% - uthevingsfarge 5 28 2 7 4" xfId="32460" xr:uid="{00000000-0005-0000-0000-0000953E0000}"/>
    <cellStyle name="40% - uthevingsfarge 5 28 2 8" xfId="7047" xr:uid="{00000000-0005-0000-0000-0000963E0000}"/>
    <cellStyle name="40% - uthevingsfarge 5 28 2 8 2" xfId="24139" xr:uid="{00000000-0005-0000-0000-0000973E0000}"/>
    <cellStyle name="40% - uthevingsfarge 5 28 2 8 2 2" xfId="40192" xr:uid="{00000000-0005-0000-0000-0000983E0000}"/>
    <cellStyle name="40% - uthevingsfarge 5 28 2 8 3" xfId="30751" xr:uid="{00000000-0005-0000-0000-0000993E0000}"/>
    <cellStyle name="40% - uthevingsfarge 5 28 2 9" xfId="11221" xr:uid="{00000000-0005-0000-0000-00009A3E0000}"/>
    <cellStyle name="40% - uthevingsfarge 5 28 3" xfId="3500" xr:uid="{00000000-0005-0000-0000-00009B3E0000}"/>
    <cellStyle name="40% - uthevingsfarge 5 28 3 10" xfId="46455" xr:uid="{00000000-0005-0000-0000-00009C3E0000}"/>
    <cellStyle name="40% - uthevingsfarge 5 28 3 11" xfId="47116" xr:uid="{00000000-0005-0000-0000-00009D3E0000}"/>
    <cellStyle name="40% - uthevingsfarge 5 28 3 2" xfId="3936" xr:uid="{00000000-0005-0000-0000-00009E3E0000}"/>
    <cellStyle name="40% - uthevingsfarge 5 28 3 2 2" xfId="5824" xr:uid="{00000000-0005-0000-0000-00009F3E0000}"/>
    <cellStyle name="40% - uthevingsfarge 5 28 3 2 2 2" xfId="9239" xr:uid="{00000000-0005-0000-0000-0000A03E0000}"/>
    <cellStyle name="40% - uthevingsfarge 5 28 3 2 2 2 2" xfId="24484" xr:uid="{00000000-0005-0000-0000-0000A13E0000}"/>
    <cellStyle name="40% - uthevingsfarge 5 28 3 2 2 2 2 2" xfId="40528" xr:uid="{00000000-0005-0000-0000-0000A23E0000}"/>
    <cellStyle name="40% - uthevingsfarge 5 28 3 2 2 2 3" xfId="28559" xr:uid="{00000000-0005-0000-0000-0000A33E0000}"/>
    <cellStyle name="40% - uthevingsfarge 5 28 3 2 2 3" xfId="22922" xr:uid="{00000000-0005-0000-0000-0000A43E0000}"/>
    <cellStyle name="40% - uthevingsfarge 5 28 3 2 2 3 2" xfId="38991" xr:uid="{00000000-0005-0000-0000-0000A53E0000}"/>
    <cellStyle name="40% - uthevingsfarge 5 28 3 2 2 4" xfId="31950" xr:uid="{00000000-0005-0000-0000-0000A63E0000}"/>
    <cellStyle name="40% - uthevingsfarge 5 28 3 2 3" xfId="7542" xr:uid="{00000000-0005-0000-0000-0000A73E0000}"/>
    <cellStyle name="40% - uthevingsfarge 5 28 3 2 3 2" xfId="10627" xr:uid="{00000000-0005-0000-0000-0000A83E0000}"/>
    <cellStyle name="40% - uthevingsfarge 5 28 3 2 3 2 2" xfId="34475" xr:uid="{00000000-0005-0000-0000-0000A93E0000}"/>
    <cellStyle name="40% - uthevingsfarge 5 28 3 2 3 3" xfId="30256" xr:uid="{00000000-0005-0000-0000-0000AA3E0000}"/>
    <cellStyle name="40% - uthevingsfarge 5 28 3 2 4" xfId="18040" xr:uid="{00000000-0005-0000-0000-0000AB3E0000}"/>
    <cellStyle name="40% - uthevingsfarge 5 28 3 2 5" xfId="23788" xr:uid="{00000000-0005-0000-0000-0000AC3E0000}"/>
    <cellStyle name="40% - uthevingsfarge 5 28 3 2 5 2" xfId="39844" xr:uid="{00000000-0005-0000-0000-0000AD3E0000}"/>
    <cellStyle name="40% - uthevingsfarge 5 28 3 2 6" xfId="33643" xr:uid="{00000000-0005-0000-0000-0000AE3E0000}"/>
    <cellStyle name="40% - uthevingsfarge 5 28 3 3" xfId="4409" xr:uid="{00000000-0005-0000-0000-0000AF3E0000}"/>
    <cellStyle name="40% - uthevingsfarge 5 28 3 3 10" xfId="47306" xr:uid="{00000000-0005-0000-0000-0000B03E0000}"/>
    <cellStyle name="40% - uthevingsfarge 5 28 3 3 2" xfId="6206" xr:uid="{00000000-0005-0000-0000-0000B13E0000}"/>
    <cellStyle name="40% - uthevingsfarge 5 28 3 3 2 2" xfId="9620" xr:uid="{00000000-0005-0000-0000-0000B23E0000}"/>
    <cellStyle name="40% - uthevingsfarge 5 28 3 3 2 2 2" xfId="11646" xr:uid="{00000000-0005-0000-0000-0000B33E0000}"/>
    <cellStyle name="40% - uthevingsfarge 5 28 3 3 2 2 2 2" xfId="34819" xr:uid="{00000000-0005-0000-0000-0000B43E0000}"/>
    <cellStyle name="40% - uthevingsfarge 5 28 3 3 2 2 3" xfId="28178" xr:uid="{00000000-0005-0000-0000-0000B53E0000}"/>
    <cellStyle name="40% - uthevingsfarge 5 28 3 3 2 3" xfId="22995" xr:uid="{00000000-0005-0000-0000-0000B63E0000}"/>
    <cellStyle name="40% - uthevingsfarge 5 28 3 3 2 3 2" xfId="39064" xr:uid="{00000000-0005-0000-0000-0000B73E0000}"/>
    <cellStyle name="40% - uthevingsfarge 5 28 3 3 2 4" xfId="31579" xr:uid="{00000000-0005-0000-0000-0000B83E0000}"/>
    <cellStyle name="40% - uthevingsfarge 5 28 3 3 2 5" xfId="42861" xr:uid="{00000000-0005-0000-0000-0000B93E0000}"/>
    <cellStyle name="40% - uthevingsfarge 5 28 3 3 2 6" xfId="43299" xr:uid="{00000000-0005-0000-0000-0000BA3E0000}"/>
    <cellStyle name="40% - uthevingsfarge 5 28 3 3 2 7" xfId="46147" xr:uid="{00000000-0005-0000-0000-0000BB3E0000}"/>
    <cellStyle name="40% - uthevingsfarge 5 28 3 3 2 8" xfId="46916" xr:uid="{00000000-0005-0000-0000-0000BC3E0000}"/>
    <cellStyle name="40% - uthevingsfarge 5 28 3 3 2 9" xfId="47502" xr:uid="{00000000-0005-0000-0000-0000BD3E0000}"/>
    <cellStyle name="40% - uthevingsfarge 5 28 3 3 3" xfId="7940" xr:uid="{00000000-0005-0000-0000-0000BE3E0000}"/>
    <cellStyle name="40% - uthevingsfarge 5 28 3 3 3 2" xfId="22495" xr:uid="{00000000-0005-0000-0000-0000BF3E0000}"/>
    <cellStyle name="40% - uthevingsfarge 5 28 3 3 3 2 2" xfId="38567" xr:uid="{00000000-0005-0000-0000-0000C03E0000}"/>
    <cellStyle name="40% - uthevingsfarge 5 28 3 3 3 3" xfId="29859" xr:uid="{00000000-0005-0000-0000-0000C13E0000}"/>
    <cellStyle name="40% - uthevingsfarge 5 28 3 3 3 4" xfId="43960" xr:uid="{00000000-0005-0000-0000-0000C23E0000}"/>
    <cellStyle name="40% - uthevingsfarge 5 28 3 3 4" xfId="16306" xr:uid="{00000000-0005-0000-0000-0000C33E0000}"/>
    <cellStyle name="40% - uthevingsfarge 5 28 3 3 4 2" xfId="35394" xr:uid="{00000000-0005-0000-0000-0000C43E0000}"/>
    <cellStyle name="40% - uthevingsfarge 5 28 3 3 5" xfId="25053" xr:uid="{00000000-0005-0000-0000-0000C53E0000}"/>
    <cellStyle name="40% - uthevingsfarge 5 28 3 3 6" xfId="25323" xr:uid="{00000000-0005-0000-0000-0000C63E0000}"/>
    <cellStyle name="40% - uthevingsfarge 5 28 3 3 7" xfId="33248" xr:uid="{00000000-0005-0000-0000-0000C73E0000}"/>
    <cellStyle name="40% - uthevingsfarge 5 28 3 3 8" xfId="43759" xr:uid="{00000000-0005-0000-0000-0000C83E0000}"/>
    <cellStyle name="40% - uthevingsfarge 5 28 3 3 9" xfId="46685" xr:uid="{00000000-0005-0000-0000-0000C93E0000}"/>
    <cellStyle name="40% - uthevingsfarge 5 28 3 4" xfId="4876" xr:uid="{00000000-0005-0000-0000-0000CA3E0000}"/>
    <cellStyle name="40% - uthevingsfarge 5 28 3 4 2" xfId="6595" xr:uid="{00000000-0005-0000-0000-0000CB3E0000}"/>
    <cellStyle name="40% - uthevingsfarge 5 28 3 4 2 2" xfId="10001" xr:uid="{00000000-0005-0000-0000-0000CC3E0000}"/>
    <cellStyle name="40% - uthevingsfarge 5 28 3 4 2 2 2" xfId="22009" xr:uid="{00000000-0005-0000-0000-0000CD3E0000}"/>
    <cellStyle name="40% - uthevingsfarge 5 28 3 4 2 2 2 2" xfId="38084" xr:uid="{00000000-0005-0000-0000-0000CE3E0000}"/>
    <cellStyle name="40% - uthevingsfarge 5 28 3 4 2 2 3" xfId="27798" xr:uid="{00000000-0005-0000-0000-0000CF3E0000}"/>
    <cellStyle name="40% - uthevingsfarge 5 28 3 4 2 3" xfId="22367" xr:uid="{00000000-0005-0000-0000-0000D03E0000}"/>
    <cellStyle name="40% - uthevingsfarge 5 28 3 4 2 3 2" xfId="38439" xr:uid="{00000000-0005-0000-0000-0000D13E0000}"/>
    <cellStyle name="40% - uthevingsfarge 5 28 3 4 2 4" xfId="31199" xr:uid="{00000000-0005-0000-0000-0000D23E0000}"/>
    <cellStyle name="40% - uthevingsfarge 5 28 3 4 3" xfId="8298" xr:uid="{00000000-0005-0000-0000-0000D33E0000}"/>
    <cellStyle name="40% - uthevingsfarge 5 28 3 4 3 2" xfId="23342" xr:uid="{00000000-0005-0000-0000-0000D43E0000}"/>
    <cellStyle name="40% - uthevingsfarge 5 28 3 4 3 2 2" xfId="39403" xr:uid="{00000000-0005-0000-0000-0000D53E0000}"/>
    <cellStyle name="40% - uthevingsfarge 5 28 3 4 3 3" xfId="29499" xr:uid="{00000000-0005-0000-0000-0000D63E0000}"/>
    <cellStyle name="40% - uthevingsfarge 5 28 3 4 4" xfId="22835" xr:uid="{00000000-0005-0000-0000-0000D73E0000}"/>
    <cellStyle name="40% - uthevingsfarge 5 28 3 4 4 2" xfId="38904" xr:uid="{00000000-0005-0000-0000-0000D83E0000}"/>
    <cellStyle name="40% - uthevingsfarge 5 28 3 4 5" xfId="32891" xr:uid="{00000000-0005-0000-0000-0000D93E0000}"/>
    <cellStyle name="40% - uthevingsfarge 5 28 3 5" xfId="5254" xr:uid="{00000000-0005-0000-0000-0000DA3E0000}"/>
    <cellStyle name="40% - uthevingsfarge 5 28 3 5 2" xfId="8669" xr:uid="{00000000-0005-0000-0000-0000DB3E0000}"/>
    <cellStyle name="40% - uthevingsfarge 5 28 3 5 2 2" xfId="24398" xr:uid="{00000000-0005-0000-0000-0000DC3E0000}"/>
    <cellStyle name="40% - uthevingsfarge 5 28 3 5 2 2 2" xfId="40442" xr:uid="{00000000-0005-0000-0000-0000DD3E0000}"/>
    <cellStyle name="40% - uthevingsfarge 5 28 3 5 2 3" xfId="29129" xr:uid="{00000000-0005-0000-0000-0000DE3E0000}"/>
    <cellStyle name="40% - uthevingsfarge 5 28 3 5 3" xfId="12103" xr:uid="{00000000-0005-0000-0000-0000DF3E0000}"/>
    <cellStyle name="40% - uthevingsfarge 5 28 3 5 3 2" xfId="35072" xr:uid="{00000000-0005-0000-0000-0000E03E0000}"/>
    <cellStyle name="40% - uthevingsfarge 5 28 3 5 4" xfId="32520" xr:uid="{00000000-0005-0000-0000-0000E13E0000}"/>
    <cellStyle name="40% - uthevingsfarge 5 28 3 6" xfId="7148" xr:uid="{00000000-0005-0000-0000-0000E23E0000}"/>
    <cellStyle name="40% - uthevingsfarge 5 28 3 6 2" xfId="22423" xr:uid="{00000000-0005-0000-0000-0000E33E0000}"/>
    <cellStyle name="40% - uthevingsfarge 5 28 3 6 2 2" xfId="38495" xr:uid="{00000000-0005-0000-0000-0000E43E0000}"/>
    <cellStyle name="40% - uthevingsfarge 5 28 3 6 3" xfId="30650" xr:uid="{00000000-0005-0000-0000-0000E53E0000}"/>
    <cellStyle name="40% - uthevingsfarge 5 28 3 7" xfId="11223" xr:uid="{00000000-0005-0000-0000-0000E63E0000}"/>
    <cellStyle name="40% - uthevingsfarge 5 28 3 8" xfId="34037" xr:uid="{00000000-0005-0000-0000-0000E73E0000}"/>
    <cellStyle name="40% - uthevingsfarge 5 28 3 9" xfId="43551" xr:uid="{00000000-0005-0000-0000-0000E83E0000}"/>
    <cellStyle name="40% - uthevingsfarge 5 28 3_Avviksanalyse løpende RNB15 (1)" xfId="16648" xr:uid="{00000000-0005-0000-0000-0000E93E0000}"/>
    <cellStyle name="40% - uthevingsfarge 5 28 4" xfId="3757" xr:uid="{00000000-0005-0000-0000-0000EA3E0000}"/>
    <cellStyle name="40% - uthevingsfarge 5 28 4 2" xfId="5645" xr:uid="{00000000-0005-0000-0000-0000EB3E0000}"/>
    <cellStyle name="40% - uthevingsfarge 5 28 4 2 2" xfId="9060" xr:uid="{00000000-0005-0000-0000-0000EC3E0000}"/>
    <cellStyle name="40% - uthevingsfarge 5 28 4 2 2 2" xfId="21263" xr:uid="{00000000-0005-0000-0000-0000ED3E0000}"/>
    <cellStyle name="40% - uthevingsfarge 5 28 4 2 2 2 2" xfId="37343" xr:uid="{00000000-0005-0000-0000-0000EE3E0000}"/>
    <cellStyle name="40% - uthevingsfarge 5 28 4 2 2 3" xfId="28738" xr:uid="{00000000-0005-0000-0000-0000EF3E0000}"/>
    <cellStyle name="40% - uthevingsfarge 5 28 4 2 3" xfId="23893" xr:uid="{00000000-0005-0000-0000-0000F03E0000}"/>
    <cellStyle name="40% - uthevingsfarge 5 28 4 2 3 2" xfId="39949" xr:uid="{00000000-0005-0000-0000-0000F13E0000}"/>
    <cellStyle name="40% - uthevingsfarge 5 28 4 2 4" xfId="32129" xr:uid="{00000000-0005-0000-0000-0000F23E0000}"/>
    <cellStyle name="40% - uthevingsfarge 5 28 4 3" xfId="7363" xr:uid="{00000000-0005-0000-0000-0000F33E0000}"/>
    <cellStyle name="40% - uthevingsfarge 5 28 4 3 2" xfId="20756" xr:uid="{00000000-0005-0000-0000-0000F43E0000}"/>
    <cellStyle name="40% - uthevingsfarge 5 28 4 3 2 2" xfId="36855" xr:uid="{00000000-0005-0000-0000-0000F53E0000}"/>
    <cellStyle name="40% - uthevingsfarge 5 28 4 3 3" xfId="30435" xr:uid="{00000000-0005-0000-0000-0000F63E0000}"/>
    <cellStyle name="40% - uthevingsfarge 5 28 4 4" xfId="21652" xr:uid="{00000000-0005-0000-0000-0000F73E0000}"/>
    <cellStyle name="40% - uthevingsfarge 5 28 4 4 2" xfId="37732" xr:uid="{00000000-0005-0000-0000-0000F83E0000}"/>
    <cellStyle name="40% - uthevingsfarge 5 28 4 5" xfId="33822" xr:uid="{00000000-0005-0000-0000-0000F93E0000}"/>
    <cellStyle name="40% - uthevingsfarge 5 28 5" xfId="4254" xr:uid="{00000000-0005-0000-0000-0000FA3E0000}"/>
    <cellStyle name="40% - uthevingsfarge 5 28 5 2" xfId="6086" xr:uid="{00000000-0005-0000-0000-0000FB3E0000}"/>
    <cellStyle name="40% - uthevingsfarge 5 28 5 2 2" xfId="9501" xr:uid="{00000000-0005-0000-0000-0000FC3E0000}"/>
    <cellStyle name="40% - uthevingsfarge 5 28 5 2 2 2" xfId="23519" xr:uid="{00000000-0005-0000-0000-0000FD3E0000}"/>
    <cellStyle name="40% - uthevingsfarge 5 28 5 2 2 2 2" xfId="39575" xr:uid="{00000000-0005-0000-0000-0000FE3E0000}"/>
    <cellStyle name="40% - uthevingsfarge 5 28 5 2 2 3" xfId="28297" xr:uid="{00000000-0005-0000-0000-0000FF3E0000}"/>
    <cellStyle name="40% - uthevingsfarge 5 28 5 2 3" xfId="22972" xr:uid="{00000000-0005-0000-0000-0000003F0000}"/>
    <cellStyle name="40% - uthevingsfarge 5 28 5 2 3 2" xfId="39041" xr:uid="{00000000-0005-0000-0000-0000013F0000}"/>
    <cellStyle name="40% - uthevingsfarge 5 28 5 2 4" xfId="31692" xr:uid="{00000000-0005-0000-0000-0000023F0000}"/>
    <cellStyle name="40% - uthevingsfarge 5 28 5 3" xfId="7820" xr:uid="{00000000-0005-0000-0000-0000033F0000}"/>
    <cellStyle name="40% - uthevingsfarge 5 28 5 3 2" xfId="21668" xr:uid="{00000000-0005-0000-0000-0000043F0000}"/>
    <cellStyle name="40% - uthevingsfarge 5 28 5 3 2 2" xfId="37748" xr:uid="{00000000-0005-0000-0000-0000053F0000}"/>
    <cellStyle name="40% - uthevingsfarge 5 28 5 3 3" xfId="29979" xr:uid="{00000000-0005-0000-0000-0000063F0000}"/>
    <cellStyle name="40% - uthevingsfarge 5 28 5 4" xfId="19992" xr:uid="{00000000-0005-0000-0000-0000073F0000}"/>
    <cellStyle name="40% - uthevingsfarge 5 28 5 4 2" xfId="36096" xr:uid="{00000000-0005-0000-0000-0000083F0000}"/>
    <cellStyle name="40% - uthevingsfarge 5 28 5 5" xfId="33367" xr:uid="{00000000-0005-0000-0000-0000093F0000}"/>
    <cellStyle name="40% - uthevingsfarge 5 28 6" xfId="4393" xr:uid="{00000000-0005-0000-0000-00000A3F0000}"/>
    <cellStyle name="40% - uthevingsfarge 5 28 6 2" xfId="6195" xr:uid="{00000000-0005-0000-0000-00000B3F0000}"/>
    <cellStyle name="40% - uthevingsfarge 5 28 6 2 2" xfId="9609" xr:uid="{00000000-0005-0000-0000-00000C3F0000}"/>
    <cellStyle name="40% - uthevingsfarge 5 28 6 2 2 2" xfId="21437" xr:uid="{00000000-0005-0000-0000-00000D3F0000}"/>
    <cellStyle name="40% - uthevingsfarge 5 28 6 2 2 2 2" xfId="37517" xr:uid="{00000000-0005-0000-0000-00000E3F0000}"/>
    <cellStyle name="40% - uthevingsfarge 5 28 6 2 2 3" xfId="28189" xr:uid="{00000000-0005-0000-0000-00000F3F0000}"/>
    <cellStyle name="40% - uthevingsfarge 5 28 6 2 3" xfId="22326" xr:uid="{00000000-0005-0000-0000-0000103F0000}"/>
    <cellStyle name="40% - uthevingsfarge 5 28 6 2 3 2" xfId="38398" xr:uid="{00000000-0005-0000-0000-0000113F0000}"/>
    <cellStyle name="40% - uthevingsfarge 5 28 6 2 4" xfId="31590" xr:uid="{00000000-0005-0000-0000-0000123F0000}"/>
    <cellStyle name="40% - uthevingsfarge 5 28 6 3" xfId="7929" xr:uid="{00000000-0005-0000-0000-0000133F0000}"/>
    <cellStyle name="40% - uthevingsfarge 5 28 6 3 2" xfId="20946" xr:uid="{00000000-0005-0000-0000-0000143F0000}"/>
    <cellStyle name="40% - uthevingsfarge 5 28 6 3 2 2" xfId="37042" xr:uid="{00000000-0005-0000-0000-0000153F0000}"/>
    <cellStyle name="40% - uthevingsfarge 5 28 6 3 3" xfId="29870" xr:uid="{00000000-0005-0000-0000-0000163F0000}"/>
    <cellStyle name="40% - uthevingsfarge 5 28 6 4" xfId="23820" xr:uid="{00000000-0005-0000-0000-0000173F0000}"/>
    <cellStyle name="40% - uthevingsfarge 5 28 6 4 2" xfId="39876" xr:uid="{00000000-0005-0000-0000-0000183F0000}"/>
    <cellStyle name="40% - uthevingsfarge 5 28 6 5" xfId="33258" xr:uid="{00000000-0005-0000-0000-0000193F0000}"/>
    <cellStyle name="40% - uthevingsfarge 5 28 7" xfId="4692" xr:uid="{00000000-0005-0000-0000-00001A3F0000}"/>
    <cellStyle name="40% - uthevingsfarge 5 28 7 2" xfId="6412" xr:uid="{00000000-0005-0000-0000-00001B3F0000}"/>
    <cellStyle name="40% - uthevingsfarge 5 28 7 2 2" xfId="9822" xr:uid="{00000000-0005-0000-0000-00001C3F0000}"/>
    <cellStyle name="40% - uthevingsfarge 5 28 7 2 2 2" xfId="19864" xr:uid="{00000000-0005-0000-0000-00001D3F0000}"/>
    <cellStyle name="40% - uthevingsfarge 5 28 7 2 2 2 2" xfId="35977" xr:uid="{00000000-0005-0000-0000-00001E3F0000}"/>
    <cellStyle name="40% - uthevingsfarge 5 28 7 2 2 3" xfId="27977" xr:uid="{00000000-0005-0000-0000-00001F3F0000}"/>
    <cellStyle name="40% - uthevingsfarge 5 28 7 2 3" xfId="20442" xr:uid="{00000000-0005-0000-0000-0000203F0000}"/>
    <cellStyle name="40% - uthevingsfarge 5 28 7 2 3 2" xfId="36541" xr:uid="{00000000-0005-0000-0000-0000213F0000}"/>
    <cellStyle name="40% - uthevingsfarge 5 28 7 2 4" xfId="31378" xr:uid="{00000000-0005-0000-0000-0000223F0000}"/>
    <cellStyle name="40% - uthevingsfarge 5 28 7 3" xfId="8118" xr:uid="{00000000-0005-0000-0000-0000233F0000}"/>
    <cellStyle name="40% - uthevingsfarge 5 28 7 3 2" xfId="23316" xr:uid="{00000000-0005-0000-0000-0000243F0000}"/>
    <cellStyle name="40% - uthevingsfarge 5 28 7 3 2 2" xfId="39382" xr:uid="{00000000-0005-0000-0000-0000253F0000}"/>
    <cellStyle name="40% - uthevingsfarge 5 28 7 3 3" xfId="29680" xr:uid="{00000000-0005-0000-0000-0000263F0000}"/>
    <cellStyle name="40% - uthevingsfarge 5 28 7 4" xfId="20033" xr:uid="{00000000-0005-0000-0000-0000273F0000}"/>
    <cellStyle name="40% - uthevingsfarge 5 28 7 4 2" xfId="36137" xr:uid="{00000000-0005-0000-0000-0000283F0000}"/>
    <cellStyle name="40% - uthevingsfarge 5 28 7 5" xfId="33071" xr:uid="{00000000-0005-0000-0000-0000293F0000}"/>
    <cellStyle name="40% - uthevingsfarge 5 28 8" xfId="5056" xr:uid="{00000000-0005-0000-0000-00002A3F0000}"/>
    <cellStyle name="40% - uthevingsfarge 5 28 8 2" xfId="6775" xr:uid="{00000000-0005-0000-0000-00002B3F0000}"/>
    <cellStyle name="40% - uthevingsfarge 5 28 8 2 2" xfId="10181" xr:uid="{00000000-0005-0000-0000-00002C3F0000}"/>
    <cellStyle name="40% - uthevingsfarge 5 28 8 2 2 2" xfId="24640" xr:uid="{00000000-0005-0000-0000-00002D3F0000}"/>
    <cellStyle name="40% - uthevingsfarge 5 28 8 2 2 2 2" xfId="40684" xr:uid="{00000000-0005-0000-0000-00002E3F0000}"/>
    <cellStyle name="40% - uthevingsfarge 5 28 8 2 2 3" xfId="27618" xr:uid="{00000000-0005-0000-0000-00002F3F0000}"/>
    <cellStyle name="40% - uthevingsfarge 5 28 8 2 3" xfId="22150" xr:uid="{00000000-0005-0000-0000-0000303F0000}"/>
    <cellStyle name="40% - uthevingsfarge 5 28 8 2 3 2" xfId="38224" xr:uid="{00000000-0005-0000-0000-0000313F0000}"/>
    <cellStyle name="40% - uthevingsfarge 5 28 8 2 4" xfId="31019" xr:uid="{00000000-0005-0000-0000-0000323F0000}"/>
    <cellStyle name="40% - uthevingsfarge 5 28 8 3" xfId="8478" xr:uid="{00000000-0005-0000-0000-0000333F0000}"/>
    <cellStyle name="40% - uthevingsfarge 5 28 8 3 2" xfId="23367" xr:uid="{00000000-0005-0000-0000-0000343F0000}"/>
    <cellStyle name="40% - uthevingsfarge 5 28 8 3 2 2" xfId="39425" xr:uid="{00000000-0005-0000-0000-0000353F0000}"/>
    <cellStyle name="40% - uthevingsfarge 5 28 8 3 3" xfId="29320" xr:uid="{00000000-0005-0000-0000-0000363F0000}"/>
    <cellStyle name="40% - uthevingsfarge 5 28 8 4" xfId="12192" xr:uid="{00000000-0005-0000-0000-0000373F0000}"/>
    <cellStyle name="40% - uthevingsfarge 5 28 8 4 2" xfId="35120" xr:uid="{00000000-0005-0000-0000-0000383F0000}"/>
    <cellStyle name="40% - uthevingsfarge 5 28 8 5" xfId="32711" xr:uid="{00000000-0005-0000-0000-0000393F0000}"/>
    <cellStyle name="40% - uthevingsfarge 5 28 9" xfId="5227" xr:uid="{00000000-0005-0000-0000-00003A3F0000}"/>
    <cellStyle name="40% - uthevingsfarge 5 28 9 2" xfId="8642" xr:uid="{00000000-0005-0000-0000-00003B3F0000}"/>
    <cellStyle name="40% - uthevingsfarge 5 28 9 2 2" xfId="21147" xr:uid="{00000000-0005-0000-0000-00003C3F0000}"/>
    <cellStyle name="40% - uthevingsfarge 5 28 9 2 2 2" xfId="37227" xr:uid="{00000000-0005-0000-0000-00003D3F0000}"/>
    <cellStyle name="40% - uthevingsfarge 5 28 9 2 3" xfId="29156" xr:uid="{00000000-0005-0000-0000-00003E3F0000}"/>
    <cellStyle name="40% - uthevingsfarge 5 28 9 3" xfId="20069" xr:uid="{00000000-0005-0000-0000-00003F3F0000}"/>
    <cellStyle name="40% - uthevingsfarge 5 28 9 3 2" xfId="36173" xr:uid="{00000000-0005-0000-0000-0000403F0000}"/>
    <cellStyle name="40% - uthevingsfarge 5 28 9 4" xfId="32547" xr:uid="{00000000-0005-0000-0000-0000413F0000}"/>
    <cellStyle name="40% - uthevingsfarge 5 29" xfId="933" xr:uid="{00000000-0005-0000-0000-0000423F0000}"/>
    <cellStyle name="40% - uthevingsfarge 5 29 10" xfId="11224" xr:uid="{00000000-0005-0000-0000-0000433F0000}"/>
    <cellStyle name="40% - uthevingsfarge 5 29 11" xfId="34233" xr:uid="{00000000-0005-0000-0000-0000443F0000}"/>
    <cellStyle name="40% - uthevingsfarge 5 29 2" xfId="3354" xr:uid="{00000000-0005-0000-0000-0000453F0000}"/>
    <cellStyle name="40% - uthevingsfarge 5 29 2 10" xfId="34137" xr:uid="{00000000-0005-0000-0000-0000463F0000}"/>
    <cellStyle name="40% - uthevingsfarge 5 29 2 2" xfId="3586" xr:uid="{00000000-0005-0000-0000-0000473F0000}"/>
    <cellStyle name="40% - uthevingsfarge 5 29 2 2 10" xfId="47185" xr:uid="{00000000-0005-0000-0000-0000483F0000}"/>
    <cellStyle name="40% - uthevingsfarge 5 29 2 2 2" xfId="4016" xr:uid="{00000000-0005-0000-0000-0000493F0000}"/>
    <cellStyle name="40% - uthevingsfarge 5 29 2 2 2 2" xfId="5904" xr:uid="{00000000-0005-0000-0000-00004A3F0000}"/>
    <cellStyle name="40% - uthevingsfarge 5 29 2 2 2 2 2" xfId="9319" xr:uid="{00000000-0005-0000-0000-00004B3F0000}"/>
    <cellStyle name="40% - uthevingsfarge 5 29 2 2 2 2 2 2" xfId="21936" xr:uid="{00000000-0005-0000-0000-00004C3F0000}"/>
    <cellStyle name="40% - uthevingsfarge 5 29 2 2 2 2 2 2 2" xfId="38011" xr:uid="{00000000-0005-0000-0000-00004D3F0000}"/>
    <cellStyle name="40% - uthevingsfarge 5 29 2 2 2 2 2 3" xfId="28479" xr:uid="{00000000-0005-0000-0000-00004E3F0000}"/>
    <cellStyle name="40% - uthevingsfarge 5 29 2 2 2 2 3" xfId="20245" xr:uid="{00000000-0005-0000-0000-00004F3F0000}"/>
    <cellStyle name="40% - uthevingsfarge 5 29 2 2 2 2 3 2" xfId="36344" xr:uid="{00000000-0005-0000-0000-0000503F0000}"/>
    <cellStyle name="40% - uthevingsfarge 5 29 2 2 2 2 4" xfId="31872" xr:uid="{00000000-0005-0000-0000-0000513F0000}"/>
    <cellStyle name="40% - uthevingsfarge 5 29 2 2 2 3" xfId="7622" xr:uid="{00000000-0005-0000-0000-0000523F0000}"/>
    <cellStyle name="40% - uthevingsfarge 5 29 2 2 2 3 2" xfId="23235" xr:uid="{00000000-0005-0000-0000-0000533F0000}"/>
    <cellStyle name="40% - uthevingsfarge 5 29 2 2 2 3 2 2" xfId="39303" xr:uid="{00000000-0005-0000-0000-0000543F0000}"/>
    <cellStyle name="40% - uthevingsfarge 5 29 2 2 2 3 3" xfId="30176" xr:uid="{00000000-0005-0000-0000-0000553F0000}"/>
    <cellStyle name="40% - uthevingsfarge 5 29 2 2 2 4" xfId="18041" xr:uid="{00000000-0005-0000-0000-0000563F0000}"/>
    <cellStyle name="40% - uthevingsfarge 5 29 2 2 2 5" xfId="22796" xr:uid="{00000000-0005-0000-0000-0000573F0000}"/>
    <cellStyle name="40% - uthevingsfarge 5 29 2 2 2 5 2" xfId="38865" xr:uid="{00000000-0005-0000-0000-0000583F0000}"/>
    <cellStyle name="40% - uthevingsfarge 5 29 2 2 2 6" xfId="33563" xr:uid="{00000000-0005-0000-0000-0000593F0000}"/>
    <cellStyle name="40% - uthevingsfarge 5 29 2 2 3" xfId="4956" xr:uid="{00000000-0005-0000-0000-00005A3F0000}"/>
    <cellStyle name="40% - uthevingsfarge 5 29 2 2 3 10" xfId="47375" xr:uid="{00000000-0005-0000-0000-00005B3F0000}"/>
    <cellStyle name="40% - uthevingsfarge 5 29 2 2 3 2" xfId="6675" xr:uid="{00000000-0005-0000-0000-00005C3F0000}"/>
    <cellStyle name="40% - uthevingsfarge 5 29 2 2 3 2 2" xfId="10081" xr:uid="{00000000-0005-0000-0000-00005D3F0000}"/>
    <cellStyle name="40% - uthevingsfarge 5 29 2 2 3 2 2 2" xfId="22019" xr:uid="{00000000-0005-0000-0000-00005E3F0000}"/>
    <cellStyle name="40% - uthevingsfarge 5 29 2 2 3 2 2 2 2" xfId="38094" xr:uid="{00000000-0005-0000-0000-00005F3F0000}"/>
    <cellStyle name="40% - uthevingsfarge 5 29 2 2 3 2 2 3" xfId="27718" xr:uid="{00000000-0005-0000-0000-0000603F0000}"/>
    <cellStyle name="40% - uthevingsfarge 5 29 2 2 3 2 3" xfId="22377" xr:uid="{00000000-0005-0000-0000-0000613F0000}"/>
    <cellStyle name="40% - uthevingsfarge 5 29 2 2 3 2 3 2" xfId="38449" xr:uid="{00000000-0005-0000-0000-0000623F0000}"/>
    <cellStyle name="40% - uthevingsfarge 5 29 2 2 3 2 4" xfId="31119" xr:uid="{00000000-0005-0000-0000-0000633F0000}"/>
    <cellStyle name="40% - uthevingsfarge 5 29 2 2 3 2 5" xfId="43069" xr:uid="{00000000-0005-0000-0000-0000643F0000}"/>
    <cellStyle name="40% - uthevingsfarge 5 29 2 2 3 2 6" xfId="43366" xr:uid="{00000000-0005-0000-0000-0000653F0000}"/>
    <cellStyle name="40% - uthevingsfarge 5 29 2 2 3 2 7" xfId="46214" xr:uid="{00000000-0005-0000-0000-0000663F0000}"/>
    <cellStyle name="40% - uthevingsfarge 5 29 2 2 3 2 8" xfId="46986" xr:uid="{00000000-0005-0000-0000-0000673F0000}"/>
    <cellStyle name="40% - uthevingsfarge 5 29 2 2 3 2 9" xfId="47571" xr:uid="{00000000-0005-0000-0000-0000683F0000}"/>
    <cellStyle name="40% - uthevingsfarge 5 29 2 2 3 3" xfId="8378" xr:uid="{00000000-0005-0000-0000-0000693F0000}"/>
    <cellStyle name="40% - uthevingsfarge 5 29 2 2 3 3 2" xfId="21076" xr:uid="{00000000-0005-0000-0000-00006A3F0000}"/>
    <cellStyle name="40% - uthevingsfarge 5 29 2 2 3 3 2 2" xfId="37162" xr:uid="{00000000-0005-0000-0000-00006B3F0000}"/>
    <cellStyle name="40% - uthevingsfarge 5 29 2 2 3 3 3" xfId="29420" xr:uid="{00000000-0005-0000-0000-00006C3F0000}"/>
    <cellStyle name="40% - uthevingsfarge 5 29 2 2 3 3 4" xfId="43961" xr:uid="{00000000-0005-0000-0000-00006D3F0000}"/>
    <cellStyle name="40% - uthevingsfarge 5 29 2 2 3 4" xfId="16514" xr:uid="{00000000-0005-0000-0000-00006E3F0000}"/>
    <cellStyle name="40% - uthevingsfarge 5 29 2 2 3 4 2" xfId="35461" xr:uid="{00000000-0005-0000-0000-00006F3F0000}"/>
    <cellStyle name="40% - uthevingsfarge 5 29 2 2 3 5" xfId="25123" xr:uid="{00000000-0005-0000-0000-0000703F0000}"/>
    <cellStyle name="40% - uthevingsfarge 5 29 2 2 3 6" xfId="25324" xr:uid="{00000000-0005-0000-0000-0000713F0000}"/>
    <cellStyle name="40% - uthevingsfarge 5 29 2 2 3 7" xfId="32811" xr:uid="{00000000-0005-0000-0000-0000723F0000}"/>
    <cellStyle name="40% - uthevingsfarge 5 29 2 2 3 8" xfId="43827" xr:uid="{00000000-0005-0000-0000-0000733F0000}"/>
    <cellStyle name="40% - uthevingsfarge 5 29 2 2 3 9" xfId="46752" xr:uid="{00000000-0005-0000-0000-0000743F0000}"/>
    <cellStyle name="40% - uthevingsfarge 5 29 2 2 4" xfId="5510" xr:uid="{00000000-0005-0000-0000-0000753F0000}"/>
    <cellStyle name="40% - uthevingsfarge 5 29 2 2 4 2" xfId="8925" xr:uid="{00000000-0005-0000-0000-0000763F0000}"/>
    <cellStyle name="40% - uthevingsfarge 5 29 2 2 4 2 2" xfId="21218" xr:uid="{00000000-0005-0000-0000-0000773F0000}"/>
    <cellStyle name="40% - uthevingsfarge 5 29 2 2 4 2 2 2" xfId="37298" xr:uid="{00000000-0005-0000-0000-0000783F0000}"/>
    <cellStyle name="40% - uthevingsfarge 5 29 2 2 4 2 3" xfId="28873" xr:uid="{00000000-0005-0000-0000-0000793F0000}"/>
    <cellStyle name="40% - uthevingsfarge 5 29 2 2 4 3" xfId="20101" xr:uid="{00000000-0005-0000-0000-00007A3F0000}"/>
    <cellStyle name="40% - uthevingsfarge 5 29 2 2 4 3 2" xfId="36205" xr:uid="{00000000-0005-0000-0000-00007B3F0000}"/>
    <cellStyle name="40% - uthevingsfarge 5 29 2 2 4 4" xfId="32264" xr:uid="{00000000-0005-0000-0000-00007C3F0000}"/>
    <cellStyle name="40% - uthevingsfarge 5 29 2 2 5" xfId="7228" xr:uid="{00000000-0005-0000-0000-00007D3F0000}"/>
    <cellStyle name="40% - uthevingsfarge 5 29 2 2 5 2" xfId="23165" xr:uid="{00000000-0005-0000-0000-00007E3F0000}"/>
    <cellStyle name="40% - uthevingsfarge 5 29 2 2 5 2 2" xfId="39234" xr:uid="{00000000-0005-0000-0000-00007F3F0000}"/>
    <cellStyle name="40% - uthevingsfarge 5 29 2 2 5 3" xfId="30570" xr:uid="{00000000-0005-0000-0000-0000803F0000}"/>
    <cellStyle name="40% - uthevingsfarge 5 29 2 2 6" xfId="11226" xr:uid="{00000000-0005-0000-0000-0000813F0000}"/>
    <cellStyle name="40% - uthevingsfarge 5 29 2 2 7" xfId="33957" xr:uid="{00000000-0005-0000-0000-0000823F0000}"/>
    <cellStyle name="40% - uthevingsfarge 5 29 2 2 8" xfId="43618" xr:uid="{00000000-0005-0000-0000-0000833F0000}"/>
    <cellStyle name="40% - uthevingsfarge 5 29 2 2 9" xfId="46524" xr:uid="{00000000-0005-0000-0000-0000843F0000}"/>
    <cellStyle name="40% - uthevingsfarge 5 29 2 2_Avviksanalyse løpende RNB15 (1)" xfId="16649" xr:uid="{00000000-0005-0000-0000-0000853F0000}"/>
    <cellStyle name="40% - uthevingsfarge 5 29 2 3" xfId="3836" xr:uid="{00000000-0005-0000-0000-0000863F0000}"/>
    <cellStyle name="40% - uthevingsfarge 5 29 2 3 2" xfId="5724" xr:uid="{00000000-0005-0000-0000-0000873F0000}"/>
    <cellStyle name="40% - uthevingsfarge 5 29 2 3 2 2" xfId="9139" xr:uid="{00000000-0005-0000-0000-0000883F0000}"/>
    <cellStyle name="40% - uthevingsfarge 5 29 2 3 2 2 2" xfId="23461" xr:uid="{00000000-0005-0000-0000-0000893F0000}"/>
    <cellStyle name="40% - uthevingsfarge 5 29 2 3 2 2 2 2" xfId="39517" xr:uid="{00000000-0005-0000-0000-00008A3F0000}"/>
    <cellStyle name="40% - uthevingsfarge 5 29 2 3 2 2 3" xfId="28659" xr:uid="{00000000-0005-0000-0000-00008B3F0000}"/>
    <cellStyle name="40% - uthevingsfarge 5 29 2 3 2 3" xfId="22904" xr:uid="{00000000-0005-0000-0000-00008C3F0000}"/>
    <cellStyle name="40% - uthevingsfarge 5 29 2 3 2 3 2" xfId="38973" xr:uid="{00000000-0005-0000-0000-00008D3F0000}"/>
    <cellStyle name="40% - uthevingsfarge 5 29 2 3 2 4" xfId="32050" xr:uid="{00000000-0005-0000-0000-00008E3F0000}"/>
    <cellStyle name="40% - uthevingsfarge 5 29 2 3 3" xfId="7442" xr:uid="{00000000-0005-0000-0000-00008F3F0000}"/>
    <cellStyle name="40% - uthevingsfarge 5 29 2 3 3 2" xfId="22454" xr:uid="{00000000-0005-0000-0000-0000903F0000}"/>
    <cellStyle name="40% - uthevingsfarge 5 29 2 3 3 2 2" xfId="38526" xr:uid="{00000000-0005-0000-0000-0000913F0000}"/>
    <cellStyle name="40% - uthevingsfarge 5 29 2 3 3 3" xfId="30356" xr:uid="{00000000-0005-0000-0000-0000923F0000}"/>
    <cellStyle name="40% - uthevingsfarge 5 29 2 3 4" xfId="12540" xr:uid="{00000000-0005-0000-0000-0000933F0000}"/>
    <cellStyle name="40% - uthevingsfarge 5 29 2 3 4 2" xfId="35272" xr:uid="{00000000-0005-0000-0000-0000943F0000}"/>
    <cellStyle name="40% - uthevingsfarge 5 29 2 3 5" xfId="33743" xr:uid="{00000000-0005-0000-0000-0000953F0000}"/>
    <cellStyle name="40% - uthevingsfarge 5 29 2 4" xfId="4321" xr:uid="{00000000-0005-0000-0000-0000963F0000}"/>
    <cellStyle name="40% - uthevingsfarge 5 29 2 4 2" xfId="6150" xr:uid="{00000000-0005-0000-0000-0000973F0000}"/>
    <cellStyle name="40% - uthevingsfarge 5 29 2 4 2 2" xfId="9564" xr:uid="{00000000-0005-0000-0000-0000983F0000}"/>
    <cellStyle name="40% - uthevingsfarge 5 29 2 4 2 2 2" xfId="24530" xr:uid="{00000000-0005-0000-0000-0000993F0000}"/>
    <cellStyle name="40% - uthevingsfarge 5 29 2 4 2 2 2 2" xfId="40574" xr:uid="{00000000-0005-0000-0000-00009A3F0000}"/>
    <cellStyle name="40% - uthevingsfarge 5 29 2 4 2 2 3" xfId="28234" xr:uid="{00000000-0005-0000-0000-00009B3F0000}"/>
    <cellStyle name="40% - uthevingsfarge 5 29 2 4 2 3" xfId="23987" xr:uid="{00000000-0005-0000-0000-00009C3F0000}"/>
    <cellStyle name="40% - uthevingsfarge 5 29 2 4 2 3 2" xfId="40040" xr:uid="{00000000-0005-0000-0000-00009D3F0000}"/>
    <cellStyle name="40% - uthevingsfarge 5 29 2 4 2 4" xfId="31631" xr:uid="{00000000-0005-0000-0000-00009E3F0000}"/>
    <cellStyle name="40% - uthevingsfarge 5 29 2 4 3" xfId="7883" xr:uid="{00000000-0005-0000-0000-00009F3F0000}"/>
    <cellStyle name="40% - uthevingsfarge 5 29 2 4 3 2" xfId="21861" xr:uid="{00000000-0005-0000-0000-0000A03F0000}"/>
    <cellStyle name="40% - uthevingsfarge 5 29 2 4 3 2 2" xfId="37937" xr:uid="{00000000-0005-0000-0000-0000A13F0000}"/>
    <cellStyle name="40% - uthevingsfarge 5 29 2 4 3 3" xfId="29916" xr:uid="{00000000-0005-0000-0000-0000A23F0000}"/>
    <cellStyle name="40% - uthevingsfarge 5 29 2 4 4" xfId="12376" xr:uid="{00000000-0005-0000-0000-0000A33F0000}"/>
    <cellStyle name="40% - uthevingsfarge 5 29 2 4 4 2" xfId="35212" xr:uid="{00000000-0005-0000-0000-0000A43F0000}"/>
    <cellStyle name="40% - uthevingsfarge 5 29 2 4 5" xfId="33304" xr:uid="{00000000-0005-0000-0000-0000A53F0000}"/>
    <cellStyle name="40% - uthevingsfarge 5 29 2 5" xfId="4776" xr:uid="{00000000-0005-0000-0000-0000A63F0000}"/>
    <cellStyle name="40% - uthevingsfarge 5 29 2 5 2" xfId="6496" xr:uid="{00000000-0005-0000-0000-0000A73F0000}"/>
    <cellStyle name="40% - uthevingsfarge 5 29 2 5 2 2" xfId="9902" xr:uid="{00000000-0005-0000-0000-0000A83F0000}"/>
    <cellStyle name="40% - uthevingsfarge 5 29 2 5 2 2 2" xfId="21527" xr:uid="{00000000-0005-0000-0000-0000A93F0000}"/>
    <cellStyle name="40% - uthevingsfarge 5 29 2 5 2 2 2 2" xfId="37607" xr:uid="{00000000-0005-0000-0000-0000AA3F0000}"/>
    <cellStyle name="40% - uthevingsfarge 5 29 2 5 2 2 3" xfId="27897" xr:uid="{00000000-0005-0000-0000-0000AB3F0000}"/>
    <cellStyle name="40% - uthevingsfarge 5 29 2 5 2 3" xfId="23050" xr:uid="{00000000-0005-0000-0000-0000AC3F0000}"/>
    <cellStyle name="40% - uthevingsfarge 5 29 2 5 2 3 2" xfId="39119" xr:uid="{00000000-0005-0000-0000-0000AD3F0000}"/>
    <cellStyle name="40% - uthevingsfarge 5 29 2 5 2 4" xfId="31298" xr:uid="{00000000-0005-0000-0000-0000AE3F0000}"/>
    <cellStyle name="40% - uthevingsfarge 5 29 2 5 3" xfId="8198" xr:uid="{00000000-0005-0000-0000-0000AF3F0000}"/>
    <cellStyle name="40% - uthevingsfarge 5 29 2 5 3 2" xfId="24331" xr:uid="{00000000-0005-0000-0000-0000B03F0000}"/>
    <cellStyle name="40% - uthevingsfarge 5 29 2 5 3 2 2" xfId="40381" xr:uid="{00000000-0005-0000-0000-0000B13F0000}"/>
    <cellStyle name="40% - uthevingsfarge 5 29 2 5 3 3" xfId="29599" xr:uid="{00000000-0005-0000-0000-0000B23F0000}"/>
    <cellStyle name="40% - uthevingsfarge 5 29 2 5 4" xfId="23835" xr:uid="{00000000-0005-0000-0000-0000B33F0000}"/>
    <cellStyle name="40% - uthevingsfarge 5 29 2 5 4 2" xfId="39891" xr:uid="{00000000-0005-0000-0000-0000B43F0000}"/>
    <cellStyle name="40% - uthevingsfarge 5 29 2 5 5" xfId="32991" xr:uid="{00000000-0005-0000-0000-0000B53F0000}"/>
    <cellStyle name="40% - uthevingsfarge 5 29 2 6" xfId="5136" xr:uid="{00000000-0005-0000-0000-0000B63F0000}"/>
    <cellStyle name="40% - uthevingsfarge 5 29 2 6 2" xfId="6855" xr:uid="{00000000-0005-0000-0000-0000B73F0000}"/>
    <cellStyle name="40% - uthevingsfarge 5 29 2 6 2 2" xfId="10261" xr:uid="{00000000-0005-0000-0000-0000B83F0000}"/>
    <cellStyle name="40% - uthevingsfarge 5 29 2 6 2 2 2" xfId="24704" xr:uid="{00000000-0005-0000-0000-0000B93F0000}"/>
    <cellStyle name="40% - uthevingsfarge 5 29 2 6 2 2 2 2" xfId="40747" xr:uid="{00000000-0005-0000-0000-0000BA3F0000}"/>
    <cellStyle name="40% - uthevingsfarge 5 29 2 6 2 2 3" xfId="27538" xr:uid="{00000000-0005-0000-0000-0000BB3F0000}"/>
    <cellStyle name="40% - uthevingsfarge 5 29 2 6 2 3" xfId="11952" xr:uid="{00000000-0005-0000-0000-0000BC3F0000}"/>
    <cellStyle name="40% - uthevingsfarge 5 29 2 6 2 3 2" xfId="34974" xr:uid="{00000000-0005-0000-0000-0000BD3F0000}"/>
    <cellStyle name="40% - uthevingsfarge 5 29 2 6 2 4" xfId="30939" xr:uid="{00000000-0005-0000-0000-0000BE3F0000}"/>
    <cellStyle name="40% - uthevingsfarge 5 29 2 6 3" xfId="8558" xr:uid="{00000000-0005-0000-0000-0000BF3F0000}"/>
    <cellStyle name="40% - uthevingsfarge 5 29 2 6 3 2" xfId="21657" xr:uid="{00000000-0005-0000-0000-0000C03F0000}"/>
    <cellStyle name="40% - uthevingsfarge 5 29 2 6 3 2 2" xfId="37737" xr:uid="{00000000-0005-0000-0000-0000C13F0000}"/>
    <cellStyle name="40% - uthevingsfarge 5 29 2 6 3 3" xfId="29240" xr:uid="{00000000-0005-0000-0000-0000C23F0000}"/>
    <cellStyle name="40% - uthevingsfarge 5 29 2 6 4" xfId="12160" xr:uid="{00000000-0005-0000-0000-0000C33F0000}"/>
    <cellStyle name="40% - uthevingsfarge 5 29 2 6 4 2" xfId="35100" xr:uid="{00000000-0005-0000-0000-0000C43F0000}"/>
    <cellStyle name="40% - uthevingsfarge 5 29 2 6 5" xfId="32631" xr:uid="{00000000-0005-0000-0000-0000C53F0000}"/>
    <cellStyle name="40% - uthevingsfarge 5 29 2 7" xfId="5315" xr:uid="{00000000-0005-0000-0000-0000C63F0000}"/>
    <cellStyle name="40% - uthevingsfarge 5 29 2 7 2" xfId="8730" xr:uid="{00000000-0005-0000-0000-0000C73F0000}"/>
    <cellStyle name="40% - uthevingsfarge 5 29 2 7 2 2" xfId="21781" xr:uid="{00000000-0005-0000-0000-0000C83F0000}"/>
    <cellStyle name="40% - uthevingsfarge 5 29 2 7 2 2 2" xfId="37857" xr:uid="{00000000-0005-0000-0000-0000C93F0000}"/>
    <cellStyle name="40% - uthevingsfarge 5 29 2 7 2 3" xfId="29068" xr:uid="{00000000-0005-0000-0000-0000CA3F0000}"/>
    <cellStyle name="40% - uthevingsfarge 5 29 2 7 3" xfId="19799" xr:uid="{00000000-0005-0000-0000-0000CB3F0000}"/>
    <cellStyle name="40% - uthevingsfarge 5 29 2 7 3 2" xfId="35912" xr:uid="{00000000-0005-0000-0000-0000CC3F0000}"/>
    <cellStyle name="40% - uthevingsfarge 5 29 2 7 4" xfId="32459" xr:uid="{00000000-0005-0000-0000-0000CD3F0000}"/>
    <cellStyle name="40% - uthevingsfarge 5 29 2 8" xfId="7048" xr:uid="{00000000-0005-0000-0000-0000CE3F0000}"/>
    <cellStyle name="40% - uthevingsfarge 5 29 2 8 2" xfId="22411" xr:uid="{00000000-0005-0000-0000-0000CF3F0000}"/>
    <cellStyle name="40% - uthevingsfarge 5 29 2 8 2 2" xfId="38483" xr:uid="{00000000-0005-0000-0000-0000D03F0000}"/>
    <cellStyle name="40% - uthevingsfarge 5 29 2 8 3" xfId="30750" xr:uid="{00000000-0005-0000-0000-0000D13F0000}"/>
    <cellStyle name="40% - uthevingsfarge 5 29 2 9" xfId="11225" xr:uid="{00000000-0005-0000-0000-0000D23F0000}"/>
    <cellStyle name="40% - uthevingsfarge 5 29 3" xfId="3501" xr:uid="{00000000-0005-0000-0000-0000D33F0000}"/>
    <cellStyle name="40% - uthevingsfarge 5 29 3 10" xfId="47117" xr:uid="{00000000-0005-0000-0000-0000D43F0000}"/>
    <cellStyle name="40% - uthevingsfarge 5 29 3 2" xfId="3937" xr:uid="{00000000-0005-0000-0000-0000D53F0000}"/>
    <cellStyle name="40% - uthevingsfarge 5 29 3 2 2" xfId="5825" xr:uid="{00000000-0005-0000-0000-0000D63F0000}"/>
    <cellStyle name="40% - uthevingsfarge 5 29 3 2 2 2" xfId="9240" xr:uid="{00000000-0005-0000-0000-0000D73F0000}"/>
    <cellStyle name="40% - uthevingsfarge 5 29 3 2 2 2 2" xfId="22605" xr:uid="{00000000-0005-0000-0000-0000D83F0000}"/>
    <cellStyle name="40% - uthevingsfarge 5 29 3 2 2 2 2 2" xfId="38674" xr:uid="{00000000-0005-0000-0000-0000D93F0000}"/>
    <cellStyle name="40% - uthevingsfarge 5 29 3 2 2 2 3" xfId="28558" xr:uid="{00000000-0005-0000-0000-0000DA3F0000}"/>
    <cellStyle name="40% - uthevingsfarge 5 29 3 2 2 3" xfId="20217" xr:uid="{00000000-0005-0000-0000-0000DB3F0000}"/>
    <cellStyle name="40% - uthevingsfarge 5 29 3 2 2 3 2" xfId="36316" xr:uid="{00000000-0005-0000-0000-0000DC3F0000}"/>
    <cellStyle name="40% - uthevingsfarge 5 29 3 2 2 4" xfId="31949" xr:uid="{00000000-0005-0000-0000-0000DD3F0000}"/>
    <cellStyle name="40% - uthevingsfarge 5 29 3 2 3" xfId="7543" xr:uid="{00000000-0005-0000-0000-0000DE3F0000}"/>
    <cellStyle name="40% - uthevingsfarge 5 29 3 2 3 2" xfId="19445" xr:uid="{00000000-0005-0000-0000-0000DF3F0000}"/>
    <cellStyle name="40% - uthevingsfarge 5 29 3 2 3 2 2" xfId="35559" xr:uid="{00000000-0005-0000-0000-0000E03F0000}"/>
    <cellStyle name="40% - uthevingsfarge 5 29 3 2 3 3" xfId="30255" xr:uid="{00000000-0005-0000-0000-0000E13F0000}"/>
    <cellStyle name="40% - uthevingsfarge 5 29 3 2 4" xfId="18042" xr:uid="{00000000-0005-0000-0000-0000E23F0000}"/>
    <cellStyle name="40% - uthevingsfarge 5 29 3 2 5" xfId="11049" xr:uid="{00000000-0005-0000-0000-0000E33F0000}"/>
    <cellStyle name="40% - uthevingsfarge 5 29 3 2 5 2" xfId="34757" xr:uid="{00000000-0005-0000-0000-0000E43F0000}"/>
    <cellStyle name="40% - uthevingsfarge 5 29 3 2 6" xfId="33642" xr:uid="{00000000-0005-0000-0000-0000E53F0000}"/>
    <cellStyle name="40% - uthevingsfarge 5 29 3 3" xfId="4877" xr:uid="{00000000-0005-0000-0000-0000E63F0000}"/>
    <cellStyle name="40% - uthevingsfarge 5 29 3 3 10" xfId="47307" xr:uid="{00000000-0005-0000-0000-0000E73F0000}"/>
    <cellStyle name="40% - uthevingsfarge 5 29 3 3 2" xfId="6596" xr:uid="{00000000-0005-0000-0000-0000E83F0000}"/>
    <cellStyle name="40% - uthevingsfarge 5 29 3 3 2 2" xfId="10002" xr:uid="{00000000-0005-0000-0000-0000E93F0000}"/>
    <cellStyle name="40% - uthevingsfarge 5 29 3 3 2 2 2" xfId="23599" xr:uid="{00000000-0005-0000-0000-0000EA3F0000}"/>
    <cellStyle name="40% - uthevingsfarge 5 29 3 3 2 2 2 2" xfId="39655" xr:uid="{00000000-0005-0000-0000-0000EB3F0000}"/>
    <cellStyle name="40% - uthevingsfarge 5 29 3 3 2 2 3" xfId="27797" xr:uid="{00000000-0005-0000-0000-0000EC3F0000}"/>
    <cellStyle name="40% - uthevingsfarge 5 29 3 3 2 3" xfId="23069" xr:uid="{00000000-0005-0000-0000-0000ED3F0000}"/>
    <cellStyle name="40% - uthevingsfarge 5 29 3 3 2 3 2" xfId="39138" xr:uid="{00000000-0005-0000-0000-0000EE3F0000}"/>
    <cellStyle name="40% - uthevingsfarge 5 29 3 3 2 4" xfId="31198" xr:uid="{00000000-0005-0000-0000-0000EF3F0000}"/>
    <cellStyle name="40% - uthevingsfarge 5 29 3 3 2 5" xfId="42862" xr:uid="{00000000-0005-0000-0000-0000F03F0000}"/>
    <cellStyle name="40% - uthevingsfarge 5 29 3 3 2 6" xfId="43300" xr:uid="{00000000-0005-0000-0000-0000F13F0000}"/>
    <cellStyle name="40% - uthevingsfarge 5 29 3 3 2 7" xfId="46148" xr:uid="{00000000-0005-0000-0000-0000F23F0000}"/>
    <cellStyle name="40% - uthevingsfarge 5 29 3 3 2 8" xfId="46917" xr:uid="{00000000-0005-0000-0000-0000F33F0000}"/>
    <cellStyle name="40% - uthevingsfarge 5 29 3 3 2 9" xfId="47503" xr:uid="{00000000-0005-0000-0000-0000F43F0000}"/>
    <cellStyle name="40% - uthevingsfarge 5 29 3 3 3" xfId="8299" xr:uid="{00000000-0005-0000-0000-0000F53F0000}"/>
    <cellStyle name="40% - uthevingsfarge 5 29 3 3 3 2" xfId="10579" xr:uid="{00000000-0005-0000-0000-0000F63F0000}"/>
    <cellStyle name="40% - uthevingsfarge 5 29 3 3 3 2 2" xfId="34434" xr:uid="{00000000-0005-0000-0000-0000F73F0000}"/>
    <cellStyle name="40% - uthevingsfarge 5 29 3 3 3 3" xfId="29498" xr:uid="{00000000-0005-0000-0000-0000F83F0000}"/>
    <cellStyle name="40% - uthevingsfarge 5 29 3 3 3 4" xfId="43962" xr:uid="{00000000-0005-0000-0000-0000F93F0000}"/>
    <cellStyle name="40% - uthevingsfarge 5 29 3 3 4" xfId="16307" xr:uid="{00000000-0005-0000-0000-0000FA3F0000}"/>
    <cellStyle name="40% - uthevingsfarge 5 29 3 3 4 2" xfId="35395" xr:uid="{00000000-0005-0000-0000-0000FB3F0000}"/>
    <cellStyle name="40% - uthevingsfarge 5 29 3 3 5" xfId="25054" xr:uid="{00000000-0005-0000-0000-0000FC3F0000}"/>
    <cellStyle name="40% - uthevingsfarge 5 29 3 3 6" xfId="25325" xr:uid="{00000000-0005-0000-0000-0000FD3F0000}"/>
    <cellStyle name="40% - uthevingsfarge 5 29 3 3 7" xfId="32890" xr:uid="{00000000-0005-0000-0000-0000FE3F0000}"/>
    <cellStyle name="40% - uthevingsfarge 5 29 3 3 8" xfId="43760" xr:uid="{00000000-0005-0000-0000-0000FF3F0000}"/>
    <cellStyle name="40% - uthevingsfarge 5 29 3 3 9" xfId="46686" xr:uid="{00000000-0005-0000-0000-000000400000}"/>
    <cellStyle name="40% - uthevingsfarge 5 29 3 4" xfId="5432" xr:uid="{00000000-0005-0000-0000-000001400000}"/>
    <cellStyle name="40% - uthevingsfarge 5 29 3 4 2" xfId="8847" xr:uid="{00000000-0005-0000-0000-000002400000}"/>
    <cellStyle name="40% - uthevingsfarge 5 29 3 4 2 2" xfId="24422" xr:uid="{00000000-0005-0000-0000-000003400000}"/>
    <cellStyle name="40% - uthevingsfarge 5 29 3 4 2 2 2" xfId="40466" xr:uid="{00000000-0005-0000-0000-000004400000}"/>
    <cellStyle name="40% - uthevingsfarge 5 29 3 4 2 3" xfId="28951" xr:uid="{00000000-0005-0000-0000-000005400000}"/>
    <cellStyle name="40% - uthevingsfarge 5 29 3 4 3" xfId="12015" xr:uid="{00000000-0005-0000-0000-000006400000}"/>
    <cellStyle name="40% - uthevingsfarge 5 29 3 4 3 2" xfId="35030" xr:uid="{00000000-0005-0000-0000-000007400000}"/>
    <cellStyle name="40% - uthevingsfarge 5 29 3 4 4" xfId="32342" xr:uid="{00000000-0005-0000-0000-000008400000}"/>
    <cellStyle name="40% - uthevingsfarge 5 29 3 5" xfId="7149" xr:uid="{00000000-0005-0000-0000-000009400000}"/>
    <cellStyle name="40% - uthevingsfarge 5 29 3 5 2" xfId="10640" xr:uid="{00000000-0005-0000-0000-00000A400000}"/>
    <cellStyle name="40% - uthevingsfarge 5 29 3 5 2 2" xfId="34488" xr:uid="{00000000-0005-0000-0000-00000B400000}"/>
    <cellStyle name="40% - uthevingsfarge 5 29 3 5 3" xfId="30649" xr:uid="{00000000-0005-0000-0000-00000C400000}"/>
    <cellStyle name="40% - uthevingsfarge 5 29 3 6" xfId="11227" xr:uid="{00000000-0005-0000-0000-00000D400000}"/>
    <cellStyle name="40% - uthevingsfarge 5 29 3 7" xfId="34036" xr:uid="{00000000-0005-0000-0000-00000E400000}"/>
    <cellStyle name="40% - uthevingsfarge 5 29 3 8" xfId="43552" xr:uid="{00000000-0005-0000-0000-00000F400000}"/>
    <cellStyle name="40% - uthevingsfarge 5 29 3 9" xfId="46456" xr:uid="{00000000-0005-0000-0000-000010400000}"/>
    <cellStyle name="40% - uthevingsfarge 5 29 3_Avviksanalyse løpende RNB15 (1)" xfId="16650" xr:uid="{00000000-0005-0000-0000-000011400000}"/>
    <cellStyle name="40% - uthevingsfarge 5 29 4" xfId="3758" xr:uid="{00000000-0005-0000-0000-000012400000}"/>
    <cellStyle name="40% - uthevingsfarge 5 29 4 2" xfId="5646" xr:uid="{00000000-0005-0000-0000-000013400000}"/>
    <cellStyle name="40% - uthevingsfarge 5 29 4 2 2" xfId="9061" xr:uid="{00000000-0005-0000-0000-000014400000}"/>
    <cellStyle name="40% - uthevingsfarge 5 29 4 2 2 2" xfId="23661" xr:uid="{00000000-0005-0000-0000-000015400000}"/>
    <cellStyle name="40% - uthevingsfarge 5 29 4 2 2 2 2" xfId="39717" xr:uid="{00000000-0005-0000-0000-000016400000}"/>
    <cellStyle name="40% - uthevingsfarge 5 29 4 2 2 3" xfId="28737" xr:uid="{00000000-0005-0000-0000-000017400000}"/>
    <cellStyle name="40% - uthevingsfarge 5 29 4 2 3" xfId="22081" xr:uid="{00000000-0005-0000-0000-000018400000}"/>
    <cellStyle name="40% - uthevingsfarge 5 29 4 2 3 2" xfId="38155" xr:uid="{00000000-0005-0000-0000-000019400000}"/>
    <cellStyle name="40% - uthevingsfarge 5 29 4 2 4" xfId="32128" xr:uid="{00000000-0005-0000-0000-00001A400000}"/>
    <cellStyle name="40% - uthevingsfarge 5 29 4 3" xfId="7364" xr:uid="{00000000-0005-0000-0000-00001B400000}"/>
    <cellStyle name="40% - uthevingsfarge 5 29 4 3 2" xfId="24194" xr:uid="{00000000-0005-0000-0000-00001C400000}"/>
    <cellStyle name="40% - uthevingsfarge 5 29 4 3 2 2" xfId="40247" xr:uid="{00000000-0005-0000-0000-00001D400000}"/>
    <cellStyle name="40% - uthevingsfarge 5 29 4 3 3" xfId="30434" xr:uid="{00000000-0005-0000-0000-00001E400000}"/>
    <cellStyle name="40% - uthevingsfarge 5 29 4 4" xfId="19540" xr:uid="{00000000-0005-0000-0000-00001F400000}"/>
    <cellStyle name="40% - uthevingsfarge 5 29 4 4 2" xfId="35654" xr:uid="{00000000-0005-0000-0000-000020400000}"/>
    <cellStyle name="40% - uthevingsfarge 5 29 4 5" xfId="33821" xr:uid="{00000000-0005-0000-0000-000021400000}"/>
    <cellStyle name="40% - uthevingsfarge 5 29 5" xfId="4255" xr:uid="{00000000-0005-0000-0000-000022400000}"/>
    <cellStyle name="40% - uthevingsfarge 5 29 5 2" xfId="6087" xr:uid="{00000000-0005-0000-0000-000023400000}"/>
    <cellStyle name="40% - uthevingsfarge 5 29 5 2 2" xfId="9502" xr:uid="{00000000-0005-0000-0000-000024400000}"/>
    <cellStyle name="40% - uthevingsfarge 5 29 5 2 2 2" xfId="21405" xr:uid="{00000000-0005-0000-0000-000025400000}"/>
    <cellStyle name="40% - uthevingsfarge 5 29 5 2 2 2 2" xfId="37485" xr:uid="{00000000-0005-0000-0000-000026400000}"/>
    <cellStyle name="40% - uthevingsfarge 5 29 5 2 2 3" xfId="28296" xr:uid="{00000000-0005-0000-0000-000027400000}"/>
    <cellStyle name="40% - uthevingsfarge 5 29 5 2 3" xfId="20317" xr:uid="{00000000-0005-0000-0000-000028400000}"/>
    <cellStyle name="40% - uthevingsfarge 5 29 5 2 3 2" xfId="36416" xr:uid="{00000000-0005-0000-0000-000029400000}"/>
    <cellStyle name="40% - uthevingsfarge 5 29 5 2 4" xfId="31691" xr:uid="{00000000-0005-0000-0000-00002A400000}"/>
    <cellStyle name="40% - uthevingsfarge 5 29 5 3" xfId="7821" xr:uid="{00000000-0005-0000-0000-00002B400000}"/>
    <cellStyle name="40% - uthevingsfarge 5 29 5 3 2" xfId="21733" xr:uid="{00000000-0005-0000-0000-00002C400000}"/>
    <cellStyle name="40% - uthevingsfarge 5 29 5 3 2 2" xfId="37811" xr:uid="{00000000-0005-0000-0000-00002D400000}"/>
    <cellStyle name="40% - uthevingsfarge 5 29 5 3 3" xfId="29978" xr:uid="{00000000-0005-0000-0000-00002E400000}"/>
    <cellStyle name="40% - uthevingsfarge 5 29 5 4" xfId="22547" xr:uid="{00000000-0005-0000-0000-00002F400000}"/>
    <cellStyle name="40% - uthevingsfarge 5 29 5 4 2" xfId="38616" xr:uid="{00000000-0005-0000-0000-000030400000}"/>
    <cellStyle name="40% - uthevingsfarge 5 29 5 5" xfId="33366" xr:uid="{00000000-0005-0000-0000-000031400000}"/>
    <cellStyle name="40% - uthevingsfarge 5 29 6" xfId="4693" xr:uid="{00000000-0005-0000-0000-000032400000}"/>
    <cellStyle name="40% - uthevingsfarge 5 29 6 2" xfId="6413" xr:uid="{00000000-0005-0000-0000-000033400000}"/>
    <cellStyle name="40% - uthevingsfarge 5 29 6 2 2" xfId="9823" xr:uid="{00000000-0005-0000-0000-000034400000}"/>
    <cellStyle name="40% - uthevingsfarge 5 29 6 2 2 2" xfId="21497" xr:uid="{00000000-0005-0000-0000-000035400000}"/>
    <cellStyle name="40% - uthevingsfarge 5 29 6 2 2 2 2" xfId="37577" xr:uid="{00000000-0005-0000-0000-000036400000}"/>
    <cellStyle name="40% - uthevingsfarge 5 29 6 2 2 3" xfId="27976" xr:uid="{00000000-0005-0000-0000-000037400000}"/>
    <cellStyle name="40% - uthevingsfarge 5 29 6 2 3" xfId="24037" xr:uid="{00000000-0005-0000-0000-000038400000}"/>
    <cellStyle name="40% - uthevingsfarge 5 29 6 2 3 2" xfId="40090" xr:uid="{00000000-0005-0000-0000-000039400000}"/>
    <cellStyle name="40% - uthevingsfarge 5 29 6 2 4" xfId="31377" xr:uid="{00000000-0005-0000-0000-00003A400000}"/>
    <cellStyle name="40% - uthevingsfarge 5 29 6 3" xfId="8119" xr:uid="{00000000-0005-0000-0000-00003B400000}"/>
    <cellStyle name="40% - uthevingsfarge 5 29 6 3 2" xfId="21005" xr:uid="{00000000-0005-0000-0000-00003C400000}"/>
    <cellStyle name="40% - uthevingsfarge 5 29 6 3 2 2" xfId="37100" xr:uid="{00000000-0005-0000-0000-00003D400000}"/>
    <cellStyle name="40% - uthevingsfarge 5 29 6 3 3" xfId="29679" xr:uid="{00000000-0005-0000-0000-00003E400000}"/>
    <cellStyle name="40% - uthevingsfarge 5 29 6 4" xfId="20034" xr:uid="{00000000-0005-0000-0000-00003F400000}"/>
    <cellStyle name="40% - uthevingsfarge 5 29 6 4 2" xfId="36138" xr:uid="{00000000-0005-0000-0000-000040400000}"/>
    <cellStyle name="40% - uthevingsfarge 5 29 6 5" xfId="33070" xr:uid="{00000000-0005-0000-0000-000041400000}"/>
    <cellStyle name="40% - uthevingsfarge 5 29 7" xfId="5057" xr:uid="{00000000-0005-0000-0000-000042400000}"/>
    <cellStyle name="40% - uthevingsfarge 5 29 7 2" xfId="6776" xr:uid="{00000000-0005-0000-0000-000043400000}"/>
    <cellStyle name="40% - uthevingsfarge 5 29 7 2 2" xfId="10182" xr:uid="{00000000-0005-0000-0000-000044400000}"/>
    <cellStyle name="40% - uthevingsfarge 5 29 7 2 2 2" xfId="22633" xr:uid="{00000000-0005-0000-0000-000045400000}"/>
    <cellStyle name="40% - uthevingsfarge 5 29 7 2 2 2 2" xfId="38702" xr:uid="{00000000-0005-0000-0000-000046400000}"/>
    <cellStyle name="40% - uthevingsfarge 5 29 7 2 2 3" xfId="27617" xr:uid="{00000000-0005-0000-0000-000047400000}"/>
    <cellStyle name="40% - uthevingsfarge 5 29 7 2 3" xfId="23095" xr:uid="{00000000-0005-0000-0000-000048400000}"/>
    <cellStyle name="40% - uthevingsfarge 5 29 7 2 3 2" xfId="39164" xr:uid="{00000000-0005-0000-0000-000049400000}"/>
    <cellStyle name="40% - uthevingsfarge 5 29 7 2 4" xfId="31018" xr:uid="{00000000-0005-0000-0000-00004A400000}"/>
    <cellStyle name="40% - uthevingsfarge 5 29 7 3" xfId="8479" xr:uid="{00000000-0005-0000-0000-00004B400000}"/>
    <cellStyle name="40% - uthevingsfarge 5 29 7 3 2" xfId="21104" xr:uid="{00000000-0005-0000-0000-00004C400000}"/>
    <cellStyle name="40% - uthevingsfarge 5 29 7 3 2 2" xfId="37187" xr:uid="{00000000-0005-0000-0000-00004D400000}"/>
    <cellStyle name="40% - uthevingsfarge 5 29 7 3 3" xfId="29319" xr:uid="{00000000-0005-0000-0000-00004E400000}"/>
    <cellStyle name="40% - uthevingsfarge 5 29 7 4" xfId="22231" xr:uid="{00000000-0005-0000-0000-00004F400000}"/>
    <cellStyle name="40% - uthevingsfarge 5 29 7 4 2" xfId="38305" xr:uid="{00000000-0005-0000-0000-000050400000}"/>
    <cellStyle name="40% - uthevingsfarge 5 29 7 5" xfId="32710" xr:uid="{00000000-0005-0000-0000-000051400000}"/>
    <cellStyle name="40% - uthevingsfarge 5 29 8" xfId="5255" xr:uid="{00000000-0005-0000-0000-000052400000}"/>
    <cellStyle name="40% - uthevingsfarge 5 29 8 2" xfId="8670" xr:uid="{00000000-0005-0000-0000-000053400000}"/>
    <cellStyle name="40% - uthevingsfarge 5 29 8 2 2" xfId="21889" xr:uid="{00000000-0005-0000-0000-000054400000}"/>
    <cellStyle name="40% - uthevingsfarge 5 29 8 2 2 2" xfId="37964" xr:uid="{00000000-0005-0000-0000-000055400000}"/>
    <cellStyle name="40% - uthevingsfarge 5 29 8 2 3" xfId="29128" xr:uid="{00000000-0005-0000-0000-000056400000}"/>
    <cellStyle name="40% - uthevingsfarge 5 29 8 3" xfId="20073" xr:uid="{00000000-0005-0000-0000-000057400000}"/>
    <cellStyle name="40% - uthevingsfarge 5 29 8 3 2" xfId="36177" xr:uid="{00000000-0005-0000-0000-000058400000}"/>
    <cellStyle name="40% - uthevingsfarge 5 29 8 4" xfId="32519" xr:uid="{00000000-0005-0000-0000-000059400000}"/>
    <cellStyle name="40% - uthevingsfarge 5 29 9" xfId="6953" xr:uid="{00000000-0005-0000-0000-00005A400000}"/>
    <cellStyle name="40% - uthevingsfarge 5 29 9 2" xfId="11932" xr:uid="{00000000-0005-0000-0000-00005B400000}"/>
    <cellStyle name="40% - uthevingsfarge 5 29 9 2 2" xfId="34955" xr:uid="{00000000-0005-0000-0000-00005C400000}"/>
    <cellStyle name="40% - uthevingsfarge 5 29 9 3" xfId="30845" xr:uid="{00000000-0005-0000-0000-00005D400000}"/>
    <cellStyle name="40% - uthevingsfarge 5 3" xfId="934" xr:uid="{00000000-0005-0000-0000-00005E400000}"/>
    <cellStyle name="40% - uthevingsfarge 5 3 2" xfId="935" xr:uid="{00000000-0005-0000-0000-00005F400000}"/>
    <cellStyle name="40% - uthevingsfarge 5 30" xfId="936" xr:uid="{00000000-0005-0000-0000-000060400000}"/>
    <cellStyle name="40% - uthevingsfarge 5 30 10" xfId="11228" xr:uid="{00000000-0005-0000-0000-000061400000}"/>
    <cellStyle name="40% - uthevingsfarge 5 30 11" xfId="34232" xr:uid="{00000000-0005-0000-0000-000062400000}"/>
    <cellStyle name="40% - uthevingsfarge 5 30 2" xfId="3355" xr:uid="{00000000-0005-0000-0000-000063400000}"/>
    <cellStyle name="40% - uthevingsfarge 5 30 2 10" xfId="34136" xr:uid="{00000000-0005-0000-0000-000064400000}"/>
    <cellStyle name="40% - uthevingsfarge 5 30 2 2" xfId="3587" xr:uid="{00000000-0005-0000-0000-000065400000}"/>
    <cellStyle name="40% - uthevingsfarge 5 30 2 2 10" xfId="47186" xr:uid="{00000000-0005-0000-0000-000066400000}"/>
    <cellStyle name="40% - uthevingsfarge 5 30 2 2 2" xfId="4017" xr:uid="{00000000-0005-0000-0000-000067400000}"/>
    <cellStyle name="40% - uthevingsfarge 5 30 2 2 2 2" xfId="5905" xr:uid="{00000000-0005-0000-0000-000068400000}"/>
    <cellStyle name="40% - uthevingsfarge 5 30 2 2 2 2 2" xfId="9320" xr:uid="{00000000-0005-0000-0000-000069400000}"/>
    <cellStyle name="40% - uthevingsfarge 5 30 2 2 2 2 2 2" xfId="23490" xr:uid="{00000000-0005-0000-0000-00006A400000}"/>
    <cellStyle name="40% - uthevingsfarge 5 30 2 2 2 2 2 2 2" xfId="39546" xr:uid="{00000000-0005-0000-0000-00006B400000}"/>
    <cellStyle name="40% - uthevingsfarge 5 30 2 2 2 2 2 3" xfId="28478" xr:uid="{00000000-0005-0000-0000-00006C400000}"/>
    <cellStyle name="40% - uthevingsfarge 5 30 2 2 2 2 3" xfId="23939" xr:uid="{00000000-0005-0000-0000-00006D400000}"/>
    <cellStyle name="40% - uthevingsfarge 5 30 2 2 2 2 3 2" xfId="39993" xr:uid="{00000000-0005-0000-0000-00006E400000}"/>
    <cellStyle name="40% - uthevingsfarge 5 30 2 2 2 2 4" xfId="31871" xr:uid="{00000000-0005-0000-0000-00006F400000}"/>
    <cellStyle name="40% - uthevingsfarge 5 30 2 2 2 3" xfId="7623" xr:uid="{00000000-0005-0000-0000-000070400000}"/>
    <cellStyle name="40% - uthevingsfarge 5 30 2 2 2 3 2" xfId="20841" xr:uid="{00000000-0005-0000-0000-000071400000}"/>
    <cellStyle name="40% - uthevingsfarge 5 30 2 2 2 3 2 2" xfId="36940" xr:uid="{00000000-0005-0000-0000-000072400000}"/>
    <cellStyle name="40% - uthevingsfarge 5 30 2 2 2 3 3" xfId="30175" xr:uid="{00000000-0005-0000-0000-000073400000}"/>
    <cellStyle name="40% - uthevingsfarge 5 30 2 2 2 4" xfId="18043" xr:uid="{00000000-0005-0000-0000-000074400000}"/>
    <cellStyle name="40% - uthevingsfarge 5 30 2 2 2 5" xfId="19962" xr:uid="{00000000-0005-0000-0000-000075400000}"/>
    <cellStyle name="40% - uthevingsfarge 5 30 2 2 2 5 2" xfId="36066" xr:uid="{00000000-0005-0000-0000-000076400000}"/>
    <cellStyle name="40% - uthevingsfarge 5 30 2 2 2 6" xfId="33562" xr:uid="{00000000-0005-0000-0000-000077400000}"/>
    <cellStyle name="40% - uthevingsfarge 5 30 2 2 3" xfId="4957" xr:uid="{00000000-0005-0000-0000-000078400000}"/>
    <cellStyle name="40% - uthevingsfarge 5 30 2 2 3 10" xfId="47376" xr:uid="{00000000-0005-0000-0000-000079400000}"/>
    <cellStyle name="40% - uthevingsfarge 5 30 2 2 3 2" xfId="6676" xr:uid="{00000000-0005-0000-0000-00007A400000}"/>
    <cellStyle name="40% - uthevingsfarge 5 30 2 2 3 2 2" xfId="10082" xr:uid="{00000000-0005-0000-0000-00007B400000}"/>
    <cellStyle name="40% - uthevingsfarge 5 30 2 2 3 2 2 2" xfId="23615" xr:uid="{00000000-0005-0000-0000-00007C400000}"/>
    <cellStyle name="40% - uthevingsfarge 5 30 2 2 3 2 2 2 2" xfId="39671" xr:uid="{00000000-0005-0000-0000-00007D400000}"/>
    <cellStyle name="40% - uthevingsfarge 5 30 2 2 3 2 2 3" xfId="27717" xr:uid="{00000000-0005-0000-0000-00007E400000}"/>
    <cellStyle name="40% - uthevingsfarge 5 30 2 2 3 2 3" xfId="23082" xr:uid="{00000000-0005-0000-0000-00007F400000}"/>
    <cellStyle name="40% - uthevingsfarge 5 30 2 2 3 2 3 2" xfId="39151" xr:uid="{00000000-0005-0000-0000-000080400000}"/>
    <cellStyle name="40% - uthevingsfarge 5 30 2 2 3 2 4" xfId="31118" xr:uid="{00000000-0005-0000-0000-000081400000}"/>
    <cellStyle name="40% - uthevingsfarge 5 30 2 2 3 2 5" xfId="43070" xr:uid="{00000000-0005-0000-0000-000082400000}"/>
    <cellStyle name="40% - uthevingsfarge 5 30 2 2 3 2 6" xfId="43367" xr:uid="{00000000-0005-0000-0000-000083400000}"/>
    <cellStyle name="40% - uthevingsfarge 5 30 2 2 3 2 7" xfId="46215" xr:uid="{00000000-0005-0000-0000-000084400000}"/>
    <cellStyle name="40% - uthevingsfarge 5 30 2 2 3 2 8" xfId="46987" xr:uid="{00000000-0005-0000-0000-000085400000}"/>
    <cellStyle name="40% - uthevingsfarge 5 30 2 2 3 2 9" xfId="47572" xr:uid="{00000000-0005-0000-0000-000086400000}"/>
    <cellStyle name="40% - uthevingsfarge 5 30 2 2 3 3" xfId="8379" xr:uid="{00000000-0005-0000-0000-000087400000}"/>
    <cellStyle name="40% - uthevingsfarge 5 30 2 2 3 3 2" xfId="21077" xr:uid="{00000000-0005-0000-0000-000088400000}"/>
    <cellStyle name="40% - uthevingsfarge 5 30 2 2 3 3 2 2" xfId="37163" xr:uid="{00000000-0005-0000-0000-000089400000}"/>
    <cellStyle name="40% - uthevingsfarge 5 30 2 2 3 3 3" xfId="29419" xr:uid="{00000000-0005-0000-0000-00008A400000}"/>
    <cellStyle name="40% - uthevingsfarge 5 30 2 2 3 3 4" xfId="43963" xr:uid="{00000000-0005-0000-0000-00008B400000}"/>
    <cellStyle name="40% - uthevingsfarge 5 30 2 2 3 4" xfId="16515" xr:uid="{00000000-0005-0000-0000-00008C400000}"/>
    <cellStyle name="40% - uthevingsfarge 5 30 2 2 3 4 2" xfId="35462" xr:uid="{00000000-0005-0000-0000-00008D400000}"/>
    <cellStyle name="40% - uthevingsfarge 5 30 2 2 3 5" xfId="25124" xr:uid="{00000000-0005-0000-0000-00008E400000}"/>
    <cellStyle name="40% - uthevingsfarge 5 30 2 2 3 6" xfId="25326" xr:uid="{00000000-0005-0000-0000-00008F400000}"/>
    <cellStyle name="40% - uthevingsfarge 5 30 2 2 3 7" xfId="32810" xr:uid="{00000000-0005-0000-0000-000090400000}"/>
    <cellStyle name="40% - uthevingsfarge 5 30 2 2 3 8" xfId="43828" xr:uid="{00000000-0005-0000-0000-000091400000}"/>
    <cellStyle name="40% - uthevingsfarge 5 30 2 2 3 9" xfId="46753" xr:uid="{00000000-0005-0000-0000-000092400000}"/>
    <cellStyle name="40% - uthevingsfarge 5 30 2 2 4" xfId="5511" xr:uid="{00000000-0005-0000-0000-000093400000}"/>
    <cellStyle name="40% - uthevingsfarge 5 30 2 2 4 2" xfId="8926" xr:uid="{00000000-0005-0000-0000-000094400000}"/>
    <cellStyle name="40% - uthevingsfarge 5 30 2 2 4 2 2" xfId="21219" xr:uid="{00000000-0005-0000-0000-000095400000}"/>
    <cellStyle name="40% - uthevingsfarge 5 30 2 2 4 2 2 2" xfId="37299" xr:uid="{00000000-0005-0000-0000-000096400000}"/>
    <cellStyle name="40% - uthevingsfarge 5 30 2 2 4 2 3" xfId="28872" xr:uid="{00000000-0005-0000-0000-000097400000}"/>
    <cellStyle name="40% - uthevingsfarge 5 30 2 2 4 3" xfId="20102" xr:uid="{00000000-0005-0000-0000-000098400000}"/>
    <cellStyle name="40% - uthevingsfarge 5 30 2 2 4 3 2" xfId="36206" xr:uid="{00000000-0005-0000-0000-000099400000}"/>
    <cellStyle name="40% - uthevingsfarge 5 30 2 2 4 4" xfId="32263" xr:uid="{00000000-0005-0000-0000-00009A400000}"/>
    <cellStyle name="40% - uthevingsfarge 5 30 2 2 5" xfId="7229" xr:uid="{00000000-0005-0000-0000-00009B400000}"/>
    <cellStyle name="40% - uthevingsfarge 5 30 2 2 5 2" xfId="20703" xr:uid="{00000000-0005-0000-0000-00009C400000}"/>
    <cellStyle name="40% - uthevingsfarge 5 30 2 2 5 2 2" xfId="36802" xr:uid="{00000000-0005-0000-0000-00009D400000}"/>
    <cellStyle name="40% - uthevingsfarge 5 30 2 2 5 3" xfId="30569" xr:uid="{00000000-0005-0000-0000-00009E400000}"/>
    <cellStyle name="40% - uthevingsfarge 5 30 2 2 6" xfId="11230" xr:uid="{00000000-0005-0000-0000-00009F400000}"/>
    <cellStyle name="40% - uthevingsfarge 5 30 2 2 7" xfId="33956" xr:uid="{00000000-0005-0000-0000-0000A0400000}"/>
    <cellStyle name="40% - uthevingsfarge 5 30 2 2 8" xfId="43619" xr:uid="{00000000-0005-0000-0000-0000A1400000}"/>
    <cellStyle name="40% - uthevingsfarge 5 30 2 2 9" xfId="46525" xr:uid="{00000000-0005-0000-0000-0000A2400000}"/>
    <cellStyle name="40% - uthevingsfarge 5 30 2 2_Avviksanalyse løpende RNB15 (1)" xfId="16651" xr:uid="{00000000-0005-0000-0000-0000A3400000}"/>
    <cellStyle name="40% - uthevingsfarge 5 30 2 3" xfId="3837" xr:uid="{00000000-0005-0000-0000-0000A4400000}"/>
    <cellStyle name="40% - uthevingsfarge 5 30 2 3 2" xfId="5725" xr:uid="{00000000-0005-0000-0000-0000A5400000}"/>
    <cellStyle name="40% - uthevingsfarge 5 30 2 3 2 2" xfId="9140" xr:uid="{00000000-0005-0000-0000-0000A6400000}"/>
    <cellStyle name="40% - uthevingsfarge 5 30 2 3 2 2 2" xfId="21289" xr:uid="{00000000-0005-0000-0000-0000A7400000}"/>
    <cellStyle name="40% - uthevingsfarge 5 30 2 3 2 2 2 2" xfId="37369" xr:uid="{00000000-0005-0000-0000-0000A8400000}"/>
    <cellStyle name="40% - uthevingsfarge 5 30 2 3 2 2 3" xfId="28658" xr:uid="{00000000-0005-0000-0000-0000A9400000}"/>
    <cellStyle name="40% - uthevingsfarge 5 30 2 3 2 3" xfId="20183" xr:uid="{00000000-0005-0000-0000-0000AA400000}"/>
    <cellStyle name="40% - uthevingsfarge 5 30 2 3 2 3 2" xfId="36283" xr:uid="{00000000-0005-0000-0000-0000AB400000}"/>
    <cellStyle name="40% - uthevingsfarge 5 30 2 3 2 4" xfId="32049" xr:uid="{00000000-0005-0000-0000-0000AC400000}"/>
    <cellStyle name="40% - uthevingsfarge 5 30 2 3 3" xfId="7443" xr:uid="{00000000-0005-0000-0000-0000AD400000}"/>
    <cellStyle name="40% - uthevingsfarge 5 30 2 3 3 2" xfId="23207" xr:uid="{00000000-0005-0000-0000-0000AE400000}"/>
    <cellStyle name="40% - uthevingsfarge 5 30 2 3 3 2 2" xfId="39276" xr:uid="{00000000-0005-0000-0000-0000AF400000}"/>
    <cellStyle name="40% - uthevingsfarge 5 30 2 3 3 3" xfId="30355" xr:uid="{00000000-0005-0000-0000-0000B0400000}"/>
    <cellStyle name="40% - uthevingsfarge 5 30 2 3 4" xfId="19936" xr:uid="{00000000-0005-0000-0000-0000B1400000}"/>
    <cellStyle name="40% - uthevingsfarge 5 30 2 3 4 2" xfId="36040" xr:uid="{00000000-0005-0000-0000-0000B2400000}"/>
    <cellStyle name="40% - uthevingsfarge 5 30 2 3 5" xfId="33742" xr:uid="{00000000-0005-0000-0000-0000B3400000}"/>
    <cellStyle name="40% - uthevingsfarge 5 30 2 4" xfId="4322" xr:uid="{00000000-0005-0000-0000-0000B4400000}"/>
    <cellStyle name="40% - uthevingsfarge 5 30 2 4 2" xfId="6151" xr:uid="{00000000-0005-0000-0000-0000B5400000}"/>
    <cellStyle name="40% - uthevingsfarge 5 30 2 4 2 2" xfId="9565" xr:uid="{00000000-0005-0000-0000-0000B6400000}"/>
    <cellStyle name="40% - uthevingsfarge 5 30 2 4 2 2 2" xfId="21961" xr:uid="{00000000-0005-0000-0000-0000B7400000}"/>
    <cellStyle name="40% - uthevingsfarge 5 30 2 4 2 2 2 2" xfId="38036" xr:uid="{00000000-0005-0000-0000-0000B8400000}"/>
    <cellStyle name="40% - uthevingsfarge 5 30 2 4 2 2 3" xfId="28233" xr:uid="{00000000-0005-0000-0000-0000B9400000}"/>
    <cellStyle name="40% - uthevingsfarge 5 30 2 4 2 3" xfId="22320" xr:uid="{00000000-0005-0000-0000-0000BA400000}"/>
    <cellStyle name="40% - uthevingsfarge 5 30 2 4 2 3 2" xfId="38392" xr:uid="{00000000-0005-0000-0000-0000BB400000}"/>
    <cellStyle name="40% - uthevingsfarge 5 30 2 4 2 4" xfId="31630" xr:uid="{00000000-0005-0000-0000-0000BC400000}"/>
    <cellStyle name="40% - uthevingsfarge 5 30 2 4 3" xfId="7884" xr:uid="{00000000-0005-0000-0000-0000BD400000}"/>
    <cellStyle name="40% - uthevingsfarge 5 30 2 4 3 2" xfId="10620" xr:uid="{00000000-0005-0000-0000-0000BE400000}"/>
    <cellStyle name="40% - uthevingsfarge 5 30 2 4 3 2 2" xfId="34468" xr:uid="{00000000-0005-0000-0000-0000BF400000}"/>
    <cellStyle name="40% - uthevingsfarge 5 30 2 4 3 3" xfId="29915" xr:uid="{00000000-0005-0000-0000-0000C0400000}"/>
    <cellStyle name="40% - uthevingsfarge 5 30 2 4 4" xfId="21843" xr:uid="{00000000-0005-0000-0000-0000C1400000}"/>
    <cellStyle name="40% - uthevingsfarge 5 30 2 4 4 2" xfId="37919" xr:uid="{00000000-0005-0000-0000-0000C2400000}"/>
    <cellStyle name="40% - uthevingsfarge 5 30 2 4 5" xfId="33303" xr:uid="{00000000-0005-0000-0000-0000C3400000}"/>
    <cellStyle name="40% - uthevingsfarge 5 30 2 5" xfId="4777" xr:uid="{00000000-0005-0000-0000-0000C4400000}"/>
    <cellStyle name="40% - uthevingsfarge 5 30 2 5 2" xfId="6497" xr:uid="{00000000-0005-0000-0000-0000C5400000}"/>
    <cellStyle name="40% - uthevingsfarge 5 30 2 5 2 2" xfId="9903" xr:uid="{00000000-0005-0000-0000-0000C6400000}"/>
    <cellStyle name="40% - uthevingsfarge 5 30 2 5 2 2 2" xfId="21528" xr:uid="{00000000-0005-0000-0000-0000C7400000}"/>
    <cellStyle name="40% - uthevingsfarge 5 30 2 5 2 2 2 2" xfId="37608" xr:uid="{00000000-0005-0000-0000-0000C8400000}"/>
    <cellStyle name="40% - uthevingsfarge 5 30 2 5 2 2 3" xfId="27896" xr:uid="{00000000-0005-0000-0000-0000C9400000}"/>
    <cellStyle name="40% - uthevingsfarge 5 30 2 5 2 3" xfId="20475" xr:uid="{00000000-0005-0000-0000-0000CA400000}"/>
    <cellStyle name="40% - uthevingsfarge 5 30 2 5 2 3 2" xfId="36574" xr:uid="{00000000-0005-0000-0000-0000CB400000}"/>
    <cellStyle name="40% - uthevingsfarge 5 30 2 5 2 4" xfId="31297" xr:uid="{00000000-0005-0000-0000-0000CC400000}"/>
    <cellStyle name="40% - uthevingsfarge 5 30 2 5 3" xfId="8199" xr:uid="{00000000-0005-0000-0000-0000CD400000}"/>
    <cellStyle name="40% - uthevingsfarge 5 30 2 5 3 2" xfId="10597" xr:uid="{00000000-0005-0000-0000-0000CE400000}"/>
    <cellStyle name="40% - uthevingsfarge 5 30 2 5 3 2 2" xfId="34445" xr:uid="{00000000-0005-0000-0000-0000CF400000}"/>
    <cellStyle name="40% - uthevingsfarge 5 30 2 5 3 3" xfId="29598" xr:uid="{00000000-0005-0000-0000-0000D0400000}"/>
    <cellStyle name="40% - uthevingsfarge 5 30 2 5 4" xfId="10900" xr:uid="{00000000-0005-0000-0000-0000D1400000}"/>
    <cellStyle name="40% - uthevingsfarge 5 30 2 5 4 2" xfId="34672" xr:uid="{00000000-0005-0000-0000-0000D2400000}"/>
    <cellStyle name="40% - uthevingsfarge 5 30 2 5 5" xfId="32990" xr:uid="{00000000-0005-0000-0000-0000D3400000}"/>
    <cellStyle name="40% - uthevingsfarge 5 30 2 6" xfId="5137" xr:uid="{00000000-0005-0000-0000-0000D4400000}"/>
    <cellStyle name="40% - uthevingsfarge 5 30 2 6 2" xfId="6856" xr:uid="{00000000-0005-0000-0000-0000D5400000}"/>
    <cellStyle name="40% - uthevingsfarge 5 30 2 6 2 2" xfId="10262" xr:uid="{00000000-0005-0000-0000-0000D6400000}"/>
    <cellStyle name="40% - uthevingsfarge 5 30 2 6 2 2 2" xfId="24705" xr:uid="{00000000-0005-0000-0000-0000D7400000}"/>
    <cellStyle name="40% - uthevingsfarge 5 30 2 6 2 2 2 2" xfId="40748" xr:uid="{00000000-0005-0000-0000-0000D8400000}"/>
    <cellStyle name="40% - uthevingsfarge 5 30 2 6 2 2 3" xfId="27537" xr:uid="{00000000-0005-0000-0000-0000D9400000}"/>
    <cellStyle name="40% - uthevingsfarge 5 30 2 6 2 3" xfId="23104" xr:uid="{00000000-0005-0000-0000-0000DA400000}"/>
    <cellStyle name="40% - uthevingsfarge 5 30 2 6 2 3 2" xfId="39173" xr:uid="{00000000-0005-0000-0000-0000DB400000}"/>
    <cellStyle name="40% - uthevingsfarge 5 30 2 6 2 4" xfId="30938" xr:uid="{00000000-0005-0000-0000-0000DC400000}"/>
    <cellStyle name="40% - uthevingsfarge 5 30 2 6 3" xfId="8559" xr:uid="{00000000-0005-0000-0000-0000DD400000}"/>
    <cellStyle name="40% - uthevingsfarge 5 30 2 6 3 2" xfId="21127" xr:uid="{00000000-0005-0000-0000-0000DE400000}"/>
    <cellStyle name="40% - uthevingsfarge 5 30 2 6 3 2 2" xfId="37207" xr:uid="{00000000-0005-0000-0000-0000DF400000}"/>
    <cellStyle name="40% - uthevingsfarge 5 30 2 6 3 3" xfId="29239" xr:uid="{00000000-0005-0000-0000-0000E0400000}"/>
    <cellStyle name="40% - uthevingsfarge 5 30 2 6 4" xfId="10812" xr:uid="{00000000-0005-0000-0000-0000E1400000}"/>
    <cellStyle name="40% - uthevingsfarge 5 30 2 6 4 2" xfId="34629" xr:uid="{00000000-0005-0000-0000-0000E2400000}"/>
    <cellStyle name="40% - uthevingsfarge 5 30 2 6 5" xfId="32630" xr:uid="{00000000-0005-0000-0000-0000E3400000}"/>
    <cellStyle name="40% - uthevingsfarge 5 30 2 7" xfId="5316" xr:uid="{00000000-0005-0000-0000-0000E4400000}"/>
    <cellStyle name="40% - uthevingsfarge 5 30 2 7 2" xfId="8731" xr:uid="{00000000-0005-0000-0000-0000E5400000}"/>
    <cellStyle name="40% - uthevingsfarge 5 30 2 7 2 2" xfId="23401" xr:uid="{00000000-0005-0000-0000-0000E6400000}"/>
    <cellStyle name="40% - uthevingsfarge 5 30 2 7 2 2 2" xfId="39457" xr:uid="{00000000-0005-0000-0000-0000E7400000}"/>
    <cellStyle name="40% - uthevingsfarge 5 30 2 7 2 3" xfId="29067" xr:uid="{00000000-0005-0000-0000-0000E8400000}"/>
    <cellStyle name="40% - uthevingsfarge 5 30 2 7 3" xfId="12074" xr:uid="{00000000-0005-0000-0000-0000E9400000}"/>
    <cellStyle name="40% - uthevingsfarge 5 30 2 7 3 2" xfId="35057" xr:uid="{00000000-0005-0000-0000-0000EA400000}"/>
    <cellStyle name="40% - uthevingsfarge 5 30 2 7 4" xfId="32458" xr:uid="{00000000-0005-0000-0000-0000EB400000}"/>
    <cellStyle name="40% - uthevingsfarge 5 30 2 8" xfId="7049" xr:uid="{00000000-0005-0000-0000-0000EC400000}"/>
    <cellStyle name="40% - uthevingsfarge 5 30 2 8 2" xfId="23138" xr:uid="{00000000-0005-0000-0000-0000ED400000}"/>
    <cellStyle name="40% - uthevingsfarge 5 30 2 8 2 2" xfId="39207" xr:uid="{00000000-0005-0000-0000-0000EE400000}"/>
    <cellStyle name="40% - uthevingsfarge 5 30 2 8 3" xfId="30749" xr:uid="{00000000-0005-0000-0000-0000EF400000}"/>
    <cellStyle name="40% - uthevingsfarge 5 30 2 9" xfId="11229" xr:uid="{00000000-0005-0000-0000-0000F0400000}"/>
    <cellStyle name="40% - uthevingsfarge 5 30 3" xfId="3502" xr:uid="{00000000-0005-0000-0000-0000F1400000}"/>
    <cellStyle name="40% - uthevingsfarge 5 30 3 10" xfId="47118" xr:uid="{00000000-0005-0000-0000-0000F2400000}"/>
    <cellStyle name="40% - uthevingsfarge 5 30 3 2" xfId="3938" xr:uid="{00000000-0005-0000-0000-0000F3400000}"/>
    <cellStyle name="40% - uthevingsfarge 5 30 3 2 2" xfId="5826" xr:uid="{00000000-0005-0000-0000-0000F4400000}"/>
    <cellStyle name="40% - uthevingsfarge 5 30 3 2 2 2" xfId="9241" xr:uid="{00000000-0005-0000-0000-0000F5400000}"/>
    <cellStyle name="40% - uthevingsfarge 5 30 3 2 2 2 2" xfId="23480" xr:uid="{00000000-0005-0000-0000-0000F6400000}"/>
    <cellStyle name="40% - uthevingsfarge 5 30 3 2 2 2 2 2" xfId="39536" xr:uid="{00000000-0005-0000-0000-0000F7400000}"/>
    <cellStyle name="40% - uthevingsfarge 5 30 3 2 2 2 3" xfId="28557" xr:uid="{00000000-0005-0000-0000-0000F8400000}"/>
    <cellStyle name="40% - uthevingsfarge 5 30 3 2 2 3" xfId="20218" xr:uid="{00000000-0005-0000-0000-0000F9400000}"/>
    <cellStyle name="40% - uthevingsfarge 5 30 3 2 2 3 2" xfId="36317" xr:uid="{00000000-0005-0000-0000-0000FA400000}"/>
    <cellStyle name="40% - uthevingsfarge 5 30 3 2 2 4" xfId="31948" xr:uid="{00000000-0005-0000-0000-0000FB400000}"/>
    <cellStyle name="40% - uthevingsfarge 5 30 3 2 3" xfId="7544" xr:uid="{00000000-0005-0000-0000-0000FC400000}"/>
    <cellStyle name="40% - uthevingsfarge 5 30 3 2 3 2" xfId="23677" xr:uid="{00000000-0005-0000-0000-0000FD400000}"/>
    <cellStyle name="40% - uthevingsfarge 5 30 3 2 3 2 2" xfId="39733" xr:uid="{00000000-0005-0000-0000-0000FE400000}"/>
    <cellStyle name="40% - uthevingsfarge 5 30 3 2 3 3" xfId="30254" xr:uid="{00000000-0005-0000-0000-0000FF400000}"/>
    <cellStyle name="40% - uthevingsfarge 5 30 3 2 4" xfId="18044" xr:uid="{00000000-0005-0000-0000-000000410000}"/>
    <cellStyle name="40% - uthevingsfarge 5 30 3 2 5" xfId="19559" xr:uid="{00000000-0005-0000-0000-000001410000}"/>
    <cellStyle name="40% - uthevingsfarge 5 30 3 2 5 2" xfId="35673" xr:uid="{00000000-0005-0000-0000-000002410000}"/>
    <cellStyle name="40% - uthevingsfarge 5 30 3 2 6" xfId="33641" xr:uid="{00000000-0005-0000-0000-000003410000}"/>
    <cellStyle name="40% - uthevingsfarge 5 30 3 3" xfId="4878" xr:uid="{00000000-0005-0000-0000-000004410000}"/>
    <cellStyle name="40% - uthevingsfarge 5 30 3 3 10" xfId="47308" xr:uid="{00000000-0005-0000-0000-000005410000}"/>
    <cellStyle name="40% - uthevingsfarge 5 30 3 3 2" xfId="6597" xr:uid="{00000000-0005-0000-0000-000006410000}"/>
    <cellStyle name="40% - uthevingsfarge 5 30 3 3 2 2" xfId="10003" xr:uid="{00000000-0005-0000-0000-000007410000}"/>
    <cellStyle name="40% - uthevingsfarge 5 30 3 3 2 2 2" xfId="21567" xr:uid="{00000000-0005-0000-0000-000008410000}"/>
    <cellStyle name="40% - uthevingsfarge 5 30 3 3 2 2 2 2" xfId="37647" xr:uid="{00000000-0005-0000-0000-000009410000}"/>
    <cellStyle name="40% - uthevingsfarge 5 30 3 3 2 2 3" xfId="27796" xr:uid="{00000000-0005-0000-0000-00000A410000}"/>
    <cellStyle name="40% - uthevingsfarge 5 30 3 3 2 3" xfId="20512" xr:uid="{00000000-0005-0000-0000-00000B410000}"/>
    <cellStyle name="40% - uthevingsfarge 5 30 3 3 2 3 2" xfId="36611" xr:uid="{00000000-0005-0000-0000-00000C410000}"/>
    <cellStyle name="40% - uthevingsfarge 5 30 3 3 2 4" xfId="31197" xr:uid="{00000000-0005-0000-0000-00000D410000}"/>
    <cellStyle name="40% - uthevingsfarge 5 30 3 3 2 5" xfId="42863" xr:uid="{00000000-0005-0000-0000-00000E410000}"/>
    <cellStyle name="40% - uthevingsfarge 5 30 3 3 2 6" xfId="43301" xr:uid="{00000000-0005-0000-0000-00000F410000}"/>
    <cellStyle name="40% - uthevingsfarge 5 30 3 3 2 7" xfId="46149" xr:uid="{00000000-0005-0000-0000-000010410000}"/>
    <cellStyle name="40% - uthevingsfarge 5 30 3 3 2 8" xfId="46918" xr:uid="{00000000-0005-0000-0000-000011410000}"/>
    <cellStyle name="40% - uthevingsfarge 5 30 3 3 2 9" xfId="47504" xr:uid="{00000000-0005-0000-0000-000012410000}"/>
    <cellStyle name="40% - uthevingsfarge 5 30 3 3 3" xfId="8300" xr:uid="{00000000-0005-0000-0000-000013410000}"/>
    <cellStyle name="40% - uthevingsfarge 5 30 3 3 3 2" xfId="19481" xr:uid="{00000000-0005-0000-0000-000014410000}"/>
    <cellStyle name="40% - uthevingsfarge 5 30 3 3 3 2 2" xfId="35595" xr:uid="{00000000-0005-0000-0000-000015410000}"/>
    <cellStyle name="40% - uthevingsfarge 5 30 3 3 3 3" xfId="29497" xr:uid="{00000000-0005-0000-0000-000016410000}"/>
    <cellStyle name="40% - uthevingsfarge 5 30 3 3 3 4" xfId="43964" xr:uid="{00000000-0005-0000-0000-000017410000}"/>
    <cellStyle name="40% - uthevingsfarge 5 30 3 3 4" xfId="16308" xr:uid="{00000000-0005-0000-0000-000018410000}"/>
    <cellStyle name="40% - uthevingsfarge 5 30 3 3 4 2" xfId="35396" xr:uid="{00000000-0005-0000-0000-000019410000}"/>
    <cellStyle name="40% - uthevingsfarge 5 30 3 3 5" xfId="25055" xr:uid="{00000000-0005-0000-0000-00001A410000}"/>
    <cellStyle name="40% - uthevingsfarge 5 30 3 3 6" xfId="25327" xr:uid="{00000000-0005-0000-0000-00001B410000}"/>
    <cellStyle name="40% - uthevingsfarge 5 30 3 3 7" xfId="32889" xr:uid="{00000000-0005-0000-0000-00001C410000}"/>
    <cellStyle name="40% - uthevingsfarge 5 30 3 3 8" xfId="43761" xr:uid="{00000000-0005-0000-0000-00001D410000}"/>
    <cellStyle name="40% - uthevingsfarge 5 30 3 3 9" xfId="46687" xr:uid="{00000000-0005-0000-0000-00001E410000}"/>
    <cellStyle name="40% - uthevingsfarge 5 30 3 4" xfId="5433" xr:uid="{00000000-0005-0000-0000-00001F410000}"/>
    <cellStyle name="40% - uthevingsfarge 5 30 3 4 2" xfId="8848" xr:uid="{00000000-0005-0000-0000-000020410000}"/>
    <cellStyle name="40% - uthevingsfarge 5 30 3 4 2 2" xfId="22217" xr:uid="{00000000-0005-0000-0000-000021410000}"/>
    <cellStyle name="40% - uthevingsfarge 5 30 3 4 2 2 2" xfId="38291" xr:uid="{00000000-0005-0000-0000-000022410000}"/>
    <cellStyle name="40% - uthevingsfarge 5 30 3 4 2 3" xfId="28950" xr:uid="{00000000-0005-0000-0000-000023410000}"/>
    <cellStyle name="40% - uthevingsfarge 5 30 3 4 3" xfId="10707" xr:uid="{00000000-0005-0000-0000-000024410000}"/>
    <cellStyle name="40% - uthevingsfarge 5 30 3 4 3 2" xfId="34555" xr:uid="{00000000-0005-0000-0000-000025410000}"/>
    <cellStyle name="40% - uthevingsfarge 5 30 3 4 4" xfId="32341" xr:uid="{00000000-0005-0000-0000-000026410000}"/>
    <cellStyle name="40% - uthevingsfarge 5 30 3 5" xfId="7150" xr:uid="{00000000-0005-0000-0000-000027410000}"/>
    <cellStyle name="40% - uthevingsfarge 5 30 3 5 2" xfId="10329" xr:uid="{00000000-0005-0000-0000-000028410000}"/>
    <cellStyle name="40% - uthevingsfarge 5 30 3 5 2 2" xfId="34299" xr:uid="{00000000-0005-0000-0000-000029410000}"/>
    <cellStyle name="40% - uthevingsfarge 5 30 3 5 3" xfId="30648" xr:uid="{00000000-0005-0000-0000-00002A410000}"/>
    <cellStyle name="40% - uthevingsfarge 5 30 3 6" xfId="11231" xr:uid="{00000000-0005-0000-0000-00002B410000}"/>
    <cellStyle name="40% - uthevingsfarge 5 30 3 7" xfId="34035" xr:uid="{00000000-0005-0000-0000-00002C410000}"/>
    <cellStyle name="40% - uthevingsfarge 5 30 3 8" xfId="43553" xr:uid="{00000000-0005-0000-0000-00002D410000}"/>
    <cellStyle name="40% - uthevingsfarge 5 30 3 9" xfId="46457" xr:uid="{00000000-0005-0000-0000-00002E410000}"/>
    <cellStyle name="40% - uthevingsfarge 5 30 3_Avviksanalyse løpende RNB15 (1)" xfId="16652" xr:uid="{00000000-0005-0000-0000-00002F410000}"/>
    <cellStyle name="40% - uthevingsfarge 5 30 4" xfId="3759" xr:uid="{00000000-0005-0000-0000-000030410000}"/>
    <cellStyle name="40% - uthevingsfarge 5 30 4 2" xfId="5647" xr:uid="{00000000-0005-0000-0000-000031410000}"/>
    <cellStyle name="40% - uthevingsfarge 5 30 4 2 2" xfId="9062" xr:uid="{00000000-0005-0000-0000-000032410000}"/>
    <cellStyle name="40% - uthevingsfarge 5 30 4 2 2 2" xfId="19394" xr:uid="{00000000-0005-0000-0000-000033410000}"/>
    <cellStyle name="40% - uthevingsfarge 5 30 4 2 2 2 2" xfId="35508" xr:uid="{00000000-0005-0000-0000-000034410000}"/>
    <cellStyle name="40% - uthevingsfarge 5 30 4 2 2 3" xfId="28736" xr:uid="{00000000-0005-0000-0000-000035410000}"/>
    <cellStyle name="40% - uthevingsfarge 5 30 4 2 3" xfId="22890" xr:uid="{00000000-0005-0000-0000-000036410000}"/>
    <cellStyle name="40% - uthevingsfarge 5 30 4 2 3 2" xfId="38959" xr:uid="{00000000-0005-0000-0000-000037410000}"/>
    <cellStyle name="40% - uthevingsfarge 5 30 4 2 4" xfId="32127" xr:uid="{00000000-0005-0000-0000-000038410000}"/>
    <cellStyle name="40% - uthevingsfarge 5 30 4 3" xfId="7365" xr:uid="{00000000-0005-0000-0000-000039410000}"/>
    <cellStyle name="40% - uthevingsfarge 5 30 4 3 2" xfId="22444" xr:uid="{00000000-0005-0000-0000-00003A410000}"/>
    <cellStyle name="40% - uthevingsfarge 5 30 4 3 2 2" xfId="38516" xr:uid="{00000000-0005-0000-0000-00003B410000}"/>
    <cellStyle name="40% - uthevingsfarge 5 30 4 3 3" xfId="30433" xr:uid="{00000000-0005-0000-0000-00003C410000}"/>
    <cellStyle name="40% - uthevingsfarge 5 30 4 4" xfId="12577" xr:uid="{00000000-0005-0000-0000-00003D410000}"/>
    <cellStyle name="40% - uthevingsfarge 5 30 4 4 2" xfId="35281" xr:uid="{00000000-0005-0000-0000-00003E410000}"/>
    <cellStyle name="40% - uthevingsfarge 5 30 4 5" xfId="33820" xr:uid="{00000000-0005-0000-0000-00003F410000}"/>
    <cellStyle name="40% - uthevingsfarge 5 30 5" xfId="4256" xr:uid="{00000000-0005-0000-0000-000040410000}"/>
    <cellStyle name="40% - uthevingsfarge 5 30 5 2" xfId="6088" xr:uid="{00000000-0005-0000-0000-000041410000}"/>
    <cellStyle name="40% - uthevingsfarge 5 30 5 2 2" xfId="9503" xr:uid="{00000000-0005-0000-0000-000042410000}"/>
    <cellStyle name="40% - uthevingsfarge 5 30 5 2 2 2" xfId="21406" xr:uid="{00000000-0005-0000-0000-000043410000}"/>
    <cellStyle name="40% - uthevingsfarge 5 30 5 2 2 2 2" xfId="37486" xr:uid="{00000000-0005-0000-0000-000044410000}"/>
    <cellStyle name="40% - uthevingsfarge 5 30 5 2 2 3" xfId="28295" xr:uid="{00000000-0005-0000-0000-000045410000}"/>
    <cellStyle name="40% - uthevingsfarge 5 30 5 2 3" xfId="20318" xr:uid="{00000000-0005-0000-0000-000046410000}"/>
    <cellStyle name="40% - uthevingsfarge 5 30 5 2 3 2" xfId="36417" xr:uid="{00000000-0005-0000-0000-000047410000}"/>
    <cellStyle name="40% - uthevingsfarge 5 30 5 2 4" xfId="31690" xr:uid="{00000000-0005-0000-0000-000048410000}"/>
    <cellStyle name="40% - uthevingsfarge 5 30 5 3" xfId="7822" xr:uid="{00000000-0005-0000-0000-000049410000}"/>
    <cellStyle name="40% - uthevingsfarge 5 30 5 3 2" xfId="24655" xr:uid="{00000000-0005-0000-0000-00004A410000}"/>
    <cellStyle name="40% - uthevingsfarge 5 30 5 3 2 2" xfId="40698" xr:uid="{00000000-0005-0000-0000-00004B410000}"/>
    <cellStyle name="40% - uthevingsfarge 5 30 5 3 3" xfId="29977" xr:uid="{00000000-0005-0000-0000-00004C410000}"/>
    <cellStyle name="40% - uthevingsfarge 5 30 5 4" xfId="19643" xr:uid="{00000000-0005-0000-0000-00004D410000}"/>
    <cellStyle name="40% - uthevingsfarge 5 30 5 4 2" xfId="35757" xr:uid="{00000000-0005-0000-0000-00004E410000}"/>
    <cellStyle name="40% - uthevingsfarge 5 30 5 5" xfId="33365" xr:uid="{00000000-0005-0000-0000-00004F410000}"/>
    <cellStyle name="40% - uthevingsfarge 5 30 6" xfId="4694" xr:uid="{00000000-0005-0000-0000-000050410000}"/>
    <cellStyle name="40% - uthevingsfarge 5 30 6 2" xfId="6414" xr:uid="{00000000-0005-0000-0000-000051410000}"/>
    <cellStyle name="40% - uthevingsfarge 5 30 6 2 2" xfId="9824" xr:uid="{00000000-0005-0000-0000-000052410000}"/>
    <cellStyle name="40% - uthevingsfarge 5 30 6 2 2 2" xfId="21498" xr:uid="{00000000-0005-0000-0000-000053410000}"/>
    <cellStyle name="40% - uthevingsfarge 5 30 6 2 2 2 2" xfId="37578" xr:uid="{00000000-0005-0000-0000-000054410000}"/>
    <cellStyle name="40% - uthevingsfarge 5 30 6 2 2 3" xfId="27975" xr:uid="{00000000-0005-0000-0000-000055410000}"/>
    <cellStyle name="40% - uthevingsfarge 5 30 6 2 3" xfId="22132" xr:uid="{00000000-0005-0000-0000-000056410000}"/>
    <cellStyle name="40% - uthevingsfarge 5 30 6 2 3 2" xfId="38206" xr:uid="{00000000-0005-0000-0000-000057410000}"/>
    <cellStyle name="40% - uthevingsfarge 5 30 6 2 4" xfId="31376" xr:uid="{00000000-0005-0000-0000-000058410000}"/>
    <cellStyle name="40% - uthevingsfarge 5 30 6 3" xfId="8120" xr:uid="{00000000-0005-0000-0000-000059410000}"/>
    <cellStyle name="40% - uthevingsfarge 5 30 6 3 2" xfId="21006" xr:uid="{00000000-0005-0000-0000-00005A410000}"/>
    <cellStyle name="40% - uthevingsfarge 5 30 6 3 2 2" xfId="37101" xr:uid="{00000000-0005-0000-0000-00005B410000}"/>
    <cellStyle name="40% - uthevingsfarge 5 30 6 3 3" xfId="29678" xr:uid="{00000000-0005-0000-0000-00005C410000}"/>
    <cellStyle name="40% - uthevingsfarge 5 30 6 4" xfId="22729" xr:uid="{00000000-0005-0000-0000-00005D410000}"/>
    <cellStyle name="40% - uthevingsfarge 5 30 6 4 2" xfId="38798" xr:uid="{00000000-0005-0000-0000-00005E410000}"/>
    <cellStyle name="40% - uthevingsfarge 5 30 6 5" xfId="33069" xr:uid="{00000000-0005-0000-0000-00005F410000}"/>
    <cellStyle name="40% - uthevingsfarge 5 30 7" xfId="5058" xr:uid="{00000000-0005-0000-0000-000060410000}"/>
    <cellStyle name="40% - uthevingsfarge 5 30 7 2" xfId="6777" xr:uid="{00000000-0005-0000-0000-000061410000}"/>
    <cellStyle name="40% - uthevingsfarge 5 30 7 2 2" xfId="10183" xr:uid="{00000000-0005-0000-0000-000062410000}"/>
    <cellStyle name="40% - uthevingsfarge 5 30 7 2 2 2" xfId="23635" xr:uid="{00000000-0005-0000-0000-000063410000}"/>
    <cellStyle name="40% - uthevingsfarge 5 30 7 2 2 2 2" xfId="39691" xr:uid="{00000000-0005-0000-0000-000064410000}"/>
    <cellStyle name="40% - uthevingsfarge 5 30 7 2 2 3" xfId="27616" xr:uid="{00000000-0005-0000-0000-000065410000}"/>
    <cellStyle name="40% - uthevingsfarge 5 30 7 2 3" xfId="20562" xr:uid="{00000000-0005-0000-0000-000066410000}"/>
    <cellStyle name="40% - uthevingsfarge 5 30 7 2 3 2" xfId="36661" xr:uid="{00000000-0005-0000-0000-000067410000}"/>
    <cellStyle name="40% - uthevingsfarge 5 30 7 2 4" xfId="31017" xr:uid="{00000000-0005-0000-0000-000068410000}"/>
    <cellStyle name="40% - uthevingsfarge 5 30 7 3" xfId="8480" xr:uid="{00000000-0005-0000-0000-000069410000}"/>
    <cellStyle name="40% - uthevingsfarge 5 30 7 3 2" xfId="21105" xr:uid="{00000000-0005-0000-0000-00006A410000}"/>
    <cellStyle name="40% - uthevingsfarge 5 30 7 3 2 2" xfId="37188" xr:uid="{00000000-0005-0000-0000-00006B410000}"/>
    <cellStyle name="40% - uthevingsfarge 5 30 7 3 3" xfId="29318" xr:uid="{00000000-0005-0000-0000-00006C410000}"/>
    <cellStyle name="40% - uthevingsfarge 5 30 7 4" xfId="22839" xr:uid="{00000000-0005-0000-0000-00006D410000}"/>
    <cellStyle name="40% - uthevingsfarge 5 30 7 4 2" xfId="38908" xr:uid="{00000000-0005-0000-0000-00006E410000}"/>
    <cellStyle name="40% - uthevingsfarge 5 30 7 5" xfId="32709" xr:uid="{00000000-0005-0000-0000-00006F410000}"/>
    <cellStyle name="40% - uthevingsfarge 5 30 8" xfId="5256" xr:uid="{00000000-0005-0000-0000-000070410000}"/>
    <cellStyle name="40% - uthevingsfarge 5 30 8 2" xfId="8671" xr:uid="{00000000-0005-0000-0000-000071410000}"/>
    <cellStyle name="40% - uthevingsfarge 5 30 8 2 2" xfId="10501" xr:uid="{00000000-0005-0000-0000-000072410000}"/>
    <cellStyle name="40% - uthevingsfarge 5 30 8 2 2 2" xfId="34395" xr:uid="{00000000-0005-0000-0000-000073410000}"/>
    <cellStyle name="40% - uthevingsfarge 5 30 8 2 3" xfId="29127" xr:uid="{00000000-0005-0000-0000-000074410000}"/>
    <cellStyle name="40% - uthevingsfarge 5 30 8 3" xfId="19787" xr:uid="{00000000-0005-0000-0000-000075410000}"/>
    <cellStyle name="40% - uthevingsfarge 5 30 8 3 2" xfId="35901" xr:uid="{00000000-0005-0000-0000-000076410000}"/>
    <cellStyle name="40% - uthevingsfarge 5 30 8 4" xfId="32518" xr:uid="{00000000-0005-0000-0000-000077410000}"/>
    <cellStyle name="40% - uthevingsfarge 5 30 9" xfId="6954" xr:uid="{00000000-0005-0000-0000-000078410000}"/>
    <cellStyle name="40% - uthevingsfarge 5 30 9 2" xfId="23119" xr:uid="{00000000-0005-0000-0000-000079410000}"/>
    <cellStyle name="40% - uthevingsfarge 5 30 9 2 2" xfId="39188" xr:uid="{00000000-0005-0000-0000-00007A410000}"/>
    <cellStyle name="40% - uthevingsfarge 5 30 9 3" xfId="30844" xr:uid="{00000000-0005-0000-0000-00007B410000}"/>
    <cellStyle name="40% - uthevingsfarge 5 31" xfId="3450" xr:uid="{00000000-0005-0000-0000-00007C410000}"/>
    <cellStyle name="40% - uthevingsfarge 5 31 2" xfId="3641" xr:uid="{00000000-0005-0000-0000-00007D410000}"/>
    <cellStyle name="40% - uthevingsfarge 5 31 2 2" xfId="4069" xr:uid="{00000000-0005-0000-0000-00007E410000}"/>
    <cellStyle name="40% - uthevingsfarge 5 31 2 2 2" xfId="5957" xr:uid="{00000000-0005-0000-0000-00007F410000}"/>
    <cellStyle name="40% - uthevingsfarge 5 31 2 2 2 2" xfId="9372" xr:uid="{00000000-0005-0000-0000-000080410000}"/>
    <cellStyle name="40% - uthevingsfarge 5 31 2 2 2 2 2" xfId="21365" xr:uid="{00000000-0005-0000-0000-000081410000}"/>
    <cellStyle name="40% - uthevingsfarge 5 31 2 2 2 2 2 2" xfId="37445" xr:uid="{00000000-0005-0000-0000-000082410000}"/>
    <cellStyle name="40% - uthevingsfarge 5 31 2 2 2 2 3" xfId="28426" xr:uid="{00000000-0005-0000-0000-000083410000}"/>
    <cellStyle name="40% - uthevingsfarge 5 31 2 2 2 3" xfId="20265" xr:uid="{00000000-0005-0000-0000-000084410000}"/>
    <cellStyle name="40% - uthevingsfarge 5 31 2 2 2 3 2" xfId="36364" xr:uid="{00000000-0005-0000-0000-000085410000}"/>
    <cellStyle name="40% - uthevingsfarge 5 31 2 2 2 4" xfId="31821" xr:uid="{00000000-0005-0000-0000-000086410000}"/>
    <cellStyle name="40% - uthevingsfarge 5 31 2 2 3" xfId="7675" xr:uid="{00000000-0005-0000-0000-000087410000}"/>
    <cellStyle name="40% - uthevingsfarge 5 31 2 2 3 2" xfId="23246" xr:uid="{00000000-0005-0000-0000-000088410000}"/>
    <cellStyle name="40% - uthevingsfarge 5 31 2 2 3 2 2" xfId="39314" xr:uid="{00000000-0005-0000-0000-000089410000}"/>
    <cellStyle name="40% - uthevingsfarge 5 31 2 2 3 3" xfId="30123" xr:uid="{00000000-0005-0000-0000-00008A410000}"/>
    <cellStyle name="40% - uthevingsfarge 5 31 2 2 4" xfId="22800" xr:uid="{00000000-0005-0000-0000-00008B410000}"/>
    <cellStyle name="40% - uthevingsfarge 5 31 2 2 4 2" xfId="38869" xr:uid="{00000000-0005-0000-0000-00008C410000}"/>
    <cellStyle name="40% - uthevingsfarge 5 31 2 2 5" xfId="33510" xr:uid="{00000000-0005-0000-0000-00008D410000}"/>
    <cellStyle name="40% - uthevingsfarge 5 31 2 3" xfId="5009" xr:uid="{00000000-0005-0000-0000-00008E410000}"/>
    <cellStyle name="40% - uthevingsfarge 5 31 2 3 2" xfId="6728" xr:uid="{00000000-0005-0000-0000-00008F410000}"/>
    <cellStyle name="40% - uthevingsfarge 5 31 2 3 2 2" xfId="10134" xr:uid="{00000000-0005-0000-0000-000090410000}"/>
    <cellStyle name="40% - uthevingsfarge 5 31 2 3 2 2 2" xfId="21620" xr:uid="{00000000-0005-0000-0000-000091410000}"/>
    <cellStyle name="40% - uthevingsfarge 5 31 2 3 2 2 2 2" xfId="37700" xr:uid="{00000000-0005-0000-0000-000092410000}"/>
    <cellStyle name="40% - uthevingsfarge 5 31 2 3 2 2 3" xfId="27665" xr:uid="{00000000-0005-0000-0000-000093410000}"/>
    <cellStyle name="40% - uthevingsfarge 5 31 2 3 2 3" xfId="10346" xr:uid="{00000000-0005-0000-0000-000094410000}"/>
    <cellStyle name="40% - uthevingsfarge 5 31 2 3 2 3 2" xfId="34320" xr:uid="{00000000-0005-0000-0000-000095410000}"/>
    <cellStyle name="40% - uthevingsfarge 5 31 2 3 2 4" xfId="31066" xr:uid="{00000000-0005-0000-0000-000096410000}"/>
    <cellStyle name="40% - uthevingsfarge 5 31 2 3 3" xfId="8431" xr:uid="{00000000-0005-0000-0000-000097410000}"/>
    <cellStyle name="40% - uthevingsfarge 5 31 2 3 3 2" xfId="21869" xr:uid="{00000000-0005-0000-0000-000098410000}"/>
    <cellStyle name="40% - uthevingsfarge 5 31 2 3 3 2 2" xfId="37945" xr:uid="{00000000-0005-0000-0000-000099410000}"/>
    <cellStyle name="40% - uthevingsfarge 5 31 2 3 3 3" xfId="29367" xr:uid="{00000000-0005-0000-0000-00009A410000}"/>
    <cellStyle name="40% - uthevingsfarge 5 31 2 3 4" xfId="19727" xr:uid="{00000000-0005-0000-0000-00009B410000}"/>
    <cellStyle name="40% - uthevingsfarge 5 31 2 3 4 2" xfId="35841" xr:uid="{00000000-0005-0000-0000-00009C410000}"/>
    <cellStyle name="40% - uthevingsfarge 5 31 2 3 5" xfId="32758" xr:uid="{00000000-0005-0000-0000-00009D410000}"/>
    <cellStyle name="40% - uthevingsfarge 5 31 2 4" xfId="5563" xr:uid="{00000000-0005-0000-0000-00009E410000}"/>
    <cellStyle name="40% - uthevingsfarge 5 31 2 4 2" xfId="8978" xr:uid="{00000000-0005-0000-0000-00009F410000}"/>
    <cellStyle name="40% - uthevingsfarge 5 31 2 4 2 2" xfId="11736" xr:uid="{00000000-0005-0000-0000-0000A0410000}"/>
    <cellStyle name="40% - uthevingsfarge 5 31 2 4 2 2 2" xfId="34848" xr:uid="{00000000-0005-0000-0000-0000A1410000}"/>
    <cellStyle name="40% - uthevingsfarge 5 31 2 4 2 3" xfId="28820" xr:uid="{00000000-0005-0000-0000-0000A2410000}"/>
    <cellStyle name="40% - uthevingsfarge 5 31 2 4 3" xfId="22874" xr:uid="{00000000-0005-0000-0000-0000A3410000}"/>
    <cellStyle name="40% - uthevingsfarge 5 31 2 4 3 2" xfId="38943" xr:uid="{00000000-0005-0000-0000-0000A4410000}"/>
    <cellStyle name="40% - uthevingsfarge 5 31 2 4 4" xfId="32211" xr:uid="{00000000-0005-0000-0000-0000A5410000}"/>
    <cellStyle name="40% - uthevingsfarge 5 31 2 5" xfId="7281" xr:uid="{00000000-0005-0000-0000-0000A6410000}"/>
    <cellStyle name="40% - uthevingsfarge 5 31 2 5 2" xfId="20722" xr:uid="{00000000-0005-0000-0000-0000A7410000}"/>
    <cellStyle name="40% - uthevingsfarge 5 31 2 5 2 2" xfId="36821" xr:uid="{00000000-0005-0000-0000-0000A8410000}"/>
    <cellStyle name="40% - uthevingsfarge 5 31 2 5 3" xfId="30517" xr:uid="{00000000-0005-0000-0000-0000A9410000}"/>
    <cellStyle name="40% - uthevingsfarge 5 31 2 6" xfId="19591" xr:uid="{00000000-0005-0000-0000-0000AA410000}"/>
    <cellStyle name="40% - uthevingsfarge 5 31 2 6 2" xfId="35705" xr:uid="{00000000-0005-0000-0000-0000AB410000}"/>
    <cellStyle name="40% - uthevingsfarge 5 31 2 7" xfId="33904" xr:uid="{00000000-0005-0000-0000-0000AC410000}"/>
    <cellStyle name="40% - uthevingsfarge 5 31 3" xfId="3889" xr:uid="{00000000-0005-0000-0000-0000AD410000}"/>
    <cellStyle name="40% - uthevingsfarge 5 31 3 2" xfId="5777" xr:uid="{00000000-0005-0000-0000-0000AE410000}"/>
    <cellStyle name="40% - uthevingsfarge 5 31 3 2 2" xfId="9192" xr:uid="{00000000-0005-0000-0000-0000AF410000}"/>
    <cellStyle name="40% - uthevingsfarge 5 31 3 2 2 2" xfId="23471" xr:uid="{00000000-0005-0000-0000-0000B0410000}"/>
    <cellStyle name="40% - uthevingsfarge 5 31 3 2 2 2 2" xfId="39527" xr:uid="{00000000-0005-0000-0000-0000B1410000}"/>
    <cellStyle name="40% - uthevingsfarge 5 31 3 2 2 3" xfId="28606" xr:uid="{00000000-0005-0000-0000-0000B2410000}"/>
    <cellStyle name="40% - uthevingsfarge 5 31 3 2 3" xfId="20199" xr:uid="{00000000-0005-0000-0000-0000B3410000}"/>
    <cellStyle name="40% - uthevingsfarge 5 31 3 2 3 2" xfId="36298" xr:uid="{00000000-0005-0000-0000-0000B4410000}"/>
    <cellStyle name="40% - uthevingsfarge 5 31 3 2 4" xfId="31997" xr:uid="{00000000-0005-0000-0000-0000B5410000}"/>
    <cellStyle name="40% - uthevingsfarge 5 31 3 3" xfId="7495" xr:uid="{00000000-0005-0000-0000-0000B6410000}"/>
    <cellStyle name="40% - uthevingsfarge 5 31 3 3 2" xfId="24219" xr:uid="{00000000-0005-0000-0000-0000B7410000}"/>
    <cellStyle name="40% - uthevingsfarge 5 31 3 3 2 2" xfId="40272" xr:uid="{00000000-0005-0000-0000-0000B8410000}"/>
    <cellStyle name="40% - uthevingsfarge 5 31 3 3 3" xfId="30303" xr:uid="{00000000-0005-0000-0000-0000B9410000}"/>
    <cellStyle name="40% - uthevingsfarge 5 31 3 4" xfId="12501" xr:uid="{00000000-0005-0000-0000-0000BA410000}"/>
    <cellStyle name="40% - uthevingsfarge 5 31 3 4 2" xfId="35261" xr:uid="{00000000-0005-0000-0000-0000BB410000}"/>
    <cellStyle name="40% - uthevingsfarge 5 31 3 5" xfId="33690" xr:uid="{00000000-0005-0000-0000-0000BC410000}"/>
    <cellStyle name="40% - uthevingsfarge 5 31 4" xfId="4829" xr:uid="{00000000-0005-0000-0000-0000BD410000}"/>
    <cellStyle name="40% - uthevingsfarge 5 31 4 2" xfId="6548" xr:uid="{00000000-0005-0000-0000-0000BE410000}"/>
    <cellStyle name="40% - uthevingsfarge 5 31 4 2 2" xfId="9954" xr:uid="{00000000-0005-0000-0000-0000BF410000}"/>
    <cellStyle name="40% - uthevingsfarge 5 31 4 2 2 2" xfId="21548" xr:uid="{00000000-0005-0000-0000-0000C0410000}"/>
    <cellStyle name="40% - uthevingsfarge 5 31 4 2 2 2 2" xfId="37628" xr:uid="{00000000-0005-0000-0000-0000C1410000}"/>
    <cellStyle name="40% - uthevingsfarge 5 31 4 2 2 3" xfId="27845" xr:uid="{00000000-0005-0000-0000-0000C2410000}"/>
    <cellStyle name="40% - uthevingsfarge 5 31 4 2 3" xfId="20493" xr:uid="{00000000-0005-0000-0000-0000C3410000}"/>
    <cellStyle name="40% - uthevingsfarge 5 31 4 2 3 2" xfId="36592" xr:uid="{00000000-0005-0000-0000-0000C4410000}"/>
    <cellStyle name="40% - uthevingsfarge 5 31 4 2 4" xfId="31246" xr:uid="{00000000-0005-0000-0000-0000C5410000}"/>
    <cellStyle name="40% - uthevingsfarge 5 31 4 3" xfId="8251" xr:uid="{00000000-0005-0000-0000-0000C6410000}"/>
    <cellStyle name="40% - uthevingsfarge 5 31 4 3 2" xfId="23336" xr:uid="{00000000-0005-0000-0000-0000C7410000}"/>
    <cellStyle name="40% - uthevingsfarge 5 31 4 3 2 2" xfId="39398" xr:uid="{00000000-0005-0000-0000-0000C8410000}"/>
    <cellStyle name="40% - uthevingsfarge 5 31 4 3 3" xfId="29546" xr:uid="{00000000-0005-0000-0000-0000C9410000}"/>
    <cellStyle name="40% - uthevingsfarge 5 31 4 4" xfId="20047" xr:uid="{00000000-0005-0000-0000-0000CA410000}"/>
    <cellStyle name="40% - uthevingsfarge 5 31 4 4 2" xfId="36151" xr:uid="{00000000-0005-0000-0000-0000CB410000}"/>
    <cellStyle name="40% - uthevingsfarge 5 31 4 5" xfId="32938" xr:uid="{00000000-0005-0000-0000-0000CC410000}"/>
    <cellStyle name="40% - uthevingsfarge 5 31 5" xfId="5393" xr:uid="{00000000-0005-0000-0000-0000CD410000}"/>
    <cellStyle name="40% - uthevingsfarge 5 31 5 2" xfId="8808" xr:uid="{00000000-0005-0000-0000-0000CE410000}"/>
    <cellStyle name="40% - uthevingsfarge 5 31 5 2 2" xfId="22739" xr:uid="{00000000-0005-0000-0000-0000CF410000}"/>
    <cellStyle name="40% - uthevingsfarge 5 31 5 2 2 2" xfId="38808" xr:uid="{00000000-0005-0000-0000-0000D0410000}"/>
    <cellStyle name="40% - uthevingsfarge 5 31 5 2 3" xfId="28990" xr:uid="{00000000-0005-0000-0000-0000D1410000}"/>
    <cellStyle name="40% - uthevingsfarge 5 31 5 3" xfId="22856" xr:uid="{00000000-0005-0000-0000-0000D2410000}"/>
    <cellStyle name="40% - uthevingsfarge 5 31 5 3 2" xfId="38925" xr:uid="{00000000-0005-0000-0000-0000D3410000}"/>
    <cellStyle name="40% - uthevingsfarge 5 31 5 4" xfId="32381" xr:uid="{00000000-0005-0000-0000-0000D4410000}"/>
    <cellStyle name="40% - uthevingsfarge 5 31 6" xfId="7101" xr:uid="{00000000-0005-0000-0000-0000D5410000}"/>
    <cellStyle name="40% - uthevingsfarge 5 31 6 2" xfId="20667" xr:uid="{00000000-0005-0000-0000-0000D6410000}"/>
    <cellStyle name="40% - uthevingsfarge 5 31 6 2 2" xfId="36766" xr:uid="{00000000-0005-0000-0000-0000D7410000}"/>
    <cellStyle name="40% - uthevingsfarge 5 31 6 3" xfId="30697" xr:uid="{00000000-0005-0000-0000-0000D8410000}"/>
    <cellStyle name="40% - uthevingsfarge 5 31 7" xfId="23762" xr:uid="{00000000-0005-0000-0000-0000D9410000}"/>
    <cellStyle name="40% - uthevingsfarge 5 31 7 2" xfId="39818" xr:uid="{00000000-0005-0000-0000-0000DA410000}"/>
    <cellStyle name="40% - uthevingsfarge 5 31 8" xfId="34084" xr:uid="{00000000-0005-0000-0000-0000DB410000}"/>
    <cellStyle name="40% - uthevingsfarge 5 32" xfId="4453" xr:uid="{00000000-0005-0000-0000-0000DC410000}"/>
    <cellStyle name="40% - uthevingsfarge 5 32 2" xfId="6250" xr:uid="{00000000-0005-0000-0000-0000DD410000}"/>
    <cellStyle name="40% - uthevingsfarge 5 32 2 2" xfId="9660" xr:uid="{00000000-0005-0000-0000-0000DE410000}"/>
    <cellStyle name="40% - uthevingsfarge 5 32 2 2 2" xfId="10398" xr:uid="{00000000-0005-0000-0000-0000DF410000}"/>
    <cellStyle name="40% - uthevingsfarge 5 32 2 2 2 2" xfId="34344" xr:uid="{00000000-0005-0000-0000-0000E0410000}"/>
    <cellStyle name="40% - uthevingsfarge 5 32 2 2 3" xfId="28139" xr:uid="{00000000-0005-0000-0000-0000E1410000}"/>
    <cellStyle name="40% - uthevingsfarge 5 32 2 3" xfId="23003" xr:uid="{00000000-0005-0000-0000-0000E2410000}"/>
    <cellStyle name="40% - uthevingsfarge 5 32 2 3 2" xfId="39072" xr:uid="{00000000-0005-0000-0000-0000E3410000}"/>
    <cellStyle name="40% - uthevingsfarge 5 32 2 4" xfId="31540" xr:uid="{00000000-0005-0000-0000-0000E4410000}"/>
    <cellStyle name="40% - uthevingsfarge 5 32 3" xfId="7956" xr:uid="{00000000-0005-0000-0000-0000E5410000}"/>
    <cellStyle name="40% - uthevingsfarge 5 32 3 2" xfId="23294" xr:uid="{00000000-0005-0000-0000-0000E6410000}"/>
    <cellStyle name="40% - uthevingsfarge 5 32 3 2 2" xfId="39361" xr:uid="{00000000-0005-0000-0000-0000E7410000}"/>
    <cellStyle name="40% - uthevingsfarge 5 32 3 3" xfId="29843" xr:uid="{00000000-0005-0000-0000-0000E8410000}"/>
    <cellStyle name="40% - uthevingsfarge 5 32 4" xfId="20015" xr:uid="{00000000-0005-0000-0000-0000E9410000}"/>
    <cellStyle name="40% - uthevingsfarge 5 32 4 2" xfId="36119" xr:uid="{00000000-0005-0000-0000-0000EA410000}"/>
    <cellStyle name="40% - uthevingsfarge 5 32 5" xfId="34310" xr:uid="{00000000-0005-0000-0000-0000EB410000}"/>
    <cellStyle name="40% - uthevingsfarge 5 33" xfId="5358" xr:uid="{00000000-0005-0000-0000-0000EC410000}"/>
    <cellStyle name="40% - uthevingsfarge 5 33 2" xfId="8773" xr:uid="{00000000-0005-0000-0000-0000ED410000}"/>
    <cellStyle name="40% - uthevingsfarge 5 33 2 2" xfId="19514" xr:uid="{00000000-0005-0000-0000-0000EE410000}"/>
    <cellStyle name="40% - uthevingsfarge 5 33 2 2 2" xfId="35628" xr:uid="{00000000-0005-0000-0000-0000EF410000}"/>
    <cellStyle name="40% - uthevingsfarge 5 33 2 3" xfId="29025" xr:uid="{00000000-0005-0000-0000-0000F0410000}"/>
    <cellStyle name="40% - uthevingsfarge 5 33 3" xfId="19809" xr:uid="{00000000-0005-0000-0000-0000F1410000}"/>
    <cellStyle name="40% - uthevingsfarge 5 33 3 2" xfId="35922" xr:uid="{00000000-0005-0000-0000-0000F2410000}"/>
    <cellStyle name="40% - uthevingsfarge 5 33 4" xfId="32416" xr:uid="{00000000-0005-0000-0000-0000F3410000}"/>
    <cellStyle name="40% - uthevingsfarge 5 34" xfId="40959" xr:uid="{00000000-0005-0000-0000-0000F4410000}"/>
    <cellStyle name="40% - uthevingsfarge 5 35" xfId="43157" xr:uid="{00000000-0005-0000-0000-0000F5410000}"/>
    <cellStyle name="40% - uthevingsfarge 5 36" xfId="40910" xr:uid="{00000000-0005-0000-0000-0000F6410000}"/>
    <cellStyle name="40% - uthevingsfarge 5 37" xfId="40805" xr:uid="{00000000-0005-0000-0000-0000F7410000}"/>
    <cellStyle name="40% - uthevingsfarge 5 38" xfId="40876" xr:uid="{00000000-0005-0000-0000-0000F8410000}"/>
    <cellStyle name="40% - uthevingsfarge 5 39" xfId="40835" xr:uid="{00000000-0005-0000-0000-0000F9410000}"/>
    <cellStyle name="40% - uthevingsfarge 5 4" xfId="937" xr:uid="{00000000-0005-0000-0000-0000FA410000}"/>
    <cellStyle name="40% - uthevingsfarge 5 4 2" xfId="938" xr:uid="{00000000-0005-0000-0000-0000FB410000}"/>
    <cellStyle name="40% - uthevingsfarge 5 40" xfId="43165" xr:uid="{00000000-0005-0000-0000-0000FC410000}"/>
    <cellStyle name="40% - uthevingsfarge 5 41" xfId="43220" xr:uid="{00000000-0005-0000-0000-0000FD410000}"/>
    <cellStyle name="40% - uthevingsfarge 5 42" xfId="43434" xr:uid="{00000000-0005-0000-0000-0000FE410000}"/>
    <cellStyle name="40% - uthevingsfarge 5 43" xfId="43708" xr:uid="{00000000-0005-0000-0000-0000FF410000}"/>
    <cellStyle name="40% - uthevingsfarge 5 44" xfId="43671" xr:uid="{00000000-0005-0000-0000-000000420000}"/>
    <cellStyle name="40% - uthevingsfarge 5 45" xfId="46062" xr:uid="{00000000-0005-0000-0000-000001420000}"/>
    <cellStyle name="40% - uthevingsfarge 5 46" xfId="46322" xr:uid="{00000000-0005-0000-0000-000002420000}"/>
    <cellStyle name="40% - uthevingsfarge 5 47" xfId="46339" xr:uid="{00000000-0005-0000-0000-000003420000}"/>
    <cellStyle name="40% - uthevingsfarge 5 48" xfId="46813" xr:uid="{00000000-0005-0000-0000-000004420000}"/>
    <cellStyle name="40% - uthevingsfarge 5 49" xfId="46572" xr:uid="{00000000-0005-0000-0000-000005420000}"/>
    <cellStyle name="40% - uthevingsfarge 5 5" xfId="939" xr:uid="{00000000-0005-0000-0000-000006420000}"/>
    <cellStyle name="40% - uthevingsfarge 5 5 2" xfId="940" xr:uid="{00000000-0005-0000-0000-000007420000}"/>
    <cellStyle name="40% - uthevingsfarge 5 50" xfId="46576" xr:uid="{00000000-0005-0000-0000-000008420000}"/>
    <cellStyle name="40% - uthevingsfarge 5 51" xfId="46347" xr:uid="{00000000-0005-0000-0000-000009420000}"/>
    <cellStyle name="40% - uthevingsfarge 5 6" xfId="941" xr:uid="{00000000-0005-0000-0000-00000A420000}"/>
    <cellStyle name="40% - uthevingsfarge 5 6 2" xfId="942" xr:uid="{00000000-0005-0000-0000-00000B420000}"/>
    <cellStyle name="40% - uthevingsfarge 5 7" xfId="943" xr:uid="{00000000-0005-0000-0000-00000C420000}"/>
    <cellStyle name="40% - uthevingsfarge 5 7 2" xfId="944" xr:uid="{00000000-0005-0000-0000-00000D420000}"/>
    <cellStyle name="40% - uthevingsfarge 5 8" xfId="945" xr:uid="{00000000-0005-0000-0000-00000E420000}"/>
    <cellStyle name="40% - uthevingsfarge 5 8 2" xfId="946" xr:uid="{00000000-0005-0000-0000-00000F420000}"/>
    <cellStyle name="40% - uthevingsfarge 5 9" xfId="947" xr:uid="{00000000-0005-0000-0000-000010420000}"/>
    <cellStyle name="40% - uthevingsfarge 5 9 2" xfId="948" xr:uid="{00000000-0005-0000-0000-000011420000}"/>
    <cellStyle name="40% - uthevingsfarge 6" xfId="4575" xr:uid="{00000000-0005-0000-0000-000012420000}"/>
    <cellStyle name="40% - uthevingsfarge 6 10" xfId="950" xr:uid="{00000000-0005-0000-0000-000013420000}"/>
    <cellStyle name="40% - uthevingsfarge 6 10 2" xfId="951" xr:uid="{00000000-0005-0000-0000-000014420000}"/>
    <cellStyle name="40% - uthevingsfarge 6 11" xfId="952" xr:uid="{00000000-0005-0000-0000-000015420000}"/>
    <cellStyle name="40% - uthevingsfarge 6 11 2" xfId="953" xr:uid="{00000000-0005-0000-0000-000016420000}"/>
    <cellStyle name="40% - uthevingsfarge 6 12" xfId="954" xr:uid="{00000000-0005-0000-0000-000017420000}"/>
    <cellStyle name="40% - uthevingsfarge 6 12 2" xfId="955" xr:uid="{00000000-0005-0000-0000-000018420000}"/>
    <cellStyle name="40% - uthevingsfarge 6 13" xfId="956" xr:uid="{00000000-0005-0000-0000-000019420000}"/>
    <cellStyle name="40% - uthevingsfarge 6 13 2" xfId="957" xr:uid="{00000000-0005-0000-0000-00001A420000}"/>
    <cellStyle name="40% - uthevingsfarge 6 14" xfId="958" xr:uid="{00000000-0005-0000-0000-00001B420000}"/>
    <cellStyle name="40% - uthevingsfarge 6 14 2" xfId="959" xr:uid="{00000000-0005-0000-0000-00001C420000}"/>
    <cellStyle name="40% - uthevingsfarge 6 15" xfId="960" xr:uid="{00000000-0005-0000-0000-00001D420000}"/>
    <cellStyle name="40% - uthevingsfarge 6 15 2" xfId="961" xr:uid="{00000000-0005-0000-0000-00001E420000}"/>
    <cellStyle name="40% - uthevingsfarge 6 16" xfId="962" xr:uid="{00000000-0005-0000-0000-00001F420000}"/>
    <cellStyle name="40% - uthevingsfarge 6 16 2" xfId="963" xr:uid="{00000000-0005-0000-0000-000020420000}"/>
    <cellStyle name="40% - uthevingsfarge 6 17" xfId="964" xr:uid="{00000000-0005-0000-0000-000021420000}"/>
    <cellStyle name="40% - uthevingsfarge 6 17 2" xfId="965" xr:uid="{00000000-0005-0000-0000-000022420000}"/>
    <cellStyle name="40% - uthevingsfarge 6 18" xfId="966" xr:uid="{00000000-0005-0000-0000-000023420000}"/>
    <cellStyle name="40% - uthevingsfarge 6 18 2" xfId="967" xr:uid="{00000000-0005-0000-0000-000024420000}"/>
    <cellStyle name="40% - uthevingsfarge 6 19" xfId="968" xr:uid="{00000000-0005-0000-0000-000025420000}"/>
    <cellStyle name="40% - uthevingsfarge 6 19 2" xfId="969" xr:uid="{00000000-0005-0000-0000-000026420000}"/>
    <cellStyle name="40% - uthevingsfarge 6 2" xfId="970" xr:uid="{00000000-0005-0000-0000-000027420000}"/>
    <cellStyle name="40% - uthevingsfarge 6 2 2" xfId="971" xr:uid="{00000000-0005-0000-0000-000028420000}"/>
    <cellStyle name="40% - uthevingsfarge 6 2 3" xfId="972" xr:uid="{00000000-0005-0000-0000-000029420000}"/>
    <cellStyle name="40% - uthevingsfarge 6 2 4" xfId="973" xr:uid="{00000000-0005-0000-0000-00002A420000}"/>
    <cellStyle name="40% - uthevingsfarge 6 2 5" xfId="11236" xr:uid="{00000000-0005-0000-0000-00002B420000}"/>
    <cellStyle name="40% - uthevingsfarge 6 2 6" xfId="11237" xr:uid="{00000000-0005-0000-0000-00002C420000}"/>
    <cellStyle name="40% - uthevingsfarge 6 2 7" xfId="11238" xr:uid="{00000000-0005-0000-0000-00002D420000}"/>
    <cellStyle name="40% - uthevingsfarge 6 2 8" xfId="11239" xr:uid="{00000000-0005-0000-0000-00002E420000}"/>
    <cellStyle name="40% - uthevingsfarge 6 2 9" xfId="11240" xr:uid="{00000000-0005-0000-0000-00002F420000}"/>
    <cellStyle name="40% - uthevingsfarge 6 20" xfId="974" xr:uid="{00000000-0005-0000-0000-000030420000}"/>
    <cellStyle name="40% - uthevingsfarge 6 20 2" xfId="975" xr:uid="{00000000-0005-0000-0000-000031420000}"/>
    <cellStyle name="40% - uthevingsfarge 6 21" xfId="976" xr:uid="{00000000-0005-0000-0000-000032420000}"/>
    <cellStyle name="40% - uthevingsfarge 6 22" xfId="977" xr:uid="{00000000-0005-0000-0000-000033420000}"/>
    <cellStyle name="40% - uthevingsfarge 6 23" xfId="978" xr:uid="{00000000-0005-0000-0000-000034420000}"/>
    <cellStyle name="40% - uthevingsfarge 6 24" xfId="979" xr:uid="{00000000-0005-0000-0000-000035420000}"/>
    <cellStyle name="40% - uthevingsfarge 6 25" xfId="980" xr:uid="{00000000-0005-0000-0000-000036420000}"/>
    <cellStyle name="40% - uthevingsfarge 6 26" xfId="981" xr:uid="{00000000-0005-0000-0000-000037420000}"/>
    <cellStyle name="40% - uthevingsfarge 6 26 10" xfId="6956" xr:uid="{00000000-0005-0000-0000-000038420000}"/>
    <cellStyle name="40% - uthevingsfarge 6 26 10 2" xfId="24121" xr:uid="{00000000-0005-0000-0000-000039420000}"/>
    <cellStyle name="40% - uthevingsfarge 6 26 10 2 2" xfId="40174" xr:uid="{00000000-0005-0000-0000-00003A420000}"/>
    <cellStyle name="40% - uthevingsfarge 6 26 10 3" xfId="30842" xr:uid="{00000000-0005-0000-0000-00003B420000}"/>
    <cellStyle name="40% - uthevingsfarge 6 26 11" xfId="11241" xr:uid="{00000000-0005-0000-0000-00003C420000}"/>
    <cellStyle name="40% - uthevingsfarge 6 26 12" xfId="34230" xr:uid="{00000000-0005-0000-0000-00003D420000}"/>
    <cellStyle name="40% - uthevingsfarge 6 26 2" xfId="982" xr:uid="{00000000-0005-0000-0000-00003E420000}"/>
    <cellStyle name="40% - uthevingsfarge 6 26 3" xfId="3356" xr:uid="{00000000-0005-0000-0000-00003F420000}"/>
    <cellStyle name="40% - uthevingsfarge 6 26 3 10" xfId="34135" xr:uid="{00000000-0005-0000-0000-000040420000}"/>
    <cellStyle name="40% - uthevingsfarge 6 26 3 2" xfId="3588" xr:uid="{00000000-0005-0000-0000-000041420000}"/>
    <cellStyle name="40% - uthevingsfarge 6 26 3 2 10" xfId="47187" xr:uid="{00000000-0005-0000-0000-000042420000}"/>
    <cellStyle name="40% - uthevingsfarge 6 26 3 2 2" xfId="4018" xr:uid="{00000000-0005-0000-0000-000043420000}"/>
    <cellStyle name="40% - uthevingsfarge 6 26 3 2 2 2" xfId="5906" xr:uid="{00000000-0005-0000-0000-000044420000}"/>
    <cellStyle name="40% - uthevingsfarge 6 26 3 2 2 2 2" xfId="9321" xr:uid="{00000000-0005-0000-0000-000045420000}"/>
    <cellStyle name="40% - uthevingsfarge 6 26 3 2 2 2 2 2" xfId="21347" xr:uid="{00000000-0005-0000-0000-000046420000}"/>
    <cellStyle name="40% - uthevingsfarge 6 26 3 2 2 2 2 2 2" xfId="37427" xr:uid="{00000000-0005-0000-0000-000047420000}"/>
    <cellStyle name="40% - uthevingsfarge 6 26 3 2 2 2 2 3" xfId="28477" xr:uid="{00000000-0005-0000-0000-000048420000}"/>
    <cellStyle name="40% - uthevingsfarge 6 26 3 2 2 2 3" xfId="22099" xr:uid="{00000000-0005-0000-0000-000049420000}"/>
    <cellStyle name="40% - uthevingsfarge 6 26 3 2 2 2 3 2" xfId="38173" xr:uid="{00000000-0005-0000-0000-00004A420000}"/>
    <cellStyle name="40% - uthevingsfarge 6 26 3 2 2 2 4" xfId="31870" xr:uid="{00000000-0005-0000-0000-00004B420000}"/>
    <cellStyle name="40% - uthevingsfarge 6 26 3 2 2 3" xfId="7624" xr:uid="{00000000-0005-0000-0000-00004C420000}"/>
    <cellStyle name="40% - uthevingsfarge 6 26 3 2 2 3 2" xfId="24238" xr:uid="{00000000-0005-0000-0000-00004D420000}"/>
    <cellStyle name="40% - uthevingsfarge 6 26 3 2 2 3 2 2" xfId="40291" xr:uid="{00000000-0005-0000-0000-00004E420000}"/>
    <cellStyle name="40% - uthevingsfarge 6 26 3 2 2 3 3" xfId="30174" xr:uid="{00000000-0005-0000-0000-00004F420000}"/>
    <cellStyle name="40% - uthevingsfarge 6 26 3 2 2 4" xfId="18049" xr:uid="{00000000-0005-0000-0000-000050420000}"/>
    <cellStyle name="40% - uthevingsfarge 6 26 3 2 2 5" xfId="11037" xr:uid="{00000000-0005-0000-0000-000051420000}"/>
    <cellStyle name="40% - uthevingsfarge 6 26 3 2 2 5 2" xfId="34745" xr:uid="{00000000-0005-0000-0000-000052420000}"/>
    <cellStyle name="40% - uthevingsfarge 6 26 3 2 2 6" xfId="33561" xr:uid="{00000000-0005-0000-0000-000053420000}"/>
    <cellStyle name="40% - uthevingsfarge 6 26 3 2 3" xfId="4958" xr:uid="{00000000-0005-0000-0000-000054420000}"/>
    <cellStyle name="40% - uthevingsfarge 6 26 3 2 3 10" xfId="47377" xr:uid="{00000000-0005-0000-0000-000055420000}"/>
    <cellStyle name="40% - uthevingsfarge 6 26 3 2 3 2" xfId="6677" xr:uid="{00000000-0005-0000-0000-000056420000}"/>
    <cellStyle name="40% - uthevingsfarge 6 26 3 2 3 2 2" xfId="10083" xr:uid="{00000000-0005-0000-0000-000057420000}"/>
    <cellStyle name="40% - uthevingsfarge 6 26 3 2 3 2 2 2" xfId="21599" xr:uid="{00000000-0005-0000-0000-000058420000}"/>
    <cellStyle name="40% - uthevingsfarge 6 26 3 2 3 2 2 2 2" xfId="37679" xr:uid="{00000000-0005-0000-0000-000059420000}"/>
    <cellStyle name="40% - uthevingsfarge 6 26 3 2 3 2 2 3" xfId="27716" xr:uid="{00000000-0005-0000-0000-00005A420000}"/>
    <cellStyle name="40% - uthevingsfarge 6 26 3 2 3 2 3" xfId="20537" xr:uid="{00000000-0005-0000-0000-00005B420000}"/>
    <cellStyle name="40% - uthevingsfarge 6 26 3 2 3 2 3 2" xfId="36636" xr:uid="{00000000-0005-0000-0000-00005C420000}"/>
    <cellStyle name="40% - uthevingsfarge 6 26 3 2 3 2 4" xfId="31117" xr:uid="{00000000-0005-0000-0000-00005D420000}"/>
    <cellStyle name="40% - uthevingsfarge 6 26 3 2 3 2 5" xfId="43071" xr:uid="{00000000-0005-0000-0000-00005E420000}"/>
    <cellStyle name="40% - uthevingsfarge 6 26 3 2 3 2 6" xfId="43368" xr:uid="{00000000-0005-0000-0000-00005F420000}"/>
    <cellStyle name="40% - uthevingsfarge 6 26 3 2 3 2 7" xfId="46216" xr:uid="{00000000-0005-0000-0000-000060420000}"/>
    <cellStyle name="40% - uthevingsfarge 6 26 3 2 3 2 8" xfId="46988" xr:uid="{00000000-0005-0000-0000-000061420000}"/>
    <cellStyle name="40% - uthevingsfarge 6 26 3 2 3 2 9" xfId="47573" xr:uid="{00000000-0005-0000-0000-000062420000}"/>
    <cellStyle name="40% - uthevingsfarge 6 26 3 2 3 3" xfId="8380" xr:uid="{00000000-0005-0000-0000-000063420000}"/>
    <cellStyle name="40% - uthevingsfarge 6 26 3 2 3 3 2" xfId="10561" xr:uid="{00000000-0005-0000-0000-000064420000}"/>
    <cellStyle name="40% - uthevingsfarge 6 26 3 2 3 3 2 2" xfId="34425" xr:uid="{00000000-0005-0000-0000-000065420000}"/>
    <cellStyle name="40% - uthevingsfarge 6 26 3 2 3 3 3" xfId="29418" xr:uid="{00000000-0005-0000-0000-000066420000}"/>
    <cellStyle name="40% - uthevingsfarge 6 26 3 2 3 3 4" xfId="43965" xr:uid="{00000000-0005-0000-0000-000067420000}"/>
    <cellStyle name="40% - uthevingsfarge 6 26 3 2 3 4" xfId="16516" xr:uid="{00000000-0005-0000-0000-000068420000}"/>
    <cellStyle name="40% - uthevingsfarge 6 26 3 2 3 4 2" xfId="35463" xr:uid="{00000000-0005-0000-0000-000069420000}"/>
    <cellStyle name="40% - uthevingsfarge 6 26 3 2 3 5" xfId="25125" xr:uid="{00000000-0005-0000-0000-00006A420000}"/>
    <cellStyle name="40% - uthevingsfarge 6 26 3 2 3 6" xfId="25328" xr:uid="{00000000-0005-0000-0000-00006B420000}"/>
    <cellStyle name="40% - uthevingsfarge 6 26 3 2 3 7" xfId="32809" xr:uid="{00000000-0005-0000-0000-00006C420000}"/>
    <cellStyle name="40% - uthevingsfarge 6 26 3 2 3 8" xfId="43829" xr:uid="{00000000-0005-0000-0000-00006D420000}"/>
    <cellStyle name="40% - uthevingsfarge 6 26 3 2 3 9" xfId="46754" xr:uid="{00000000-0005-0000-0000-00006E420000}"/>
    <cellStyle name="40% - uthevingsfarge 6 26 3 2 4" xfId="5512" xr:uid="{00000000-0005-0000-0000-00006F420000}"/>
    <cellStyle name="40% - uthevingsfarge 6 26 3 2 4 2" xfId="8927" xr:uid="{00000000-0005-0000-0000-000070420000}"/>
    <cellStyle name="40% - uthevingsfarge 6 26 3 2 4 2 2" xfId="24430" xr:uid="{00000000-0005-0000-0000-000071420000}"/>
    <cellStyle name="40% - uthevingsfarge 6 26 3 2 4 2 2 2" xfId="40474" xr:uid="{00000000-0005-0000-0000-000072420000}"/>
    <cellStyle name="40% - uthevingsfarge 6 26 3 2 4 2 3" xfId="28871" xr:uid="{00000000-0005-0000-0000-000073420000}"/>
    <cellStyle name="40% - uthevingsfarge 6 26 3 2 4 3" xfId="23867" xr:uid="{00000000-0005-0000-0000-000074420000}"/>
    <cellStyle name="40% - uthevingsfarge 6 26 3 2 4 3 2" xfId="39923" xr:uid="{00000000-0005-0000-0000-000075420000}"/>
    <cellStyle name="40% - uthevingsfarge 6 26 3 2 4 4" xfId="32262" xr:uid="{00000000-0005-0000-0000-000076420000}"/>
    <cellStyle name="40% - uthevingsfarge 6 26 3 2 5" xfId="7230" xr:uid="{00000000-0005-0000-0000-000077420000}"/>
    <cellStyle name="40% - uthevingsfarge 6 26 3 2 5 2" xfId="24167" xr:uid="{00000000-0005-0000-0000-000078420000}"/>
    <cellStyle name="40% - uthevingsfarge 6 26 3 2 5 2 2" xfId="40220" xr:uid="{00000000-0005-0000-0000-000079420000}"/>
    <cellStyle name="40% - uthevingsfarge 6 26 3 2 5 3" xfId="30568" xr:uid="{00000000-0005-0000-0000-00007A420000}"/>
    <cellStyle name="40% - uthevingsfarge 6 26 3 2 6" xfId="11243" xr:uid="{00000000-0005-0000-0000-00007B420000}"/>
    <cellStyle name="40% - uthevingsfarge 6 26 3 2 7" xfId="33955" xr:uid="{00000000-0005-0000-0000-00007C420000}"/>
    <cellStyle name="40% - uthevingsfarge 6 26 3 2 8" xfId="43620" xr:uid="{00000000-0005-0000-0000-00007D420000}"/>
    <cellStyle name="40% - uthevingsfarge 6 26 3 2 9" xfId="46526" xr:uid="{00000000-0005-0000-0000-00007E420000}"/>
    <cellStyle name="40% - uthevingsfarge 6 26 3 2_Avviksanalyse løpende RNB15 (1)" xfId="16653" xr:uid="{00000000-0005-0000-0000-00007F420000}"/>
    <cellStyle name="40% - uthevingsfarge 6 26 3 3" xfId="3838" xr:uid="{00000000-0005-0000-0000-000080420000}"/>
    <cellStyle name="40% - uthevingsfarge 6 26 3 3 2" xfId="5726" xr:uid="{00000000-0005-0000-0000-000081420000}"/>
    <cellStyle name="40% - uthevingsfarge 6 26 3 3 2 2" xfId="9141" xr:uid="{00000000-0005-0000-0000-000082420000}"/>
    <cellStyle name="40% - uthevingsfarge 6 26 3 3 2 2 2" xfId="21290" xr:uid="{00000000-0005-0000-0000-000083420000}"/>
    <cellStyle name="40% - uthevingsfarge 6 26 3 3 2 2 2 2" xfId="37370" xr:uid="{00000000-0005-0000-0000-000084420000}"/>
    <cellStyle name="40% - uthevingsfarge 6 26 3 3 2 2 3" xfId="28657" xr:uid="{00000000-0005-0000-0000-000085420000}"/>
    <cellStyle name="40% - uthevingsfarge 6 26 3 3 2 3" xfId="23908" xr:uid="{00000000-0005-0000-0000-000086420000}"/>
    <cellStyle name="40% - uthevingsfarge 6 26 3 3 2 3 2" xfId="39964" xr:uid="{00000000-0005-0000-0000-000087420000}"/>
    <cellStyle name="40% - uthevingsfarge 6 26 3 3 2 4" xfId="32048" xr:uid="{00000000-0005-0000-0000-000088420000}"/>
    <cellStyle name="40% - uthevingsfarge 6 26 3 3 3" xfId="7444" xr:uid="{00000000-0005-0000-0000-000089420000}"/>
    <cellStyle name="40% - uthevingsfarge 6 26 3 3 3 2" xfId="20785" xr:uid="{00000000-0005-0000-0000-00008A420000}"/>
    <cellStyle name="40% - uthevingsfarge 6 26 3 3 3 2 2" xfId="36884" xr:uid="{00000000-0005-0000-0000-00008B420000}"/>
    <cellStyle name="40% - uthevingsfarge 6 26 3 3 3 3" xfId="30354" xr:uid="{00000000-0005-0000-0000-00008C420000}"/>
    <cellStyle name="40% - uthevingsfarge 6 26 3 3 4" xfId="19937" xr:uid="{00000000-0005-0000-0000-00008D420000}"/>
    <cellStyle name="40% - uthevingsfarge 6 26 3 3 4 2" xfId="36041" xr:uid="{00000000-0005-0000-0000-00008E420000}"/>
    <cellStyle name="40% - uthevingsfarge 6 26 3 3 5" xfId="33741" xr:uid="{00000000-0005-0000-0000-00008F420000}"/>
    <cellStyle name="40% - uthevingsfarge 6 26 3 4" xfId="4323" xr:uid="{00000000-0005-0000-0000-000090420000}"/>
    <cellStyle name="40% - uthevingsfarge 6 26 3 4 2" xfId="6152" xr:uid="{00000000-0005-0000-0000-000091420000}"/>
    <cellStyle name="40% - uthevingsfarge 6 26 3 4 2 2" xfId="9566" xr:uid="{00000000-0005-0000-0000-000092420000}"/>
    <cellStyle name="40% - uthevingsfarge 6 26 3 4 2 2 2" xfId="23526" xr:uid="{00000000-0005-0000-0000-000093420000}"/>
    <cellStyle name="40% - uthevingsfarge 6 26 3 4 2 2 2 2" xfId="39582" xr:uid="{00000000-0005-0000-0000-000094420000}"/>
    <cellStyle name="40% - uthevingsfarge 6 26 3 4 2 2 3" xfId="28232" xr:uid="{00000000-0005-0000-0000-000095420000}"/>
    <cellStyle name="40% - uthevingsfarge 6 26 3 4 2 3" xfId="22984" xr:uid="{00000000-0005-0000-0000-000096420000}"/>
    <cellStyle name="40% - uthevingsfarge 6 26 3 4 2 3 2" xfId="39053" xr:uid="{00000000-0005-0000-0000-000097420000}"/>
    <cellStyle name="40% - uthevingsfarge 6 26 3 4 2 4" xfId="31629" xr:uid="{00000000-0005-0000-0000-000098420000}"/>
    <cellStyle name="40% - uthevingsfarge 6 26 3 4 3" xfId="7885" xr:uid="{00000000-0005-0000-0000-000099420000}"/>
    <cellStyle name="40% - uthevingsfarge 6 26 3 4 3 2" xfId="19448" xr:uid="{00000000-0005-0000-0000-00009A420000}"/>
    <cellStyle name="40% - uthevingsfarge 6 26 3 4 3 2 2" xfId="35562" xr:uid="{00000000-0005-0000-0000-00009B420000}"/>
    <cellStyle name="40% - uthevingsfarge 6 26 3 4 3 3" xfId="29914" xr:uid="{00000000-0005-0000-0000-00009C420000}"/>
    <cellStyle name="40% - uthevingsfarge 6 26 3 4 4" xfId="22815" xr:uid="{00000000-0005-0000-0000-00009D420000}"/>
    <cellStyle name="40% - uthevingsfarge 6 26 3 4 4 2" xfId="38884" xr:uid="{00000000-0005-0000-0000-00009E420000}"/>
    <cellStyle name="40% - uthevingsfarge 6 26 3 4 5" xfId="33302" xr:uid="{00000000-0005-0000-0000-00009F420000}"/>
    <cellStyle name="40% - uthevingsfarge 6 26 3 5" xfId="4778" xr:uid="{00000000-0005-0000-0000-0000A0420000}"/>
    <cellStyle name="40% - uthevingsfarge 6 26 3 5 2" xfId="6498" xr:uid="{00000000-0005-0000-0000-0000A1420000}"/>
    <cellStyle name="40% - uthevingsfarge 6 26 3 5 2 2" xfId="9904" xr:uid="{00000000-0005-0000-0000-0000A2420000}"/>
    <cellStyle name="40% - uthevingsfarge 6 26 3 5 2 2 2" xfId="24585" xr:uid="{00000000-0005-0000-0000-0000A3420000}"/>
    <cellStyle name="40% - uthevingsfarge 6 26 3 5 2 2 2 2" xfId="40629" xr:uid="{00000000-0005-0000-0000-0000A4420000}"/>
    <cellStyle name="40% - uthevingsfarge 6 26 3 5 2 2 3" xfId="27895" xr:uid="{00000000-0005-0000-0000-0000A5420000}"/>
    <cellStyle name="40% - uthevingsfarge 6 26 3 5 2 3" xfId="20476" xr:uid="{00000000-0005-0000-0000-0000A6420000}"/>
    <cellStyle name="40% - uthevingsfarge 6 26 3 5 2 3 2" xfId="36575" xr:uid="{00000000-0005-0000-0000-0000A7420000}"/>
    <cellStyle name="40% - uthevingsfarge 6 26 3 5 2 4" xfId="31296" xr:uid="{00000000-0005-0000-0000-0000A8420000}"/>
    <cellStyle name="40% - uthevingsfarge 6 26 3 5 3" xfId="8200" xr:uid="{00000000-0005-0000-0000-0000A9420000}"/>
    <cellStyle name="40% - uthevingsfarge 6 26 3 5 3 2" xfId="19470" xr:uid="{00000000-0005-0000-0000-0000AA420000}"/>
    <cellStyle name="40% - uthevingsfarge 6 26 3 5 3 2 2" xfId="35584" xr:uid="{00000000-0005-0000-0000-0000AB420000}"/>
    <cellStyle name="40% - uthevingsfarge 6 26 3 5 3 3" xfId="29597" xr:uid="{00000000-0005-0000-0000-0000AC420000}"/>
    <cellStyle name="40% - uthevingsfarge 6 26 3 5 4" xfId="19704" xr:uid="{00000000-0005-0000-0000-0000AD420000}"/>
    <cellStyle name="40% - uthevingsfarge 6 26 3 5 4 2" xfId="35818" xr:uid="{00000000-0005-0000-0000-0000AE420000}"/>
    <cellStyle name="40% - uthevingsfarge 6 26 3 5 5" xfId="32989" xr:uid="{00000000-0005-0000-0000-0000AF420000}"/>
    <cellStyle name="40% - uthevingsfarge 6 26 3 6" xfId="5138" xr:uid="{00000000-0005-0000-0000-0000B0420000}"/>
    <cellStyle name="40% - uthevingsfarge 6 26 3 6 2" xfId="6857" xr:uid="{00000000-0005-0000-0000-0000B1420000}"/>
    <cellStyle name="40% - uthevingsfarge 6 26 3 6 2 2" xfId="10263" xr:uid="{00000000-0005-0000-0000-0000B2420000}"/>
    <cellStyle name="40% - uthevingsfarge 6 26 3 6 2 2 2" xfId="24706" xr:uid="{00000000-0005-0000-0000-0000B3420000}"/>
    <cellStyle name="40% - uthevingsfarge 6 26 3 6 2 2 2 2" xfId="40749" xr:uid="{00000000-0005-0000-0000-0000B4420000}"/>
    <cellStyle name="40% - uthevingsfarge 6 26 3 6 2 2 3" xfId="27536" xr:uid="{00000000-0005-0000-0000-0000B5420000}"/>
    <cellStyle name="40% - uthevingsfarge 6 26 3 6 2 3" xfId="20581" xr:uid="{00000000-0005-0000-0000-0000B6420000}"/>
    <cellStyle name="40% - uthevingsfarge 6 26 3 6 2 3 2" xfId="36680" xr:uid="{00000000-0005-0000-0000-0000B7420000}"/>
    <cellStyle name="40% - uthevingsfarge 6 26 3 6 2 4" xfId="30937" xr:uid="{00000000-0005-0000-0000-0000B8420000}"/>
    <cellStyle name="40% - uthevingsfarge 6 26 3 6 3" xfId="8560" xr:uid="{00000000-0005-0000-0000-0000B9420000}"/>
    <cellStyle name="40% - uthevingsfarge 6 26 3 6 3 2" xfId="21128" xr:uid="{00000000-0005-0000-0000-0000BA420000}"/>
    <cellStyle name="40% - uthevingsfarge 6 26 3 6 3 2 2" xfId="37208" xr:uid="{00000000-0005-0000-0000-0000BB420000}"/>
    <cellStyle name="40% - uthevingsfarge 6 26 3 6 3 3" xfId="29238" xr:uid="{00000000-0005-0000-0000-0000BC420000}"/>
    <cellStyle name="40% - uthevingsfarge 6 26 3 6 4" xfId="19757" xr:uid="{00000000-0005-0000-0000-0000BD420000}"/>
    <cellStyle name="40% - uthevingsfarge 6 26 3 6 4 2" xfId="35871" xr:uid="{00000000-0005-0000-0000-0000BE420000}"/>
    <cellStyle name="40% - uthevingsfarge 6 26 3 6 5" xfId="32629" xr:uid="{00000000-0005-0000-0000-0000BF420000}"/>
    <cellStyle name="40% - uthevingsfarge 6 26 3 7" xfId="5317" xr:uid="{00000000-0005-0000-0000-0000C0420000}"/>
    <cellStyle name="40% - uthevingsfarge 6 26 3 7 2" xfId="8732" xr:uid="{00000000-0005-0000-0000-0000C1420000}"/>
    <cellStyle name="40% - uthevingsfarge 6 26 3 7 2 2" xfId="21171" xr:uid="{00000000-0005-0000-0000-0000C2420000}"/>
    <cellStyle name="40% - uthevingsfarge 6 26 3 7 2 2 2" xfId="37251" xr:uid="{00000000-0005-0000-0000-0000C3420000}"/>
    <cellStyle name="40% - uthevingsfarge 6 26 3 7 2 3" xfId="29066" xr:uid="{00000000-0005-0000-0000-0000C4420000}"/>
    <cellStyle name="40% - uthevingsfarge 6 26 3 7 3" xfId="10741" xr:uid="{00000000-0005-0000-0000-0000C5420000}"/>
    <cellStyle name="40% - uthevingsfarge 6 26 3 7 3 2" xfId="34584" xr:uid="{00000000-0005-0000-0000-0000C6420000}"/>
    <cellStyle name="40% - uthevingsfarge 6 26 3 7 4" xfId="32457" xr:uid="{00000000-0005-0000-0000-0000C7420000}"/>
    <cellStyle name="40% - uthevingsfarge 6 26 3 8" xfId="7050" xr:uid="{00000000-0005-0000-0000-0000C8420000}"/>
    <cellStyle name="40% - uthevingsfarge 6 26 3 8 2" xfId="20646" xr:uid="{00000000-0005-0000-0000-0000C9420000}"/>
    <cellStyle name="40% - uthevingsfarge 6 26 3 8 2 2" xfId="36745" xr:uid="{00000000-0005-0000-0000-0000CA420000}"/>
    <cellStyle name="40% - uthevingsfarge 6 26 3 8 3" xfId="30748" xr:uid="{00000000-0005-0000-0000-0000CB420000}"/>
    <cellStyle name="40% - uthevingsfarge 6 26 3 9" xfId="11242" xr:uid="{00000000-0005-0000-0000-0000CC420000}"/>
    <cellStyle name="40% - uthevingsfarge 6 26 4" xfId="3503" xr:uid="{00000000-0005-0000-0000-0000CD420000}"/>
    <cellStyle name="40% - uthevingsfarge 6 26 4 10" xfId="47119" xr:uid="{00000000-0005-0000-0000-0000CE420000}"/>
    <cellStyle name="40% - uthevingsfarge 6 26 4 2" xfId="3939" xr:uid="{00000000-0005-0000-0000-0000CF420000}"/>
    <cellStyle name="40% - uthevingsfarge 6 26 4 2 2" xfId="5827" xr:uid="{00000000-0005-0000-0000-0000D0420000}"/>
    <cellStyle name="40% - uthevingsfarge 6 26 4 2 2 2" xfId="9242" xr:uid="{00000000-0005-0000-0000-0000D1420000}"/>
    <cellStyle name="40% - uthevingsfarge 6 26 4 2 2 2 2" xfId="21328" xr:uid="{00000000-0005-0000-0000-0000D2420000}"/>
    <cellStyle name="40% - uthevingsfarge 6 26 4 2 2 2 2 2" xfId="37408" xr:uid="{00000000-0005-0000-0000-0000D3420000}"/>
    <cellStyle name="40% - uthevingsfarge 6 26 4 2 2 2 3" xfId="28556" xr:uid="{00000000-0005-0000-0000-0000D4420000}"/>
    <cellStyle name="40% - uthevingsfarge 6 26 4 2 2 3" xfId="20219" xr:uid="{00000000-0005-0000-0000-0000D5420000}"/>
    <cellStyle name="40% - uthevingsfarge 6 26 4 2 2 3 2" xfId="36318" xr:uid="{00000000-0005-0000-0000-0000D6420000}"/>
    <cellStyle name="40% - uthevingsfarge 6 26 4 2 2 4" xfId="31947" xr:uid="{00000000-0005-0000-0000-0000D7420000}"/>
    <cellStyle name="40% - uthevingsfarge 6 26 4 2 3" xfId="7545" xr:uid="{00000000-0005-0000-0000-0000D8420000}"/>
    <cellStyle name="40% - uthevingsfarge 6 26 4 2 3 2" xfId="20815" xr:uid="{00000000-0005-0000-0000-0000D9420000}"/>
    <cellStyle name="40% - uthevingsfarge 6 26 4 2 3 2 2" xfId="36914" xr:uid="{00000000-0005-0000-0000-0000DA420000}"/>
    <cellStyle name="40% - uthevingsfarge 6 26 4 2 3 3" xfId="30253" xr:uid="{00000000-0005-0000-0000-0000DB420000}"/>
    <cellStyle name="40% - uthevingsfarge 6 26 4 2 4" xfId="18050" xr:uid="{00000000-0005-0000-0000-0000DC420000}"/>
    <cellStyle name="40% - uthevingsfarge 6 26 4 2 5" xfId="12483" xr:uid="{00000000-0005-0000-0000-0000DD420000}"/>
    <cellStyle name="40% - uthevingsfarge 6 26 4 2 5 2" xfId="35251" xr:uid="{00000000-0005-0000-0000-0000DE420000}"/>
    <cellStyle name="40% - uthevingsfarge 6 26 4 2 6" xfId="33640" xr:uid="{00000000-0005-0000-0000-0000DF420000}"/>
    <cellStyle name="40% - uthevingsfarge 6 26 4 3" xfId="4879" xr:uid="{00000000-0005-0000-0000-0000E0420000}"/>
    <cellStyle name="40% - uthevingsfarge 6 26 4 3 10" xfId="47309" xr:uid="{00000000-0005-0000-0000-0000E1420000}"/>
    <cellStyle name="40% - uthevingsfarge 6 26 4 3 2" xfId="6598" xr:uid="{00000000-0005-0000-0000-0000E2420000}"/>
    <cellStyle name="40% - uthevingsfarge 6 26 4 3 2 2" xfId="10004" xr:uid="{00000000-0005-0000-0000-0000E3420000}"/>
    <cellStyle name="40% - uthevingsfarge 6 26 4 3 2 2 2" xfId="21568" xr:uid="{00000000-0005-0000-0000-0000E4420000}"/>
    <cellStyle name="40% - uthevingsfarge 6 26 4 3 2 2 2 2" xfId="37648" xr:uid="{00000000-0005-0000-0000-0000E5420000}"/>
    <cellStyle name="40% - uthevingsfarge 6 26 4 3 2 2 3" xfId="27795" xr:uid="{00000000-0005-0000-0000-0000E6420000}"/>
    <cellStyle name="40% - uthevingsfarge 6 26 4 3 2 3" xfId="20513" xr:uid="{00000000-0005-0000-0000-0000E7420000}"/>
    <cellStyle name="40% - uthevingsfarge 6 26 4 3 2 3 2" xfId="36612" xr:uid="{00000000-0005-0000-0000-0000E8420000}"/>
    <cellStyle name="40% - uthevingsfarge 6 26 4 3 2 4" xfId="31196" xr:uid="{00000000-0005-0000-0000-0000E9420000}"/>
    <cellStyle name="40% - uthevingsfarge 6 26 4 3 2 5" xfId="42864" xr:uid="{00000000-0005-0000-0000-0000EA420000}"/>
    <cellStyle name="40% - uthevingsfarge 6 26 4 3 2 6" xfId="43302" xr:uid="{00000000-0005-0000-0000-0000EB420000}"/>
    <cellStyle name="40% - uthevingsfarge 6 26 4 3 2 7" xfId="46150" xr:uid="{00000000-0005-0000-0000-0000EC420000}"/>
    <cellStyle name="40% - uthevingsfarge 6 26 4 3 2 8" xfId="46919" xr:uid="{00000000-0005-0000-0000-0000ED420000}"/>
    <cellStyle name="40% - uthevingsfarge 6 26 4 3 2 9" xfId="47505" xr:uid="{00000000-0005-0000-0000-0000EE420000}"/>
    <cellStyle name="40% - uthevingsfarge 6 26 4 3 3" xfId="8301" xr:uid="{00000000-0005-0000-0000-0000EF420000}"/>
    <cellStyle name="40% - uthevingsfarge 6 26 4 3 3 2" xfId="11872" xr:uid="{00000000-0005-0000-0000-0000F0420000}"/>
    <cellStyle name="40% - uthevingsfarge 6 26 4 3 3 2 2" xfId="34909" xr:uid="{00000000-0005-0000-0000-0000F1420000}"/>
    <cellStyle name="40% - uthevingsfarge 6 26 4 3 3 3" xfId="29496" xr:uid="{00000000-0005-0000-0000-0000F2420000}"/>
    <cellStyle name="40% - uthevingsfarge 6 26 4 3 3 4" xfId="43966" xr:uid="{00000000-0005-0000-0000-0000F3420000}"/>
    <cellStyle name="40% - uthevingsfarge 6 26 4 3 4" xfId="16309" xr:uid="{00000000-0005-0000-0000-0000F4420000}"/>
    <cellStyle name="40% - uthevingsfarge 6 26 4 3 4 2" xfId="35397" xr:uid="{00000000-0005-0000-0000-0000F5420000}"/>
    <cellStyle name="40% - uthevingsfarge 6 26 4 3 5" xfId="25056" xr:uid="{00000000-0005-0000-0000-0000F6420000}"/>
    <cellStyle name="40% - uthevingsfarge 6 26 4 3 6" xfId="25329" xr:uid="{00000000-0005-0000-0000-0000F7420000}"/>
    <cellStyle name="40% - uthevingsfarge 6 26 4 3 7" xfId="32888" xr:uid="{00000000-0005-0000-0000-0000F8420000}"/>
    <cellStyle name="40% - uthevingsfarge 6 26 4 3 8" xfId="43762" xr:uid="{00000000-0005-0000-0000-0000F9420000}"/>
    <cellStyle name="40% - uthevingsfarge 6 26 4 3 9" xfId="46688" xr:uid="{00000000-0005-0000-0000-0000FA420000}"/>
    <cellStyle name="40% - uthevingsfarge 6 26 4 4" xfId="5434" xr:uid="{00000000-0005-0000-0000-0000FB420000}"/>
    <cellStyle name="40% - uthevingsfarge 6 26 4 4 2" xfId="8849" xr:uid="{00000000-0005-0000-0000-0000FC420000}"/>
    <cellStyle name="40% - uthevingsfarge 6 26 4 4 2 2" xfId="23418" xr:uid="{00000000-0005-0000-0000-0000FD420000}"/>
    <cellStyle name="40% - uthevingsfarge 6 26 4 4 2 2 2" xfId="39474" xr:uid="{00000000-0005-0000-0000-0000FE420000}"/>
    <cellStyle name="40% - uthevingsfarge 6 26 4 4 2 3" xfId="28949" xr:uid="{00000000-0005-0000-0000-0000FF420000}"/>
    <cellStyle name="40% - uthevingsfarge 6 26 4 4 3" xfId="19827" xr:uid="{00000000-0005-0000-0000-000000430000}"/>
    <cellStyle name="40% - uthevingsfarge 6 26 4 4 3 2" xfId="35940" xr:uid="{00000000-0005-0000-0000-000001430000}"/>
    <cellStyle name="40% - uthevingsfarge 6 26 4 4 4" xfId="32340" xr:uid="{00000000-0005-0000-0000-000002430000}"/>
    <cellStyle name="40% - uthevingsfarge 6 26 4 5" xfId="7151" xr:uid="{00000000-0005-0000-0000-000003430000}"/>
    <cellStyle name="40% - uthevingsfarge 6 26 4 5 2" xfId="22699" xr:uid="{00000000-0005-0000-0000-000004430000}"/>
    <cellStyle name="40% - uthevingsfarge 6 26 4 5 2 2" xfId="38768" xr:uid="{00000000-0005-0000-0000-000005430000}"/>
    <cellStyle name="40% - uthevingsfarge 6 26 4 5 3" xfId="30647" xr:uid="{00000000-0005-0000-0000-000006430000}"/>
    <cellStyle name="40% - uthevingsfarge 6 26 4 6" xfId="11244" xr:uid="{00000000-0005-0000-0000-000007430000}"/>
    <cellStyle name="40% - uthevingsfarge 6 26 4 7" xfId="34034" xr:uid="{00000000-0005-0000-0000-000008430000}"/>
    <cellStyle name="40% - uthevingsfarge 6 26 4 8" xfId="43554" xr:uid="{00000000-0005-0000-0000-000009430000}"/>
    <cellStyle name="40% - uthevingsfarge 6 26 4 9" xfId="46458" xr:uid="{00000000-0005-0000-0000-00000A430000}"/>
    <cellStyle name="40% - uthevingsfarge 6 26 4_Avviksanalyse løpende RNB15 (1)" xfId="16654" xr:uid="{00000000-0005-0000-0000-00000B430000}"/>
    <cellStyle name="40% - uthevingsfarge 6 26 5" xfId="3760" xr:uid="{00000000-0005-0000-0000-00000C430000}"/>
    <cellStyle name="40% - uthevingsfarge 6 26 5 2" xfId="5648" xr:uid="{00000000-0005-0000-0000-00000D430000}"/>
    <cellStyle name="40% - uthevingsfarge 6 26 5 2 2" xfId="9063" xr:uid="{00000000-0005-0000-0000-00000E430000}"/>
    <cellStyle name="40% - uthevingsfarge 6 26 5 2 2 2" xfId="22534" xr:uid="{00000000-0005-0000-0000-00000F430000}"/>
    <cellStyle name="40% - uthevingsfarge 6 26 5 2 2 2 2" xfId="38604" xr:uid="{00000000-0005-0000-0000-000010430000}"/>
    <cellStyle name="40% - uthevingsfarge 6 26 5 2 2 3" xfId="28735" xr:uid="{00000000-0005-0000-0000-000011430000}"/>
    <cellStyle name="40% - uthevingsfarge 6 26 5 2 3" xfId="20154" xr:uid="{00000000-0005-0000-0000-000012430000}"/>
    <cellStyle name="40% - uthevingsfarge 6 26 5 2 3 2" xfId="36256" xr:uid="{00000000-0005-0000-0000-000013430000}"/>
    <cellStyle name="40% - uthevingsfarge 6 26 5 2 4" xfId="32126" xr:uid="{00000000-0005-0000-0000-000014430000}"/>
    <cellStyle name="40% - uthevingsfarge 6 26 5 3" xfId="7366" xr:uid="{00000000-0005-0000-0000-000015430000}"/>
    <cellStyle name="40% - uthevingsfarge 6 26 5 3 2" xfId="23193" xr:uid="{00000000-0005-0000-0000-000016430000}"/>
    <cellStyle name="40% - uthevingsfarge 6 26 5 3 2 2" xfId="39262" xr:uid="{00000000-0005-0000-0000-000017430000}"/>
    <cellStyle name="40% - uthevingsfarge 6 26 5 3 3" xfId="30432" xr:uid="{00000000-0005-0000-0000-000018430000}"/>
    <cellStyle name="40% - uthevingsfarge 6 26 5 4" xfId="22765" xr:uid="{00000000-0005-0000-0000-000019430000}"/>
    <cellStyle name="40% - uthevingsfarge 6 26 5 4 2" xfId="38834" xr:uid="{00000000-0005-0000-0000-00001A430000}"/>
    <cellStyle name="40% - uthevingsfarge 6 26 5 5" xfId="33819" xr:uid="{00000000-0005-0000-0000-00001B430000}"/>
    <cellStyle name="40% - uthevingsfarge 6 26 6" xfId="4218" xr:uid="{00000000-0005-0000-0000-00001C430000}"/>
    <cellStyle name="40% - uthevingsfarge 6 26 6 2" xfId="6055" xr:uid="{00000000-0005-0000-0000-00001D430000}"/>
    <cellStyle name="40% - uthevingsfarge 6 26 6 2 2" xfId="9470" xr:uid="{00000000-0005-0000-0000-00001E430000}"/>
    <cellStyle name="40% - uthevingsfarge 6 26 6 2 2 2" xfId="21951" xr:uid="{00000000-0005-0000-0000-00001F430000}"/>
    <cellStyle name="40% - uthevingsfarge 6 26 6 2 2 2 2" xfId="38026" xr:uid="{00000000-0005-0000-0000-000020430000}"/>
    <cellStyle name="40% - uthevingsfarge 6 26 6 2 2 3" xfId="28328" xr:uid="{00000000-0005-0000-0000-000021430000}"/>
    <cellStyle name="40% - uthevingsfarge 6 26 6 2 3" xfId="22966" xr:uid="{00000000-0005-0000-0000-000022430000}"/>
    <cellStyle name="40% - uthevingsfarge 6 26 6 2 3 2" xfId="39035" xr:uid="{00000000-0005-0000-0000-000023430000}"/>
    <cellStyle name="40% - uthevingsfarge 6 26 6 2 4" xfId="31723" xr:uid="{00000000-0005-0000-0000-000024430000}"/>
    <cellStyle name="40% - uthevingsfarge 6 26 6 3" xfId="7788" xr:uid="{00000000-0005-0000-0000-000025430000}"/>
    <cellStyle name="40% - uthevingsfarge 6 26 6 3 2" xfId="21820" xr:uid="{00000000-0005-0000-0000-000026430000}"/>
    <cellStyle name="40% - uthevingsfarge 6 26 6 3 2 2" xfId="37896" xr:uid="{00000000-0005-0000-0000-000027430000}"/>
    <cellStyle name="40% - uthevingsfarge 6 26 6 3 3" xfId="30011" xr:uid="{00000000-0005-0000-0000-000028430000}"/>
    <cellStyle name="40% - uthevingsfarge 6 26 6 4" xfId="19610" xr:uid="{00000000-0005-0000-0000-000029430000}"/>
    <cellStyle name="40% - uthevingsfarge 6 26 6 4 2" xfId="35724" xr:uid="{00000000-0005-0000-0000-00002A430000}"/>
    <cellStyle name="40% - uthevingsfarge 6 26 6 5" xfId="33399" xr:uid="{00000000-0005-0000-0000-00002B430000}"/>
    <cellStyle name="40% - uthevingsfarge 6 26 7" xfId="4695" xr:uid="{00000000-0005-0000-0000-00002C430000}"/>
    <cellStyle name="40% - uthevingsfarge 6 26 7 2" xfId="6415" xr:uid="{00000000-0005-0000-0000-00002D430000}"/>
    <cellStyle name="40% - uthevingsfarge 6 26 7 2 2" xfId="9825" xr:uid="{00000000-0005-0000-0000-00002E430000}"/>
    <cellStyle name="40% - uthevingsfarge 6 26 7 2 2 2" xfId="24570" xr:uid="{00000000-0005-0000-0000-00002F430000}"/>
    <cellStyle name="40% - uthevingsfarge 6 26 7 2 2 2 2" xfId="40614" xr:uid="{00000000-0005-0000-0000-000030430000}"/>
    <cellStyle name="40% - uthevingsfarge 6 26 7 2 2 3" xfId="27974" xr:uid="{00000000-0005-0000-0000-000031430000}"/>
    <cellStyle name="40% - uthevingsfarge 6 26 7 2 3" xfId="23035" xr:uid="{00000000-0005-0000-0000-000032430000}"/>
    <cellStyle name="40% - uthevingsfarge 6 26 7 2 3 2" xfId="39104" xr:uid="{00000000-0005-0000-0000-000033430000}"/>
    <cellStyle name="40% - uthevingsfarge 6 26 7 2 4" xfId="31375" xr:uid="{00000000-0005-0000-0000-000034430000}"/>
    <cellStyle name="40% - uthevingsfarge 6 26 7 3" xfId="8121" xr:uid="{00000000-0005-0000-0000-000035430000}"/>
    <cellStyle name="40% - uthevingsfarge 6 26 7 3 2" xfId="21007" xr:uid="{00000000-0005-0000-0000-000036430000}"/>
    <cellStyle name="40% - uthevingsfarge 6 26 7 3 2 2" xfId="37102" xr:uid="{00000000-0005-0000-0000-000037430000}"/>
    <cellStyle name="40% - uthevingsfarge 6 26 7 3 3" xfId="29677" xr:uid="{00000000-0005-0000-0000-000038430000}"/>
    <cellStyle name="40% - uthevingsfarge 6 26 7 4" xfId="19684" xr:uid="{00000000-0005-0000-0000-000039430000}"/>
    <cellStyle name="40% - uthevingsfarge 6 26 7 4 2" xfId="35798" xr:uid="{00000000-0005-0000-0000-00003A430000}"/>
    <cellStyle name="40% - uthevingsfarge 6 26 7 5" xfId="33068" xr:uid="{00000000-0005-0000-0000-00003B430000}"/>
    <cellStyle name="40% - uthevingsfarge 6 26 8" xfId="5059" xr:uid="{00000000-0005-0000-0000-00003C430000}"/>
    <cellStyle name="40% - uthevingsfarge 6 26 8 2" xfId="6778" xr:uid="{00000000-0005-0000-0000-00003D430000}"/>
    <cellStyle name="40% - uthevingsfarge 6 26 8 2 2" xfId="10184" xr:uid="{00000000-0005-0000-0000-00003E430000}"/>
    <cellStyle name="40% - uthevingsfarge 6 26 8 2 2 2" xfId="21640" xr:uid="{00000000-0005-0000-0000-00003F430000}"/>
    <cellStyle name="40% - uthevingsfarge 6 26 8 2 2 2 2" xfId="37720" xr:uid="{00000000-0005-0000-0000-000040430000}"/>
    <cellStyle name="40% - uthevingsfarge 6 26 8 2 2 3" xfId="27615" xr:uid="{00000000-0005-0000-0000-000041430000}"/>
    <cellStyle name="40% - uthevingsfarge 6 26 8 2 3" xfId="20563" xr:uid="{00000000-0005-0000-0000-000042430000}"/>
    <cellStyle name="40% - uthevingsfarge 6 26 8 2 3 2" xfId="36662" xr:uid="{00000000-0005-0000-0000-000043430000}"/>
    <cellStyle name="40% - uthevingsfarge 6 26 8 2 4" xfId="31016" xr:uid="{00000000-0005-0000-0000-000044430000}"/>
    <cellStyle name="40% - uthevingsfarge 6 26 8 3" xfId="8481" xr:uid="{00000000-0005-0000-0000-000045430000}"/>
    <cellStyle name="40% - uthevingsfarge 6 26 8 3 2" xfId="21106" xr:uid="{00000000-0005-0000-0000-000046430000}"/>
    <cellStyle name="40% - uthevingsfarge 6 26 8 3 2 2" xfId="37189" xr:uid="{00000000-0005-0000-0000-000047430000}"/>
    <cellStyle name="40% - uthevingsfarge 6 26 8 3 3" xfId="29317" xr:uid="{00000000-0005-0000-0000-000048430000}"/>
    <cellStyle name="40% - uthevingsfarge 6 26 8 4" xfId="10849" xr:uid="{00000000-0005-0000-0000-000049430000}"/>
    <cellStyle name="40% - uthevingsfarge 6 26 8 4 2" xfId="34647" xr:uid="{00000000-0005-0000-0000-00004A430000}"/>
    <cellStyle name="40% - uthevingsfarge 6 26 8 5" xfId="32708" xr:uid="{00000000-0005-0000-0000-00004B430000}"/>
    <cellStyle name="40% - uthevingsfarge 6 26 9" xfId="5208" xr:uid="{00000000-0005-0000-0000-00004C430000}"/>
    <cellStyle name="40% - uthevingsfarge 6 26 9 2" xfId="8627" xr:uid="{00000000-0005-0000-0000-00004D430000}"/>
    <cellStyle name="40% - uthevingsfarge 6 26 9 2 2" xfId="23386" xr:uid="{00000000-0005-0000-0000-00004E430000}"/>
    <cellStyle name="40% - uthevingsfarge 6 26 9 2 2 2" xfId="39442" xr:uid="{00000000-0005-0000-0000-00004F430000}"/>
    <cellStyle name="40% - uthevingsfarge 6 26 9 2 3" xfId="29171" xr:uid="{00000000-0005-0000-0000-000050430000}"/>
    <cellStyle name="40% - uthevingsfarge 6 26 9 3" xfId="12125" xr:uid="{00000000-0005-0000-0000-000051430000}"/>
    <cellStyle name="40% - uthevingsfarge 6 26 9 3 2" xfId="35083" xr:uid="{00000000-0005-0000-0000-000052430000}"/>
    <cellStyle name="40% - uthevingsfarge 6 26 9 4" xfId="32562" xr:uid="{00000000-0005-0000-0000-000053430000}"/>
    <cellStyle name="40% - uthevingsfarge 6 27" xfId="983" xr:uid="{00000000-0005-0000-0000-000054430000}"/>
    <cellStyle name="40% - uthevingsfarge 6 27 10" xfId="11245" xr:uid="{00000000-0005-0000-0000-000055430000}"/>
    <cellStyle name="40% - uthevingsfarge 6 27 11" xfId="34229" xr:uid="{00000000-0005-0000-0000-000056430000}"/>
    <cellStyle name="40% - uthevingsfarge 6 27 2" xfId="3357" xr:uid="{00000000-0005-0000-0000-000057430000}"/>
    <cellStyle name="40% - uthevingsfarge 6 27 2 10" xfId="34134" xr:uid="{00000000-0005-0000-0000-000058430000}"/>
    <cellStyle name="40% - uthevingsfarge 6 27 2 2" xfId="3589" xr:uid="{00000000-0005-0000-0000-000059430000}"/>
    <cellStyle name="40% - uthevingsfarge 6 27 2 2 10" xfId="47188" xr:uid="{00000000-0005-0000-0000-00005A430000}"/>
    <cellStyle name="40% - uthevingsfarge 6 27 2 2 2" xfId="4019" xr:uid="{00000000-0005-0000-0000-00005B430000}"/>
    <cellStyle name="40% - uthevingsfarge 6 27 2 2 2 2" xfId="5907" xr:uid="{00000000-0005-0000-0000-00005C430000}"/>
    <cellStyle name="40% - uthevingsfarge 6 27 2 2 2 2 2" xfId="9322" xr:uid="{00000000-0005-0000-0000-00005D430000}"/>
    <cellStyle name="40% - uthevingsfarge 6 27 2 2 2 2 2 2" xfId="21348" xr:uid="{00000000-0005-0000-0000-00005E430000}"/>
    <cellStyle name="40% - uthevingsfarge 6 27 2 2 2 2 2 2 2" xfId="37428" xr:uid="{00000000-0005-0000-0000-00005F430000}"/>
    <cellStyle name="40% - uthevingsfarge 6 27 2 2 2 2 2 3" xfId="28476" xr:uid="{00000000-0005-0000-0000-000060430000}"/>
    <cellStyle name="40% - uthevingsfarge 6 27 2 2 2 2 3" xfId="22936" xr:uid="{00000000-0005-0000-0000-000061430000}"/>
    <cellStyle name="40% - uthevingsfarge 6 27 2 2 2 2 3 2" xfId="39005" xr:uid="{00000000-0005-0000-0000-000062430000}"/>
    <cellStyle name="40% - uthevingsfarge 6 27 2 2 2 2 4" xfId="31869" xr:uid="{00000000-0005-0000-0000-000063430000}"/>
    <cellStyle name="40% - uthevingsfarge 6 27 2 2 2 3" xfId="7625" xr:uid="{00000000-0005-0000-0000-000064430000}"/>
    <cellStyle name="40% - uthevingsfarge 6 27 2 2 2 3 2" xfId="22471" xr:uid="{00000000-0005-0000-0000-000065430000}"/>
    <cellStyle name="40% - uthevingsfarge 6 27 2 2 2 3 2 2" xfId="38543" xr:uid="{00000000-0005-0000-0000-000066430000}"/>
    <cellStyle name="40% - uthevingsfarge 6 27 2 2 2 3 3" xfId="30173" xr:uid="{00000000-0005-0000-0000-000067430000}"/>
    <cellStyle name="40% - uthevingsfarge 6 27 2 2 2 4" xfId="18051" xr:uid="{00000000-0005-0000-0000-000068430000}"/>
    <cellStyle name="40% - uthevingsfarge 6 27 2 2 2 5" xfId="19604" xr:uid="{00000000-0005-0000-0000-000069430000}"/>
    <cellStyle name="40% - uthevingsfarge 6 27 2 2 2 5 2" xfId="35718" xr:uid="{00000000-0005-0000-0000-00006A430000}"/>
    <cellStyle name="40% - uthevingsfarge 6 27 2 2 2 6" xfId="33560" xr:uid="{00000000-0005-0000-0000-00006B430000}"/>
    <cellStyle name="40% - uthevingsfarge 6 27 2 2 3" xfId="4959" xr:uid="{00000000-0005-0000-0000-00006C430000}"/>
    <cellStyle name="40% - uthevingsfarge 6 27 2 2 3 10" xfId="47378" xr:uid="{00000000-0005-0000-0000-00006D430000}"/>
    <cellStyle name="40% - uthevingsfarge 6 27 2 2 3 2" xfId="6678" xr:uid="{00000000-0005-0000-0000-00006E430000}"/>
    <cellStyle name="40% - uthevingsfarge 6 27 2 2 3 2 2" xfId="10084" xr:uid="{00000000-0005-0000-0000-00006F430000}"/>
    <cellStyle name="40% - uthevingsfarge 6 27 2 2 3 2 2 2" xfId="21600" xr:uid="{00000000-0005-0000-0000-000070430000}"/>
    <cellStyle name="40% - uthevingsfarge 6 27 2 2 3 2 2 2 2" xfId="37680" xr:uid="{00000000-0005-0000-0000-000071430000}"/>
    <cellStyle name="40% - uthevingsfarge 6 27 2 2 3 2 2 3" xfId="27715" xr:uid="{00000000-0005-0000-0000-000072430000}"/>
    <cellStyle name="40% - uthevingsfarge 6 27 2 2 3 2 3" xfId="24085" xr:uid="{00000000-0005-0000-0000-000073430000}"/>
    <cellStyle name="40% - uthevingsfarge 6 27 2 2 3 2 3 2" xfId="40138" xr:uid="{00000000-0005-0000-0000-000074430000}"/>
    <cellStyle name="40% - uthevingsfarge 6 27 2 2 3 2 4" xfId="31116" xr:uid="{00000000-0005-0000-0000-000075430000}"/>
    <cellStyle name="40% - uthevingsfarge 6 27 2 2 3 2 5" xfId="43072" xr:uid="{00000000-0005-0000-0000-000076430000}"/>
    <cellStyle name="40% - uthevingsfarge 6 27 2 2 3 2 6" xfId="43369" xr:uid="{00000000-0005-0000-0000-000077430000}"/>
    <cellStyle name="40% - uthevingsfarge 6 27 2 2 3 2 7" xfId="46217" xr:uid="{00000000-0005-0000-0000-000078430000}"/>
    <cellStyle name="40% - uthevingsfarge 6 27 2 2 3 2 8" xfId="46989" xr:uid="{00000000-0005-0000-0000-000079430000}"/>
    <cellStyle name="40% - uthevingsfarge 6 27 2 2 3 2 9" xfId="47574" xr:uid="{00000000-0005-0000-0000-00007A430000}"/>
    <cellStyle name="40% - uthevingsfarge 6 27 2 2 3 3" xfId="8381" xr:uid="{00000000-0005-0000-0000-00007B430000}"/>
    <cellStyle name="40% - uthevingsfarge 6 27 2 2 3 3 2" xfId="19490" xr:uid="{00000000-0005-0000-0000-00007C430000}"/>
    <cellStyle name="40% - uthevingsfarge 6 27 2 2 3 3 2 2" xfId="35604" xr:uid="{00000000-0005-0000-0000-00007D430000}"/>
    <cellStyle name="40% - uthevingsfarge 6 27 2 2 3 3 3" xfId="29417" xr:uid="{00000000-0005-0000-0000-00007E430000}"/>
    <cellStyle name="40% - uthevingsfarge 6 27 2 2 3 3 4" xfId="43967" xr:uid="{00000000-0005-0000-0000-00007F430000}"/>
    <cellStyle name="40% - uthevingsfarge 6 27 2 2 3 4" xfId="16517" xr:uid="{00000000-0005-0000-0000-000080430000}"/>
    <cellStyle name="40% - uthevingsfarge 6 27 2 2 3 4 2" xfId="35464" xr:uid="{00000000-0005-0000-0000-000081430000}"/>
    <cellStyle name="40% - uthevingsfarge 6 27 2 2 3 5" xfId="25126" xr:uid="{00000000-0005-0000-0000-000082430000}"/>
    <cellStyle name="40% - uthevingsfarge 6 27 2 2 3 6" xfId="25330" xr:uid="{00000000-0005-0000-0000-000083430000}"/>
    <cellStyle name="40% - uthevingsfarge 6 27 2 2 3 7" xfId="32808" xr:uid="{00000000-0005-0000-0000-000084430000}"/>
    <cellStyle name="40% - uthevingsfarge 6 27 2 2 3 8" xfId="43830" xr:uid="{00000000-0005-0000-0000-000085430000}"/>
    <cellStyle name="40% - uthevingsfarge 6 27 2 2 3 9" xfId="46755" xr:uid="{00000000-0005-0000-0000-000086430000}"/>
    <cellStyle name="40% - uthevingsfarge 6 27 2 2 4" xfId="5513" xr:uid="{00000000-0005-0000-0000-000087430000}"/>
    <cellStyle name="40% - uthevingsfarge 6 27 2 2 4 2" xfId="8928" xr:uid="{00000000-0005-0000-0000-000088430000}"/>
    <cellStyle name="40% - uthevingsfarge 6 27 2 2 4 2 2" xfId="21783" xr:uid="{00000000-0005-0000-0000-000089430000}"/>
    <cellStyle name="40% - uthevingsfarge 6 27 2 2 4 2 2 2" xfId="37859" xr:uid="{00000000-0005-0000-0000-00008A430000}"/>
    <cellStyle name="40% - uthevingsfarge 6 27 2 2 4 2 3" xfId="28870" xr:uid="{00000000-0005-0000-0000-00008B430000}"/>
    <cellStyle name="40% - uthevingsfarge 6 27 2 2 4 3" xfId="22248" xr:uid="{00000000-0005-0000-0000-00008C430000}"/>
    <cellStyle name="40% - uthevingsfarge 6 27 2 2 4 3 2" xfId="38322" xr:uid="{00000000-0005-0000-0000-00008D430000}"/>
    <cellStyle name="40% - uthevingsfarge 6 27 2 2 4 4" xfId="32261" xr:uid="{00000000-0005-0000-0000-00008E430000}"/>
    <cellStyle name="40% - uthevingsfarge 6 27 2 2 5" xfId="7231" xr:uid="{00000000-0005-0000-0000-00008F430000}"/>
    <cellStyle name="40% - uthevingsfarge 6 27 2 2 5 2" xfId="22427" xr:uid="{00000000-0005-0000-0000-000090430000}"/>
    <cellStyle name="40% - uthevingsfarge 6 27 2 2 5 2 2" xfId="38499" xr:uid="{00000000-0005-0000-0000-000091430000}"/>
    <cellStyle name="40% - uthevingsfarge 6 27 2 2 5 3" xfId="30567" xr:uid="{00000000-0005-0000-0000-000092430000}"/>
    <cellStyle name="40% - uthevingsfarge 6 27 2 2 6" xfId="11247" xr:uid="{00000000-0005-0000-0000-000093430000}"/>
    <cellStyle name="40% - uthevingsfarge 6 27 2 2 7" xfId="33954" xr:uid="{00000000-0005-0000-0000-000094430000}"/>
    <cellStyle name="40% - uthevingsfarge 6 27 2 2 8" xfId="43621" xr:uid="{00000000-0005-0000-0000-000095430000}"/>
    <cellStyle name="40% - uthevingsfarge 6 27 2 2 9" xfId="46527" xr:uid="{00000000-0005-0000-0000-000096430000}"/>
    <cellStyle name="40% - uthevingsfarge 6 27 2 2_Avviksanalyse løpende RNB15 (1)" xfId="16655" xr:uid="{00000000-0005-0000-0000-000097430000}"/>
    <cellStyle name="40% - uthevingsfarge 6 27 2 3" xfId="3839" xr:uid="{00000000-0005-0000-0000-000098430000}"/>
    <cellStyle name="40% - uthevingsfarge 6 27 2 3 2" xfId="5727" xr:uid="{00000000-0005-0000-0000-000099430000}"/>
    <cellStyle name="40% - uthevingsfarge 6 27 2 3 2 2" xfId="9142" xr:uid="{00000000-0005-0000-0000-00009A430000}"/>
    <cellStyle name="40% - uthevingsfarge 6 27 2 3 2 2 2" xfId="19863" xr:uid="{00000000-0005-0000-0000-00009B430000}"/>
    <cellStyle name="40% - uthevingsfarge 6 27 2 3 2 2 2 2" xfId="35976" xr:uid="{00000000-0005-0000-0000-00009C430000}"/>
    <cellStyle name="40% - uthevingsfarge 6 27 2 3 2 2 3" xfId="28656" xr:uid="{00000000-0005-0000-0000-00009D430000}"/>
    <cellStyle name="40% - uthevingsfarge 6 27 2 3 2 3" xfId="22271" xr:uid="{00000000-0005-0000-0000-00009E430000}"/>
    <cellStyle name="40% - uthevingsfarge 6 27 2 3 2 3 2" xfId="38345" xr:uid="{00000000-0005-0000-0000-00009F430000}"/>
    <cellStyle name="40% - uthevingsfarge 6 27 2 3 2 4" xfId="32047" xr:uid="{00000000-0005-0000-0000-0000A0430000}"/>
    <cellStyle name="40% - uthevingsfarge 6 27 2 3 3" xfId="7445" xr:uid="{00000000-0005-0000-0000-0000A1430000}"/>
    <cellStyle name="40% - uthevingsfarge 6 27 2 3 3 2" xfId="24209" xr:uid="{00000000-0005-0000-0000-0000A2430000}"/>
    <cellStyle name="40% - uthevingsfarge 6 27 2 3 3 2 2" xfId="40262" xr:uid="{00000000-0005-0000-0000-0000A3430000}"/>
    <cellStyle name="40% - uthevingsfarge 6 27 2 3 3 3" xfId="30353" xr:uid="{00000000-0005-0000-0000-0000A4430000}"/>
    <cellStyle name="40% - uthevingsfarge 6 27 2 3 4" xfId="23781" xr:uid="{00000000-0005-0000-0000-0000A5430000}"/>
    <cellStyle name="40% - uthevingsfarge 6 27 2 3 4 2" xfId="39837" xr:uid="{00000000-0005-0000-0000-0000A6430000}"/>
    <cellStyle name="40% - uthevingsfarge 6 27 2 3 5" xfId="33740" xr:uid="{00000000-0005-0000-0000-0000A7430000}"/>
    <cellStyle name="40% - uthevingsfarge 6 27 2 4" xfId="4324" xr:uid="{00000000-0005-0000-0000-0000A8430000}"/>
    <cellStyle name="40% - uthevingsfarge 6 27 2 4 2" xfId="6153" xr:uid="{00000000-0005-0000-0000-0000A9430000}"/>
    <cellStyle name="40% - uthevingsfarge 6 27 2 4 2 2" xfId="9567" xr:uid="{00000000-0005-0000-0000-0000AA430000}"/>
    <cellStyle name="40% - uthevingsfarge 6 27 2 4 2 2 2" xfId="21419" xr:uid="{00000000-0005-0000-0000-0000AB430000}"/>
    <cellStyle name="40% - uthevingsfarge 6 27 2 4 2 2 2 2" xfId="37499" xr:uid="{00000000-0005-0000-0000-0000AC430000}"/>
    <cellStyle name="40% - uthevingsfarge 6 27 2 4 2 2 3" xfId="28231" xr:uid="{00000000-0005-0000-0000-0000AD430000}"/>
    <cellStyle name="40% - uthevingsfarge 6 27 2 4 2 3" xfId="20343" xr:uid="{00000000-0005-0000-0000-0000AE430000}"/>
    <cellStyle name="40% - uthevingsfarge 6 27 2 4 2 3 2" xfId="36442" xr:uid="{00000000-0005-0000-0000-0000AF430000}"/>
    <cellStyle name="40% - uthevingsfarge 6 27 2 4 2 4" xfId="31628" xr:uid="{00000000-0005-0000-0000-0000B0430000}"/>
    <cellStyle name="40% - uthevingsfarge 6 27 2 4 3" xfId="7886" xr:uid="{00000000-0005-0000-0000-0000B1430000}"/>
    <cellStyle name="40% - uthevingsfarge 6 27 2 4 3 2" xfId="11912" xr:uid="{00000000-0005-0000-0000-0000B2430000}"/>
    <cellStyle name="40% - uthevingsfarge 6 27 2 4 3 2 2" xfId="34948" xr:uid="{00000000-0005-0000-0000-0000B3430000}"/>
    <cellStyle name="40% - uthevingsfarge 6 27 2 4 3 3" xfId="29913" xr:uid="{00000000-0005-0000-0000-0000B4430000}"/>
    <cellStyle name="40% - uthevingsfarge 6 27 2 4 4" xfId="10982" xr:uid="{00000000-0005-0000-0000-0000B5430000}"/>
    <cellStyle name="40% - uthevingsfarge 6 27 2 4 4 2" xfId="34716" xr:uid="{00000000-0005-0000-0000-0000B6430000}"/>
    <cellStyle name="40% - uthevingsfarge 6 27 2 4 5" xfId="33301" xr:uid="{00000000-0005-0000-0000-0000B7430000}"/>
    <cellStyle name="40% - uthevingsfarge 6 27 2 5" xfId="4779" xr:uid="{00000000-0005-0000-0000-0000B8430000}"/>
    <cellStyle name="40% - uthevingsfarge 6 27 2 5 2" xfId="6499" xr:uid="{00000000-0005-0000-0000-0000B9430000}"/>
    <cellStyle name="40% - uthevingsfarge 6 27 2 5 2 2" xfId="9905" xr:uid="{00000000-0005-0000-0000-0000BA430000}"/>
    <cellStyle name="40% - uthevingsfarge 6 27 2 5 2 2 2" xfId="21808" xr:uid="{00000000-0005-0000-0000-0000BB430000}"/>
    <cellStyle name="40% - uthevingsfarge 6 27 2 5 2 2 2 2" xfId="37884" xr:uid="{00000000-0005-0000-0000-0000BC430000}"/>
    <cellStyle name="40% - uthevingsfarge 6 27 2 5 2 2 3" xfId="27894" xr:uid="{00000000-0005-0000-0000-0000BD430000}"/>
    <cellStyle name="40% - uthevingsfarge 6 27 2 5 2 3" xfId="20477" xr:uid="{00000000-0005-0000-0000-0000BE430000}"/>
    <cellStyle name="40% - uthevingsfarge 6 27 2 5 2 3 2" xfId="36576" xr:uid="{00000000-0005-0000-0000-0000BF430000}"/>
    <cellStyle name="40% - uthevingsfarge 6 27 2 5 2 4" xfId="31295" xr:uid="{00000000-0005-0000-0000-0000C0430000}"/>
    <cellStyle name="40% - uthevingsfarge 6 27 2 5 3" xfId="8201" xr:uid="{00000000-0005-0000-0000-0000C1430000}"/>
    <cellStyle name="40% - uthevingsfarge 6 27 2 5 3 2" xfId="11883" xr:uid="{00000000-0005-0000-0000-0000C2430000}"/>
    <cellStyle name="40% - uthevingsfarge 6 27 2 5 3 2 2" xfId="34920" xr:uid="{00000000-0005-0000-0000-0000C3430000}"/>
    <cellStyle name="40% - uthevingsfarge 6 27 2 5 3 3" xfId="29596" xr:uid="{00000000-0005-0000-0000-0000C4430000}"/>
    <cellStyle name="40% - uthevingsfarge 6 27 2 5 4" xfId="12266" xr:uid="{00000000-0005-0000-0000-0000C5430000}"/>
    <cellStyle name="40% - uthevingsfarge 6 27 2 5 4 2" xfId="35142" xr:uid="{00000000-0005-0000-0000-0000C6430000}"/>
    <cellStyle name="40% - uthevingsfarge 6 27 2 5 5" xfId="32988" xr:uid="{00000000-0005-0000-0000-0000C7430000}"/>
    <cellStyle name="40% - uthevingsfarge 6 27 2 6" xfId="5139" xr:uid="{00000000-0005-0000-0000-0000C8430000}"/>
    <cellStyle name="40% - uthevingsfarge 6 27 2 6 2" xfId="6858" xr:uid="{00000000-0005-0000-0000-0000C9430000}"/>
    <cellStyle name="40% - uthevingsfarge 6 27 2 6 2 2" xfId="10264" xr:uid="{00000000-0005-0000-0000-0000CA430000}"/>
    <cellStyle name="40% - uthevingsfarge 6 27 2 6 2 2 2" xfId="24707" xr:uid="{00000000-0005-0000-0000-0000CB430000}"/>
    <cellStyle name="40% - uthevingsfarge 6 27 2 6 2 2 2 2" xfId="40750" xr:uid="{00000000-0005-0000-0000-0000CC430000}"/>
    <cellStyle name="40% - uthevingsfarge 6 27 2 6 2 2 3" xfId="27535" xr:uid="{00000000-0005-0000-0000-0000CD430000}"/>
    <cellStyle name="40% - uthevingsfarge 6 27 2 6 2 3" xfId="24107" xr:uid="{00000000-0005-0000-0000-0000CE430000}"/>
    <cellStyle name="40% - uthevingsfarge 6 27 2 6 2 3 2" xfId="40160" xr:uid="{00000000-0005-0000-0000-0000CF430000}"/>
    <cellStyle name="40% - uthevingsfarge 6 27 2 6 2 4" xfId="30936" xr:uid="{00000000-0005-0000-0000-0000D0430000}"/>
    <cellStyle name="40% - uthevingsfarge 6 27 2 6 3" xfId="8561" xr:uid="{00000000-0005-0000-0000-0000D1430000}"/>
    <cellStyle name="40% - uthevingsfarge 6 27 2 6 3 2" xfId="24382" xr:uid="{00000000-0005-0000-0000-0000D2430000}"/>
    <cellStyle name="40% - uthevingsfarge 6 27 2 6 3 2 2" xfId="40426" xr:uid="{00000000-0005-0000-0000-0000D3430000}"/>
    <cellStyle name="40% - uthevingsfarge 6 27 2 6 3 3" xfId="29237" xr:uid="{00000000-0005-0000-0000-0000D4430000}"/>
    <cellStyle name="40% - uthevingsfarge 6 27 2 6 4" xfId="12162" xr:uid="{00000000-0005-0000-0000-0000D5430000}"/>
    <cellStyle name="40% - uthevingsfarge 6 27 2 6 4 2" xfId="35101" xr:uid="{00000000-0005-0000-0000-0000D6430000}"/>
    <cellStyle name="40% - uthevingsfarge 6 27 2 6 5" xfId="32628" xr:uid="{00000000-0005-0000-0000-0000D7430000}"/>
    <cellStyle name="40% - uthevingsfarge 6 27 2 7" xfId="5318" xr:uid="{00000000-0005-0000-0000-0000D8430000}"/>
    <cellStyle name="40% - uthevingsfarge 6 27 2 7 2" xfId="8733" xr:uid="{00000000-0005-0000-0000-0000D9430000}"/>
    <cellStyle name="40% - uthevingsfarge 6 27 2 7 2 2" xfId="21172" xr:uid="{00000000-0005-0000-0000-0000DA430000}"/>
    <cellStyle name="40% - uthevingsfarge 6 27 2 7 2 2 2" xfId="37252" xr:uid="{00000000-0005-0000-0000-0000DB430000}"/>
    <cellStyle name="40% - uthevingsfarge 6 27 2 7 2 3" xfId="29065" xr:uid="{00000000-0005-0000-0000-0000DC430000}"/>
    <cellStyle name="40% - uthevingsfarge 6 27 2 7 3" xfId="19798" xr:uid="{00000000-0005-0000-0000-0000DD430000}"/>
    <cellStyle name="40% - uthevingsfarge 6 27 2 7 3 2" xfId="35911" xr:uid="{00000000-0005-0000-0000-0000DE430000}"/>
    <cellStyle name="40% - uthevingsfarge 6 27 2 7 4" xfId="32456" xr:uid="{00000000-0005-0000-0000-0000DF430000}"/>
    <cellStyle name="40% - uthevingsfarge 6 27 2 8" xfId="7051" xr:uid="{00000000-0005-0000-0000-0000E0430000}"/>
    <cellStyle name="40% - uthevingsfarge 6 27 2 8 2" xfId="20647" xr:uid="{00000000-0005-0000-0000-0000E1430000}"/>
    <cellStyle name="40% - uthevingsfarge 6 27 2 8 2 2" xfId="36746" xr:uid="{00000000-0005-0000-0000-0000E2430000}"/>
    <cellStyle name="40% - uthevingsfarge 6 27 2 8 3" xfId="30747" xr:uid="{00000000-0005-0000-0000-0000E3430000}"/>
    <cellStyle name="40% - uthevingsfarge 6 27 2 9" xfId="11246" xr:uid="{00000000-0005-0000-0000-0000E4430000}"/>
    <cellStyle name="40% - uthevingsfarge 6 27 3" xfId="3504" xr:uid="{00000000-0005-0000-0000-0000E5430000}"/>
    <cellStyle name="40% - uthevingsfarge 6 27 3 10" xfId="47120" xr:uid="{00000000-0005-0000-0000-0000E6430000}"/>
    <cellStyle name="40% - uthevingsfarge 6 27 3 2" xfId="3940" xr:uid="{00000000-0005-0000-0000-0000E7430000}"/>
    <cellStyle name="40% - uthevingsfarge 6 27 3 2 2" xfId="5828" xr:uid="{00000000-0005-0000-0000-0000E8430000}"/>
    <cellStyle name="40% - uthevingsfarge 6 27 3 2 2 2" xfId="9243" xr:uid="{00000000-0005-0000-0000-0000E9430000}"/>
    <cellStyle name="40% - uthevingsfarge 6 27 3 2 2 2 2" xfId="21329" xr:uid="{00000000-0005-0000-0000-0000EA430000}"/>
    <cellStyle name="40% - uthevingsfarge 6 27 3 2 2 2 2 2" xfId="37409" xr:uid="{00000000-0005-0000-0000-0000EB430000}"/>
    <cellStyle name="40% - uthevingsfarge 6 27 3 2 2 2 3" xfId="28555" xr:uid="{00000000-0005-0000-0000-0000EC430000}"/>
    <cellStyle name="40% - uthevingsfarge 6 27 3 2 2 3" xfId="23926" xr:uid="{00000000-0005-0000-0000-0000ED430000}"/>
    <cellStyle name="40% - uthevingsfarge 6 27 3 2 2 3 2" xfId="39980" xr:uid="{00000000-0005-0000-0000-0000EE430000}"/>
    <cellStyle name="40% - uthevingsfarge 6 27 3 2 2 4" xfId="31946" xr:uid="{00000000-0005-0000-0000-0000EF430000}"/>
    <cellStyle name="40% - uthevingsfarge 6 27 3 2 3" xfId="7546" xr:uid="{00000000-0005-0000-0000-0000F0430000}"/>
    <cellStyle name="40% - uthevingsfarge 6 27 3 2 3 2" xfId="10626" xr:uid="{00000000-0005-0000-0000-0000F1430000}"/>
    <cellStyle name="40% - uthevingsfarge 6 27 3 2 3 2 2" xfId="34474" xr:uid="{00000000-0005-0000-0000-0000F2430000}"/>
    <cellStyle name="40% - uthevingsfarge 6 27 3 2 3 3" xfId="30252" xr:uid="{00000000-0005-0000-0000-0000F3430000}"/>
    <cellStyle name="40% - uthevingsfarge 6 27 3 2 4" xfId="18052" xr:uid="{00000000-0005-0000-0000-0000F4430000}"/>
    <cellStyle name="40% - uthevingsfarge 6 27 3 2 5" xfId="21825" xr:uid="{00000000-0005-0000-0000-0000F5430000}"/>
    <cellStyle name="40% - uthevingsfarge 6 27 3 2 5 2" xfId="37901" xr:uid="{00000000-0005-0000-0000-0000F6430000}"/>
    <cellStyle name="40% - uthevingsfarge 6 27 3 2 6" xfId="33639" xr:uid="{00000000-0005-0000-0000-0000F7430000}"/>
    <cellStyle name="40% - uthevingsfarge 6 27 3 3" xfId="4880" xr:uid="{00000000-0005-0000-0000-0000F8430000}"/>
    <cellStyle name="40% - uthevingsfarge 6 27 3 3 10" xfId="47310" xr:uid="{00000000-0005-0000-0000-0000F9430000}"/>
    <cellStyle name="40% - uthevingsfarge 6 27 3 3 2" xfId="6599" xr:uid="{00000000-0005-0000-0000-0000FA430000}"/>
    <cellStyle name="40% - uthevingsfarge 6 27 3 3 2 2" xfId="10005" xr:uid="{00000000-0005-0000-0000-0000FB430000}"/>
    <cellStyle name="40% - uthevingsfarge 6 27 3 3 2 2 2" xfId="24605" xr:uid="{00000000-0005-0000-0000-0000FC430000}"/>
    <cellStyle name="40% - uthevingsfarge 6 27 3 3 2 2 2 2" xfId="40649" xr:uid="{00000000-0005-0000-0000-0000FD430000}"/>
    <cellStyle name="40% - uthevingsfarge 6 27 3 3 2 2 3" xfId="27794" xr:uid="{00000000-0005-0000-0000-0000FE430000}"/>
    <cellStyle name="40% - uthevingsfarge 6 27 3 3 2 3" xfId="20514" xr:uid="{00000000-0005-0000-0000-0000FF430000}"/>
    <cellStyle name="40% - uthevingsfarge 6 27 3 3 2 3 2" xfId="36613" xr:uid="{00000000-0005-0000-0000-000000440000}"/>
    <cellStyle name="40% - uthevingsfarge 6 27 3 3 2 4" xfId="31195" xr:uid="{00000000-0005-0000-0000-000001440000}"/>
    <cellStyle name="40% - uthevingsfarge 6 27 3 3 2 5" xfId="42865" xr:uid="{00000000-0005-0000-0000-000002440000}"/>
    <cellStyle name="40% - uthevingsfarge 6 27 3 3 2 6" xfId="43303" xr:uid="{00000000-0005-0000-0000-000003440000}"/>
    <cellStyle name="40% - uthevingsfarge 6 27 3 3 2 7" xfId="46151" xr:uid="{00000000-0005-0000-0000-000004440000}"/>
    <cellStyle name="40% - uthevingsfarge 6 27 3 3 2 8" xfId="46920" xr:uid="{00000000-0005-0000-0000-000005440000}"/>
    <cellStyle name="40% - uthevingsfarge 6 27 3 3 2 9" xfId="47506" xr:uid="{00000000-0005-0000-0000-000006440000}"/>
    <cellStyle name="40% - uthevingsfarge 6 27 3 3 3" xfId="8302" xr:uid="{00000000-0005-0000-0000-000007440000}"/>
    <cellStyle name="40% - uthevingsfarge 6 27 3 3 3 2" xfId="21055" xr:uid="{00000000-0005-0000-0000-000008440000}"/>
    <cellStyle name="40% - uthevingsfarge 6 27 3 3 3 2 2" xfId="37144" xr:uid="{00000000-0005-0000-0000-000009440000}"/>
    <cellStyle name="40% - uthevingsfarge 6 27 3 3 3 3" xfId="29495" xr:uid="{00000000-0005-0000-0000-00000A440000}"/>
    <cellStyle name="40% - uthevingsfarge 6 27 3 3 3 4" xfId="43968" xr:uid="{00000000-0005-0000-0000-00000B440000}"/>
    <cellStyle name="40% - uthevingsfarge 6 27 3 3 4" xfId="16310" xr:uid="{00000000-0005-0000-0000-00000C440000}"/>
    <cellStyle name="40% - uthevingsfarge 6 27 3 3 4 2" xfId="35398" xr:uid="{00000000-0005-0000-0000-00000D440000}"/>
    <cellStyle name="40% - uthevingsfarge 6 27 3 3 5" xfId="25057" xr:uid="{00000000-0005-0000-0000-00000E440000}"/>
    <cellStyle name="40% - uthevingsfarge 6 27 3 3 6" xfId="25331" xr:uid="{00000000-0005-0000-0000-00000F440000}"/>
    <cellStyle name="40% - uthevingsfarge 6 27 3 3 7" xfId="32887" xr:uid="{00000000-0005-0000-0000-000010440000}"/>
    <cellStyle name="40% - uthevingsfarge 6 27 3 3 8" xfId="43763" xr:uid="{00000000-0005-0000-0000-000011440000}"/>
    <cellStyle name="40% - uthevingsfarge 6 27 3 3 9" xfId="46689" xr:uid="{00000000-0005-0000-0000-000012440000}"/>
    <cellStyle name="40% - uthevingsfarge 6 27 3 4" xfId="5435" xr:uid="{00000000-0005-0000-0000-000013440000}"/>
    <cellStyle name="40% - uthevingsfarge 6 27 3 4 2" xfId="8850" xr:uid="{00000000-0005-0000-0000-000014440000}"/>
    <cellStyle name="40% - uthevingsfarge 6 27 3 4 2 2" xfId="21202" xr:uid="{00000000-0005-0000-0000-000015440000}"/>
    <cellStyle name="40% - uthevingsfarge 6 27 3 4 2 2 2" xfId="37282" xr:uid="{00000000-0005-0000-0000-000016440000}"/>
    <cellStyle name="40% - uthevingsfarge 6 27 3 4 2 3" xfId="28948" xr:uid="{00000000-0005-0000-0000-000017440000}"/>
    <cellStyle name="40% - uthevingsfarge 6 27 3 4 3" xfId="12016" xr:uid="{00000000-0005-0000-0000-000018440000}"/>
    <cellStyle name="40% - uthevingsfarge 6 27 3 4 3 2" xfId="35031" xr:uid="{00000000-0005-0000-0000-000019440000}"/>
    <cellStyle name="40% - uthevingsfarge 6 27 3 4 4" xfId="32339" xr:uid="{00000000-0005-0000-0000-00001A440000}"/>
    <cellStyle name="40% - uthevingsfarge 6 27 3 5" xfId="7152" xr:uid="{00000000-0005-0000-0000-00001B440000}"/>
    <cellStyle name="40% - uthevingsfarge 6 27 3 5 2" xfId="23156" xr:uid="{00000000-0005-0000-0000-00001C440000}"/>
    <cellStyle name="40% - uthevingsfarge 6 27 3 5 2 2" xfId="39225" xr:uid="{00000000-0005-0000-0000-00001D440000}"/>
    <cellStyle name="40% - uthevingsfarge 6 27 3 5 3" xfId="30646" xr:uid="{00000000-0005-0000-0000-00001E440000}"/>
    <cellStyle name="40% - uthevingsfarge 6 27 3 6" xfId="11248" xr:uid="{00000000-0005-0000-0000-00001F440000}"/>
    <cellStyle name="40% - uthevingsfarge 6 27 3 7" xfId="34033" xr:uid="{00000000-0005-0000-0000-000020440000}"/>
    <cellStyle name="40% - uthevingsfarge 6 27 3 8" xfId="43555" xr:uid="{00000000-0005-0000-0000-000021440000}"/>
    <cellStyle name="40% - uthevingsfarge 6 27 3 9" xfId="46459" xr:uid="{00000000-0005-0000-0000-000022440000}"/>
    <cellStyle name="40% - uthevingsfarge 6 27 3_Avviksanalyse løpende RNB15 (1)" xfId="16656" xr:uid="{00000000-0005-0000-0000-000023440000}"/>
    <cellStyle name="40% - uthevingsfarge 6 27 4" xfId="3761" xr:uid="{00000000-0005-0000-0000-000024440000}"/>
    <cellStyle name="40% - uthevingsfarge 6 27 4 2" xfId="5649" xr:uid="{00000000-0005-0000-0000-000025440000}"/>
    <cellStyle name="40% - uthevingsfarge 6 27 4 2 2" xfId="9064" xr:uid="{00000000-0005-0000-0000-000026440000}"/>
    <cellStyle name="40% - uthevingsfarge 6 27 4 2 2 2" xfId="21264" xr:uid="{00000000-0005-0000-0000-000027440000}"/>
    <cellStyle name="40% - uthevingsfarge 6 27 4 2 2 2 2" xfId="37344" xr:uid="{00000000-0005-0000-0000-000028440000}"/>
    <cellStyle name="40% - uthevingsfarge 6 27 4 2 2 3" xfId="28734" xr:uid="{00000000-0005-0000-0000-000029440000}"/>
    <cellStyle name="40% - uthevingsfarge 6 27 4 2 3" xfId="20155" xr:uid="{00000000-0005-0000-0000-00002A440000}"/>
    <cellStyle name="40% - uthevingsfarge 6 27 4 2 3 2" xfId="36257" xr:uid="{00000000-0005-0000-0000-00002B440000}"/>
    <cellStyle name="40% - uthevingsfarge 6 27 4 2 4" xfId="32125" xr:uid="{00000000-0005-0000-0000-00002C440000}"/>
    <cellStyle name="40% - uthevingsfarge 6 27 4 3" xfId="7367" xr:uid="{00000000-0005-0000-0000-00002D440000}"/>
    <cellStyle name="40% - uthevingsfarge 6 27 4 3 2" xfId="20757" xr:uid="{00000000-0005-0000-0000-00002E440000}"/>
    <cellStyle name="40% - uthevingsfarge 6 27 4 3 2 2" xfId="36856" xr:uid="{00000000-0005-0000-0000-00002F440000}"/>
    <cellStyle name="40% - uthevingsfarge 6 27 4 3 3" xfId="30431" xr:uid="{00000000-0005-0000-0000-000030440000}"/>
    <cellStyle name="40% - uthevingsfarge 6 27 4 4" xfId="21653" xr:uid="{00000000-0005-0000-0000-000031440000}"/>
    <cellStyle name="40% - uthevingsfarge 6 27 4 4 2" xfId="37733" xr:uid="{00000000-0005-0000-0000-000032440000}"/>
    <cellStyle name="40% - uthevingsfarge 6 27 4 5" xfId="33818" xr:uid="{00000000-0005-0000-0000-000033440000}"/>
    <cellStyle name="40% - uthevingsfarge 6 27 5" xfId="4219" xr:uid="{00000000-0005-0000-0000-000034440000}"/>
    <cellStyle name="40% - uthevingsfarge 6 27 5 2" xfId="6056" xr:uid="{00000000-0005-0000-0000-000035440000}"/>
    <cellStyle name="40% - uthevingsfarge 6 27 5 2 2" xfId="9471" xr:uid="{00000000-0005-0000-0000-000036440000}"/>
    <cellStyle name="40% - uthevingsfarge 6 27 5 2 2 2" xfId="23513" xr:uid="{00000000-0005-0000-0000-000037440000}"/>
    <cellStyle name="40% - uthevingsfarge 6 27 5 2 2 2 2" xfId="39569" xr:uid="{00000000-0005-0000-0000-000038440000}"/>
    <cellStyle name="40% - uthevingsfarge 6 27 5 2 2 3" xfId="28327" xr:uid="{00000000-0005-0000-0000-000039440000}"/>
    <cellStyle name="40% - uthevingsfarge 6 27 5 2 3" xfId="20304" xr:uid="{00000000-0005-0000-0000-00003A440000}"/>
    <cellStyle name="40% - uthevingsfarge 6 27 5 2 3 2" xfId="36403" xr:uid="{00000000-0005-0000-0000-00003B440000}"/>
    <cellStyle name="40% - uthevingsfarge 6 27 5 2 4" xfId="31722" xr:uid="{00000000-0005-0000-0000-00003C440000}"/>
    <cellStyle name="40% - uthevingsfarge 6 27 5 3" xfId="7789" xr:uid="{00000000-0005-0000-0000-00003D440000}"/>
    <cellStyle name="40% - uthevingsfarge 6 27 5 3 2" xfId="23269" xr:uid="{00000000-0005-0000-0000-00003E440000}"/>
    <cellStyle name="40% - uthevingsfarge 6 27 5 3 2 2" xfId="39337" xr:uid="{00000000-0005-0000-0000-00003F440000}"/>
    <cellStyle name="40% - uthevingsfarge 6 27 5 3 3" xfId="30010" xr:uid="{00000000-0005-0000-0000-000040440000}"/>
    <cellStyle name="40% - uthevingsfarge 6 27 5 4" xfId="22686" xr:uid="{00000000-0005-0000-0000-000041440000}"/>
    <cellStyle name="40% - uthevingsfarge 6 27 5 4 2" xfId="38755" xr:uid="{00000000-0005-0000-0000-000042440000}"/>
    <cellStyle name="40% - uthevingsfarge 6 27 5 5" xfId="33398" xr:uid="{00000000-0005-0000-0000-000043440000}"/>
    <cellStyle name="40% - uthevingsfarge 6 27 6" xfId="4696" xr:uid="{00000000-0005-0000-0000-000044440000}"/>
    <cellStyle name="40% - uthevingsfarge 6 27 6 2" xfId="6416" xr:uid="{00000000-0005-0000-0000-000045440000}"/>
    <cellStyle name="40% - uthevingsfarge 6 27 6 2 2" xfId="9826" xr:uid="{00000000-0005-0000-0000-000046440000}"/>
    <cellStyle name="40% - uthevingsfarge 6 27 6 2 2 2" xfId="21985" xr:uid="{00000000-0005-0000-0000-000047440000}"/>
    <cellStyle name="40% - uthevingsfarge 6 27 6 2 2 2 2" xfId="38060" xr:uid="{00000000-0005-0000-0000-000048440000}"/>
    <cellStyle name="40% - uthevingsfarge 6 27 6 2 2 3" xfId="27973" xr:uid="{00000000-0005-0000-0000-000049440000}"/>
    <cellStyle name="40% - uthevingsfarge 6 27 6 2 3" xfId="20443" xr:uid="{00000000-0005-0000-0000-00004A440000}"/>
    <cellStyle name="40% - uthevingsfarge 6 27 6 2 3 2" xfId="36542" xr:uid="{00000000-0005-0000-0000-00004B440000}"/>
    <cellStyle name="40% - uthevingsfarge 6 27 6 2 4" xfId="31374" xr:uid="{00000000-0005-0000-0000-00004C440000}"/>
    <cellStyle name="40% - uthevingsfarge 6 27 6 3" xfId="8122" xr:uid="{00000000-0005-0000-0000-00004D440000}"/>
    <cellStyle name="40% - uthevingsfarge 6 27 6 3 2" xfId="21008" xr:uid="{00000000-0005-0000-0000-00004E440000}"/>
    <cellStyle name="40% - uthevingsfarge 6 27 6 3 2 2" xfId="37103" xr:uid="{00000000-0005-0000-0000-00004F440000}"/>
    <cellStyle name="40% - uthevingsfarge 6 27 6 3 3" xfId="29676" xr:uid="{00000000-0005-0000-0000-000050440000}"/>
    <cellStyle name="40% - uthevingsfarge 6 27 6 4" xfId="12286" xr:uid="{00000000-0005-0000-0000-000051440000}"/>
    <cellStyle name="40% - uthevingsfarge 6 27 6 4 2" xfId="35162" xr:uid="{00000000-0005-0000-0000-000052440000}"/>
    <cellStyle name="40% - uthevingsfarge 6 27 6 5" xfId="33067" xr:uid="{00000000-0005-0000-0000-000053440000}"/>
    <cellStyle name="40% - uthevingsfarge 6 27 7" xfId="5060" xr:uid="{00000000-0005-0000-0000-000054440000}"/>
    <cellStyle name="40% - uthevingsfarge 6 27 7 2" xfId="6779" xr:uid="{00000000-0005-0000-0000-000055440000}"/>
    <cellStyle name="40% - uthevingsfarge 6 27 7 2 2" xfId="10185" xr:uid="{00000000-0005-0000-0000-000056440000}"/>
    <cellStyle name="40% - uthevingsfarge 6 27 7 2 2 2" xfId="24641" xr:uid="{00000000-0005-0000-0000-000057440000}"/>
    <cellStyle name="40% - uthevingsfarge 6 27 7 2 2 2 2" xfId="40685" xr:uid="{00000000-0005-0000-0000-000058440000}"/>
    <cellStyle name="40% - uthevingsfarge 6 27 7 2 2 3" xfId="27614" xr:uid="{00000000-0005-0000-0000-000059440000}"/>
    <cellStyle name="40% - uthevingsfarge 6 27 7 2 3" xfId="20564" xr:uid="{00000000-0005-0000-0000-00005A440000}"/>
    <cellStyle name="40% - uthevingsfarge 6 27 7 2 3 2" xfId="36663" xr:uid="{00000000-0005-0000-0000-00005B440000}"/>
    <cellStyle name="40% - uthevingsfarge 6 27 7 2 4" xfId="31015" xr:uid="{00000000-0005-0000-0000-00005C440000}"/>
    <cellStyle name="40% - uthevingsfarge 6 27 7 3" xfId="8482" xr:uid="{00000000-0005-0000-0000-00005D440000}"/>
    <cellStyle name="40% - uthevingsfarge 6 27 7 3 2" xfId="24371" xr:uid="{00000000-0005-0000-0000-00005E440000}"/>
    <cellStyle name="40% - uthevingsfarge 6 27 7 3 2 2" xfId="40417" xr:uid="{00000000-0005-0000-0000-00005F440000}"/>
    <cellStyle name="40% - uthevingsfarge 6 27 7 3 3" xfId="29316" xr:uid="{00000000-0005-0000-0000-000060440000}"/>
    <cellStyle name="40% - uthevingsfarge 6 27 7 4" xfId="19739" xr:uid="{00000000-0005-0000-0000-000061440000}"/>
    <cellStyle name="40% - uthevingsfarge 6 27 7 4 2" xfId="35853" xr:uid="{00000000-0005-0000-0000-000062440000}"/>
    <cellStyle name="40% - uthevingsfarge 6 27 7 5" xfId="32707" xr:uid="{00000000-0005-0000-0000-000063440000}"/>
    <cellStyle name="40% - uthevingsfarge 6 27 8" xfId="5209" xr:uid="{00000000-0005-0000-0000-000064440000}"/>
    <cellStyle name="40% - uthevingsfarge 6 27 8 2" xfId="8628" xr:uid="{00000000-0005-0000-0000-000065440000}"/>
    <cellStyle name="40% - uthevingsfarge 6 27 8 2 2" xfId="21142" xr:uid="{00000000-0005-0000-0000-000066440000}"/>
    <cellStyle name="40% - uthevingsfarge 6 27 8 2 2 2" xfId="37222" xr:uid="{00000000-0005-0000-0000-000067440000}"/>
    <cellStyle name="40% - uthevingsfarge 6 27 8 2 3" xfId="29170" xr:uid="{00000000-0005-0000-0000-000068440000}"/>
    <cellStyle name="40% - uthevingsfarge 6 27 8 3" xfId="10788" xr:uid="{00000000-0005-0000-0000-000069440000}"/>
    <cellStyle name="40% - uthevingsfarge 6 27 8 3 2" xfId="34611" xr:uid="{00000000-0005-0000-0000-00006A440000}"/>
    <cellStyle name="40% - uthevingsfarge 6 27 8 4" xfId="32561" xr:uid="{00000000-0005-0000-0000-00006B440000}"/>
    <cellStyle name="40% - uthevingsfarge 6 27 9" xfId="6957" xr:uid="{00000000-0005-0000-0000-00006C440000}"/>
    <cellStyle name="40% - uthevingsfarge 6 27 9 2" xfId="22156" xr:uid="{00000000-0005-0000-0000-00006D440000}"/>
    <cellStyle name="40% - uthevingsfarge 6 27 9 2 2" xfId="38230" xr:uid="{00000000-0005-0000-0000-00006E440000}"/>
    <cellStyle name="40% - uthevingsfarge 6 27 9 3" xfId="30841" xr:uid="{00000000-0005-0000-0000-00006F440000}"/>
    <cellStyle name="40% - uthevingsfarge 6 28" xfId="984" xr:uid="{00000000-0005-0000-0000-000070440000}"/>
    <cellStyle name="40% - uthevingsfarge 6 28 10" xfId="6958" xr:uid="{00000000-0005-0000-0000-000071440000}"/>
    <cellStyle name="40% - uthevingsfarge 6 28 10 2" xfId="23120" xr:uid="{00000000-0005-0000-0000-000072440000}"/>
    <cellStyle name="40% - uthevingsfarge 6 28 10 2 2" xfId="39189" xr:uid="{00000000-0005-0000-0000-000073440000}"/>
    <cellStyle name="40% - uthevingsfarge 6 28 10 3" xfId="30840" xr:uid="{00000000-0005-0000-0000-000074440000}"/>
    <cellStyle name="40% - uthevingsfarge 6 28 11" xfId="11249" xr:uid="{00000000-0005-0000-0000-000075440000}"/>
    <cellStyle name="40% - uthevingsfarge 6 28 12" xfId="34228" xr:uid="{00000000-0005-0000-0000-000076440000}"/>
    <cellStyle name="40% - uthevingsfarge 6 28 2" xfId="3358" xr:uid="{00000000-0005-0000-0000-000077440000}"/>
    <cellStyle name="40% - uthevingsfarge 6 28 2 10" xfId="34133" xr:uid="{00000000-0005-0000-0000-000078440000}"/>
    <cellStyle name="40% - uthevingsfarge 6 28 2 2" xfId="3590" xr:uid="{00000000-0005-0000-0000-000079440000}"/>
    <cellStyle name="40% - uthevingsfarge 6 28 2 2 10" xfId="47189" xr:uid="{00000000-0005-0000-0000-00007A440000}"/>
    <cellStyle name="40% - uthevingsfarge 6 28 2 2 2" xfId="4020" xr:uid="{00000000-0005-0000-0000-00007B440000}"/>
    <cellStyle name="40% - uthevingsfarge 6 28 2 2 2 2" xfId="5908" xr:uid="{00000000-0005-0000-0000-00007C440000}"/>
    <cellStyle name="40% - uthevingsfarge 6 28 2 2 2 2 2" xfId="9323" xr:uid="{00000000-0005-0000-0000-00007D440000}"/>
    <cellStyle name="40% - uthevingsfarge 6 28 2 2 2 2 2 2" xfId="24495" xr:uid="{00000000-0005-0000-0000-00007E440000}"/>
    <cellStyle name="40% - uthevingsfarge 6 28 2 2 2 2 2 2 2" xfId="40539" xr:uid="{00000000-0005-0000-0000-00007F440000}"/>
    <cellStyle name="40% - uthevingsfarge 6 28 2 2 2 2 2 3" xfId="28475" xr:uid="{00000000-0005-0000-0000-000080440000}"/>
    <cellStyle name="40% - uthevingsfarge 6 28 2 2 2 2 3" xfId="20246" xr:uid="{00000000-0005-0000-0000-000081440000}"/>
    <cellStyle name="40% - uthevingsfarge 6 28 2 2 2 2 3 2" xfId="36345" xr:uid="{00000000-0005-0000-0000-000082440000}"/>
    <cellStyle name="40% - uthevingsfarge 6 28 2 2 2 2 4" xfId="31868" xr:uid="{00000000-0005-0000-0000-000083440000}"/>
    <cellStyle name="40% - uthevingsfarge 6 28 2 2 2 3" xfId="7626" xr:uid="{00000000-0005-0000-0000-000084440000}"/>
    <cellStyle name="40% - uthevingsfarge 6 28 2 2 2 3 2" xfId="23236" xr:uid="{00000000-0005-0000-0000-000085440000}"/>
    <cellStyle name="40% - uthevingsfarge 6 28 2 2 2 3 2 2" xfId="39304" xr:uid="{00000000-0005-0000-0000-000086440000}"/>
    <cellStyle name="40% - uthevingsfarge 6 28 2 2 2 3 3" xfId="30172" xr:uid="{00000000-0005-0000-0000-000087440000}"/>
    <cellStyle name="40% - uthevingsfarge 6 28 2 2 2 4" xfId="18053" xr:uid="{00000000-0005-0000-0000-000088440000}"/>
    <cellStyle name="40% - uthevingsfarge 6 28 2 2 2 5" xfId="12437" xr:uid="{00000000-0005-0000-0000-000089440000}"/>
    <cellStyle name="40% - uthevingsfarge 6 28 2 2 2 5 2" xfId="35235" xr:uid="{00000000-0005-0000-0000-00008A440000}"/>
    <cellStyle name="40% - uthevingsfarge 6 28 2 2 2 6" xfId="33559" xr:uid="{00000000-0005-0000-0000-00008B440000}"/>
    <cellStyle name="40% - uthevingsfarge 6 28 2 2 3" xfId="4960" xr:uid="{00000000-0005-0000-0000-00008C440000}"/>
    <cellStyle name="40% - uthevingsfarge 6 28 2 2 3 10" xfId="47379" xr:uid="{00000000-0005-0000-0000-00008D440000}"/>
    <cellStyle name="40% - uthevingsfarge 6 28 2 2 3 2" xfId="6679" xr:uid="{00000000-0005-0000-0000-00008E440000}"/>
    <cellStyle name="40% - uthevingsfarge 6 28 2 2 3 2 2" xfId="10085" xr:uid="{00000000-0005-0000-0000-00008F440000}"/>
    <cellStyle name="40% - uthevingsfarge 6 28 2 2 3 2 2 2" xfId="24621" xr:uid="{00000000-0005-0000-0000-000090440000}"/>
    <cellStyle name="40% - uthevingsfarge 6 28 2 2 3 2 2 2 2" xfId="40665" xr:uid="{00000000-0005-0000-0000-000091440000}"/>
    <cellStyle name="40% - uthevingsfarge 6 28 2 2 3 2 2 3" xfId="27714" xr:uid="{00000000-0005-0000-0000-000092440000}"/>
    <cellStyle name="40% - uthevingsfarge 6 28 2 2 3 2 3" xfId="22143" xr:uid="{00000000-0005-0000-0000-000093440000}"/>
    <cellStyle name="40% - uthevingsfarge 6 28 2 2 3 2 3 2" xfId="38217" xr:uid="{00000000-0005-0000-0000-000094440000}"/>
    <cellStyle name="40% - uthevingsfarge 6 28 2 2 3 2 4" xfId="31115" xr:uid="{00000000-0005-0000-0000-000095440000}"/>
    <cellStyle name="40% - uthevingsfarge 6 28 2 2 3 2 5" xfId="43073" xr:uid="{00000000-0005-0000-0000-000096440000}"/>
    <cellStyle name="40% - uthevingsfarge 6 28 2 2 3 2 6" xfId="43370" xr:uid="{00000000-0005-0000-0000-000097440000}"/>
    <cellStyle name="40% - uthevingsfarge 6 28 2 2 3 2 7" xfId="46218" xr:uid="{00000000-0005-0000-0000-000098440000}"/>
    <cellStyle name="40% - uthevingsfarge 6 28 2 2 3 2 8" xfId="46990" xr:uid="{00000000-0005-0000-0000-000099440000}"/>
    <cellStyle name="40% - uthevingsfarge 6 28 2 2 3 2 9" xfId="47575" xr:uid="{00000000-0005-0000-0000-00009A440000}"/>
    <cellStyle name="40% - uthevingsfarge 6 28 2 2 3 3" xfId="8382" xr:uid="{00000000-0005-0000-0000-00009B440000}"/>
    <cellStyle name="40% - uthevingsfarge 6 28 2 2 3 3 2" xfId="23680" xr:uid="{00000000-0005-0000-0000-00009C440000}"/>
    <cellStyle name="40% - uthevingsfarge 6 28 2 2 3 3 2 2" xfId="39736" xr:uid="{00000000-0005-0000-0000-00009D440000}"/>
    <cellStyle name="40% - uthevingsfarge 6 28 2 2 3 3 3" xfId="29416" xr:uid="{00000000-0005-0000-0000-00009E440000}"/>
    <cellStyle name="40% - uthevingsfarge 6 28 2 2 3 3 4" xfId="43969" xr:uid="{00000000-0005-0000-0000-00009F440000}"/>
    <cellStyle name="40% - uthevingsfarge 6 28 2 2 3 4" xfId="16518" xr:uid="{00000000-0005-0000-0000-0000A0440000}"/>
    <cellStyle name="40% - uthevingsfarge 6 28 2 2 3 4 2" xfId="35465" xr:uid="{00000000-0005-0000-0000-0000A1440000}"/>
    <cellStyle name="40% - uthevingsfarge 6 28 2 2 3 5" xfId="25127" xr:uid="{00000000-0005-0000-0000-0000A2440000}"/>
    <cellStyle name="40% - uthevingsfarge 6 28 2 2 3 6" xfId="25332" xr:uid="{00000000-0005-0000-0000-0000A3440000}"/>
    <cellStyle name="40% - uthevingsfarge 6 28 2 2 3 7" xfId="32807" xr:uid="{00000000-0005-0000-0000-0000A4440000}"/>
    <cellStyle name="40% - uthevingsfarge 6 28 2 2 3 8" xfId="43831" xr:uid="{00000000-0005-0000-0000-0000A5440000}"/>
    <cellStyle name="40% - uthevingsfarge 6 28 2 2 3 9" xfId="46756" xr:uid="{00000000-0005-0000-0000-0000A6440000}"/>
    <cellStyle name="40% - uthevingsfarge 6 28 2 2 4" xfId="5514" xr:uid="{00000000-0005-0000-0000-0000A7440000}"/>
    <cellStyle name="40% - uthevingsfarge 6 28 2 2 4 2" xfId="8929" xr:uid="{00000000-0005-0000-0000-0000A8440000}"/>
    <cellStyle name="40% - uthevingsfarge 6 28 2 2 4 2 2" xfId="23426" xr:uid="{00000000-0005-0000-0000-0000A9440000}"/>
    <cellStyle name="40% - uthevingsfarge 6 28 2 2 4 2 2 2" xfId="39482" xr:uid="{00000000-0005-0000-0000-0000AA440000}"/>
    <cellStyle name="40% - uthevingsfarge 6 28 2 2 4 2 3" xfId="28869" xr:uid="{00000000-0005-0000-0000-0000AB440000}"/>
    <cellStyle name="40% - uthevingsfarge 6 28 2 2 4 3" xfId="22864" xr:uid="{00000000-0005-0000-0000-0000AC440000}"/>
    <cellStyle name="40% - uthevingsfarge 6 28 2 2 4 3 2" xfId="38933" xr:uid="{00000000-0005-0000-0000-0000AD440000}"/>
    <cellStyle name="40% - uthevingsfarge 6 28 2 2 4 4" xfId="32260" xr:uid="{00000000-0005-0000-0000-0000AE440000}"/>
    <cellStyle name="40% - uthevingsfarge 6 28 2 2 5" xfId="7232" xr:uid="{00000000-0005-0000-0000-0000AF440000}"/>
    <cellStyle name="40% - uthevingsfarge 6 28 2 2 5 2" xfId="23166" xr:uid="{00000000-0005-0000-0000-0000B0440000}"/>
    <cellStyle name="40% - uthevingsfarge 6 28 2 2 5 2 2" xfId="39235" xr:uid="{00000000-0005-0000-0000-0000B1440000}"/>
    <cellStyle name="40% - uthevingsfarge 6 28 2 2 5 3" xfId="30566" xr:uid="{00000000-0005-0000-0000-0000B2440000}"/>
    <cellStyle name="40% - uthevingsfarge 6 28 2 2 6" xfId="11251" xr:uid="{00000000-0005-0000-0000-0000B3440000}"/>
    <cellStyle name="40% - uthevingsfarge 6 28 2 2 7" xfId="33953" xr:uid="{00000000-0005-0000-0000-0000B4440000}"/>
    <cellStyle name="40% - uthevingsfarge 6 28 2 2 8" xfId="43622" xr:uid="{00000000-0005-0000-0000-0000B5440000}"/>
    <cellStyle name="40% - uthevingsfarge 6 28 2 2 9" xfId="46528" xr:uid="{00000000-0005-0000-0000-0000B6440000}"/>
    <cellStyle name="40% - uthevingsfarge 6 28 2 2_Avviksanalyse løpende RNB15 (1)" xfId="16657" xr:uid="{00000000-0005-0000-0000-0000B7440000}"/>
    <cellStyle name="40% - uthevingsfarge 6 28 2 3" xfId="3840" xr:uid="{00000000-0005-0000-0000-0000B8440000}"/>
    <cellStyle name="40% - uthevingsfarge 6 28 2 3 2" xfId="5728" xr:uid="{00000000-0005-0000-0000-0000B9440000}"/>
    <cellStyle name="40% - uthevingsfarge 6 28 2 3 2 2" xfId="9143" xr:uid="{00000000-0005-0000-0000-0000BA440000}"/>
    <cellStyle name="40% - uthevingsfarge 6 28 2 3 2 2 2" xfId="21291" xr:uid="{00000000-0005-0000-0000-0000BB440000}"/>
    <cellStyle name="40% - uthevingsfarge 6 28 2 3 2 2 2 2" xfId="37371" xr:uid="{00000000-0005-0000-0000-0000BC440000}"/>
    <cellStyle name="40% - uthevingsfarge 6 28 2 3 2 2 3" xfId="28655" xr:uid="{00000000-0005-0000-0000-0000BD440000}"/>
    <cellStyle name="40% - uthevingsfarge 6 28 2 3 2 3" xfId="22905" xr:uid="{00000000-0005-0000-0000-0000BE440000}"/>
    <cellStyle name="40% - uthevingsfarge 6 28 2 3 2 3 2" xfId="38974" xr:uid="{00000000-0005-0000-0000-0000BF440000}"/>
    <cellStyle name="40% - uthevingsfarge 6 28 2 3 2 4" xfId="32046" xr:uid="{00000000-0005-0000-0000-0000C0440000}"/>
    <cellStyle name="40% - uthevingsfarge 6 28 2 3 3" xfId="7446" xr:uid="{00000000-0005-0000-0000-0000C1440000}"/>
    <cellStyle name="40% - uthevingsfarge 6 28 2 3 3 2" xfId="22453" xr:uid="{00000000-0005-0000-0000-0000C2440000}"/>
    <cellStyle name="40% - uthevingsfarge 6 28 2 3 3 2 2" xfId="38525" xr:uid="{00000000-0005-0000-0000-0000C3440000}"/>
    <cellStyle name="40% - uthevingsfarge 6 28 2 3 3 3" xfId="30352" xr:uid="{00000000-0005-0000-0000-0000C4440000}"/>
    <cellStyle name="40% - uthevingsfarge 6 28 2 3 4" xfId="11064" xr:uid="{00000000-0005-0000-0000-0000C5440000}"/>
    <cellStyle name="40% - uthevingsfarge 6 28 2 3 4 2" xfId="34771" xr:uid="{00000000-0005-0000-0000-0000C6440000}"/>
    <cellStyle name="40% - uthevingsfarge 6 28 2 3 5" xfId="33739" xr:uid="{00000000-0005-0000-0000-0000C7440000}"/>
    <cellStyle name="40% - uthevingsfarge 6 28 2 4" xfId="4325" xr:uid="{00000000-0005-0000-0000-0000C8440000}"/>
    <cellStyle name="40% - uthevingsfarge 6 28 2 4 2" xfId="6154" xr:uid="{00000000-0005-0000-0000-0000C9440000}"/>
    <cellStyle name="40% - uthevingsfarge 6 28 2 4 2 2" xfId="9568" xr:uid="{00000000-0005-0000-0000-0000CA440000}"/>
    <cellStyle name="40% - uthevingsfarge 6 28 2 4 2 2 2" xfId="21420" xr:uid="{00000000-0005-0000-0000-0000CB440000}"/>
    <cellStyle name="40% - uthevingsfarge 6 28 2 4 2 2 2 2" xfId="37500" xr:uid="{00000000-0005-0000-0000-0000CC440000}"/>
    <cellStyle name="40% - uthevingsfarge 6 28 2 4 2 2 3" xfId="28230" xr:uid="{00000000-0005-0000-0000-0000CD440000}"/>
    <cellStyle name="40% - uthevingsfarge 6 28 2 4 2 3" xfId="23988" xr:uid="{00000000-0005-0000-0000-0000CE440000}"/>
    <cellStyle name="40% - uthevingsfarge 6 28 2 4 2 3 2" xfId="40041" xr:uid="{00000000-0005-0000-0000-0000CF440000}"/>
    <cellStyle name="40% - uthevingsfarge 6 28 2 4 2 4" xfId="31627" xr:uid="{00000000-0005-0000-0000-0000D0440000}"/>
    <cellStyle name="40% - uthevingsfarge 6 28 2 4 3" xfId="7887" xr:uid="{00000000-0005-0000-0000-0000D1440000}"/>
    <cellStyle name="40% - uthevingsfarge 6 28 2 4 3 2" xfId="23283" xr:uid="{00000000-0005-0000-0000-0000D2440000}"/>
    <cellStyle name="40% - uthevingsfarge 6 28 2 4 3 2 2" xfId="39351" xr:uid="{00000000-0005-0000-0000-0000D3440000}"/>
    <cellStyle name="40% - uthevingsfarge 6 28 2 4 3 3" xfId="29912" xr:uid="{00000000-0005-0000-0000-0000D4440000}"/>
    <cellStyle name="40% - uthevingsfarge 6 28 2 4 4" xfId="19632" xr:uid="{00000000-0005-0000-0000-0000D5440000}"/>
    <cellStyle name="40% - uthevingsfarge 6 28 2 4 4 2" xfId="35746" xr:uid="{00000000-0005-0000-0000-0000D6440000}"/>
    <cellStyle name="40% - uthevingsfarge 6 28 2 4 5" xfId="33300" xr:uid="{00000000-0005-0000-0000-0000D7440000}"/>
    <cellStyle name="40% - uthevingsfarge 6 28 2 5" xfId="4780" xr:uid="{00000000-0005-0000-0000-0000D8440000}"/>
    <cellStyle name="40% - uthevingsfarge 6 28 2 5 2" xfId="6500" xr:uid="{00000000-0005-0000-0000-0000D9440000}"/>
    <cellStyle name="40% - uthevingsfarge 6 28 2 5 2 2" xfId="9906" xr:uid="{00000000-0005-0000-0000-0000DA440000}"/>
    <cellStyle name="40% - uthevingsfarge 6 28 2 5 2 2 2" xfId="23580" xr:uid="{00000000-0005-0000-0000-0000DB440000}"/>
    <cellStyle name="40% - uthevingsfarge 6 28 2 5 2 2 2 2" xfId="39636" xr:uid="{00000000-0005-0000-0000-0000DC440000}"/>
    <cellStyle name="40% - uthevingsfarge 6 28 2 5 2 2 3" xfId="27893" xr:uid="{00000000-0005-0000-0000-0000DD440000}"/>
    <cellStyle name="40% - uthevingsfarge 6 28 2 5 2 3" xfId="24053" xr:uid="{00000000-0005-0000-0000-0000DE440000}"/>
    <cellStyle name="40% - uthevingsfarge 6 28 2 5 2 3 2" xfId="40106" xr:uid="{00000000-0005-0000-0000-0000DF440000}"/>
    <cellStyle name="40% - uthevingsfarge 6 28 2 5 2 4" xfId="31294" xr:uid="{00000000-0005-0000-0000-0000E0440000}"/>
    <cellStyle name="40% - uthevingsfarge 6 28 2 5 3" xfId="8202" xr:uid="{00000000-0005-0000-0000-0000E1440000}"/>
    <cellStyle name="40% - uthevingsfarge 6 28 2 5 3 2" xfId="22498" xr:uid="{00000000-0005-0000-0000-0000E2440000}"/>
    <cellStyle name="40% - uthevingsfarge 6 28 2 5 3 2 2" xfId="38570" xr:uid="{00000000-0005-0000-0000-0000E3440000}"/>
    <cellStyle name="40% - uthevingsfarge 6 28 2 5 3 3" xfId="29595" xr:uid="{00000000-0005-0000-0000-0000E4440000}"/>
    <cellStyle name="40% - uthevingsfarge 6 28 2 5 4" xfId="22733" xr:uid="{00000000-0005-0000-0000-0000E5440000}"/>
    <cellStyle name="40% - uthevingsfarge 6 28 2 5 4 2" xfId="38802" xr:uid="{00000000-0005-0000-0000-0000E6440000}"/>
    <cellStyle name="40% - uthevingsfarge 6 28 2 5 5" xfId="32987" xr:uid="{00000000-0005-0000-0000-0000E7440000}"/>
    <cellStyle name="40% - uthevingsfarge 6 28 2 6" xfId="5140" xr:uid="{00000000-0005-0000-0000-0000E8440000}"/>
    <cellStyle name="40% - uthevingsfarge 6 28 2 6 2" xfId="6859" xr:uid="{00000000-0005-0000-0000-0000E9440000}"/>
    <cellStyle name="40% - uthevingsfarge 6 28 2 6 2 2" xfId="10265" xr:uid="{00000000-0005-0000-0000-0000EA440000}"/>
    <cellStyle name="40% - uthevingsfarge 6 28 2 6 2 2 2" xfId="24708" xr:uid="{00000000-0005-0000-0000-0000EB440000}"/>
    <cellStyle name="40% - uthevingsfarge 6 28 2 6 2 2 2 2" xfId="40751" xr:uid="{00000000-0005-0000-0000-0000EC440000}"/>
    <cellStyle name="40% - uthevingsfarge 6 28 2 6 2 2 3" xfId="27534" xr:uid="{00000000-0005-0000-0000-0000ED440000}"/>
    <cellStyle name="40% - uthevingsfarge 6 28 2 6 2 3" xfId="22393" xr:uid="{00000000-0005-0000-0000-0000EE440000}"/>
    <cellStyle name="40% - uthevingsfarge 6 28 2 6 2 3 2" xfId="38465" xr:uid="{00000000-0005-0000-0000-0000EF440000}"/>
    <cellStyle name="40% - uthevingsfarge 6 28 2 6 2 4" xfId="30935" xr:uid="{00000000-0005-0000-0000-0000F0440000}"/>
    <cellStyle name="40% - uthevingsfarge 6 28 2 6 3" xfId="8562" xr:uid="{00000000-0005-0000-0000-0000F1440000}"/>
    <cellStyle name="40% - uthevingsfarge 6 28 2 6 3 2" xfId="22479" xr:uid="{00000000-0005-0000-0000-0000F2440000}"/>
    <cellStyle name="40% - uthevingsfarge 6 28 2 6 3 2 2" xfId="38551" xr:uid="{00000000-0005-0000-0000-0000F3440000}"/>
    <cellStyle name="40% - uthevingsfarge 6 28 2 6 3 3" xfId="29236" xr:uid="{00000000-0005-0000-0000-0000F4440000}"/>
    <cellStyle name="40% - uthevingsfarge 6 28 2 6 4" xfId="22236" xr:uid="{00000000-0005-0000-0000-0000F5440000}"/>
    <cellStyle name="40% - uthevingsfarge 6 28 2 6 4 2" xfId="38310" xr:uid="{00000000-0005-0000-0000-0000F6440000}"/>
    <cellStyle name="40% - uthevingsfarge 6 28 2 6 5" xfId="32627" xr:uid="{00000000-0005-0000-0000-0000F7440000}"/>
    <cellStyle name="40% - uthevingsfarge 6 28 2 7" xfId="5319" xr:uid="{00000000-0005-0000-0000-0000F8440000}"/>
    <cellStyle name="40% - uthevingsfarge 6 28 2 7 2" xfId="8734" xr:uid="{00000000-0005-0000-0000-0000F9440000}"/>
    <cellStyle name="40% - uthevingsfarge 6 28 2 7 2 2" xfId="21173" xr:uid="{00000000-0005-0000-0000-0000FA440000}"/>
    <cellStyle name="40% - uthevingsfarge 6 28 2 7 2 2 2" xfId="37253" xr:uid="{00000000-0005-0000-0000-0000FB440000}"/>
    <cellStyle name="40% - uthevingsfarge 6 28 2 7 2 3" xfId="29064" xr:uid="{00000000-0005-0000-0000-0000FC440000}"/>
    <cellStyle name="40% - uthevingsfarge 6 28 2 7 3" xfId="12075" xr:uid="{00000000-0005-0000-0000-0000FD440000}"/>
    <cellStyle name="40% - uthevingsfarge 6 28 2 7 3 2" xfId="35058" xr:uid="{00000000-0005-0000-0000-0000FE440000}"/>
    <cellStyle name="40% - uthevingsfarge 6 28 2 7 4" xfId="32455" xr:uid="{00000000-0005-0000-0000-0000FF440000}"/>
    <cellStyle name="40% - uthevingsfarge 6 28 2 8" xfId="7052" xr:uid="{00000000-0005-0000-0000-000000450000}"/>
    <cellStyle name="40% - uthevingsfarge 6 28 2 8 2" xfId="20648" xr:uid="{00000000-0005-0000-0000-000001450000}"/>
    <cellStyle name="40% - uthevingsfarge 6 28 2 8 2 2" xfId="36747" xr:uid="{00000000-0005-0000-0000-000002450000}"/>
    <cellStyle name="40% - uthevingsfarge 6 28 2 8 3" xfId="30746" xr:uid="{00000000-0005-0000-0000-000003450000}"/>
    <cellStyle name="40% - uthevingsfarge 6 28 2 9" xfId="11250" xr:uid="{00000000-0005-0000-0000-000004450000}"/>
    <cellStyle name="40% - uthevingsfarge 6 28 3" xfId="3505" xr:uid="{00000000-0005-0000-0000-000005450000}"/>
    <cellStyle name="40% - uthevingsfarge 6 28 3 10" xfId="46460" xr:uid="{00000000-0005-0000-0000-000006450000}"/>
    <cellStyle name="40% - uthevingsfarge 6 28 3 11" xfId="47121" xr:uid="{00000000-0005-0000-0000-000007450000}"/>
    <cellStyle name="40% - uthevingsfarge 6 28 3 2" xfId="3941" xr:uid="{00000000-0005-0000-0000-000008450000}"/>
    <cellStyle name="40% - uthevingsfarge 6 28 3 2 2" xfId="5829" xr:uid="{00000000-0005-0000-0000-000009450000}"/>
    <cellStyle name="40% - uthevingsfarge 6 28 3 2 2 2" xfId="9244" xr:uid="{00000000-0005-0000-0000-00000A450000}"/>
    <cellStyle name="40% - uthevingsfarge 6 28 3 2 2 2 2" xfId="24485" xr:uid="{00000000-0005-0000-0000-00000B450000}"/>
    <cellStyle name="40% - uthevingsfarge 6 28 3 2 2 2 2 2" xfId="40529" xr:uid="{00000000-0005-0000-0000-00000C450000}"/>
    <cellStyle name="40% - uthevingsfarge 6 28 3 2 2 2 3" xfId="28554" xr:uid="{00000000-0005-0000-0000-00000D450000}"/>
    <cellStyle name="40% - uthevingsfarge 6 28 3 2 2 3" xfId="22286" xr:uid="{00000000-0005-0000-0000-00000E450000}"/>
    <cellStyle name="40% - uthevingsfarge 6 28 3 2 2 3 2" xfId="38358" xr:uid="{00000000-0005-0000-0000-00000F450000}"/>
    <cellStyle name="40% - uthevingsfarge 6 28 3 2 2 4" xfId="31945" xr:uid="{00000000-0005-0000-0000-000010450000}"/>
    <cellStyle name="40% - uthevingsfarge 6 28 3 2 3" xfId="7547" xr:uid="{00000000-0005-0000-0000-000011450000}"/>
    <cellStyle name="40% - uthevingsfarge 6 28 3 2 3 2" xfId="10314" xr:uid="{00000000-0005-0000-0000-000012450000}"/>
    <cellStyle name="40% - uthevingsfarge 6 28 3 2 3 2 2" xfId="27493" xr:uid="{00000000-0005-0000-0000-000013450000}"/>
    <cellStyle name="40% - uthevingsfarge 6 28 3 2 3 3" xfId="30251" xr:uid="{00000000-0005-0000-0000-000014450000}"/>
    <cellStyle name="40% - uthevingsfarge 6 28 3 2 4" xfId="18054" xr:uid="{00000000-0005-0000-0000-000015450000}"/>
    <cellStyle name="40% - uthevingsfarge 6 28 3 2 5" xfId="22791" xr:uid="{00000000-0005-0000-0000-000016450000}"/>
    <cellStyle name="40% - uthevingsfarge 6 28 3 2 5 2" xfId="38860" xr:uid="{00000000-0005-0000-0000-000017450000}"/>
    <cellStyle name="40% - uthevingsfarge 6 28 3 2 6" xfId="33638" xr:uid="{00000000-0005-0000-0000-000018450000}"/>
    <cellStyle name="40% - uthevingsfarge 6 28 3 3" xfId="4410" xr:uid="{00000000-0005-0000-0000-000019450000}"/>
    <cellStyle name="40% - uthevingsfarge 6 28 3 3 10" xfId="47311" xr:uid="{00000000-0005-0000-0000-00001A450000}"/>
    <cellStyle name="40% - uthevingsfarge 6 28 3 3 2" xfId="6207" xr:uid="{00000000-0005-0000-0000-00001B450000}"/>
    <cellStyle name="40% - uthevingsfarge 6 28 3 3 2 2" xfId="9621" xr:uid="{00000000-0005-0000-0000-00001C450000}"/>
    <cellStyle name="40% - uthevingsfarge 6 28 3 3 2 2 2" xfId="21966" xr:uid="{00000000-0005-0000-0000-00001D450000}"/>
    <cellStyle name="40% - uthevingsfarge 6 28 3 3 2 2 2 2" xfId="38041" xr:uid="{00000000-0005-0000-0000-00001E450000}"/>
    <cellStyle name="40% - uthevingsfarge 6 28 3 3 2 2 3" xfId="28177" xr:uid="{00000000-0005-0000-0000-00001F450000}"/>
    <cellStyle name="40% - uthevingsfarge 6 28 3 3 2 3" xfId="20364" xr:uid="{00000000-0005-0000-0000-000020450000}"/>
    <cellStyle name="40% - uthevingsfarge 6 28 3 3 2 3 2" xfId="36463" xr:uid="{00000000-0005-0000-0000-000021450000}"/>
    <cellStyle name="40% - uthevingsfarge 6 28 3 3 2 4" xfId="31578" xr:uid="{00000000-0005-0000-0000-000022450000}"/>
    <cellStyle name="40% - uthevingsfarge 6 28 3 3 2 5" xfId="42866" xr:uid="{00000000-0005-0000-0000-000023450000}"/>
    <cellStyle name="40% - uthevingsfarge 6 28 3 3 2 6" xfId="43304" xr:uid="{00000000-0005-0000-0000-000024450000}"/>
    <cellStyle name="40% - uthevingsfarge 6 28 3 3 2 7" xfId="46152" xr:uid="{00000000-0005-0000-0000-000025450000}"/>
    <cellStyle name="40% - uthevingsfarge 6 28 3 3 2 8" xfId="46921" xr:uid="{00000000-0005-0000-0000-000026450000}"/>
    <cellStyle name="40% - uthevingsfarge 6 28 3 3 2 9" xfId="47507" xr:uid="{00000000-0005-0000-0000-000027450000}"/>
    <cellStyle name="40% - uthevingsfarge 6 28 3 3 3" xfId="7941" xr:uid="{00000000-0005-0000-0000-000028450000}"/>
    <cellStyle name="40% - uthevingsfarge 6 28 3 3 3 2" xfId="23291" xr:uid="{00000000-0005-0000-0000-000029450000}"/>
    <cellStyle name="40% - uthevingsfarge 6 28 3 3 3 2 2" xfId="39358" xr:uid="{00000000-0005-0000-0000-00002A450000}"/>
    <cellStyle name="40% - uthevingsfarge 6 28 3 3 3 3" xfId="29858" xr:uid="{00000000-0005-0000-0000-00002B450000}"/>
    <cellStyle name="40% - uthevingsfarge 6 28 3 3 3 4" xfId="43970" xr:uid="{00000000-0005-0000-0000-00002C450000}"/>
    <cellStyle name="40% - uthevingsfarge 6 28 3 3 4" xfId="16311" xr:uid="{00000000-0005-0000-0000-00002D450000}"/>
    <cellStyle name="40% - uthevingsfarge 6 28 3 3 4 2" xfId="35399" xr:uid="{00000000-0005-0000-0000-00002E450000}"/>
    <cellStyle name="40% - uthevingsfarge 6 28 3 3 5" xfId="25058" xr:uid="{00000000-0005-0000-0000-00002F450000}"/>
    <cellStyle name="40% - uthevingsfarge 6 28 3 3 6" xfId="25333" xr:uid="{00000000-0005-0000-0000-000030450000}"/>
    <cellStyle name="40% - uthevingsfarge 6 28 3 3 7" xfId="33247" xr:uid="{00000000-0005-0000-0000-000031450000}"/>
    <cellStyle name="40% - uthevingsfarge 6 28 3 3 8" xfId="43764" xr:uid="{00000000-0005-0000-0000-000032450000}"/>
    <cellStyle name="40% - uthevingsfarge 6 28 3 3 9" xfId="46690" xr:uid="{00000000-0005-0000-0000-000033450000}"/>
    <cellStyle name="40% - uthevingsfarge 6 28 3 4" xfId="4881" xr:uid="{00000000-0005-0000-0000-000034450000}"/>
    <cellStyle name="40% - uthevingsfarge 6 28 3 4 2" xfId="6600" xr:uid="{00000000-0005-0000-0000-000035450000}"/>
    <cellStyle name="40% - uthevingsfarge 6 28 3 4 2 2" xfId="10006" xr:uid="{00000000-0005-0000-0000-000036450000}"/>
    <cellStyle name="40% - uthevingsfarge 6 28 3 4 2 2 2" xfId="22010" xr:uid="{00000000-0005-0000-0000-000037450000}"/>
    <cellStyle name="40% - uthevingsfarge 6 28 3 4 2 2 2 2" xfId="38085" xr:uid="{00000000-0005-0000-0000-000038450000}"/>
    <cellStyle name="40% - uthevingsfarge 6 28 3 4 2 2 3" xfId="27793" xr:uid="{00000000-0005-0000-0000-000039450000}"/>
    <cellStyle name="40% - uthevingsfarge 6 28 3 4 2 3" xfId="24072" xr:uid="{00000000-0005-0000-0000-00003A450000}"/>
    <cellStyle name="40% - uthevingsfarge 6 28 3 4 2 3 2" xfId="40125" xr:uid="{00000000-0005-0000-0000-00003B450000}"/>
    <cellStyle name="40% - uthevingsfarge 6 28 3 4 2 4" xfId="31194" xr:uid="{00000000-0005-0000-0000-00003C450000}"/>
    <cellStyle name="40% - uthevingsfarge 6 28 3 4 3" xfId="8303" xr:uid="{00000000-0005-0000-0000-00003D450000}"/>
    <cellStyle name="40% - uthevingsfarge 6 28 3 4 3 2" xfId="24345" xr:uid="{00000000-0005-0000-0000-00003E450000}"/>
    <cellStyle name="40% - uthevingsfarge 6 28 3 4 3 2 2" xfId="40394" xr:uid="{00000000-0005-0000-0000-00003F450000}"/>
    <cellStyle name="40% - uthevingsfarge 6 28 3 4 3 3" xfId="29494" xr:uid="{00000000-0005-0000-0000-000040450000}"/>
    <cellStyle name="40% - uthevingsfarge 6 28 3 4 4" xfId="12237" xr:uid="{00000000-0005-0000-0000-000041450000}"/>
    <cellStyle name="40% - uthevingsfarge 6 28 3 4 4 2" xfId="35132" xr:uid="{00000000-0005-0000-0000-000042450000}"/>
    <cellStyle name="40% - uthevingsfarge 6 28 3 4 5" xfId="32886" xr:uid="{00000000-0005-0000-0000-000043450000}"/>
    <cellStyle name="40% - uthevingsfarge 6 28 3 5" xfId="5257" xr:uid="{00000000-0005-0000-0000-000044450000}"/>
    <cellStyle name="40% - uthevingsfarge 6 28 3 5 2" xfId="8672" xr:uid="{00000000-0005-0000-0000-000045450000}"/>
    <cellStyle name="40% - uthevingsfarge 6 28 3 5 2 2" xfId="19509" xr:uid="{00000000-0005-0000-0000-000046450000}"/>
    <cellStyle name="40% - uthevingsfarge 6 28 3 5 2 2 2" xfId="35623" xr:uid="{00000000-0005-0000-0000-000047450000}"/>
    <cellStyle name="40% - uthevingsfarge 6 28 3 5 2 3" xfId="29126" xr:uid="{00000000-0005-0000-0000-000048450000}"/>
    <cellStyle name="40% - uthevingsfarge 6 28 3 5 3" xfId="12102" xr:uid="{00000000-0005-0000-0000-000049450000}"/>
    <cellStyle name="40% - uthevingsfarge 6 28 3 5 3 2" xfId="35071" xr:uid="{00000000-0005-0000-0000-00004A450000}"/>
    <cellStyle name="40% - uthevingsfarge 6 28 3 5 4" xfId="32517" xr:uid="{00000000-0005-0000-0000-00004B450000}"/>
    <cellStyle name="40% - uthevingsfarge 6 28 3 6" xfId="7153" xr:uid="{00000000-0005-0000-0000-00004C450000}"/>
    <cellStyle name="40% - uthevingsfarge 6 28 3 6 2" xfId="20682" xr:uid="{00000000-0005-0000-0000-00004D450000}"/>
    <cellStyle name="40% - uthevingsfarge 6 28 3 6 2 2" xfId="36781" xr:uid="{00000000-0005-0000-0000-00004E450000}"/>
    <cellStyle name="40% - uthevingsfarge 6 28 3 6 3" xfId="30645" xr:uid="{00000000-0005-0000-0000-00004F450000}"/>
    <cellStyle name="40% - uthevingsfarge 6 28 3 7" xfId="11252" xr:uid="{00000000-0005-0000-0000-000050450000}"/>
    <cellStyle name="40% - uthevingsfarge 6 28 3 8" xfId="34032" xr:uid="{00000000-0005-0000-0000-000051450000}"/>
    <cellStyle name="40% - uthevingsfarge 6 28 3 9" xfId="43556" xr:uid="{00000000-0005-0000-0000-000052450000}"/>
    <cellStyle name="40% - uthevingsfarge 6 28 3_Avviksanalyse løpende RNB15 (1)" xfId="16658" xr:uid="{00000000-0005-0000-0000-000053450000}"/>
    <cellStyle name="40% - uthevingsfarge 6 28 4" xfId="3762" xr:uid="{00000000-0005-0000-0000-000054450000}"/>
    <cellStyle name="40% - uthevingsfarge 6 28 4 2" xfId="5650" xr:uid="{00000000-0005-0000-0000-000055450000}"/>
    <cellStyle name="40% - uthevingsfarge 6 28 4 2 2" xfId="9065" xr:uid="{00000000-0005-0000-0000-000056450000}"/>
    <cellStyle name="40% - uthevingsfarge 6 28 4 2 2 2" xfId="21265" xr:uid="{00000000-0005-0000-0000-000057450000}"/>
    <cellStyle name="40% - uthevingsfarge 6 28 4 2 2 2 2" xfId="37345" xr:uid="{00000000-0005-0000-0000-000058450000}"/>
    <cellStyle name="40% - uthevingsfarge 6 28 4 2 2 3" xfId="28733" xr:uid="{00000000-0005-0000-0000-000059450000}"/>
    <cellStyle name="40% - uthevingsfarge 6 28 4 2 3" xfId="23894" xr:uid="{00000000-0005-0000-0000-00005A450000}"/>
    <cellStyle name="40% - uthevingsfarge 6 28 4 2 3 2" xfId="39950" xr:uid="{00000000-0005-0000-0000-00005B450000}"/>
    <cellStyle name="40% - uthevingsfarge 6 28 4 2 4" xfId="32124" xr:uid="{00000000-0005-0000-0000-00005C450000}"/>
    <cellStyle name="40% - uthevingsfarge 6 28 4 3" xfId="7368" xr:uid="{00000000-0005-0000-0000-00005D450000}"/>
    <cellStyle name="40% - uthevingsfarge 6 28 4 3 2" xfId="24195" xr:uid="{00000000-0005-0000-0000-00005E450000}"/>
    <cellStyle name="40% - uthevingsfarge 6 28 4 3 2 2" xfId="40248" xr:uid="{00000000-0005-0000-0000-00005F450000}"/>
    <cellStyle name="40% - uthevingsfarge 6 28 4 3 3" xfId="30430" xr:uid="{00000000-0005-0000-0000-000060450000}"/>
    <cellStyle name="40% - uthevingsfarge 6 28 4 4" xfId="23692" xr:uid="{00000000-0005-0000-0000-000061450000}"/>
    <cellStyle name="40% - uthevingsfarge 6 28 4 4 2" xfId="39748" xr:uid="{00000000-0005-0000-0000-000062450000}"/>
    <cellStyle name="40% - uthevingsfarge 6 28 4 5" xfId="33817" xr:uid="{00000000-0005-0000-0000-000063450000}"/>
    <cellStyle name="40% - uthevingsfarge 6 28 5" xfId="4257" xr:uid="{00000000-0005-0000-0000-000064450000}"/>
    <cellStyle name="40% - uthevingsfarge 6 28 5 2" xfId="6089" xr:uid="{00000000-0005-0000-0000-000065450000}"/>
    <cellStyle name="40% - uthevingsfarge 6 28 5 2 2" xfId="9504" xr:uid="{00000000-0005-0000-0000-000066450000}"/>
    <cellStyle name="40% - uthevingsfarge 6 28 5 2 2 2" xfId="24524" xr:uid="{00000000-0005-0000-0000-000067450000}"/>
    <cellStyle name="40% - uthevingsfarge 6 28 5 2 2 2 2" xfId="40568" xr:uid="{00000000-0005-0000-0000-000068450000}"/>
    <cellStyle name="40% - uthevingsfarge 6 28 5 2 2 3" xfId="28294" xr:uid="{00000000-0005-0000-0000-000069450000}"/>
    <cellStyle name="40% - uthevingsfarge 6 28 5 2 3" xfId="20319" xr:uid="{00000000-0005-0000-0000-00006A450000}"/>
    <cellStyle name="40% - uthevingsfarge 6 28 5 2 3 2" xfId="36418" xr:uid="{00000000-0005-0000-0000-00006B450000}"/>
    <cellStyle name="40% - uthevingsfarge 6 28 5 2 4" xfId="31689" xr:uid="{00000000-0005-0000-0000-00006C450000}"/>
    <cellStyle name="40% - uthevingsfarge 6 28 5 3" xfId="7823" xr:uid="{00000000-0005-0000-0000-00006D450000}"/>
    <cellStyle name="40% - uthevingsfarge 6 28 5 3 2" xfId="21700" xr:uid="{00000000-0005-0000-0000-00006E450000}"/>
    <cellStyle name="40% - uthevingsfarge 6 28 5 3 2 2" xfId="37779" xr:uid="{00000000-0005-0000-0000-00006F450000}"/>
    <cellStyle name="40% - uthevingsfarge 6 28 5 3 3" xfId="29976" xr:uid="{00000000-0005-0000-0000-000070450000}"/>
    <cellStyle name="40% - uthevingsfarge 6 28 5 4" xfId="12387" xr:uid="{00000000-0005-0000-0000-000071450000}"/>
    <cellStyle name="40% - uthevingsfarge 6 28 5 4 2" xfId="35218" xr:uid="{00000000-0005-0000-0000-000072450000}"/>
    <cellStyle name="40% - uthevingsfarge 6 28 5 5" xfId="33364" xr:uid="{00000000-0005-0000-0000-000073450000}"/>
    <cellStyle name="40% - uthevingsfarge 6 28 6" xfId="4397" xr:uid="{00000000-0005-0000-0000-000074450000}"/>
    <cellStyle name="40% - uthevingsfarge 6 28 6 2" xfId="6197" xr:uid="{00000000-0005-0000-0000-000075450000}"/>
    <cellStyle name="40% - uthevingsfarge 6 28 6 2 2" xfId="9611" xr:uid="{00000000-0005-0000-0000-000076450000}"/>
    <cellStyle name="40% - uthevingsfarge 6 28 6 2 2 2" xfId="22616" xr:uid="{00000000-0005-0000-0000-000077450000}"/>
    <cellStyle name="40% - uthevingsfarge 6 28 6 2 2 2 2" xfId="38685" xr:uid="{00000000-0005-0000-0000-000078450000}"/>
    <cellStyle name="40% - uthevingsfarge 6 28 6 2 2 3" xfId="28187" xr:uid="{00000000-0005-0000-0000-000079450000}"/>
    <cellStyle name="40% - uthevingsfarge 6 28 6 2 3" xfId="20360" xr:uid="{00000000-0005-0000-0000-00007A450000}"/>
    <cellStyle name="40% - uthevingsfarge 6 28 6 2 3 2" xfId="36459" xr:uid="{00000000-0005-0000-0000-00007B450000}"/>
    <cellStyle name="40% - uthevingsfarge 6 28 6 2 4" xfId="31588" xr:uid="{00000000-0005-0000-0000-00007C450000}"/>
    <cellStyle name="40% - uthevingsfarge 6 28 6 3" xfId="7931" xr:uid="{00000000-0005-0000-0000-00007D450000}"/>
    <cellStyle name="40% - uthevingsfarge 6 28 6 3 2" xfId="21759" xr:uid="{00000000-0005-0000-0000-00007E450000}"/>
    <cellStyle name="40% - uthevingsfarge 6 28 6 3 2 2" xfId="37836" xr:uid="{00000000-0005-0000-0000-00007F450000}"/>
    <cellStyle name="40% - uthevingsfarge 6 28 6 3 3" xfId="29868" xr:uid="{00000000-0005-0000-0000-000080450000}"/>
    <cellStyle name="40% - uthevingsfarge 6 28 6 4" xfId="22223" xr:uid="{00000000-0005-0000-0000-000081450000}"/>
    <cellStyle name="40% - uthevingsfarge 6 28 6 4 2" xfId="38297" xr:uid="{00000000-0005-0000-0000-000082450000}"/>
    <cellStyle name="40% - uthevingsfarge 6 28 6 5" xfId="34309" xr:uid="{00000000-0005-0000-0000-000083450000}"/>
    <cellStyle name="40% - uthevingsfarge 6 28 7" xfId="4697" xr:uid="{00000000-0005-0000-0000-000084450000}"/>
    <cellStyle name="40% - uthevingsfarge 6 28 7 2" xfId="6417" xr:uid="{00000000-0005-0000-0000-000085450000}"/>
    <cellStyle name="40% - uthevingsfarge 6 28 7 2 2" xfId="9827" xr:uid="{00000000-0005-0000-0000-000086450000}"/>
    <cellStyle name="40% - uthevingsfarge 6 28 7 2 2 2" xfId="23565" xr:uid="{00000000-0005-0000-0000-000087450000}"/>
    <cellStyle name="40% - uthevingsfarge 6 28 7 2 2 2 2" xfId="39621" xr:uid="{00000000-0005-0000-0000-000088450000}"/>
    <cellStyle name="40% - uthevingsfarge 6 28 7 2 2 3" xfId="27972" xr:uid="{00000000-0005-0000-0000-000089450000}"/>
    <cellStyle name="40% - uthevingsfarge 6 28 7 2 3" xfId="20444" xr:uid="{00000000-0005-0000-0000-00008A450000}"/>
    <cellStyle name="40% - uthevingsfarge 6 28 7 2 3 2" xfId="36543" xr:uid="{00000000-0005-0000-0000-00008B450000}"/>
    <cellStyle name="40% - uthevingsfarge 6 28 7 2 4" xfId="31373" xr:uid="{00000000-0005-0000-0000-00008C450000}"/>
    <cellStyle name="40% - uthevingsfarge 6 28 7 3" xfId="8123" xr:uid="{00000000-0005-0000-0000-00008D450000}"/>
    <cellStyle name="40% - uthevingsfarge 6 28 7 3 2" xfId="19849" xr:uid="{00000000-0005-0000-0000-00008E450000}"/>
    <cellStyle name="40% - uthevingsfarge 6 28 7 3 2 2" xfId="35962" xr:uid="{00000000-0005-0000-0000-00008F450000}"/>
    <cellStyle name="40% - uthevingsfarge 6 28 7 3 3" xfId="29675" xr:uid="{00000000-0005-0000-0000-000090450000}"/>
    <cellStyle name="40% - uthevingsfarge 6 28 7 4" xfId="20035" xr:uid="{00000000-0005-0000-0000-000091450000}"/>
    <cellStyle name="40% - uthevingsfarge 6 28 7 4 2" xfId="36139" xr:uid="{00000000-0005-0000-0000-000092450000}"/>
    <cellStyle name="40% - uthevingsfarge 6 28 7 5" xfId="33066" xr:uid="{00000000-0005-0000-0000-000093450000}"/>
    <cellStyle name="40% - uthevingsfarge 6 28 8" xfId="5061" xr:uid="{00000000-0005-0000-0000-000094450000}"/>
    <cellStyle name="40% - uthevingsfarge 6 28 8 2" xfId="6780" xr:uid="{00000000-0005-0000-0000-000095450000}"/>
    <cellStyle name="40% - uthevingsfarge 6 28 8 2 2" xfId="10186" xr:uid="{00000000-0005-0000-0000-000096450000}"/>
    <cellStyle name="40% - uthevingsfarge 6 28 8 2 2 2" xfId="22034" xr:uid="{00000000-0005-0000-0000-000097450000}"/>
    <cellStyle name="40% - uthevingsfarge 6 28 8 2 2 2 2" xfId="38109" xr:uid="{00000000-0005-0000-0000-000098450000}"/>
    <cellStyle name="40% - uthevingsfarge 6 28 8 2 2 3" xfId="27613" xr:uid="{00000000-0005-0000-0000-000099450000}"/>
    <cellStyle name="40% - uthevingsfarge 6 28 8 2 3" xfId="24098" xr:uid="{00000000-0005-0000-0000-00009A450000}"/>
    <cellStyle name="40% - uthevingsfarge 6 28 8 2 3 2" xfId="40151" xr:uid="{00000000-0005-0000-0000-00009B450000}"/>
    <cellStyle name="40% - uthevingsfarge 6 28 8 2 4" xfId="31014" xr:uid="{00000000-0005-0000-0000-00009C450000}"/>
    <cellStyle name="40% - uthevingsfarge 6 28 8 3" xfId="8483" xr:uid="{00000000-0005-0000-0000-00009D450000}"/>
    <cellStyle name="40% - uthevingsfarge 6 28 8 3 2" xfId="21776" xr:uid="{00000000-0005-0000-0000-00009E450000}"/>
    <cellStyle name="40% - uthevingsfarge 6 28 8 3 2 2" xfId="37852" xr:uid="{00000000-0005-0000-0000-00009F450000}"/>
    <cellStyle name="40% - uthevingsfarge 6 28 8 3 3" xfId="29315" xr:uid="{00000000-0005-0000-0000-0000A0450000}"/>
    <cellStyle name="40% - uthevingsfarge 6 28 8 4" xfId="12190" xr:uid="{00000000-0005-0000-0000-0000A1450000}"/>
    <cellStyle name="40% - uthevingsfarge 6 28 8 4 2" xfId="35118" xr:uid="{00000000-0005-0000-0000-0000A2450000}"/>
    <cellStyle name="40% - uthevingsfarge 6 28 8 5" xfId="32706" xr:uid="{00000000-0005-0000-0000-0000A3450000}"/>
    <cellStyle name="40% - uthevingsfarge 6 28 9" xfId="5229" xr:uid="{00000000-0005-0000-0000-0000A4450000}"/>
    <cellStyle name="40% - uthevingsfarge 6 28 9 2" xfId="8644" xr:uid="{00000000-0005-0000-0000-0000A5450000}"/>
    <cellStyle name="40% - uthevingsfarge 6 28 9 2 2" xfId="24393" xr:uid="{00000000-0005-0000-0000-0000A6450000}"/>
    <cellStyle name="40% - uthevingsfarge 6 28 9 2 2 2" xfId="40437" xr:uid="{00000000-0005-0000-0000-0000A7450000}"/>
    <cellStyle name="40% - uthevingsfarge 6 28 9 2 3" xfId="29154" xr:uid="{00000000-0005-0000-0000-0000A8450000}"/>
    <cellStyle name="40% - uthevingsfarge 6 28 9 3" xfId="10783" xr:uid="{00000000-0005-0000-0000-0000A9450000}"/>
    <cellStyle name="40% - uthevingsfarge 6 28 9 3 2" xfId="34606" xr:uid="{00000000-0005-0000-0000-0000AA450000}"/>
    <cellStyle name="40% - uthevingsfarge 6 28 9 4" xfId="32545" xr:uid="{00000000-0005-0000-0000-0000AB450000}"/>
    <cellStyle name="40% - uthevingsfarge 6 29" xfId="985" xr:uid="{00000000-0005-0000-0000-0000AC450000}"/>
    <cellStyle name="40% - uthevingsfarge 6 29 10" xfId="11253" xr:uid="{00000000-0005-0000-0000-0000AD450000}"/>
    <cellStyle name="40% - uthevingsfarge 6 29 11" xfId="34227" xr:uid="{00000000-0005-0000-0000-0000AE450000}"/>
    <cellStyle name="40% - uthevingsfarge 6 29 2" xfId="3359" xr:uid="{00000000-0005-0000-0000-0000AF450000}"/>
    <cellStyle name="40% - uthevingsfarge 6 29 2 10" xfId="34132" xr:uid="{00000000-0005-0000-0000-0000B0450000}"/>
    <cellStyle name="40% - uthevingsfarge 6 29 2 2" xfId="3591" xr:uid="{00000000-0005-0000-0000-0000B1450000}"/>
    <cellStyle name="40% - uthevingsfarge 6 29 2 2 10" xfId="47190" xr:uid="{00000000-0005-0000-0000-0000B2450000}"/>
    <cellStyle name="40% - uthevingsfarge 6 29 2 2 2" xfId="4021" xr:uid="{00000000-0005-0000-0000-0000B3450000}"/>
    <cellStyle name="40% - uthevingsfarge 6 29 2 2 2 2" xfId="5909" xr:uid="{00000000-0005-0000-0000-0000B4450000}"/>
    <cellStyle name="40% - uthevingsfarge 6 29 2 2 2 2 2" xfId="9324" xr:uid="{00000000-0005-0000-0000-0000B5450000}"/>
    <cellStyle name="40% - uthevingsfarge 6 29 2 2 2 2 2 2" xfId="21937" xr:uid="{00000000-0005-0000-0000-0000B6450000}"/>
    <cellStyle name="40% - uthevingsfarge 6 29 2 2 2 2 2 2 2" xfId="38012" xr:uid="{00000000-0005-0000-0000-0000B7450000}"/>
    <cellStyle name="40% - uthevingsfarge 6 29 2 2 2 2 2 3" xfId="28474" xr:uid="{00000000-0005-0000-0000-0000B8450000}"/>
    <cellStyle name="40% - uthevingsfarge 6 29 2 2 2 2 3" xfId="20247" xr:uid="{00000000-0005-0000-0000-0000B9450000}"/>
    <cellStyle name="40% - uthevingsfarge 6 29 2 2 2 2 3 2" xfId="36346" xr:uid="{00000000-0005-0000-0000-0000BA450000}"/>
    <cellStyle name="40% - uthevingsfarge 6 29 2 2 2 2 4" xfId="31867" xr:uid="{00000000-0005-0000-0000-0000BB450000}"/>
    <cellStyle name="40% - uthevingsfarge 6 29 2 2 2 3" xfId="7627" xr:uid="{00000000-0005-0000-0000-0000BC450000}"/>
    <cellStyle name="40% - uthevingsfarge 6 29 2 2 2 3 2" xfId="20842" xr:uid="{00000000-0005-0000-0000-0000BD450000}"/>
    <cellStyle name="40% - uthevingsfarge 6 29 2 2 2 3 2 2" xfId="36941" xr:uid="{00000000-0005-0000-0000-0000BE450000}"/>
    <cellStyle name="40% - uthevingsfarge 6 29 2 2 2 3 3" xfId="30171" xr:uid="{00000000-0005-0000-0000-0000BF450000}"/>
    <cellStyle name="40% - uthevingsfarge 6 29 2 2 2 4" xfId="18055" xr:uid="{00000000-0005-0000-0000-0000C0450000}"/>
    <cellStyle name="40% - uthevingsfarge 6 29 2 2 2 5" xfId="19963" xr:uid="{00000000-0005-0000-0000-0000C1450000}"/>
    <cellStyle name="40% - uthevingsfarge 6 29 2 2 2 5 2" xfId="36067" xr:uid="{00000000-0005-0000-0000-0000C2450000}"/>
    <cellStyle name="40% - uthevingsfarge 6 29 2 2 2 6" xfId="33558" xr:uid="{00000000-0005-0000-0000-0000C3450000}"/>
    <cellStyle name="40% - uthevingsfarge 6 29 2 2 3" xfId="4961" xr:uid="{00000000-0005-0000-0000-0000C4450000}"/>
    <cellStyle name="40% - uthevingsfarge 6 29 2 2 3 10" xfId="47380" xr:uid="{00000000-0005-0000-0000-0000C5450000}"/>
    <cellStyle name="40% - uthevingsfarge 6 29 2 2 3 2" xfId="6680" xr:uid="{00000000-0005-0000-0000-0000C6450000}"/>
    <cellStyle name="40% - uthevingsfarge 6 29 2 2 3 2 2" xfId="10086" xr:uid="{00000000-0005-0000-0000-0000C7450000}"/>
    <cellStyle name="40% - uthevingsfarge 6 29 2 2 3 2 2 2" xfId="22020" xr:uid="{00000000-0005-0000-0000-0000C8450000}"/>
    <cellStyle name="40% - uthevingsfarge 6 29 2 2 3 2 2 2 2" xfId="38095" xr:uid="{00000000-0005-0000-0000-0000C9450000}"/>
    <cellStyle name="40% - uthevingsfarge 6 29 2 2 3 2 2 3" xfId="27713" xr:uid="{00000000-0005-0000-0000-0000CA450000}"/>
    <cellStyle name="40% - uthevingsfarge 6 29 2 2 3 2 3" xfId="23083" xr:uid="{00000000-0005-0000-0000-0000CB450000}"/>
    <cellStyle name="40% - uthevingsfarge 6 29 2 2 3 2 3 2" xfId="39152" xr:uid="{00000000-0005-0000-0000-0000CC450000}"/>
    <cellStyle name="40% - uthevingsfarge 6 29 2 2 3 2 4" xfId="31114" xr:uid="{00000000-0005-0000-0000-0000CD450000}"/>
    <cellStyle name="40% - uthevingsfarge 6 29 2 2 3 2 5" xfId="43074" xr:uid="{00000000-0005-0000-0000-0000CE450000}"/>
    <cellStyle name="40% - uthevingsfarge 6 29 2 2 3 2 6" xfId="43371" xr:uid="{00000000-0005-0000-0000-0000CF450000}"/>
    <cellStyle name="40% - uthevingsfarge 6 29 2 2 3 2 7" xfId="46219" xr:uid="{00000000-0005-0000-0000-0000D0450000}"/>
    <cellStyle name="40% - uthevingsfarge 6 29 2 2 3 2 8" xfId="46991" xr:uid="{00000000-0005-0000-0000-0000D1450000}"/>
    <cellStyle name="40% - uthevingsfarge 6 29 2 2 3 2 9" xfId="47576" xr:uid="{00000000-0005-0000-0000-0000D2450000}"/>
    <cellStyle name="40% - uthevingsfarge 6 29 2 2 3 3" xfId="8383" xr:uid="{00000000-0005-0000-0000-0000D3450000}"/>
    <cellStyle name="40% - uthevingsfarge 6 29 2 2 3 3 2" xfId="24356" xr:uid="{00000000-0005-0000-0000-0000D4450000}"/>
    <cellStyle name="40% - uthevingsfarge 6 29 2 2 3 3 2 2" xfId="40403" xr:uid="{00000000-0005-0000-0000-0000D5450000}"/>
    <cellStyle name="40% - uthevingsfarge 6 29 2 2 3 3 3" xfId="29415" xr:uid="{00000000-0005-0000-0000-0000D6450000}"/>
    <cellStyle name="40% - uthevingsfarge 6 29 2 2 3 3 4" xfId="43971" xr:uid="{00000000-0005-0000-0000-0000D7450000}"/>
    <cellStyle name="40% - uthevingsfarge 6 29 2 2 3 4" xfId="16519" xr:uid="{00000000-0005-0000-0000-0000D8450000}"/>
    <cellStyle name="40% - uthevingsfarge 6 29 2 2 3 4 2" xfId="35466" xr:uid="{00000000-0005-0000-0000-0000D9450000}"/>
    <cellStyle name="40% - uthevingsfarge 6 29 2 2 3 5" xfId="25128" xr:uid="{00000000-0005-0000-0000-0000DA450000}"/>
    <cellStyle name="40% - uthevingsfarge 6 29 2 2 3 6" xfId="25334" xr:uid="{00000000-0005-0000-0000-0000DB450000}"/>
    <cellStyle name="40% - uthevingsfarge 6 29 2 2 3 7" xfId="32806" xr:uid="{00000000-0005-0000-0000-0000DC450000}"/>
    <cellStyle name="40% - uthevingsfarge 6 29 2 2 3 8" xfId="43832" xr:uid="{00000000-0005-0000-0000-0000DD450000}"/>
    <cellStyle name="40% - uthevingsfarge 6 29 2 2 3 9" xfId="46757" xr:uid="{00000000-0005-0000-0000-0000DE450000}"/>
    <cellStyle name="40% - uthevingsfarge 6 29 2 2 4" xfId="5515" xr:uid="{00000000-0005-0000-0000-0000DF450000}"/>
    <cellStyle name="40% - uthevingsfarge 6 29 2 2 4 2" xfId="8930" xr:uid="{00000000-0005-0000-0000-0000E0450000}"/>
    <cellStyle name="40% - uthevingsfarge 6 29 2 2 4 2 2" xfId="21220" xr:uid="{00000000-0005-0000-0000-0000E1450000}"/>
    <cellStyle name="40% - uthevingsfarge 6 29 2 2 4 2 2 2" xfId="37300" xr:uid="{00000000-0005-0000-0000-0000E2450000}"/>
    <cellStyle name="40% - uthevingsfarge 6 29 2 2 4 2 3" xfId="28868" xr:uid="{00000000-0005-0000-0000-0000E3450000}"/>
    <cellStyle name="40% - uthevingsfarge 6 29 2 2 4 3" xfId="20103" xr:uid="{00000000-0005-0000-0000-0000E4450000}"/>
    <cellStyle name="40% - uthevingsfarge 6 29 2 2 4 3 2" xfId="36207" xr:uid="{00000000-0005-0000-0000-0000E5450000}"/>
    <cellStyle name="40% - uthevingsfarge 6 29 2 2 4 4" xfId="32259" xr:uid="{00000000-0005-0000-0000-0000E6450000}"/>
    <cellStyle name="40% - uthevingsfarge 6 29 2 2 5" xfId="7233" xr:uid="{00000000-0005-0000-0000-0000E7450000}"/>
    <cellStyle name="40% - uthevingsfarge 6 29 2 2 5 2" xfId="20704" xr:uid="{00000000-0005-0000-0000-0000E8450000}"/>
    <cellStyle name="40% - uthevingsfarge 6 29 2 2 5 2 2" xfId="36803" xr:uid="{00000000-0005-0000-0000-0000E9450000}"/>
    <cellStyle name="40% - uthevingsfarge 6 29 2 2 5 3" xfId="30565" xr:uid="{00000000-0005-0000-0000-0000EA450000}"/>
    <cellStyle name="40% - uthevingsfarge 6 29 2 2 6" xfId="11255" xr:uid="{00000000-0005-0000-0000-0000EB450000}"/>
    <cellStyle name="40% - uthevingsfarge 6 29 2 2 7" xfId="33952" xr:uid="{00000000-0005-0000-0000-0000EC450000}"/>
    <cellStyle name="40% - uthevingsfarge 6 29 2 2 8" xfId="43623" xr:uid="{00000000-0005-0000-0000-0000ED450000}"/>
    <cellStyle name="40% - uthevingsfarge 6 29 2 2 9" xfId="46529" xr:uid="{00000000-0005-0000-0000-0000EE450000}"/>
    <cellStyle name="40% - uthevingsfarge 6 29 2 2_Avviksanalyse løpende RNB15 (1)" xfId="16659" xr:uid="{00000000-0005-0000-0000-0000EF450000}"/>
    <cellStyle name="40% - uthevingsfarge 6 29 2 3" xfId="3841" xr:uid="{00000000-0005-0000-0000-0000F0450000}"/>
    <cellStyle name="40% - uthevingsfarge 6 29 2 3 2" xfId="5729" xr:uid="{00000000-0005-0000-0000-0000F1450000}"/>
    <cellStyle name="40% - uthevingsfarge 6 29 2 3 2 2" xfId="9144" xr:uid="{00000000-0005-0000-0000-0000F2450000}"/>
    <cellStyle name="40% - uthevingsfarge 6 29 2 3 2 2 2" xfId="24466" xr:uid="{00000000-0005-0000-0000-0000F3450000}"/>
    <cellStyle name="40% - uthevingsfarge 6 29 2 3 2 2 2 2" xfId="40510" xr:uid="{00000000-0005-0000-0000-0000F4450000}"/>
    <cellStyle name="40% - uthevingsfarge 6 29 2 3 2 2 3" xfId="28654" xr:uid="{00000000-0005-0000-0000-0000F5450000}"/>
    <cellStyle name="40% - uthevingsfarge 6 29 2 3 2 3" xfId="20184" xr:uid="{00000000-0005-0000-0000-0000F6450000}"/>
    <cellStyle name="40% - uthevingsfarge 6 29 2 3 2 3 2" xfId="36284" xr:uid="{00000000-0005-0000-0000-0000F7450000}"/>
    <cellStyle name="40% - uthevingsfarge 6 29 2 3 2 4" xfId="32045" xr:uid="{00000000-0005-0000-0000-0000F8450000}"/>
    <cellStyle name="40% - uthevingsfarge 6 29 2 3 3" xfId="7447" xr:uid="{00000000-0005-0000-0000-0000F9450000}"/>
    <cellStyle name="40% - uthevingsfarge 6 29 2 3 3 2" xfId="23208" xr:uid="{00000000-0005-0000-0000-0000FA450000}"/>
    <cellStyle name="40% - uthevingsfarge 6 29 2 3 3 2 2" xfId="39277" xr:uid="{00000000-0005-0000-0000-0000FB450000}"/>
    <cellStyle name="40% - uthevingsfarge 6 29 2 3 3 3" xfId="30351" xr:uid="{00000000-0005-0000-0000-0000FC450000}"/>
    <cellStyle name="40% - uthevingsfarge 6 29 2 3 4" xfId="22670" xr:uid="{00000000-0005-0000-0000-0000FD450000}"/>
    <cellStyle name="40% - uthevingsfarge 6 29 2 3 4 2" xfId="38739" xr:uid="{00000000-0005-0000-0000-0000FE450000}"/>
    <cellStyle name="40% - uthevingsfarge 6 29 2 3 5" xfId="33738" xr:uid="{00000000-0005-0000-0000-0000FF450000}"/>
    <cellStyle name="40% - uthevingsfarge 6 29 2 4" xfId="4326" xr:uid="{00000000-0005-0000-0000-000000460000}"/>
    <cellStyle name="40% - uthevingsfarge 6 29 2 4 2" xfId="6155" xr:uid="{00000000-0005-0000-0000-000001460000}"/>
    <cellStyle name="40% - uthevingsfarge 6 29 2 4 2 2" xfId="9569" xr:uid="{00000000-0005-0000-0000-000002460000}"/>
    <cellStyle name="40% - uthevingsfarge 6 29 2 4 2 2 2" xfId="24531" xr:uid="{00000000-0005-0000-0000-000003460000}"/>
    <cellStyle name="40% - uthevingsfarge 6 29 2 4 2 2 2 2" xfId="40575" xr:uid="{00000000-0005-0000-0000-000004460000}"/>
    <cellStyle name="40% - uthevingsfarge 6 29 2 4 2 2 3" xfId="28229" xr:uid="{00000000-0005-0000-0000-000005460000}"/>
    <cellStyle name="40% - uthevingsfarge 6 29 2 4 2 3" xfId="22319" xr:uid="{00000000-0005-0000-0000-000006460000}"/>
    <cellStyle name="40% - uthevingsfarge 6 29 2 4 2 3 2" xfId="38391" xr:uid="{00000000-0005-0000-0000-000007460000}"/>
    <cellStyle name="40% - uthevingsfarge 6 29 2 4 2 4" xfId="31626" xr:uid="{00000000-0005-0000-0000-000008460000}"/>
    <cellStyle name="40% - uthevingsfarge 6 29 2 4 3" xfId="7888" xr:uid="{00000000-0005-0000-0000-000009460000}"/>
    <cellStyle name="40% - uthevingsfarge 6 29 2 4 3 2" xfId="20934" xr:uid="{00000000-0005-0000-0000-00000A460000}"/>
    <cellStyle name="40% - uthevingsfarge 6 29 2 4 3 2 2" xfId="37032" xr:uid="{00000000-0005-0000-0000-00000B460000}"/>
    <cellStyle name="40% - uthevingsfarge 6 29 2 4 3 3" xfId="29911" xr:uid="{00000000-0005-0000-0000-00000C460000}"/>
    <cellStyle name="40% - uthevingsfarge 6 29 2 4 4" xfId="12373" xr:uid="{00000000-0005-0000-0000-00000D460000}"/>
    <cellStyle name="40% - uthevingsfarge 6 29 2 4 4 2" xfId="35211" xr:uid="{00000000-0005-0000-0000-00000E460000}"/>
    <cellStyle name="40% - uthevingsfarge 6 29 2 4 5" xfId="33299" xr:uid="{00000000-0005-0000-0000-00000F460000}"/>
    <cellStyle name="40% - uthevingsfarge 6 29 2 5" xfId="4781" xr:uid="{00000000-0005-0000-0000-000010460000}"/>
    <cellStyle name="40% - uthevingsfarge 6 29 2 5 2" xfId="6501" xr:uid="{00000000-0005-0000-0000-000011460000}"/>
    <cellStyle name="40% - uthevingsfarge 6 29 2 5 2 2" xfId="9907" xr:uid="{00000000-0005-0000-0000-000012460000}"/>
    <cellStyle name="40% - uthevingsfarge 6 29 2 5 2 2 2" xfId="21529" xr:uid="{00000000-0005-0000-0000-000013460000}"/>
    <cellStyle name="40% - uthevingsfarge 6 29 2 5 2 2 2 2" xfId="37609" xr:uid="{00000000-0005-0000-0000-000014460000}"/>
    <cellStyle name="40% - uthevingsfarge 6 29 2 5 2 2 3" xfId="27892" xr:uid="{00000000-0005-0000-0000-000015460000}"/>
    <cellStyle name="40% - uthevingsfarge 6 29 2 5 2 3" xfId="22360" xr:uid="{00000000-0005-0000-0000-000016460000}"/>
    <cellStyle name="40% - uthevingsfarge 6 29 2 5 2 3 2" xfId="38432" xr:uid="{00000000-0005-0000-0000-000017460000}"/>
    <cellStyle name="40% - uthevingsfarge 6 29 2 5 2 4" xfId="31293" xr:uid="{00000000-0005-0000-0000-000018460000}"/>
    <cellStyle name="40% - uthevingsfarge 6 29 2 5 3" xfId="8203" xr:uid="{00000000-0005-0000-0000-000019460000}"/>
    <cellStyle name="40% - uthevingsfarge 6 29 2 5 3 2" xfId="23329" xr:uid="{00000000-0005-0000-0000-00001A460000}"/>
    <cellStyle name="40% - uthevingsfarge 6 29 2 5 3 2 2" xfId="39393" xr:uid="{00000000-0005-0000-0000-00001B460000}"/>
    <cellStyle name="40% - uthevingsfarge 6 29 2 5 3 3" xfId="29594" xr:uid="{00000000-0005-0000-0000-00001C460000}"/>
    <cellStyle name="40% - uthevingsfarge 6 29 2 5 4" xfId="19703" xr:uid="{00000000-0005-0000-0000-00001D460000}"/>
    <cellStyle name="40% - uthevingsfarge 6 29 2 5 4 2" xfId="35817" xr:uid="{00000000-0005-0000-0000-00001E460000}"/>
    <cellStyle name="40% - uthevingsfarge 6 29 2 5 5" xfId="32986" xr:uid="{00000000-0005-0000-0000-00001F460000}"/>
    <cellStyle name="40% - uthevingsfarge 6 29 2 6" xfId="5141" xr:uid="{00000000-0005-0000-0000-000020460000}"/>
    <cellStyle name="40% - uthevingsfarge 6 29 2 6 2" xfId="6860" xr:uid="{00000000-0005-0000-0000-000021460000}"/>
    <cellStyle name="40% - uthevingsfarge 6 29 2 6 2 2" xfId="10266" xr:uid="{00000000-0005-0000-0000-000022460000}"/>
    <cellStyle name="40% - uthevingsfarge 6 29 2 6 2 2 2" xfId="24709" xr:uid="{00000000-0005-0000-0000-000023460000}"/>
    <cellStyle name="40% - uthevingsfarge 6 29 2 6 2 2 2 2" xfId="40752" xr:uid="{00000000-0005-0000-0000-000024460000}"/>
    <cellStyle name="40% - uthevingsfarge 6 29 2 6 2 2 3" xfId="27533" xr:uid="{00000000-0005-0000-0000-000025460000}"/>
    <cellStyle name="40% - uthevingsfarge 6 29 2 6 2 3" xfId="23105" xr:uid="{00000000-0005-0000-0000-000026460000}"/>
    <cellStyle name="40% - uthevingsfarge 6 29 2 6 2 3 2" xfId="39174" xr:uid="{00000000-0005-0000-0000-000027460000}"/>
    <cellStyle name="40% - uthevingsfarge 6 29 2 6 2 4" xfId="30934" xr:uid="{00000000-0005-0000-0000-000028460000}"/>
    <cellStyle name="40% - uthevingsfarge 6 29 2 6 3" xfId="8563" xr:uid="{00000000-0005-0000-0000-000029460000}"/>
    <cellStyle name="40% - uthevingsfarge 6 29 2 6 3 2" xfId="23379" xr:uid="{00000000-0005-0000-0000-00002A460000}"/>
    <cellStyle name="40% - uthevingsfarge 6 29 2 6 3 2 2" xfId="39435" xr:uid="{00000000-0005-0000-0000-00002B460000}"/>
    <cellStyle name="40% - uthevingsfarge 6 29 2 6 3 3" xfId="29235" xr:uid="{00000000-0005-0000-0000-00002C460000}"/>
    <cellStyle name="40% - uthevingsfarge 6 29 2 6 4" xfId="22843" xr:uid="{00000000-0005-0000-0000-00002D460000}"/>
    <cellStyle name="40% - uthevingsfarge 6 29 2 6 4 2" xfId="38912" xr:uid="{00000000-0005-0000-0000-00002E460000}"/>
    <cellStyle name="40% - uthevingsfarge 6 29 2 6 5" xfId="32626" xr:uid="{00000000-0005-0000-0000-00002F460000}"/>
    <cellStyle name="40% - uthevingsfarge 6 29 2 7" xfId="5320" xr:uid="{00000000-0005-0000-0000-000030460000}"/>
    <cellStyle name="40% - uthevingsfarge 6 29 2 7 2" xfId="8735" xr:uid="{00000000-0005-0000-0000-000031460000}"/>
    <cellStyle name="40% - uthevingsfarge 6 29 2 7 2 2" xfId="24405" xr:uid="{00000000-0005-0000-0000-000032460000}"/>
    <cellStyle name="40% - uthevingsfarge 6 29 2 7 2 2 2" xfId="40449" xr:uid="{00000000-0005-0000-0000-000033460000}"/>
    <cellStyle name="40% - uthevingsfarge 6 29 2 7 2 3" xfId="29063" xr:uid="{00000000-0005-0000-0000-000034460000}"/>
    <cellStyle name="40% - uthevingsfarge 6 29 2 7 3" xfId="20079" xr:uid="{00000000-0005-0000-0000-000035460000}"/>
    <cellStyle name="40% - uthevingsfarge 6 29 2 7 3 2" xfId="36183" xr:uid="{00000000-0005-0000-0000-000036460000}"/>
    <cellStyle name="40% - uthevingsfarge 6 29 2 7 4" xfId="32454" xr:uid="{00000000-0005-0000-0000-000037460000}"/>
    <cellStyle name="40% - uthevingsfarge 6 29 2 8" xfId="7053" xr:uid="{00000000-0005-0000-0000-000038460000}"/>
    <cellStyle name="40% - uthevingsfarge 6 29 2 8 2" xfId="24140" xr:uid="{00000000-0005-0000-0000-000039460000}"/>
    <cellStyle name="40% - uthevingsfarge 6 29 2 8 2 2" xfId="40193" xr:uid="{00000000-0005-0000-0000-00003A460000}"/>
    <cellStyle name="40% - uthevingsfarge 6 29 2 8 3" xfId="30745" xr:uid="{00000000-0005-0000-0000-00003B460000}"/>
    <cellStyle name="40% - uthevingsfarge 6 29 2 9" xfId="11254" xr:uid="{00000000-0005-0000-0000-00003C460000}"/>
    <cellStyle name="40% - uthevingsfarge 6 29 3" xfId="3506" xr:uid="{00000000-0005-0000-0000-00003D460000}"/>
    <cellStyle name="40% - uthevingsfarge 6 29 3 10" xfId="47122" xr:uid="{00000000-0005-0000-0000-00003E460000}"/>
    <cellStyle name="40% - uthevingsfarge 6 29 3 2" xfId="3942" xr:uid="{00000000-0005-0000-0000-00003F460000}"/>
    <cellStyle name="40% - uthevingsfarge 6 29 3 2 2" xfId="5830" xr:uid="{00000000-0005-0000-0000-000040460000}"/>
    <cellStyle name="40% - uthevingsfarge 6 29 3 2 2 2" xfId="9245" xr:uid="{00000000-0005-0000-0000-000041460000}"/>
    <cellStyle name="40% - uthevingsfarge 6 29 3 2 2 2 2" xfId="22604" xr:uid="{00000000-0005-0000-0000-000042460000}"/>
    <cellStyle name="40% - uthevingsfarge 6 29 3 2 2 2 2 2" xfId="38673" xr:uid="{00000000-0005-0000-0000-000043460000}"/>
    <cellStyle name="40% - uthevingsfarge 6 29 3 2 2 2 3" xfId="28553" xr:uid="{00000000-0005-0000-0000-000044460000}"/>
    <cellStyle name="40% - uthevingsfarge 6 29 3 2 2 3" xfId="22923" xr:uid="{00000000-0005-0000-0000-000045460000}"/>
    <cellStyle name="40% - uthevingsfarge 6 29 3 2 2 3 2" xfId="38992" xr:uid="{00000000-0005-0000-0000-000046460000}"/>
    <cellStyle name="40% - uthevingsfarge 6 29 3 2 2 4" xfId="31944" xr:uid="{00000000-0005-0000-0000-000047460000}"/>
    <cellStyle name="40% - uthevingsfarge 6 29 3 2 3" xfId="7548" xr:uid="{00000000-0005-0000-0000-000048460000}"/>
    <cellStyle name="40% - uthevingsfarge 6 29 3 2 3 2" xfId="22650" xr:uid="{00000000-0005-0000-0000-000049460000}"/>
    <cellStyle name="40% - uthevingsfarge 6 29 3 2 3 2 2" xfId="38719" xr:uid="{00000000-0005-0000-0000-00004A460000}"/>
    <cellStyle name="40% - uthevingsfarge 6 29 3 2 3 3" xfId="30250" xr:uid="{00000000-0005-0000-0000-00004B460000}"/>
    <cellStyle name="40% - uthevingsfarge 6 29 3 2 4" xfId="18056" xr:uid="{00000000-0005-0000-0000-00004C460000}"/>
    <cellStyle name="40% - uthevingsfarge 6 29 3 2 5" xfId="19951" xr:uid="{00000000-0005-0000-0000-00004D460000}"/>
    <cellStyle name="40% - uthevingsfarge 6 29 3 2 5 2" xfId="36055" xr:uid="{00000000-0005-0000-0000-00004E460000}"/>
    <cellStyle name="40% - uthevingsfarge 6 29 3 2 6" xfId="33637" xr:uid="{00000000-0005-0000-0000-00004F460000}"/>
    <cellStyle name="40% - uthevingsfarge 6 29 3 3" xfId="4882" xr:uid="{00000000-0005-0000-0000-000050460000}"/>
    <cellStyle name="40% - uthevingsfarge 6 29 3 3 10" xfId="47312" xr:uid="{00000000-0005-0000-0000-000051460000}"/>
    <cellStyle name="40% - uthevingsfarge 6 29 3 3 2" xfId="6601" xr:uid="{00000000-0005-0000-0000-000052460000}"/>
    <cellStyle name="40% - uthevingsfarge 6 29 3 3 2 2" xfId="10007" xr:uid="{00000000-0005-0000-0000-000053460000}"/>
    <cellStyle name="40% - uthevingsfarge 6 29 3 3 2 2 2" xfId="23600" xr:uid="{00000000-0005-0000-0000-000054460000}"/>
    <cellStyle name="40% - uthevingsfarge 6 29 3 3 2 2 2 2" xfId="39656" xr:uid="{00000000-0005-0000-0000-000055460000}"/>
    <cellStyle name="40% - uthevingsfarge 6 29 3 3 2 2 3" xfId="27792" xr:uid="{00000000-0005-0000-0000-000056460000}"/>
    <cellStyle name="40% - uthevingsfarge 6 29 3 3 2 3" xfId="22370" xr:uid="{00000000-0005-0000-0000-000057460000}"/>
    <cellStyle name="40% - uthevingsfarge 6 29 3 3 2 3 2" xfId="38442" xr:uid="{00000000-0005-0000-0000-000058460000}"/>
    <cellStyle name="40% - uthevingsfarge 6 29 3 3 2 4" xfId="31193" xr:uid="{00000000-0005-0000-0000-000059460000}"/>
    <cellStyle name="40% - uthevingsfarge 6 29 3 3 2 5" xfId="42867" xr:uid="{00000000-0005-0000-0000-00005A460000}"/>
    <cellStyle name="40% - uthevingsfarge 6 29 3 3 2 6" xfId="43305" xr:uid="{00000000-0005-0000-0000-00005B460000}"/>
    <cellStyle name="40% - uthevingsfarge 6 29 3 3 2 7" xfId="46153" xr:uid="{00000000-0005-0000-0000-00005C460000}"/>
    <cellStyle name="40% - uthevingsfarge 6 29 3 3 2 8" xfId="46922" xr:uid="{00000000-0005-0000-0000-00005D460000}"/>
    <cellStyle name="40% - uthevingsfarge 6 29 3 3 2 9" xfId="47508" xr:uid="{00000000-0005-0000-0000-00005E460000}"/>
    <cellStyle name="40% - uthevingsfarge 6 29 3 3 3" xfId="8304" xr:uid="{00000000-0005-0000-0000-00005F460000}"/>
    <cellStyle name="40% - uthevingsfarge 6 29 3 3 3 2" xfId="22575" xr:uid="{00000000-0005-0000-0000-000060460000}"/>
    <cellStyle name="40% - uthevingsfarge 6 29 3 3 3 2 2" xfId="38644" xr:uid="{00000000-0005-0000-0000-000061460000}"/>
    <cellStyle name="40% - uthevingsfarge 6 29 3 3 3 3" xfId="29493" xr:uid="{00000000-0005-0000-0000-000062460000}"/>
    <cellStyle name="40% - uthevingsfarge 6 29 3 3 3 4" xfId="43972" xr:uid="{00000000-0005-0000-0000-000063460000}"/>
    <cellStyle name="40% - uthevingsfarge 6 29 3 3 4" xfId="16312" xr:uid="{00000000-0005-0000-0000-000064460000}"/>
    <cellStyle name="40% - uthevingsfarge 6 29 3 3 4 2" xfId="35400" xr:uid="{00000000-0005-0000-0000-000065460000}"/>
    <cellStyle name="40% - uthevingsfarge 6 29 3 3 5" xfId="25059" xr:uid="{00000000-0005-0000-0000-000066460000}"/>
    <cellStyle name="40% - uthevingsfarge 6 29 3 3 6" xfId="25335" xr:uid="{00000000-0005-0000-0000-000067460000}"/>
    <cellStyle name="40% - uthevingsfarge 6 29 3 3 7" xfId="32885" xr:uid="{00000000-0005-0000-0000-000068460000}"/>
    <cellStyle name="40% - uthevingsfarge 6 29 3 3 8" xfId="43765" xr:uid="{00000000-0005-0000-0000-000069460000}"/>
    <cellStyle name="40% - uthevingsfarge 6 29 3 3 9" xfId="46691" xr:uid="{00000000-0005-0000-0000-00006A460000}"/>
    <cellStyle name="40% - uthevingsfarge 6 29 3 4" xfId="5436" xr:uid="{00000000-0005-0000-0000-00006B460000}"/>
    <cellStyle name="40% - uthevingsfarge 6 29 3 4 2" xfId="8851" xr:uid="{00000000-0005-0000-0000-00006C460000}"/>
    <cellStyle name="40% - uthevingsfarge 6 29 3 4 2 2" xfId="24423" xr:uid="{00000000-0005-0000-0000-00006D460000}"/>
    <cellStyle name="40% - uthevingsfarge 6 29 3 4 2 2 2" xfId="40467" xr:uid="{00000000-0005-0000-0000-00006E460000}"/>
    <cellStyle name="40% - uthevingsfarge 6 29 3 4 2 3" xfId="28947" xr:uid="{00000000-0005-0000-0000-00006F460000}"/>
    <cellStyle name="40% - uthevingsfarge 6 29 3 4 3" xfId="22858" xr:uid="{00000000-0005-0000-0000-000070460000}"/>
    <cellStyle name="40% - uthevingsfarge 6 29 3 4 3 2" xfId="38927" xr:uid="{00000000-0005-0000-0000-000071460000}"/>
    <cellStyle name="40% - uthevingsfarge 6 29 3 4 4" xfId="32338" xr:uid="{00000000-0005-0000-0000-000072460000}"/>
    <cellStyle name="40% - uthevingsfarge 6 29 3 5" xfId="7154" xr:uid="{00000000-0005-0000-0000-000073460000}"/>
    <cellStyle name="40% - uthevingsfarge 6 29 3 5 2" xfId="20683" xr:uid="{00000000-0005-0000-0000-000074460000}"/>
    <cellStyle name="40% - uthevingsfarge 6 29 3 5 2 2" xfId="36782" xr:uid="{00000000-0005-0000-0000-000075460000}"/>
    <cellStyle name="40% - uthevingsfarge 6 29 3 5 3" xfId="30644" xr:uid="{00000000-0005-0000-0000-000076460000}"/>
    <cellStyle name="40% - uthevingsfarge 6 29 3 6" xfId="11256" xr:uid="{00000000-0005-0000-0000-000077460000}"/>
    <cellStyle name="40% - uthevingsfarge 6 29 3 7" xfId="34031" xr:uid="{00000000-0005-0000-0000-000078460000}"/>
    <cellStyle name="40% - uthevingsfarge 6 29 3 8" xfId="43557" xr:uid="{00000000-0005-0000-0000-000079460000}"/>
    <cellStyle name="40% - uthevingsfarge 6 29 3 9" xfId="46461" xr:uid="{00000000-0005-0000-0000-00007A460000}"/>
    <cellStyle name="40% - uthevingsfarge 6 29 3_Avviksanalyse løpende RNB15 (1)" xfId="16660" xr:uid="{00000000-0005-0000-0000-00007B460000}"/>
    <cellStyle name="40% - uthevingsfarge 6 29 4" xfId="3763" xr:uid="{00000000-0005-0000-0000-00007C460000}"/>
    <cellStyle name="40% - uthevingsfarge 6 29 4 2" xfId="5651" xr:uid="{00000000-0005-0000-0000-00007D460000}"/>
    <cellStyle name="40% - uthevingsfarge 6 29 4 2 2" xfId="9066" xr:uid="{00000000-0005-0000-0000-00007E460000}"/>
    <cellStyle name="40% - uthevingsfarge 6 29 4 2 2 2" xfId="24453" xr:uid="{00000000-0005-0000-0000-00007F460000}"/>
    <cellStyle name="40% - uthevingsfarge 6 29 4 2 2 2 2" xfId="40497" xr:uid="{00000000-0005-0000-0000-000080460000}"/>
    <cellStyle name="40% - uthevingsfarge 6 29 4 2 2 3" xfId="28732" xr:uid="{00000000-0005-0000-0000-000081460000}"/>
    <cellStyle name="40% - uthevingsfarge 6 29 4 2 3" xfId="10687" xr:uid="{00000000-0005-0000-0000-000082460000}"/>
    <cellStyle name="40% - uthevingsfarge 6 29 4 2 3 2" xfId="34535" xr:uid="{00000000-0005-0000-0000-000083460000}"/>
    <cellStyle name="40% - uthevingsfarge 6 29 4 2 4" xfId="32123" xr:uid="{00000000-0005-0000-0000-000084460000}"/>
    <cellStyle name="40% - uthevingsfarge 6 29 4 3" xfId="7369" xr:uid="{00000000-0005-0000-0000-000085460000}"/>
    <cellStyle name="40% - uthevingsfarge 6 29 4 3 2" xfId="22443" xr:uid="{00000000-0005-0000-0000-000086460000}"/>
    <cellStyle name="40% - uthevingsfarge 6 29 4 3 2 2" xfId="38515" xr:uid="{00000000-0005-0000-0000-000087460000}"/>
    <cellStyle name="40% - uthevingsfarge 6 29 4 3 3" xfId="30429" xr:uid="{00000000-0005-0000-0000-000088460000}"/>
    <cellStyle name="40% - uthevingsfarge 6 29 4 4" xfId="23649" xr:uid="{00000000-0005-0000-0000-000089460000}"/>
    <cellStyle name="40% - uthevingsfarge 6 29 4 4 2" xfId="39705" xr:uid="{00000000-0005-0000-0000-00008A460000}"/>
    <cellStyle name="40% - uthevingsfarge 6 29 4 5" xfId="33816" xr:uid="{00000000-0005-0000-0000-00008B460000}"/>
    <cellStyle name="40% - uthevingsfarge 6 29 5" xfId="4258" xr:uid="{00000000-0005-0000-0000-00008C460000}"/>
    <cellStyle name="40% - uthevingsfarge 6 29 5 2" xfId="6090" xr:uid="{00000000-0005-0000-0000-00008D460000}"/>
    <cellStyle name="40% - uthevingsfarge 6 29 5 2 2" xfId="9505" xr:uid="{00000000-0005-0000-0000-00008E460000}"/>
    <cellStyle name="40% - uthevingsfarge 6 29 5 2 2 2" xfId="21798" xr:uid="{00000000-0005-0000-0000-00008F460000}"/>
    <cellStyle name="40% - uthevingsfarge 6 29 5 2 2 2 2" xfId="37874" xr:uid="{00000000-0005-0000-0000-000090460000}"/>
    <cellStyle name="40% - uthevingsfarge 6 29 5 2 2 3" xfId="28293" xr:uid="{00000000-0005-0000-0000-000091460000}"/>
    <cellStyle name="40% - uthevingsfarge 6 29 5 2 3" xfId="23976" xr:uid="{00000000-0005-0000-0000-000092460000}"/>
    <cellStyle name="40% - uthevingsfarge 6 29 5 2 3 2" xfId="40030" xr:uid="{00000000-0005-0000-0000-000093460000}"/>
    <cellStyle name="40% - uthevingsfarge 6 29 5 2 4" xfId="31688" xr:uid="{00000000-0005-0000-0000-000094460000}"/>
    <cellStyle name="40% - uthevingsfarge 6 29 5 3" xfId="7824" xr:uid="{00000000-0005-0000-0000-000095460000}"/>
    <cellStyle name="40% - uthevingsfarge 6 29 5 3 2" xfId="20914" xr:uid="{00000000-0005-0000-0000-000096460000}"/>
    <cellStyle name="40% - uthevingsfarge 6 29 5 3 2 2" xfId="37013" xr:uid="{00000000-0005-0000-0000-000097460000}"/>
    <cellStyle name="40% - uthevingsfarge 6 29 5 3 3" xfId="29975" xr:uid="{00000000-0005-0000-0000-000098460000}"/>
    <cellStyle name="40% - uthevingsfarge 6 29 5 4" xfId="19993" xr:uid="{00000000-0005-0000-0000-000099460000}"/>
    <cellStyle name="40% - uthevingsfarge 6 29 5 4 2" xfId="36097" xr:uid="{00000000-0005-0000-0000-00009A460000}"/>
    <cellStyle name="40% - uthevingsfarge 6 29 5 5" xfId="33363" xr:uid="{00000000-0005-0000-0000-00009B460000}"/>
    <cellStyle name="40% - uthevingsfarge 6 29 6" xfId="4698" xr:uid="{00000000-0005-0000-0000-00009C460000}"/>
    <cellStyle name="40% - uthevingsfarge 6 29 6 2" xfId="6418" xr:uid="{00000000-0005-0000-0000-00009D460000}"/>
    <cellStyle name="40% - uthevingsfarge 6 29 6 2 2" xfId="9828" xr:uid="{00000000-0005-0000-0000-00009E460000}"/>
    <cellStyle name="40% - uthevingsfarge 6 29 6 2 2 2" xfId="21499" xr:uid="{00000000-0005-0000-0000-00009F460000}"/>
    <cellStyle name="40% - uthevingsfarge 6 29 6 2 2 2 2" xfId="37579" xr:uid="{00000000-0005-0000-0000-0000A0460000}"/>
    <cellStyle name="40% - uthevingsfarge 6 29 6 2 2 3" xfId="27971" xr:uid="{00000000-0005-0000-0000-0000A1460000}"/>
    <cellStyle name="40% - uthevingsfarge 6 29 6 2 3" xfId="20445" xr:uid="{00000000-0005-0000-0000-0000A2460000}"/>
    <cellStyle name="40% - uthevingsfarge 6 29 6 2 3 2" xfId="36544" xr:uid="{00000000-0005-0000-0000-0000A3460000}"/>
    <cellStyle name="40% - uthevingsfarge 6 29 6 2 4" xfId="31372" xr:uid="{00000000-0005-0000-0000-0000A4460000}"/>
    <cellStyle name="40% - uthevingsfarge 6 29 6 3" xfId="8124" xr:uid="{00000000-0005-0000-0000-0000A5460000}"/>
    <cellStyle name="40% - uthevingsfarge 6 29 6 3 2" xfId="11892" xr:uid="{00000000-0005-0000-0000-0000A6460000}"/>
    <cellStyle name="40% - uthevingsfarge 6 29 6 3 2 2" xfId="34928" xr:uid="{00000000-0005-0000-0000-0000A7460000}"/>
    <cellStyle name="40% - uthevingsfarge 6 29 6 3 3" xfId="29674" xr:uid="{00000000-0005-0000-0000-0000A8460000}"/>
    <cellStyle name="40% - uthevingsfarge 6 29 6 4" xfId="23831" xr:uid="{00000000-0005-0000-0000-0000A9460000}"/>
    <cellStyle name="40% - uthevingsfarge 6 29 6 4 2" xfId="39887" xr:uid="{00000000-0005-0000-0000-0000AA460000}"/>
    <cellStyle name="40% - uthevingsfarge 6 29 6 5" xfId="33065" xr:uid="{00000000-0005-0000-0000-0000AB460000}"/>
    <cellStyle name="40% - uthevingsfarge 6 29 7" xfId="5062" xr:uid="{00000000-0005-0000-0000-0000AC460000}"/>
    <cellStyle name="40% - uthevingsfarge 6 29 7 2" xfId="6781" xr:uid="{00000000-0005-0000-0000-0000AD460000}"/>
    <cellStyle name="40% - uthevingsfarge 6 29 7 2 2" xfId="10187" xr:uid="{00000000-0005-0000-0000-0000AE460000}"/>
    <cellStyle name="40% - uthevingsfarge 6 29 7 2 2 2" xfId="23636" xr:uid="{00000000-0005-0000-0000-0000AF460000}"/>
    <cellStyle name="40% - uthevingsfarge 6 29 7 2 2 2 2" xfId="39692" xr:uid="{00000000-0005-0000-0000-0000B0460000}"/>
    <cellStyle name="40% - uthevingsfarge 6 29 7 2 2 3" xfId="27612" xr:uid="{00000000-0005-0000-0000-0000B1460000}"/>
    <cellStyle name="40% - uthevingsfarge 6 29 7 2 3" xfId="22155" xr:uid="{00000000-0005-0000-0000-0000B2460000}"/>
    <cellStyle name="40% - uthevingsfarge 6 29 7 2 3 2" xfId="38229" xr:uid="{00000000-0005-0000-0000-0000B3460000}"/>
    <cellStyle name="40% - uthevingsfarge 6 29 7 2 4" xfId="31013" xr:uid="{00000000-0005-0000-0000-0000B4460000}"/>
    <cellStyle name="40% - uthevingsfarge 6 29 7 3" xfId="8484" xr:uid="{00000000-0005-0000-0000-0000B5460000}"/>
    <cellStyle name="40% - uthevingsfarge 6 29 7 3 2" xfId="23368" xr:uid="{00000000-0005-0000-0000-0000B6460000}"/>
    <cellStyle name="40% - uthevingsfarge 6 29 7 3 2 2" xfId="39426" xr:uid="{00000000-0005-0000-0000-0000B7460000}"/>
    <cellStyle name="40% - uthevingsfarge 6 29 7 3 3" xfId="29314" xr:uid="{00000000-0005-0000-0000-0000B8460000}"/>
    <cellStyle name="40% - uthevingsfarge 6 29 7 4" xfId="20055" xr:uid="{00000000-0005-0000-0000-0000B9460000}"/>
    <cellStyle name="40% - uthevingsfarge 6 29 7 4 2" xfId="36159" xr:uid="{00000000-0005-0000-0000-0000BA460000}"/>
    <cellStyle name="40% - uthevingsfarge 6 29 7 5" xfId="32705" xr:uid="{00000000-0005-0000-0000-0000BB460000}"/>
    <cellStyle name="40% - uthevingsfarge 6 29 8" xfId="5258" xr:uid="{00000000-0005-0000-0000-0000BC460000}"/>
    <cellStyle name="40% - uthevingsfarge 6 29 8 2" xfId="8673" xr:uid="{00000000-0005-0000-0000-0000BD460000}"/>
    <cellStyle name="40% - uthevingsfarge 6 29 8 2 2" xfId="11804" xr:uid="{00000000-0005-0000-0000-0000BE460000}"/>
    <cellStyle name="40% - uthevingsfarge 6 29 8 2 2 2" xfId="34872" xr:uid="{00000000-0005-0000-0000-0000BF460000}"/>
    <cellStyle name="40% - uthevingsfarge 6 29 8 2 3" xfId="29125" xr:uid="{00000000-0005-0000-0000-0000C0460000}"/>
    <cellStyle name="40% - uthevingsfarge 6 29 8 3" xfId="23853" xr:uid="{00000000-0005-0000-0000-0000C1460000}"/>
    <cellStyle name="40% - uthevingsfarge 6 29 8 3 2" xfId="39909" xr:uid="{00000000-0005-0000-0000-0000C2460000}"/>
    <cellStyle name="40% - uthevingsfarge 6 29 8 4" xfId="32516" xr:uid="{00000000-0005-0000-0000-0000C3460000}"/>
    <cellStyle name="40% - uthevingsfarge 6 29 9" xfId="6959" xr:uid="{00000000-0005-0000-0000-0000C4460000}"/>
    <cellStyle name="40% - uthevingsfarge 6 29 9 2" xfId="20609" xr:uid="{00000000-0005-0000-0000-0000C5460000}"/>
    <cellStyle name="40% - uthevingsfarge 6 29 9 2 2" xfId="36708" xr:uid="{00000000-0005-0000-0000-0000C6460000}"/>
    <cellStyle name="40% - uthevingsfarge 6 29 9 3" xfId="30839" xr:uid="{00000000-0005-0000-0000-0000C7460000}"/>
    <cellStyle name="40% - uthevingsfarge 6 3" xfId="986" xr:uid="{00000000-0005-0000-0000-0000C8460000}"/>
    <cellStyle name="40% - uthevingsfarge 6 3 2" xfId="987" xr:uid="{00000000-0005-0000-0000-0000C9460000}"/>
    <cellStyle name="40% - uthevingsfarge 6 30" xfId="988" xr:uid="{00000000-0005-0000-0000-0000CA460000}"/>
    <cellStyle name="40% - uthevingsfarge 6 30 10" xfId="11258" xr:uid="{00000000-0005-0000-0000-0000CB460000}"/>
    <cellStyle name="40% - uthevingsfarge 6 30 11" xfId="34226" xr:uid="{00000000-0005-0000-0000-0000CC460000}"/>
    <cellStyle name="40% - uthevingsfarge 6 30 2" xfId="3360" xr:uid="{00000000-0005-0000-0000-0000CD460000}"/>
    <cellStyle name="40% - uthevingsfarge 6 30 2 10" xfId="34131" xr:uid="{00000000-0005-0000-0000-0000CE460000}"/>
    <cellStyle name="40% - uthevingsfarge 6 30 2 2" xfId="3592" xr:uid="{00000000-0005-0000-0000-0000CF460000}"/>
    <cellStyle name="40% - uthevingsfarge 6 30 2 2 10" xfId="47191" xr:uid="{00000000-0005-0000-0000-0000D0460000}"/>
    <cellStyle name="40% - uthevingsfarge 6 30 2 2 2" xfId="4022" xr:uid="{00000000-0005-0000-0000-0000D1460000}"/>
    <cellStyle name="40% - uthevingsfarge 6 30 2 2 2 2" xfId="5910" xr:uid="{00000000-0005-0000-0000-0000D2460000}"/>
    <cellStyle name="40% - uthevingsfarge 6 30 2 2 2 2 2" xfId="9325" xr:uid="{00000000-0005-0000-0000-0000D3460000}"/>
    <cellStyle name="40% - uthevingsfarge 6 30 2 2 2 2 2 2" xfId="23491" xr:uid="{00000000-0005-0000-0000-0000D4460000}"/>
    <cellStyle name="40% - uthevingsfarge 6 30 2 2 2 2 2 2 2" xfId="39547" xr:uid="{00000000-0005-0000-0000-0000D5460000}"/>
    <cellStyle name="40% - uthevingsfarge 6 30 2 2 2 2 2 3" xfId="28473" xr:uid="{00000000-0005-0000-0000-0000D6460000}"/>
    <cellStyle name="40% - uthevingsfarge 6 30 2 2 2 2 3" xfId="20248" xr:uid="{00000000-0005-0000-0000-0000D7460000}"/>
    <cellStyle name="40% - uthevingsfarge 6 30 2 2 2 2 3 2" xfId="36347" xr:uid="{00000000-0005-0000-0000-0000D8460000}"/>
    <cellStyle name="40% - uthevingsfarge 6 30 2 2 2 2 4" xfId="31866" xr:uid="{00000000-0005-0000-0000-0000D9460000}"/>
    <cellStyle name="40% - uthevingsfarge 6 30 2 2 2 3" xfId="7628" xr:uid="{00000000-0005-0000-0000-0000DA460000}"/>
    <cellStyle name="40% - uthevingsfarge 6 30 2 2 2 3 2" xfId="20843" xr:uid="{00000000-0005-0000-0000-0000DB460000}"/>
    <cellStyle name="40% - uthevingsfarge 6 30 2 2 2 3 2 2" xfId="36942" xr:uid="{00000000-0005-0000-0000-0000DC460000}"/>
    <cellStyle name="40% - uthevingsfarge 6 30 2 2 2 3 3" xfId="30170" xr:uid="{00000000-0005-0000-0000-0000DD460000}"/>
    <cellStyle name="40% - uthevingsfarge 6 30 2 2 2 4" xfId="18057" xr:uid="{00000000-0005-0000-0000-0000DE460000}"/>
    <cellStyle name="40% - uthevingsfarge 6 30 2 2 2 5" xfId="19964" xr:uid="{00000000-0005-0000-0000-0000DF460000}"/>
    <cellStyle name="40% - uthevingsfarge 6 30 2 2 2 5 2" xfId="36068" xr:uid="{00000000-0005-0000-0000-0000E0460000}"/>
    <cellStyle name="40% - uthevingsfarge 6 30 2 2 2 6" xfId="33557" xr:uid="{00000000-0005-0000-0000-0000E1460000}"/>
    <cellStyle name="40% - uthevingsfarge 6 30 2 2 3" xfId="4962" xr:uid="{00000000-0005-0000-0000-0000E2460000}"/>
    <cellStyle name="40% - uthevingsfarge 6 30 2 2 3 10" xfId="47381" xr:uid="{00000000-0005-0000-0000-0000E3460000}"/>
    <cellStyle name="40% - uthevingsfarge 6 30 2 2 3 2" xfId="6681" xr:uid="{00000000-0005-0000-0000-0000E4460000}"/>
    <cellStyle name="40% - uthevingsfarge 6 30 2 2 3 2 2" xfId="10087" xr:uid="{00000000-0005-0000-0000-0000E5460000}"/>
    <cellStyle name="40% - uthevingsfarge 6 30 2 2 3 2 2 2" xfId="23616" xr:uid="{00000000-0005-0000-0000-0000E6460000}"/>
    <cellStyle name="40% - uthevingsfarge 6 30 2 2 3 2 2 2 2" xfId="39672" xr:uid="{00000000-0005-0000-0000-0000E7460000}"/>
    <cellStyle name="40% - uthevingsfarge 6 30 2 2 3 2 2 3" xfId="27712" xr:uid="{00000000-0005-0000-0000-0000E8460000}"/>
    <cellStyle name="40% - uthevingsfarge 6 30 2 2 3 2 3" xfId="20538" xr:uid="{00000000-0005-0000-0000-0000E9460000}"/>
    <cellStyle name="40% - uthevingsfarge 6 30 2 2 3 2 3 2" xfId="36637" xr:uid="{00000000-0005-0000-0000-0000EA460000}"/>
    <cellStyle name="40% - uthevingsfarge 6 30 2 2 3 2 4" xfId="31113" xr:uid="{00000000-0005-0000-0000-0000EB460000}"/>
    <cellStyle name="40% - uthevingsfarge 6 30 2 2 3 2 5" xfId="43075" xr:uid="{00000000-0005-0000-0000-0000EC460000}"/>
    <cellStyle name="40% - uthevingsfarge 6 30 2 2 3 2 6" xfId="43372" xr:uid="{00000000-0005-0000-0000-0000ED460000}"/>
    <cellStyle name="40% - uthevingsfarge 6 30 2 2 3 2 7" xfId="46220" xr:uid="{00000000-0005-0000-0000-0000EE460000}"/>
    <cellStyle name="40% - uthevingsfarge 6 30 2 2 3 2 8" xfId="46992" xr:uid="{00000000-0005-0000-0000-0000EF460000}"/>
    <cellStyle name="40% - uthevingsfarge 6 30 2 2 3 2 9" xfId="47577" xr:uid="{00000000-0005-0000-0000-0000F0460000}"/>
    <cellStyle name="40% - uthevingsfarge 6 30 2 2 3 3" xfId="8384" xr:uid="{00000000-0005-0000-0000-0000F1460000}"/>
    <cellStyle name="40% - uthevingsfarge 6 30 2 2 3 3 2" xfId="22674" xr:uid="{00000000-0005-0000-0000-0000F2460000}"/>
    <cellStyle name="40% - uthevingsfarge 6 30 2 2 3 3 2 2" xfId="38743" xr:uid="{00000000-0005-0000-0000-0000F3460000}"/>
    <cellStyle name="40% - uthevingsfarge 6 30 2 2 3 3 3" xfId="29414" xr:uid="{00000000-0005-0000-0000-0000F4460000}"/>
    <cellStyle name="40% - uthevingsfarge 6 30 2 2 3 3 4" xfId="43973" xr:uid="{00000000-0005-0000-0000-0000F5460000}"/>
    <cellStyle name="40% - uthevingsfarge 6 30 2 2 3 4" xfId="16520" xr:uid="{00000000-0005-0000-0000-0000F6460000}"/>
    <cellStyle name="40% - uthevingsfarge 6 30 2 2 3 4 2" xfId="35467" xr:uid="{00000000-0005-0000-0000-0000F7460000}"/>
    <cellStyle name="40% - uthevingsfarge 6 30 2 2 3 5" xfId="25129" xr:uid="{00000000-0005-0000-0000-0000F8460000}"/>
    <cellStyle name="40% - uthevingsfarge 6 30 2 2 3 6" xfId="25336" xr:uid="{00000000-0005-0000-0000-0000F9460000}"/>
    <cellStyle name="40% - uthevingsfarge 6 30 2 2 3 7" xfId="32805" xr:uid="{00000000-0005-0000-0000-0000FA460000}"/>
    <cellStyle name="40% - uthevingsfarge 6 30 2 2 3 8" xfId="43833" xr:uid="{00000000-0005-0000-0000-0000FB460000}"/>
    <cellStyle name="40% - uthevingsfarge 6 30 2 2 3 9" xfId="46758" xr:uid="{00000000-0005-0000-0000-0000FC460000}"/>
    <cellStyle name="40% - uthevingsfarge 6 30 2 2 4" xfId="5516" xr:uid="{00000000-0005-0000-0000-0000FD460000}"/>
    <cellStyle name="40% - uthevingsfarge 6 30 2 2 4 2" xfId="8931" xr:uid="{00000000-0005-0000-0000-0000FE460000}"/>
    <cellStyle name="40% - uthevingsfarge 6 30 2 2 4 2 2" xfId="21221" xr:uid="{00000000-0005-0000-0000-0000FF460000}"/>
    <cellStyle name="40% - uthevingsfarge 6 30 2 2 4 2 2 2" xfId="37301" xr:uid="{00000000-0005-0000-0000-000000470000}"/>
    <cellStyle name="40% - uthevingsfarge 6 30 2 2 4 2 3" xfId="28867" xr:uid="{00000000-0005-0000-0000-000001470000}"/>
    <cellStyle name="40% - uthevingsfarge 6 30 2 2 4 3" xfId="23868" xr:uid="{00000000-0005-0000-0000-000002470000}"/>
    <cellStyle name="40% - uthevingsfarge 6 30 2 2 4 3 2" xfId="39924" xr:uid="{00000000-0005-0000-0000-000003470000}"/>
    <cellStyle name="40% - uthevingsfarge 6 30 2 2 4 4" xfId="32258" xr:uid="{00000000-0005-0000-0000-000004470000}"/>
    <cellStyle name="40% - uthevingsfarge 6 30 2 2 5" xfId="7234" xr:uid="{00000000-0005-0000-0000-000005470000}"/>
    <cellStyle name="40% - uthevingsfarge 6 30 2 2 5 2" xfId="20705" xr:uid="{00000000-0005-0000-0000-000006470000}"/>
    <cellStyle name="40% - uthevingsfarge 6 30 2 2 5 2 2" xfId="36804" xr:uid="{00000000-0005-0000-0000-000007470000}"/>
    <cellStyle name="40% - uthevingsfarge 6 30 2 2 5 3" xfId="30564" xr:uid="{00000000-0005-0000-0000-000008470000}"/>
    <cellStyle name="40% - uthevingsfarge 6 30 2 2 6" xfId="11260" xr:uid="{00000000-0005-0000-0000-000009470000}"/>
    <cellStyle name="40% - uthevingsfarge 6 30 2 2 7" xfId="33951" xr:uid="{00000000-0005-0000-0000-00000A470000}"/>
    <cellStyle name="40% - uthevingsfarge 6 30 2 2 8" xfId="43624" xr:uid="{00000000-0005-0000-0000-00000B470000}"/>
    <cellStyle name="40% - uthevingsfarge 6 30 2 2 9" xfId="46530" xr:uid="{00000000-0005-0000-0000-00000C470000}"/>
    <cellStyle name="40% - uthevingsfarge 6 30 2 2_Avviksanalyse løpende RNB15 (1)" xfId="16661" xr:uid="{00000000-0005-0000-0000-00000D470000}"/>
    <cellStyle name="40% - uthevingsfarge 6 30 2 3" xfId="3842" xr:uid="{00000000-0005-0000-0000-00000E470000}"/>
    <cellStyle name="40% - uthevingsfarge 6 30 2 3 2" xfId="5730" xr:uid="{00000000-0005-0000-0000-00000F470000}"/>
    <cellStyle name="40% - uthevingsfarge 6 30 2 3 2 2" xfId="9145" xr:uid="{00000000-0005-0000-0000-000010470000}"/>
    <cellStyle name="40% - uthevingsfarge 6 30 2 3 2 2 2" xfId="22603" xr:uid="{00000000-0005-0000-0000-000011470000}"/>
    <cellStyle name="40% - uthevingsfarge 6 30 2 3 2 2 2 2" xfId="38672" xr:uid="{00000000-0005-0000-0000-000012470000}"/>
    <cellStyle name="40% - uthevingsfarge 6 30 2 3 2 2 3" xfId="28653" xr:uid="{00000000-0005-0000-0000-000013470000}"/>
    <cellStyle name="40% - uthevingsfarge 6 30 2 3 2 3" xfId="20185" xr:uid="{00000000-0005-0000-0000-000014470000}"/>
    <cellStyle name="40% - uthevingsfarge 6 30 2 3 2 3 2" xfId="36285" xr:uid="{00000000-0005-0000-0000-000015470000}"/>
    <cellStyle name="40% - uthevingsfarge 6 30 2 3 2 4" xfId="32044" xr:uid="{00000000-0005-0000-0000-000016470000}"/>
    <cellStyle name="40% - uthevingsfarge 6 30 2 3 3" xfId="7448" xr:uid="{00000000-0005-0000-0000-000017470000}"/>
    <cellStyle name="40% - uthevingsfarge 6 30 2 3 3 2" xfId="20786" xr:uid="{00000000-0005-0000-0000-000018470000}"/>
    <cellStyle name="40% - uthevingsfarge 6 30 2 3 3 2 2" xfId="36885" xr:uid="{00000000-0005-0000-0000-000019470000}"/>
    <cellStyle name="40% - uthevingsfarge 6 30 2 3 3 3" xfId="30350" xr:uid="{00000000-0005-0000-0000-00001A470000}"/>
    <cellStyle name="40% - uthevingsfarge 6 30 2 3 4" xfId="12539" xr:uid="{00000000-0005-0000-0000-00001B470000}"/>
    <cellStyle name="40% - uthevingsfarge 6 30 2 3 4 2" xfId="35271" xr:uid="{00000000-0005-0000-0000-00001C470000}"/>
    <cellStyle name="40% - uthevingsfarge 6 30 2 3 5" xfId="33737" xr:uid="{00000000-0005-0000-0000-00001D470000}"/>
    <cellStyle name="40% - uthevingsfarge 6 30 2 4" xfId="4327" xr:uid="{00000000-0005-0000-0000-00001E470000}"/>
    <cellStyle name="40% - uthevingsfarge 6 30 2 4 2" xfId="6156" xr:uid="{00000000-0005-0000-0000-00001F470000}"/>
    <cellStyle name="40% - uthevingsfarge 6 30 2 4 2 2" xfId="9570" xr:uid="{00000000-0005-0000-0000-000020470000}"/>
    <cellStyle name="40% - uthevingsfarge 6 30 2 4 2 2 2" xfId="21962" xr:uid="{00000000-0005-0000-0000-000021470000}"/>
    <cellStyle name="40% - uthevingsfarge 6 30 2 4 2 2 2 2" xfId="38037" xr:uid="{00000000-0005-0000-0000-000022470000}"/>
    <cellStyle name="40% - uthevingsfarge 6 30 2 4 2 2 3" xfId="28228" xr:uid="{00000000-0005-0000-0000-000023470000}"/>
    <cellStyle name="40% - uthevingsfarge 6 30 2 4 2 3" xfId="22985" xr:uid="{00000000-0005-0000-0000-000024470000}"/>
    <cellStyle name="40% - uthevingsfarge 6 30 2 4 2 3 2" xfId="39054" xr:uid="{00000000-0005-0000-0000-000025470000}"/>
    <cellStyle name="40% - uthevingsfarge 6 30 2 4 2 4" xfId="31625" xr:uid="{00000000-0005-0000-0000-000026470000}"/>
    <cellStyle name="40% - uthevingsfarge 6 30 2 4 3" xfId="7889" xr:uid="{00000000-0005-0000-0000-000027470000}"/>
    <cellStyle name="40% - uthevingsfarge 6 30 2 4 3 2" xfId="10619" xr:uid="{00000000-0005-0000-0000-000028470000}"/>
    <cellStyle name="40% - uthevingsfarge 6 30 2 4 3 2 2" xfId="34467" xr:uid="{00000000-0005-0000-0000-000029470000}"/>
    <cellStyle name="40% - uthevingsfarge 6 30 2 4 3 3" xfId="29910" xr:uid="{00000000-0005-0000-0000-00002A470000}"/>
    <cellStyle name="40% - uthevingsfarge 6 30 2 4 4" xfId="20004" xr:uid="{00000000-0005-0000-0000-00002B470000}"/>
    <cellStyle name="40% - uthevingsfarge 6 30 2 4 4 2" xfId="36108" xr:uid="{00000000-0005-0000-0000-00002C470000}"/>
    <cellStyle name="40% - uthevingsfarge 6 30 2 4 5" xfId="33298" xr:uid="{00000000-0005-0000-0000-00002D470000}"/>
    <cellStyle name="40% - uthevingsfarge 6 30 2 5" xfId="4782" xr:uid="{00000000-0005-0000-0000-00002E470000}"/>
    <cellStyle name="40% - uthevingsfarge 6 30 2 5 2" xfId="6502" xr:uid="{00000000-0005-0000-0000-00002F470000}"/>
    <cellStyle name="40% - uthevingsfarge 6 30 2 5 2 2" xfId="9908" xr:uid="{00000000-0005-0000-0000-000030470000}"/>
    <cellStyle name="40% - uthevingsfarge 6 30 2 5 2 2 2" xfId="21530" xr:uid="{00000000-0005-0000-0000-000031470000}"/>
    <cellStyle name="40% - uthevingsfarge 6 30 2 5 2 2 2 2" xfId="37610" xr:uid="{00000000-0005-0000-0000-000032470000}"/>
    <cellStyle name="40% - uthevingsfarge 6 30 2 5 2 2 3" xfId="27891" xr:uid="{00000000-0005-0000-0000-000033470000}"/>
    <cellStyle name="40% - uthevingsfarge 6 30 2 5 2 3" xfId="23051" xr:uid="{00000000-0005-0000-0000-000034470000}"/>
    <cellStyle name="40% - uthevingsfarge 6 30 2 5 2 3 2" xfId="39120" xr:uid="{00000000-0005-0000-0000-000035470000}"/>
    <cellStyle name="40% - uthevingsfarge 6 30 2 5 2 4" xfId="31292" xr:uid="{00000000-0005-0000-0000-000036470000}"/>
    <cellStyle name="40% - uthevingsfarge 6 30 2 5 3" xfId="8204" xr:uid="{00000000-0005-0000-0000-000037470000}"/>
    <cellStyle name="40% - uthevingsfarge 6 30 2 5 3 2" xfId="10596" xr:uid="{00000000-0005-0000-0000-000038470000}"/>
    <cellStyle name="40% - uthevingsfarge 6 30 2 5 3 2 2" xfId="34444" xr:uid="{00000000-0005-0000-0000-000039470000}"/>
    <cellStyle name="40% - uthevingsfarge 6 30 2 5 3 3" xfId="29593" xr:uid="{00000000-0005-0000-0000-00003A470000}"/>
    <cellStyle name="40% - uthevingsfarge 6 30 2 5 4" xfId="12267" xr:uid="{00000000-0005-0000-0000-00003B470000}"/>
    <cellStyle name="40% - uthevingsfarge 6 30 2 5 4 2" xfId="35143" xr:uid="{00000000-0005-0000-0000-00003C470000}"/>
    <cellStyle name="40% - uthevingsfarge 6 30 2 5 5" xfId="32985" xr:uid="{00000000-0005-0000-0000-00003D470000}"/>
    <cellStyle name="40% - uthevingsfarge 6 30 2 6" xfId="5142" xr:uid="{00000000-0005-0000-0000-00003E470000}"/>
    <cellStyle name="40% - uthevingsfarge 6 30 2 6 2" xfId="6861" xr:uid="{00000000-0005-0000-0000-00003F470000}"/>
    <cellStyle name="40% - uthevingsfarge 6 30 2 6 2 2" xfId="10267" xr:uid="{00000000-0005-0000-0000-000040470000}"/>
    <cellStyle name="40% - uthevingsfarge 6 30 2 6 2 2 2" xfId="24710" xr:uid="{00000000-0005-0000-0000-000041470000}"/>
    <cellStyle name="40% - uthevingsfarge 6 30 2 6 2 2 2 2" xfId="40753" xr:uid="{00000000-0005-0000-0000-000042470000}"/>
    <cellStyle name="40% - uthevingsfarge 6 30 2 6 2 2 3" xfId="27532" xr:uid="{00000000-0005-0000-0000-000043470000}"/>
    <cellStyle name="40% - uthevingsfarge 6 30 2 6 2 3" xfId="20582" xr:uid="{00000000-0005-0000-0000-000044470000}"/>
    <cellStyle name="40% - uthevingsfarge 6 30 2 6 2 3 2" xfId="36681" xr:uid="{00000000-0005-0000-0000-000045470000}"/>
    <cellStyle name="40% - uthevingsfarge 6 30 2 6 2 4" xfId="30933" xr:uid="{00000000-0005-0000-0000-000046470000}"/>
    <cellStyle name="40% - uthevingsfarge 6 30 2 6 3" xfId="8564" xr:uid="{00000000-0005-0000-0000-000047470000}"/>
    <cellStyle name="40% - uthevingsfarge 6 30 2 6 3 2" xfId="21129" xr:uid="{00000000-0005-0000-0000-000048470000}"/>
    <cellStyle name="40% - uthevingsfarge 6 30 2 6 3 2 2" xfId="37209" xr:uid="{00000000-0005-0000-0000-000049470000}"/>
    <cellStyle name="40% - uthevingsfarge 6 30 2 6 3 3" xfId="29234" xr:uid="{00000000-0005-0000-0000-00004A470000}"/>
    <cellStyle name="40% - uthevingsfarge 6 30 2 6 4" xfId="10808" xr:uid="{00000000-0005-0000-0000-00004B470000}"/>
    <cellStyle name="40% - uthevingsfarge 6 30 2 6 4 2" xfId="34626" xr:uid="{00000000-0005-0000-0000-00004C470000}"/>
    <cellStyle name="40% - uthevingsfarge 6 30 2 6 5" xfId="32625" xr:uid="{00000000-0005-0000-0000-00004D470000}"/>
    <cellStyle name="40% - uthevingsfarge 6 30 2 7" xfId="5321" xr:uid="{00000000-0005-0000-0000-00004E470000}"/>
    <cellStyle name="40% - uthevingsfarge 6 30 2 7 2" xfId="8736" xr:uid="{00000000-0005-0000-0000-00004F470000}"/>
    <cellStyle name="40% - uthevingsfarge 6 30 2 7 2 2" xfId="22481" xr:uid="{00000000-0005-0000-0000-000050470000}"/>
    <cellStyle name="40% - uthevingsfarge 6 30 2 7 2 2 2" xfId="38553" xr:uid="{00000000-0005-0000-0000-000051470000}"/>
    <cellStyle name="40% - uthevingsfarge 6 30 2 7 2 3" xfId="29062" xr:uid="{00000000-0005-0000-0000-000052470000}"/>
    <cellStyle name="40% - uthevingsfarge 6 30 2 7 3" xfId="20080" xr:uid="{00000000-0005-0000-0000-000053470000}"/>
    <cellStyle name="40% - uthevingsfarge 6 30 2 7 3 2" xfId="36184" xr:uid="{00000000-0005-0000-0000-000054470000}"/>
    <cellStyle name="40% - uthevingsfarge 6 30 2 7 4" xfId="32453" xr:uid="{00000000-0005-0000-0000-000055470000}"/>
    <cellStyle name="40% - uthevingsfarge 6 30 2 8" xfId="7054" xr:uid="{00000000-0005-0000-0000-000056470000}"/>
    <cellStyle name="40% - uthevingsfarge 6 30 2 8 2" xfId="22414" xr:uid="{00000000-0005-0000-0000-000057470000}"/>
    <cellStyle name="40% - uthevingsfarge 6 30 2 8 2 2" xfId="38486" xr:uid="{00000000-0005-0000-0000-000058470000}"/>
    <cellStyle name="40% - uthevingsfarge 6 30 2 8 3" xfId="30744" xr:uid="{00000000-0005-0000-0000-000059470000}"/>
    <cellStyle name="40% - uthevingsfarge 6 30 2 9" xfId="11259" xr:uid="{00000000-0005-0000-0000-00005A470000}"/>
    <cellStyle name="40% - uthevingsfarge 6 30 3" xfId="3507" xr:uid="{00000000-0005-0000-0000-00005B470000}"/>
    <cellStyle name="40% - uthevingsfarge 6 30 3 10" xfId="47123" xr:uid="{00000000-0005-0000-0000-00005C470000}"/>
    <cellStyle name="40% - uthevingsfarge 6 30 3 2" xfId="3943" xr:uid="{00000000-0005-0000-0000-00005D470000}"/>
    <cellStyle name="40% - uthevingsfarge 6 30 3 2 2" xfId="5831" xr:uid="{00000000-0005-0000-0000-00005E470000}"/>
    <cellStyle name="40% - uthevingsfarge 6 30 3 2 2 2" xfId="9246" xr:uid="{00000000-0005-0000-0000-00005F470000}"/>
    <cellStyle name="40% - uthevingsfarge 6 30 3 2 2 2 2" xfId="23481" xr:uid="{00000000-0005-0000-0000-000060470000}"/>
    <cellStyle name="40% - uthevingsfarge 6 30 3 2 2 2 2 2" xfId="39537" xr:uid="{00000000-0005-0000-0000-000061470000}"/>
    <cellStyle name="40% - uthevingsfarge 6 30 3 2 2 2 3" xfId="28552" xr:uid="{00000000-0005-0000-0000-000062470000}"/>
    <cellStyle name="40% - uthevingsfarge 6 30 3 2 2 3" xfId="20220" xr:uid="{00000000-0005-0000-0000-000063470000}"/>
    <cellStyle name="40% - uthevingsfarge 6 30 3 2 2 3 2" xfId="36319" xr:uid="{00000000-0005-0000-0000-000064470000}"/>
    <cellStyle name="40% - uthevingsfarge 6 30 3 2 2 4" xfId="31943" xr:uid="{00000000-0005-0000-0000-000065470000}"/>
    <cellStyle name="40% - uthevingsfarge 6 30 3 2 3" xfId="7549" xr:uid="{00000000-0005-0000-0000-000066470000}"/>
    <cellStyle name="40% - uthevingsfarge 6 30 3 2 3 2" xfId="24223" xr:uid="{00000000-0005-0000-0000-000067470000}"/>
    <cellStyle name="40% - uthevingsfarge 6 30 3 2 3 2 2" xfId="40276" xr:uid="{00000000-0005-0000-0000-000068470000}"/>
    <cellStyle name="40% - uthevingsfarge 6 30 3 2 3 3" xfId="30249" xr:uid="{00000000-0005-0000-0000-000069470000}"/>
    <cellStyle name="40% - uthevingsfarge 6 30 3 2 4" xfId="18058" xr:uid="{00000000-0005-0000-0000-00006A470000}"/>
    <cellStyle name="40% - uthevingsfarge 6 30 3 2 5" xfId="11048" xr:uid="{00000000-0005-0000-0000-00006B470000}"/>
    <cellStyle name="40% - uthevingsfarge 6 30 3 2 5 2" xfId="34756" xr:uid="{00000000-0005-0000-0000-00006C470000}"/>
    <cellStyle name="40% - uthevingsfarge 6 30 3 2 6" xfId="33636" xr:uid="{00000000-0005-0000-0000-00006D470000}"/>
    <cellStyle name="40% - uthevingsfarge 6 30 3 3" xfId="4883" xr:uid="{00000000-0005-0000-0000-00006E470000}"/>
    <cellStyle name="40% - uthevingsfarge 6 30 3 3 10" xfId="47313" xr:uid="{00000000-0005-0000-0000-00006F470000}"/>
    <cellStyle name="40% - uthevingsfarge 6 30 3 3 2" xfId="6602" xr:uid="{00000000-0005-0000-0000-000070470000}"/>
    <cellStyle name="40% - uthevingsfarge 6 30 3 3 2 2" xfId="10008" xr:uid="{00000000-0005-0000-0000-000071470000}"/>
    <cellStyle name="40% - uthevingsfarge 6 30 3 3 2 2 2" xfId="21569" xr:uid="{00000000-0005-0000-0000-000072470000}"/>
    <cellStyle name="40% - uthevingsfarge 6 30 3 3 2 2 2 2" xfId="37649" xr:uid="{00000000-0005-0000-0000-000073470000}"/>
    <cellStyle name="40% - uthevingsfarge 6 30 3 3 2 2 3" xfId="27791" xr:uid="{00000000-0005-0000-0000-000074470000}"/>
    <cellStyle name="40% - uthevingsfarge 6 30 3 3 2 3" xfId="23070" xr:uid="{00000000-0005-0000-0000-000075470000}"/>
    <cellStyle name="40% - uthevingsfarge 6 30 3 3 2 3 2" xfId="39139" xr:uid="{00000000-0005-0000-0000-000076470000}"/>
    <cellStyle name="40% - uthevingsfarge 6 30 3 3 2 4" xfId="31192" xr:uid="{00000000-0005-0000-0000-000077470000}"/>
    <cellStyle name="40% - uthevingsfarge 6 30 3 3 2 5" xfId="42868" xr:uid="{00000000-0005-0000-0000-000078470000}"/>
    <cellStyle name="40% - uthevingsfarge 6 30 3 3 2 6" xfId="43306" xr:uid="{00000000-0005-0000-0000-000079470000}"/>
    <cellStyle name="40% - uthevingsfarge 6 30 3 3 2 7" xfId="46154" xr:uid="{00000000-0005-0000-0000-00007A470000}"/>
    <cellStyle name="40% - uthevingsfarge 6 30 3 3 2 8" xfId="46923" xr:uid="{00000000-0005-0000-0000-00007B470000}"/>
    <cellStyle name="40% - uthevingsfarge 6 30 3 3 2 9" xfId="47509" xr:uid="{00000000-0005-0000-0000-00007C470000}"/>
    <cellStyle name="40% - uthevingsfarge 6 30 3 3 3" xfId="8305" xr:uid="{00000000-0005-0000-0000-00007D470000}"/>
    <cellStyle name="40% - uthevingsfarge 6 30 3 3 3 2" xfId="23343" xr:uid="{00000000-0005-0000-0000-00007E470000}"/>
    <cellStyle name="40% - uthevingsfarge 6 30 3 3 3 2 2" xfId="39404" xr:uid="{00000000-0005-0000-0000-00007F470000}"/>
    <cellStyle name="40% - uthevingsfarge 6 30 3 3 3 3" xfId="29492" xr:uid="{00000000-0005-0000-0000-000080470000}"/>
    <cellStyle name="40% - uthevingsfarge 6 30 3 3 3 4" xfId="43974" xr:uid="{00000000-0005-0000-0000-000081470000}"/>
    <cellStyle name="40% - uthevingsfarge 6 30 3 3 4" xfId="16313" xr:uid="{00000000-0005-0000-0000-000082470000}"/>
    <cellStyle name="40% - uthevingsfarge 6 30 3 3 4 2" xfId="35401" xr:uid="{00000000-0005-0000-0000-000083470000}"/>
    <cellStyle name="40% - uthevingsfarge 6 30 3 3 5" xfId="25060" xr:uid="{00000000-0005-0000-0000-000084470000}"/>
    <cellStyle name="40% - uthevingsfarge 6 30 3 3 6" xfId="25337" xr:uid="{00000000-0005-0000-0000-000085470000}"/>
    <cellStyle name="40% - uthevingsfarge 6 30 3 3 7" xfId="32884" xr:uid="{00000000-0005-0000-0000-000086470000}"/>
    <cellStyle name="40% - uthevingsfarge 6 30 3 3 8" xfId="43766" xr:uid="{00000000-0005-0000-0000-000087470000}"/>
    <cellStyle name="40% - uthevingsfarge 6 30 3 3 9" xfId="46692" xr:uid="{00000000-0005-0000-0000-000088470000}"/>
    <cellStyle name="40% - uthevingsfarge 6 30 3 4" xfId="5437" xr:uid="{00000000-0005-0000-0000-000089470000}"/>
    <cellStyle name="40% - uthevingsfarge 6 30 3 4 2" xfId="8852" xr:uid="{00000000-0005-0000-0000-00008A470000}"/>
    <cellStyle name="40% - uthevingsfarge 6 30 3 4 2 2" xfId="21819" xr:uid="{00000000-0005-0000-0000-00008B470000}"/>
    <cellStyle name="40% - uthevingsfarge 6 30 3 4 2 2 2" xfId="37895" xr:uid="{00000000-0005-0000-0000-00008C470000}"/>
    <cellStyle name="40% - uthevingsfarge 6 30 3 4 2 3" xfId="28946" xr:uid="{00000000-0005-0000-0000-00008D470000}"/>
    <cellStyle name="40% - uthevingsfarge 6 30 3 4 3" xfId="20091" xr:uid="{00000000-0005-0000-0000-00008E470000}"/>
    <cellStyle name="40% - uthevingsfarge 6 30 3 4 3 2" xfId="36195" xr:uid="{00000000-0005-0000-0000-00008F470000}"/>
    <cellStyle name="40% - uthevingsfarge 6 30 3 4 4" xfId="32337" xr:uid="{00000000-0005-0000-0000-000090470000}"/>
    <cellStyle name="40% - uthevingsfarge 6 30 3 5" xfId="7155" xr:uid="{00000000-0005-0000-0000-000091470000}"/>
    <cellStyle name="40% - uthevingsfarge 6 30 3 5 2" xfId="20684" xr:uid="{00000000-0005-0000-0000-000092470000}"/>
    <cellStyle name="40% - uthevingsfarge 6 30 3 5 2 2" xfId="36783" xr:uid="{00000000-0005-0000-0000-000093470000}"/>
    <cellStyle name="40% - uthevingsfarge 6 30 3 5 3" xfId="30643" xr:uid="{00000000-0005-0000-0000-000094470000}"/>
    <cellStyle name="40% - uthevingsfarge 6 30 3 6" xfId="11261" xr:uid="{00000000-0005-0000-0000-000095470000}"/>
    <cellStyle name="40% - uthevingsfarge 6 30 3 7" xfId="34030" xr:uid="{00000000-0005-0000-0000-000096470000}"/>
    <cellStyle name="40% - uthevingsfarge 6 30 3 8" xfId="43558" xr:uid="{00000000-0005-0000-0000-000097470000}"/>
    <cellStyle name="40% - uthevingsfarge 6 30 3 9" xfId="46462" xr:uid="{00000000-0005-0000-0000-000098470000}"/>
    <cellStyle name="40% - uthevingsfarge 6 30 3_Avviksanalyse løpende RNB15 (1)" xfId="16662" xr:uid="{00000000-0005-0000-0000-000099470000}"/>
    <cellStyle name="40% - uthevingsfarge 6 30 4" xfId="3764" xr:uid="{00000000-0005-0000-0000-00009A470000}"/>
    <cellStyle name="40% - uthevingsfarge 6 30 4 2" xfId="5652" xr:uid="{00000000-0005-0000-0000-00009B470000}"/>
    <cellStyle name="40% - uthevingsfarge 6 30 4 2 2" xfId="9067" xr:uid="{00000000-0005-0000-0000-00009C470000}"/>
    <cellStyle name="40% - uthevingsfarge 6 30 4 2 2 2" xfId="23738" xr:uid="{00000000-0005-0000-0000-00009D470000}"/>
    <cellStyle name="40% - uthevingsfarge 6 30 4 2 2 2 2" xfId="39794" xr:uid="{00000000-0005-0000-0000-00009E470000}"/>
    <cellStyle name="40% - uthevingsfarge 6 30 4 2 2 3" xfId="28731" xr:uid="{00000000-0005-0000-0000-00009F470000}"/>
    <cellStyle name="40% - uthevingsfarge 6 30 4 2 3" xfId="10370" xr:uid="{00000000-0005-0000-0000-0000A0470000}"/>
    <cellStyle name="40% - uthevingsfarge 6 30 4 2 3 2" xfId="34332" xr:uid="{00000000-0005-0000-0000-0000A1470000}"/>
    <cellStyle name="40% - uthevingsfarge 6 30 4 2 4" xfId="32122" xr:uid="{00000000-0005-0000-0000-0000A2470000}"/>
    <cellStyle name="40% - uthevingsfarge 6 30 4 3" xfId="7370" xr:uid="{00000000-0005-0000-0000-0000A3470000}"/>
    <cellStyle name="40% - uthevingsfarge 6 30 4 3 2" xfId="23194" xr:uid="{00000000-0005-0000-0000-0000A4470000}"/>
    <cellStyle name="40% - uthevingsfarge 6 30 4 3 2 2" xfId="39263" xr:uid="{00000000-0005-0000-0000-0000A5470000}"/>
    <cellStyle name="40% - uthevingsfarge 6 30 4 3 3" xfId="30428" xr:uid="{00000000-0005-0000-0000-0000A6470000}"/>
    <cellStyle name="40% - uthevingsfarge 6 30 4 4" xfId="19926" xr:uid="{00000000-0005-0000-0000-0000A7470000}"/>
    <cellStyle name="40% - uthevingsfarge 6 30 4 4 2" xfId="36030" xr:uid="{00000000-0005-0000-0000-0000A8470000}"/>
    <cellStyle name="40% - uthevingsfarge 6 30 4 5" xfId="33815" xr:uid="{00000000-0005-0000-0000-0000A9470000}"/>
    <cellStyle name="40% - uthevingsfarge 6 30 5" xfId="4259" xr:uid="{00000000-0005-0000-0000-0000AA470000}"/>
    <cellStyle name="40% - uthevingsfarge 6 30 5 2" xfId="6091" xr:uid="{00000000-0005-0000-0000-0000AB470000}"/>
    <cellStyle name="40% - uthevingsfarge 6 30 5 2 2" xfId="9506" xr:uid="{00000000-0005-0000-0000-0000AC470000}"/>
    <cellStyle name="40% - uthevingsfarge 6 30 5 2 2 2" xfId="23520" xr:uid="{00000000-0005-0000-0000-0000AD470000}"/>
    <cellStyle name="40% - uthevingsfarge 6 30 5 2 2 2 2" xfId="39576" xr:uid="{00000000-0005-0000-0000-0000AE470000}"/>
    <cellStyle name="40% - uthevingsfarge 6 30 5 2 2 3" xfId="28292" xr:uid="{00000000-0005-0000-0000-0000AF470000}"/>
    <cellStyle name="40% - uthevingsfarge 6 30 5 2 3" xfId="22110" xr:uid="{00000000-0005-0000-0000-0000B0470000}"/>
    <cellStyle name="40% - uthevingsfarge 6 30 5 2 3 2" xfId="38184" xr:uid="{00000000-0005-0000-0000-0000B1470000}"/>
    <cellStyle name="40% - uthevingsfarge 6 30 5 2 4" xfId="31687" xr:uid="{00000000-0005-0000-0000-0000B2470000}"/>
    <cellStyle name="40% - uthevingsfarge 6 30 5 3" xfId="7825" xr:uid="{00000000-0005-0000-0000-0000B3470000}"/>
    <cellStyle name="40% - uthevingsfarge 6 30 5 3 2" xfId="20915" xr:uid="{00000000-0005-0000-0000-0000B4470000}"/>
    <cellStyle name="40% - uthevingsfarge 6 30 5 3 2 2" xfId="37014" xr:uid="{00000000-0005-0000-0000-0000B5470000}"/>
    <cellStyle name="40% - uthevingsfarge 6 30 5 3 3" xfId="29974" xr:uid="{00000000-0005-0000-0000-0000B6470000}"/>
    <cellStyle name="40% - uthevingsfarge 6 30 5 4" xfId="23811" xr:uid="{00000000-0005-0000-0000-0000B7470000}"/>
    <cellStyle name="40% - uthevingsfarge 6 30 5 4 2" xfId="39867" xr:uid="{00000000-0005-0000-0000-0000B8470000}"/>
    <cellStyle name="40% - uthevingsfarge 6 30 5 5" xfId="33362" xr:uid="{00000000-0005-0000-0000-0000B9470000}"/>
    <cellStyle name="40% - uthevingsfarge 6 30 6" xfId="4699" xr:uid="{00000000-0005-0000-0000-0000BA470000}"/>
    <cellStyle name="40% - uthevingsfarge 6 30 6 2" xfId="6419" xr:uid="{00000000-0005-0000-0000-0000BB470000}"/>
    <cellStyle name="40% - uthevingsfarge 6 30 6 2 2" xfId="9829" xr:uid="{00000000-0005-0000-0000-0000BC470000}"/>
    <cellStyle name="40% - uthevingsfarge 6 30 6 2 2 2" xfId="21500" xr:uid="{00000000-0005-0000-0000-0000BD470000}"/>
    <cellStyle name="40% - uthevingsfarge 6 30 6 2 2 2 2" xfId="37580" xr:uid="{00000000-0005-0000-0000-0000BE470000}"/>
    <cellStyle name="40% - uthevingsfarge 6 30 6 2 2 3" xfId="27970" xr:uid="{00000000-0005-0000-0000-0000BF470000}"/>
    <cellStyle name="40% - uthevingsfarge 6 30 6 2 3" xfId="24038" xr:uid="{00000000-0005-0000-0000-0000C0470000}"/>
    <cellStyle name="40% - uthevingsfarge 6 30 6 2 3 2" xfId="40091" xr:uid="{00000000-0005-0000-0000-0000C1470000}"/>
    <cellStyle name="40% - uthevingsfarge 6 30 6 2 4" xfId="31371" xr:uid="{00000000-0005-0000-0000-0000C2470000}"/>
    <cellStyle name="40% - uthevingsfarge 6 30 6 3" xfId="8125" xr:uid="{00000000-0005-0000-0000-0000C3470000}"/>
    <cellStyle name="40% - uthevingsfarge 6 30 6 3 2" xfId="24319" xr:uid="{00000000-0005-0000-0000-0000C4470000}"/>
    <cellStyle name="40% - uthevingsfarge 6 30 6 3 2 2" xfId="40369" xr:uid="{00000000-0005-0000-0000-0000C5470000}"/>
    <cellStyle name="40% - uthevingsfarge 6 30 6 3 3" xfId="29673" xr:uid="{00000000-0005-0000-0000-0000C6470000}"/>
    <cellStyle name="40% - uthevingsfarge 6 30 6 4" xfId="10912" xr:uid="{00000000-0005-0000-0000-0000C7470000}"/>
    <cellStyle name="40% - uthevingsfarge 6 30 6 4 2" xfId="34677" xr:uid="{00000000-0005-0000-0000-0000C8470000}"/>
    <cellStyle name="40% - uthevingsfarge 6 30 6 5" xfId="33064" xr:uid="{00000000-0005-0000-0000-0000C9470000}"/>
    <cellStyle name="40% - uthevingsfarge 6 30 7" xfId="5063" xr:uid="{00000000-0005-0000-0000-0000CA470000}"/>
    <cellStyle name="40% - uthevingsfarge 6 30 7 2" xfId="6782" xr:uid="{00000000-0005-0000-0000-0000CB470000}"/>
    <cellStyle name="40% - uthevingsfarge 6 30 7 2 2" xfId="10188" xr:uid="{00000000-0005-0000-0000-0000CC470000}"/>
    <cellStyle name="40% - uthevingsfarge 6 30 7 2 2 2" xfId="21641" xr:uid="{00000000-0005-0000-0000-0000CD470000}"/>
    <cellStyle name="40% - uthevingsfarge 6 30 7 2 2 2 2" xfId="37721" xr:uid="{00000000-0005-0000-0000-0000CE470000}"/>
    <cellStyle name="40% - uthevingsfarge 6 30 7 2 2 3" xfId="27611" xr:uid="{00000000-0005-0000-0000-0000CF470000}"/>
    <cellStyle name="40% - uthevingsfarge 6 30 7 2 3" xfId="23096" xr:uid="{00000000-0005-0000-0000-0000D0470000}"/>
    <cellStyle name="40% - uthevingsfarge 6 30 7 2 3 2" xfId="39165" xr:uid="{00000000-0005-0000-0000-0000D1470000}"/>
    <cellStyle name="40% - uthevingsfarge 6 30 7 2 4" xfId="31012" xr:uid="{00000000-0005-0000-0000-0000D2470000}"/>
    <cellStyle name="40% - uthevingsfarge 6 30 7 3" xfId="8485" xr:uid="{00000000-0005-0000-0000-0000D3470000}"/>
    <cellStyle name="40% - uthevingsfarge 6 30 7 3 2" xfId="21107" xr:uid="{00000000-0005-0000-0000-0000D4470000}"/>
    <cellStyle name="40% - uthevingsfarge 6 30 7 3 2 2" xfId="37190" xr:uid="{00000000-0005-0000-0000-0000D5470000}"/>
    <cellStyle name="40% - uthevingsfarge 6 30 7 3 3" xfId="29313" xr:uid="{00000000-0005-0000-0000-0000D6470000}"/>
    <cellStyle name="40% - uthevingsfarge 6 30 7 4" xfId="20056" xr:uid="{00000000-0005-0000-0000-0000D7470000}"/>
    <cellStyle name="40% - uthevingsfarge 6 30 7 4 2" xfId="36160" xr:uid="{00000000-0005-0000-0000-0000D8470000}"/>
    <cellStyle name="40% - uthevingsfarge 6 30 7 5" xfId="32704" xr:uid="{00000000-0005-0000-0000-0000D9470000}"/>
    <cellStyle name="40% - uthevingsfarge 6 30 8" xfId="5259" xr:uid="{00000000-0005-0000-0000-0000DA470000}"/>
    <cellStyle name="40% - uthevingsfarge 6 30 8 2" xfId="8674" xr:uid="{00000000-0005-0000-0000-0000DB470000}"/>
    <cellStyle name="40% - uthevingsfarge 6 30 8 2 2" xfId="23395" xr:uid="{00000000-0005-0000-0000-0000DC470000}"/>
    <cellStyle name="40% - uthevingsfarge 6 30 8 2 2 2" xfId="39451" xr:uid="{00000000-0005-0000-0000-0000DD470000}"/>
    <cellStyle name="40% - uthevingsfarge 6 30 8 2 3" xfId="29124" xr:uid="{00000000-0005-0000-0000-0000DE470000}"/>
    <cellStyle name="40% - uthevingsfarge 6 30 8 3" xfId="10774" xr:uid="{00000000-0005-0000-0000-0000DF470000}"/>
    <cellStyle name="40% - uthevingsfarge 6 30 8 3 2" xfId="34597" xr:uid="{00000000-0005-0000-0000-0000E0470000}"/>
    <cellStyle name="40% - uthevingsfarge 6 30 8 4" xfId="32515" xr:uid="{00000000-0005-0000-0000-0000E1470000}"/>
    <cellStyle name="40% - uthevingsfarge 6 30 9" xfId="6960" xr:uid="{00000000-0005-0000-0000-0000E2470000}"/>
    <cellStyle name="40% - uthevingsfarge 6 30 9 2" xfId="20610" xr:uid="{00000000-0005-0000-0000-0000E3470000}"/>
    <cellStyle name="40% - uthevingsfarge 6 30 9 2 2" xfId="36709" xr:uid="{00000000-0005-0000-0000-0000E4470000}"/>
    <cellStyle name="40% - uthevingsfarge 6 30 9 3" xfId="30838" xr:uid="{00000000-0005-0000-0000-0000E5470000}"/>
    <cellStyle name="40% - uthevingsfarge 6 31" xfId="3454" xr:uid="{00000000-0005-0000-0000-0000E6470000}"/>
    <cellStyle name="40% - uthevingsfarge 6 31 2" xfId="3643" xr:uid="{00000000-0005-0000-0000-0000E7470000}"/>
    <cellStyle name="40% - uthevingsfarge 6 31 2 2" xfId="4071" xr:uid="{00000000-0005-0000-0000-0000E8470000}"/>
    <cellStyle name="40% - uthevingsfarge 6 31 2 2 2" xfId="5959" xr:uid="{00000000-0005-0000-0000-0000E9470000}"/>
    <cellStyle name="40% - uthevingsfarge 6 31 2 2 2 2" xfId="9374" xr:uid="{00000000-0005-0000-0000-0000EA470000}"/>
    <cellStyle name="40% - uthevingsfarge 6 31 2 2 2 2 2" xfId="24504" xr:uid="{00000000-0005-0000-0000-0000EB470000}"/>
    <cellStyle name="40% - uthevingsfarge 6 31 2 2 2 2 2 2" xfId="40548" xr:uid="{00000000-0005-0000-0000-0000EC470000}"/>
    <cellStyle name="40% - uthevingsfarge 6 31 2 2 2 2 3" xfId="28424" xr:uid="{00000000-0005-0000-0000-0000ED470000}"/>
    <cellStyle name="40% - uthevingsfarge 6 31 2 2 2 3" xfId="23950" xr:uid="{00000000-0005-0000-0000-0000EE470000}"/>
    <cellStyle name="40% - uthevingsfarge 6 31 2 2 2 3 2" xfId="40004" xr:uid="{00000000-0005-0000-0000-0000EF470000}"/>
    <cellStyle name="40% - uthevingsfarge 6 31 2 2 2 4" xfId="31819" xr:uid="{00000000-0005-0000-0000-0000F0470000}"/>
    <cellStyle name="40% - uthevingsfarge 6 31 2 2 3" xfId="7677" xr:uid="{00000000-0005-0000-0000-0000F1470000}"/>
    <cellStyle name="40% - uthevingsfarge 6 31 2 2 3 2" xfId="24249" xr:uid="{00000000-0005-0000-0000-0000F2470000}"/>
    <cellStyle name="40% - uthevingsfarge 6 31 2 2 3 2 2" xfId="40302" xr:uid="{00000000-0005-0000-0000-0000F3470000}"/>
    <cellStyle name="40% - uthevingsfarge 6 31 2 2 3 3" xfId="30121" xr:uid="{00000000-0005-0000-0000-0000F4470000}"/>
    <cellStyle name="40% - uthevingsfarge 6 31 2 2 4" xfId="19971" xr:uid="{00000000-0005-0000-0000-0000F5470000}"/>
    <cellStyle name="40% - uthevingsfarge 6 31 2 2 4 2" xfId="36075" xr:uid="{00000000-0005-0000-0000-0000F6470000}"/>
    <cellStyle name="40% - uthevingsfarge 6 31 2 2 5" xfId="33508" xr:uid="{00000000-0005-0000-0000-0000F7470000}"/>
    <cellStyle name="40% - uthevingsfarge 6 31 2 3" xfId="5011" xr:uid="{00000000-0005-0000-0000-0000F8470000}"/>
    <cellStyle name="40% - uthevingsfarge 6 31 2 3 2" xfId="6730" xr:uid="{00000000-0005-0000-0000-0000F9470000}"/>
    <cellStyle name="40% - uthevingsfarge 6 31 2 3 2 2" xfId="10136" xr:uid="{00000000-0005-0000-0000-0000FA470000}"/>
    <cellStyle name="40% - uthevingsfarge 6 31 2 3 2 2 2" xfId="22029" xr:uid="{00000000-0005-0000-0000-0000FB470000}"/>
    <cellStyle name="40% - uthevingsfarge 6 31 2 3 2 2 2 2" xfId="38104" xr:uid="{00000000-0005-0000-0000-0000FC470000}"/>
    <cellStyle name="40% - uthevingsfarge 6 31 2 3 2 2 3" xfId="27663" xr:uid="{00000000-0005-0000-0000-0000FD470000}"/>
    <cellStyle name="40% - uthevingsfarge 6 31 2 3 2 3" xfId="22381" xr:uid="{00000000-0005-0000-0000-0000FE470000}"/>
    <cellStyle name="40% - uthevingsfarge 6 31 2 3 2 3 2" xfId="38453" xr:uid="{00000000-0005-0000-0000-0000FF470000}"/>
    <cellStyle name="40% - uthevingsfarge 6 31 2 3 2 4" xfId="31064" xr:uid="{00000000-0005-0000-0000-000000480000}"/>
    <cellStyle name="40% - uthevingsfarge 6 31 2 3 3" xfId="8433" xr:uid="{00000000-0005-0000-0000-000001480000}"/>
    <cellStyle name="40% - uthevingsfarge 6 31 2 3 3 2" xfId="21090" xr:uid="{00000000-0005-0000-0000-000002480000}"/>
    <cellStyle name="40% - uthevingsfarge 6 31 2 3 3 2 2" xfId="37175" xr:uid="{00000000-0005-0000-0000-000003480000}"/>
    <cellStyle name="40% - uthevingsfarge 6 31 2 3 3 3" xfId="29365" xr:uid="{00000000-0005-0000-0000-000004480000}"/>
    <cellStyle name="40% - uthevingsfarge 6 31 2 3 4" xfId="20050" xr:uid="{00000000-0005-0000-0000-000005480000}"/>
    <cellStyle name="40% - uthevingsfarge 6 31 2 3 4 2" xfId="36154" xr:uid="{00000000-0005-0000-0000-000006480000}"/>
    <cellStyle name="40% - uthevingsfarge 6 31 2 3 5" xfId="32756" xr:uid="{00000000-0005-0000-0000-000007480000}"/>
    <cellStyle name="40% - uthevingsfarge 6 31 2 4" xfId="5565" xr:uid="{00000000-0005-0000-0000-000008480000}"/>
    <cellStyle name="40% - uthevingsfarge 6 31 2 4 2" xfId="8980" xr:uid="{00000000-0005-0000-0000-000009480000}"/>
    <cellStyle name="40% - uthevingsfarge 6 31 2 4 2 2" xfId="22742" xr:uid="{00000000-0005-0000-0000-00000A480000}"/>
    <cellStyle name="40% - uthevingsfarge 6 31 2 4 2 2 2" xfId="38811" xr:uid="{00000000-0005-0000-0000-00000B480000}"/>
    <cellStyle name="40% - uthevingsfarge 6 31 2 4 2 3" xfId="28818" xr:uid="{00000000-0005-0000-0000-00000C480000}"/>
    <cellStyle name="40% - uthevingsfarge 6 31 2 4 3" xfId="20122" xr:uid="{00000000-0005-0000-0000-00000D480000}"/>
    <cellStyle name="40% - uthevingsfarge 6 31 2 4 3 2" xfId="36225" xr:uid="{00000000-0005-0000-0000-00000E480000}"/>
    <cellStyle name="40% - uthevingsfarge 6 31 2 4 4" xfId="32209" xr:uid="{00000000-0005-0000-0000-00000F480000}"/>
    <cellStyle name="40% - uthevingsfarge 6 31 2 5" xfId="7283" xr:uid="{00000000-0005-0000-0000-000010480000}"/>
    <cellStyle name="40% - uthevingsfarge 6 31 2 5 2" xfId="24178" xr:uid="{00000000-0005-0000-0000-000011480000}"/>
    <cellStyle name="40% - uthevingsfarge 6 31 2 5 2 2" xfId="40231" xr:uid="{00000000-0005-0000-0000-000012480000}"/>
    <cellStyle name="40% - uthevingsfarge 6 31 2 5 3" xfId="30515" xr:uid="{00000000-0005-0000-0000-000013480000}"/>
    <cellStyle name="40% - uthevingsfarge 6 31 2 6" xfId="21711" xr:uid="{00000000-0005-0000-0000-000014480000}"/>
    <cellStyle name="40% - uthevingsfarge 6 31 2 6 2" xfId="37789" xr:uid="{00000000-0005-0000-0000-000015480000}"/>
    <cellStyle name="40% - uthevingsfarge 6 31 2 7" xfId="33902" xr:uid="{00000000-0005-0000-0000-000016480000}"/>
    <cellStyle name="40% - uthevingsfarge 6 31 3" xfId="3891" xr:uid="{00000000-0005-0000-0000-000017480000}"/>
    <cellStyle name="40% - uthevingsfarge 6 31 3 2" xfId="5779" xr:uid="{00000000-0005-0000-0000-000018480000}"/>
    <cellStyle name="40% - uthevingsfarge 6 31 3 2 2" xfId="9194" xr:uid="{00000000-0005-0000-0000-000019480000}"/>
    <cellStyle name="40% - uthevingsfarge 6 31 3 2 2 2" xfId="21310" xr:uid="{00000000-0005-0000-0000-00001A480000}"/>
    <cellStyle name="40% - uthevingsfarge 6 31 3 2 2 2 2" xfId="37390" xr:uid="{00000000-0005-0000-0000-00001B480000}"/>
    <cellStyle name="40% - uthevingsfarge 6 31 3 2 2 3" xfId="28604" xr:uid="{00000000-0005-0000-0000-00001C480000}"/>
    <cellStyle name="40% - uthevingsfarge 6 31 3 2 3" xfId="22277" xr:uid="{00000000-0005-0000-0000-00001D480000}"/>
    <cellStyle name="40% - uthevingsfarge 6 31 3 2 3 2" xfId="38349" xr:uid="{00000000-0005-0000-0000-00001E480000}"/>
    <cellStyle name="40% - uthevingsfarge 6 31 3 2 4" xfId="31995" xr:uid="{00000000-0005-0000-0000-00001F480000}"/>
    <cellStyle name="40% - uthevingsfarge 6 31 3 3" xfId="7497" xr:uid="{00000000-0005-0000-0000-000020480000}"/>
    <cellStyle name="40% - uthevingsfarge 6 31 3 3 2" xfId="23218" xr:uid="{00000000-0005-0000-0000-000021480000}"/>
    <cellStyle name="40% - uthevingsfarge 6 31 3 3 2 2" xfId="39287" xr:uid="{00000000-0005-0000-0000-000022480000}"/>
    <cellStyle name="40% - uthevingsfarge 6 31 3 3 3" xfId="30301" xr:uid="{00000000-0005-0000-0000-000023480000}"/>
    <cellStyle name="40% - uthevingsfarge 6 31 3 4" xfId="22776" xr:uid="{00000000-0005-0000-0000-000024480000}"/>
    <cellStyle name="40% - uthevingsfarge 6 31 3 4 2" xfId="38845" xr:uid="{00000000-0005-0000-0000-000025480000}"/>
    <cellStyle name="40% - uthevingsfarge 6 31 3 5" xfId="33688" xr:uid="{00000000-0005-0000-0000-000026480000}"/>
    <cellStyle name="40% - uthevingsfarge 6 31 4" xfId="4831" xr:uid="{00000000-0005-0000-0000-000027480000}"/>
    <cellStyle name="40% - uthevingsfarge 6 31 4 2" xfId="6550" xr:uid="{00000000-0005-0000-0000-000028480000}"/>
    <cellStyle name="40% - uthevingsfarge 6 31 4 2 2" xfId="9956" xr:uid="{00000000-0005-0000-0000-000029480000}"/>
    <cellStyle name="40% - uthevingsfarge 6 31 4 2 2 2" xfId="24595" xr:uid="{00000000-0005-0000-0000-00002A480000}"/>
    <cellStyle name="40% - uthevingsfarge 6 31 4 2 2 2 2" xfId="40639" xr:uid="{00000000-0005-0000-0000-00002B480000}"/>
    <cellStyle name="40% - uthevingsfarge 6 31 4 2 2 3" xfId="27843" xr:uid="{00000000-0005-0000-0000-00002C480000}"/>
    <cellStyle name="40% - uthevingsfarge 6 31 4 2 3" xfId="22365" xr:uid="{00000000-0005-0000-0000-00002D480000}"/>
    <cellStyle name="40% - uthevingsfarge 6 31 4 2 3 2" xfId="38437" xr:uid="{00000000-0005-0000-0000-00002E480000}"/>
    <cellStyle name="40% - uthevingsfarge 6 31 4 2 4" xfId="31244" xr:uid="{00000000-0005-0000-0000-00002F480000}"/>
    <cellStyle name="40% - uthevingsfarge 6 31 4 3" xfId="8253" xr:uid="{00000000-0005-0000-0000-000030480000}"/>
    <cellStyle name="40% - uthevingsfarge 6 31 4 3 2" xfId="24339" xr:uid="{00000000-0005-0000-0000-000031480000}"/>
    <cellStyle name="40% - uthevingsfarge 6 31 4 3 2 2" xfId="40389" xr:uid="{00000000-0005-0000-0000-000032480000}"/>
    <cellStyle name="40% - uthevingsfarge 6 31 4 3 3" xfId="29544" xr:uid="{00000000-0005-0000-0000-000033480000}"/>
    <cellStyle name="40% - uthevingsfarge 6 31 4 4" xfId="10891" xr:uid="{00000000-0005-0000-0000-000034480000}"/>
    <cellStyle name="40% - uthevingsfarge 6 31 4 4 2" xfId="34664" xr:uid="{00000000-0005-0000-0000-000035480000}"/>
    <cellStyle name="40% - uthevingsfarge 6 31 4 5" xfId="32936" xr:uid="{00000000-0005-0000-0000-000036480000}"/>
    <cellStyle name="40% - uthevingsfarge 6 31 5" xfId="5395" xr:uid="{00000000-0005-0000-0000-000037480000}"/>
    <cellStyle name="40% - uthevingsfarge 6 31 5 2" xfId="8810" xr:uid="{00000000-0005-0000-0000-000038480000}"/>
    <cellStyle name="40% - uthevingsfarge 6 31 5 2 2" xfId="11760" xr:uid="{00000000-0005-0000-0000-000039480000}"/>
    <cellStyle name="40% - uthevingsfarge 6 31 5 2 2 2" xfId="34855" xr:uid="{00000000-0005-0000-0000-00003A480000}"/>
    <cellStyle name="40% - uthevingsfarge 6 31 5 2 3" xfId="28988" xr:uid="{00000000-0005-0000-0000-00003B480000}"/>
    <cellStyle name="40% - uthevingsfarge 6 31 5 3" xfId="19818" xr:uid="{00000000-0005-0000-0000-00003C480000}"/>
    <cellStyle name="40% - uthevingsfarge 6 31 5 3 2" xfId="35931" xr:uid="{00000000-0005-0000-0000-00003D480000}"/>
    <cellStyle name="40% - uthevingsfarge 6 31 5 4" xfId="32379" xr:uid="{00000000-0005-0000-0000-00003E480000}"/>
    <cellStyle name="40% - uthevingsfarge 6 31 6" xfId="7103" xr:uid="{00000000-0005-0000-0000-00003F480000}"/>
    <cellStyle name="40% - uthevingsfarge 6 31 6 2" xfId="24150" xr:uid="{00000000-0005-0000-0000-000040480000}"/>
    <cellStyle name="40% - uthevingsfarge 6 31 6 2 2" xfId="40203" xr:uid="{00000000-0005-0000-0000-000041480000}"/>
    <cellStyle name="40% - uthevingsfarge 6 31 6 3" xfId="30695" xr:uid="{00000000-0005-0000-0000-000042480000}"/>
    <cellStyle name="40% - uthevingsfarge 6 31 7" xfId="21707" xr:uid="{00000000-0005-0000-0000-000043480000}"/>
    <cellStyle name="40% - uthevingsfarge 6 31 7 2" xfId="37785" xr:uid="{00000000-0005-0000-0000-000044480000}"/>
    <cellStyle name="40% - uthevingsfarge 6 31 8" xfId="34082" xr:uid="{00000000-0005-0000-0000-000045480000}"/>
    <cellStyle name="40% - uthevingsfarge 6 32" xfId="4455" xr:uid="{00000000-0005-0000-0000-000046480000}"/>
    <cellStyle name="40% - uthevingsfarge 6 32 2" xfId="6252" xr:uid="{00000000-0005-0000-0000-000047480000}"/>
    <cellStyle name="40% - uthevingsfarge 6 32 2 2" xfId="9662" xr:uid="{00000000-0005-0000-0000-000048480000}"/>
    <cellStyle name="40% - uthevingsfarge 6 32 2 2 2" xfId="11630" xr:uid="{00000000-0005-0000-0000-000049480000}"/>
    <cellStyle name="40% - uthevingsfarge 6 32 2 2 2 2" xfId="34811" xr:uid="{00000000-0005-0000-0000-00004A480000}"/>
    <cellStyle name="40% - uthevingsfarge 6 32 2 2 3" xfId="28137" xr:uid="{00000000-0005-0000-0000-00004B480000}"/>
    <cellStyle name="40% - uthevingsfarge 6 32 2 3" xfId="24006" xr:uid="{00000000-0005-0000-0000-00004C480000}"/>
    <cellStyle name="40% - uthevingsfarge 6 32 2 3 2" xfId="40059" xr:uid="{00000000-0005-0000-0000-00004D480000}"/>
    <cellStyle name="40% - uthevingsfarge 6 32 2 4" xfId="31538" xr:uid="{00000000-0005-0000-0000-00004E480000}"/>
    <cellStyle name="40% - uthevingsfarge 6 32 3" xfId="7958" xr:uid="{00000000-0005-0000-0000-00004F480000}"/>
    <cellStyle name="40% - uthevingsfarge 6 32 3 2" xfId="20960" xr:uid="{00000000-0005-0000-0000-000050480000}"/>
    <cellStyle name="40% - uthevingsfarge 6 32 3 2 2" xfId="37056" xr:uid="{00000000-0005-0000-0000-000051480000}"/>
    <cellStyle name="40% - uthevingsfarge 6 32 3 3" xfId="29841" xr:uid="{00000000-0005-0000-0000-000052480000}"/>
    <cellStyle name="40% - uthevingsfarge 6 32 4" xfId="19662" xr:uid="{00000000-0005-0000-0000-000053480000}"/>
    <cellStyle name="40% - uthevingsfarge 6 32 4 2" xfId="35776" xr:uid="{00000000-0005-0000-0000-000054480000}"/>
    <cellStyle name="40% - uthevingsfarge 6 32 5" xfId="33231" xr:uid="{00000000-0005-0000-0000-000055480000}"/>
    <cellStyle name="40% - uthevingsfarge 6 33" xfId="5360" xr:uid="{00000000-0005-0000-0000-000056480000}"/>
    <cellStyle name="40% - uthevingsfarge 6 33 2" xfId="8775" xr:uid="{00000000-0005-0000-0000-000057480000}"/>
    <cellStyle name="40% - uthevingsfarge 6 33 2 2" xfId="23409" xr:uid="{00000000-0005-0000-0000-000058480000}"/>
    <cellStyle name="40% - uthevingsfarge 6 33 2 2 2" xfId="39465" xr:uid="{00000000-0005-0000-0000-000059480000}"/>
    <cellStyle name="40% - uthevingsfarge 6 33 2 3" xfId="29023" xr:uid="{00000000-0005-0000-0000-00005A480000}"/>
    <cellStyle name="40% - uthevingsfarge 6 33 3" xfId="10726" xr:uid="{00000000-0005-0000-0000-00005B480000}"/>
    <cellStyle name="40% - uthevingsfarge 6 33 3 2" xfId="34574" xr:uid="{00000000-0005-0000-0000-00005C480000}"/>
    <cellStyle name="40% - uthevingsfarge 6 33 4" xfId="32414" xr:uid="{00000000-0005-0000-0000-00005D480000}"/>
    <cellStyle name="40% - uthevingsfarge 6 34" xfId="40963" xr:uid="{00000000-0005-0000-0000-00005E480000}"/>
    <cellStyle name="40% - uthevingsfarge 6 35" xfId="43161" xr:uid="{00000000-0005-0000-0000-00005F480000}"/>
    <cellStyle name="40% - uthevingsfarge 6 36" xfId="43183" xr:uid="{00000000-0005-0000-0000-000060480000}"/>
    <cellStyle name="40% - uthevingsfarge 6 37" xfId="40801" xr:uid="{00000000-0005-0000-0000-000061480000}"/>
    <cellStyle name="40% - uthevingsfarge 6 38" xfId="40880" xr:uid="{00000000-0005-0000-0000-000062480000}"/>
    <cellStyle name="40% - uthevingsfarge 6 39" xfId="43180" xr:uid="{00000000-0005-0000-0000-000063480000}"/>
    <cellStyle name="40% - uthevingsfarge 6 4" xfId="989" xr:uid="{00000000-0005-0000-0000-000064480000}"/>
    <cellStyle name="40% - uthevingsfarge 6 4 2" xfId="990" xr:uid="{00000000-0005-0000-0000-000065480000}"/>
    <cellStyle name="40% - uthevingsfarge 6 40" xfId="43164" xr:uid="{00000000-0005-0000-0000-000066480000}"/>
    <cellStyle name="40% - uthevingsfarge 6 41" xfId="43224" xr:uid="{00000000-0005-0000-0000-000067480000}"/>
    <cellStyle name="40% - uthevingsfarge 6 42" xfId="43438" xr:uid="{00000000-0005-0000-0000-000068480000}"/>
    <cellStyle name="40% - uthevingsfarge 6 43" xfId="43659" xr:uid="{00000000-0005-0000-0000-000069480000}"/>
    <cellStyle name="40% - uthevingsfarge 6 44" xfId="43479" xr:uid="{00000000-0005-0000-0000-00006A480000}"/>
    <cellStyle name="40% - uthevingsfarge 6 45" xfId="46279" xr:uid="{00000000-0005-0000-0000-00006B480000}"/>
    <cellStyle name="40% - uthevingsfarge 6 46" xfId="46326" xr:uid="{00000000-0005-0000-0000-00006C480000}"/>
    <cellStyle name="40% - uthevingsfarge 6 47" xfId="46600" xr:uid="{00000000-0005-0000-0000-00006D480000}"/>
    <cellStyle name="40% - uthevingsfarge 6 48" xfId="46799" xr:uid="{00000000-0005-0000-0000-00006E480000}"/>
    <cellStyle name="40% - uthevingsfarge 6 49" xfId="46404" xr:uid="{00000000-0005-0000-0000-00006F480000}"/>
    <cellStyle name="40% - uthevingsfarge 6 5" xfId="991" xr:uid="{00000000-0005-0000-0000-000070480000}"/>
    <cellStyle name="40% - uthevingsfarge 6 5 2" xfId="992" xr:uid="{00000000-0005-0000-0000-000071480000}"/>
    <cellStyle name="40% - uthevingsfarge 6 50" xfId="46821" xr:uid="{00000000-0005-0000-0000-000072480000}"/>
    <cellStyle name="40% - uthevingsfarge 6 51" xfId="46871" xr:uid="{00000000-0005-0000-0000-000073480000}"/>
    <cellStyle name="40% - uthevingsfarge 6 6" xfId="993" xr:uid="{00000000-0005-0000-0000-000074480000}"/>
    <cellStyle name="40% - uthevingsfarge 6 6 2" xfId="994" xr:uid="{00000000-0005-0000-0000-000075480000}"/>
    <cellStyle name="40% - uthevingsfarge 6 7" xfId="995" xr:uid="{00000000-0005-0000-0000-000076480000}"/>
    <cellStyle name="40% - uthevingsfarge 6 7 2" xfId="996" xr:uid="{00000000-0005-0000-0000-000077480000}"/>
    <cellStyle name="40% - uthevingsfarge 6 8" xfId="997" xr:uid="{00000000-0005-0000-0000-000078480000}"/>
    <cellStyle name="40% - uthevingsfarge 6 8 2" xfId="998" xr:uid="{00000000-0005-0000-0000-000079480000}"/>
    <cellStyle name="40% - uthevingsfarge 6 9" xfId="999" xr:uid="{00000000-0005-0000-0000-00007A480000}"/>
    <cellStyle name="40% - uthevingsfarge 6 9 2" xfId="1000" xr:uid="{00000000-0005-0000-0000-00007B480000}"/>
    <cellStyle name="60% - Accent1" xfId="4086" xr:uid="{00000000-0005-0000-0000-00007C480000}"/>
    <cellStyle name="60% - Accent1 2" xfId="1003" xr:uid="{00000000-0005-0000-0000-00007D480000}"/>
    <cellStyle name="60% - Accent1 3" xfId="4576" xr:uid="{00000000-0005-0000-0000-00007E480000}"/>
    <cellStyle name="60% - Accent2" xfId="4090" xr:uid="{00000000-0005-0000-0000-00007F480000}"/>
    <cellStyle name="60% - Accent2 2" xfId="655" xr:uid="{00000000-0005-0000-0000-000080480000}"/>
    <cellStyle name="60% - Accent2 3" xfId="4577" xr:uid="{00000000-0005-0000-0000-000081480000}"/>
    <cellStyle name="60% - Accent3" xfId="4094" xr:uid="{00000000-0005-0000-0000-000082480000}"/>
    <cellStyle name="60% - Accent3 2" xfId="579" xr:uid="{00000000-0005-0000-0000-000083480000}"/>
    <cellStyle name="60% - Accent3 3" xfId="4578" xr:uid="{00000000-0005-0000-0000-000084480000}"/>
    <cellStyle name="60% - Accent4" xfId="4098" xr:uid="{00000000-0005-0000-0000-000085480000}"/>
    <cellStyle name="60% - Accent4 2" xfId="197" xr:uid="{00000000-0005-0000-0000-000086480000}"/>
    <cellStyle name="60% - Accent4 3" xfId="4579" xr:uid="{00000000-0005-0000-0000-000087480000}"/>
    <cellStyle name="60% - Accent5" xfId="4102" xr:uid="{00000000-0005-0000-0000-000088480000}"/>
    <cellStyle name="60% - Accent5 2" xfId="3645" xr:uid="{00000000-0005-0000-0000-000089480000}"/>
    <cellStyle name="60% - Accent5 3" xfId="4580" xr:uid="{00000000-0005-0000-0000-00008A480000}"/>
    <cellStyle name="60% - Accent6" xfId="4106" xr:uid="{00000000-0005-0000-0000-00008B480000}"/>
    <cellStyle name="60% - Accent6 2" xfId="3649" xr:uid="{00000000-0005-0000-0000-00008C480000}"/>
    <cellStyle name="60% - Accent6 3" xfId="4581" xr:uid="{00000000-0005-0000-0000-00008D480000}"/>
    <cellStyle name="60% - uthevingsfarge 1" xfId="4582" xr:uid="{00000000-0005-0000-0000-00008E480000}"/>
    <cellStyle name="60% - uthevingsfarge 1 10" xfId="1007" xr:uid="{00000000-0005-0000-0000-00008F480000}"/>
    <cellStyle name="60% - uthevingsfarge 1 10 10" xfId="25183" xr:uid="{00000000-0005-0000-0000-000090480000}"/>
    <cellStyle name="60% - uthevingsfarge 1 10 2" xfId="4411" xr:uid="{00000000-0005-0000-0000-000091480000}"/>
    <cellStyle name="60% - uthevingsfarge 1 10 2 2" xfId="11266" xr:uid="{00000000-0005-0000-0000-000092480000}"/>
    <cellStyle name="60% - uthevingsfarge 1 10 2 2 2" xfId="18059" xr:uid="{00000000-0005-0000-0000-000093480000}"/>
    <cellStyle name="60% - uthevingsfarge 1 10 2 2 3" xfId="16314" xr:uid="{00000000-0005-0000-0000-000094480000}"/>
    <cellStyle name="60% - uthevingsfarge 1 10 2 2 3 2" xfId="25338" xr:uid="{00000000-0005-0000-0000-000095480000}"/>
    <cellStyle name="60% - uthevingsfarge 1 10 2 2 3 2 2" xfId="42869" xr:uid="{00000000-0005-0000-0000-000096480000}"/>
    <cellStyle name="60% - uthevingsfarge 1 10 2 2 3 3" xfId="43975" xr:uid="{00000000-0005-0000-0000-000097480000}"/>
    <cellStyle name="60% - uthevingsfarge 1 10 2 2_Avviksanalyse løpende RNB15 (1)" xfId="16663" xr:uid="{00000000-0005-0000-0000-000098480000}"/>
    <cellStyle name="60% - uthevingsfarge 1 10 2 3" xfId="11265" xr:uid="{00000000-0005-0000-0000-000099480000}"/>
    <cellStyle name="60% - uthevingsfarge 1 10 3" xfId="4381" xr:uid="{00000000-0005-0000-0000-00009A480000}"/>
    <cellStyle name="60% - uthevingsfarge 1 10 4" xfId="11264" xr:uid="{00000000-0005-0000-0000-00009B480000}"/>
    <cellStyle name="60% - uthevingsfarge 1 10 5" xfId="11263" xr:uid="{00000000-0005-0000-0000-00009C480000}"/>
    <cellStyle name="60% - uthevingsfarge 1 10 6" xfId="23378" xr:uid="{00000000-0005-0000-0000-00009D480000}"/>
    <cellStyle name="60% - uthevingsfarge 1 10 7" xfId="24777" xr:uid="{00000000-0005-0000-0000-00009E480000}"/>
    <cellStyle name="60% - uthevingsfarge 1 10 8" xfId="24926" xr:uid="{00000000-0005-0000-0000-00009F480000}"/>
    <cellStyle name="60% - uthevingsfarge 1 10 9" xfId="24764" xr:uid="{00000000-0005-0000-0000-0000A0480000}"/>
    <cellStyle name="60% - uthevingsfarge 1 11" xfId="1008" xr:uid="{00000000-0005-0000-0000-0000A1480000}"/>
    <cellStyle name="60% - uthevingsfarge 1 11 10" xfId="24835" xr:uid="{00000000-0005-0000-0000-0000A2480000}"/>
    <cellStyle name="60% - uthevingsfarge 1 11 2" xfId="11268" xr:uid="{00000000-0005-0000-0000-0000A3480000}"/>
    <cellStyle name="60% - uthevingsfarge 1 11 2 2" xfId="11269" xr:uid="{00000000-0005-0000-0000-0000A4480000}"/>
    <cellStyle name="60% - uthevingsfarge 1 11 2 2 2" xfId="18060" xr:uid="{00000000-0005-0000-0000-0000A5480000}"/>
    <cellStyle name="60% - uthevingsfarge 1 11 2 2 3" xfId="16315" xr:uid="{00000000-0005-0000-0000-0000A6480000}"/>
    <cellStyle name="60% - uthevingsfarge 1 11 2 2 3 2" xfId="25339" xr:uid="{00000000-0005-0000-0000-0000A7480000}"/>
    <cellStyle name="60% - uthevingsfarge 1 11 2 2 3 2 2" xfId="42870" xr:uid="{00000000-0005-0000-0000-0000A8480000}"/>
    <cellStyle name="60% - uthevingsfarge 1 11 2 2 3 3" xfId="43976" xr:uid="{00000000-0005-0000-0000-0000A9480000}"/>
    <cellStyle name="60% - uthevingsfarge 1 11 2 2_Avviksanalyse løpende RNB15 (1)" xfId="16664" xr:uid="{00000000-0005-0000-0000-0000AA480000}"/>
    <cellStyle name="60% - uthevingsfarge 1 11 3" xfId="11267" xr:uid="{00000000-0005-0000-0000-0000AB480000}"/>
    <cellStyle name="60% - uthevingsfarge 1 11 4" xfId="11262" xr:uid="{00000000-0005-0000-0000-0000AC480000}"/>
    <cellStyle name="60% - uthevingsfarge 1 11 5" xfId="21126" xr:uid="{00000000-0005-0000-0000-0000AD480000}"/>
    <cellStyle name="60% - uthevingsfarge 1 11 6" xfId="24778" xr:uid="{00000000-0005-0000-0000-0000AE480000}"/>
    <cellStyle name="60% - uthevingsfarge 1 11 7" xfId="25219" xr:uid="{00000000-0005-0000-0000-0000AF480000}"/>
    <cellStyle name="60% - uthevingsfarge 1 11 8" xfId="24878" xr:uid="{00000000-0005-0000-0000-0000B0480000}"/>
    <cellStyle name="60% - uthevingsfarge 1 11 9" xfId="24996" xr:uid="{00000000-0005-0000-0000-0000B1480000}"/>
    <cellStyle name="60% - uthevingsfarge 1 12" xfId="1009" xr:uid="{00000000-0005-0000-0000-0000B2480000}"/>
    <cellStyle name="60% - uthevingsfarge 1 12 10" xfId="24928" xr:uid="{00000000-0005-0000-0000-0000B3480000}"/>
    <cellStyle name="60% - uthevingsfarge 1 12 2" xfId="11271" xr:uid="{00000000-0005-0000-0000-0000B4480000}"/>
    <cellStyle name="60% - uthevingsfarge 1 12 2 2" xfId="11272" xr:uid="{00000000-0005-0000-0000-0000B5480000}"/>
    <cellStyle name="60% - uthevingsfarge 1 12 2 2 2" xfId="18061" xr:uid="{00000000-0005-0000-0000-0000B6480000}"/>
    <cellStyle name="60% - uthevingsfarge 1 12 2 2 3" xfId="16316" xr:uid="{00000000-0005-0000-0000-0000B7480000}"/>
    <cellStyle name="60% - uthevingsfarge 1 12 2 2 3 2" xfId="25340" xr:uid="{00000000-0005-0000-0000-0000B8480000}"/>
    <cellStyle name="60% - uthevingsfarge 1 12 2 2 3 2 2" xfId="42871" xr:uid="{00000000-0005-0000-0000-0000B9480000}"/>
    <cellStyle name="60% - uthevingsfarge 1 12 2 2 3 3" xfId="43977" xr:uid="{00000000-0005-0000-0000-0000BA480000}"/>
    <cellStyle name="60% - uthevingsfarge 1 12 2 2_Avviksanalyse løpende RNB15 (1)" xfId="16665" xr:uid="{00000000-0005-0000-0000-0000BB480000}"/>
    <cellStyle name="60% - uthevingsfarge 1 12 3" xfId="11270" xr:uid="{00000000-0005-0000-0000-0000BC480000}"/>
    <cellStyle name="60% - uthevingsfarge 1 12 4" xfId="11257" xr:uid="{00000000-0005-0000-0000-0000BD480000}"/>
    <cellStyle name="60% - uthevingsfarge 1 12 5" xfId="24380" xr:uid="{00000000-0005-0000-0000-0000BE480000}"/>
    <cellStyle name="60% - uthevingsfarge 1 12 6" xfId="24779" xr:uid="{00000000-0005-0000-0000-0000BF480000}"/>
    <cellStyle name="60% - uthevingsfarge 1 12 7" xfId="25181" xr:uid="{00000000-0005-0000-0000-0000C0480000}"/>
    <cellStyle name="60% - uthevingsfarge 1 12 8" xfId="24739" xr:uid="{00000000-0005-0000-0000-0000C1480000}"/>
    <cellStyle name="60% - uthevingsfarge 1 12 9" xfId="24933" xr:uid="{00000000-0005-0000-0000-0000C2480000}"/>
    <cellStyle name="60% - uthevingsfarge 1 13" xfId="3436" xr:uid="{00000000-0005-0000-0000-0000C3480000}"/>
    <cellStyle name="60% - uthevingsfarge 1 13 2" xfId="11273" xr:uid="{00000000-0005-0000-0000-0000C4480000}"/>
    <cellStyle name="60% - uthevingsfarge 1 14" xfId="11274" xr:uid="{00000000-0005-0000-0000-0000C5480000}"/>
    <cellStyle name="60% - uthevingsfarge 1 15" xfId="40944" xr:uid="{00000000-0005-0000-0000-0000C6480000}"/>
    <cellStyle name="60% - uthevingsfarge 1 16" xfId="43144" xr:uid="{00000000-0005-0000-0000-0000C7480000}"/>
    <cellStyle name="60% - uthevingsfarge 1 17" xfId="43173" xr:uid="{00000000-0005-0000-0000-0000C8480000}"/>
    <cellStyle name="60% - uthevingsfarge 1 18" xfId="43175" xr:uid="{00000000-0005-0000-0000-0000C9480000}"/>
    <cellStyle name="60% - uthevingsfarge 1 19" xfId="40868" xr:uid="{00000000-0005-0000-0000-0000CA480000}"/>
    <cellStyle name="60% - uthevingsfarge 1 2" xfId="1010" xr:uid="{00000000-0005-0000-0000-0000CB480000}"/>
    <cellStyle name="60% - uthevingsfarge 1 2 2" xfId="11275" xr:uid="{00000000-0005-0000-0000-0000CC480000}"/>
    <cellStyle name="60% - uthevingsfarge 1 2 3" xfId="11276" xr:uid="{00000000-0005-0000-0000-0000CD480000}"/>
    <cellStyle name="60% - uthevingsfarge 1 2 4" xfId="11277" xr:uid="{00000000-0005-0000-0000-0000CE480000}"/>
    <cellStyle name="60% - uthevingsfarge 1 2 5" xfId="11278" xr:uid="{00000000-0005-0000-0000-0000CF480000}"/>
    <cellStyle name="60% - uthevingsfarge 1 2 6" xfId="11279" xr:uid="{00000000-0005-0000-0000-0000D0480000}"/>
    <cellStyle name="60% - uthevingsfarge 1 2 7" xfId="11280" xr:uid="{00000000-0005-0000-0000-0000D1480000}"/>
    <cellStyle name="60% - uthevingsfarge 1 2 8" xfId="11281" xr:uid="{00000000-0005-0000-0000-0000D2480000}"/>
    <cellStyle name="60% - uthevingsfarge 1 2 9" xfId="11282" xr:uid="{00000000-0005-0000-0000-0000D3480000}"/>
    <cellStyle name="60% - uthevingsfarge 1 20" xfId="40841" xr:uid="{00000000-0005-0000-0000-0000D4480000}"/>
    <cellStyle name="60% - uthevingsfarge 1 21" xfId="40920" xr:uid="{00000000-0005-0000-0000-0000D5480000}"/>
    <cellStyle name="60% - uthevingsfarge 1 22" xfId="43205" xr:uid="{00000000-0005-0000-0000-0000D6480000}"/>
    <cellStyle name="60% - uthevingsfarge 1 23" xfId="43419" xr:uid="{00000000-0005-0000-0000-0000D7480000}"/>
    <cellStyle name="60% - uthevingsfarge 1 24" xfId="43675" xr:uid="{00000000-0005-0000-0000-0000D8480000}"/>
    <cellStyle name="60% - uthevingsfarge 1 25" xfId="46274" xr:uid="{00000000-0005-0000-0000-0000D9480000}"/>
    <cellStyle name="60% - uthevingsfarge 1 26" xfId="43655" xr:uid="{00000000-0005-0000-0000-0000DA480000}"/>
    <cellStyle name="60% - uthevingsfarge 1 27" xfId="46307" xr:uid="{00000000-0005-0000-0000-0000DB480000}"/>
    <cellStyle name="60% - uthevingsfarge 1 28" xfId="46817" xr:uid="{00000000-0005-0000-0000-0000DC480000}"/>
    <cellStyle name="60% - uthevingsfarge 1 29" xfId="46558" xr:uid="{00000000-0005-0000-0000-0000DD480000}"/>
    <cellStyle name="60% - uthevingsfarge 1 3" xfId="1011" xr:uid="{00000000-0005-0000-0000-0000DE480000}"/>
    <cellStyle name="60% - uthevingsfarge 1 30" xfId="46369" xr:uid="{00000000-0005-0000-0000-0000DF480000}"/>
    <cellStyle name="60% - uthevingsfarge 1 31" xfId="46382" xr:uid="{00000000-0005-0000-0000-0000E0480000}"/>
    <cellStyle name="60% - uthevingsfarge 1 32" xfId="46377" xr:uid="{00000000-0005-0000-0000-0000E1480000}"/>
    <cellStyle name="60% - uthevingsfarge 1 4" xfId="1012" xr:uid="{00000000-0005-0000-0000-0000E2480000}"/>
    <cellStyle name="60% - uthevingsfarge 1 5" xfId="1013" xr:uid="{00000000-0005-0000-0000-0000E3480000}"/>
    <cellStyle name="60% - uthevingsfarge 1 6" xfId="1014" xr:uid="{00000000-0005-0000-0000-0000E4480000}"/>
    <cellStyle name="60% - uthevingsfarge 1 7" xfId="1015" xr:uid="{00000000-0005-0000-0000-0000E5480000}"/>
    <cellStyle name="60% - uthevingsfarge 1 8" xfId="1016" xr:uid="{00000000-0005-0000-0000-0000E6480000}"/>
    <cellStyle name="60% - uthevingsfarge 1 8 2" xfId="1017" xr:uid="{00000000-0005-0000-0000-0000E7480000}"/>
    <cellStyle name="60% - uthevingsfarge 1 8 3" xfId="11283" xr:uid="{00000000-0005-0000-0000-0000E8480000}"/>
    <cellStyle name="60% - uthevingsfarge 1 8 3 2" xfId="11284" xr:uid="{00000000-0005-0000-0000-0000E9480000}"/>
    <cellStyle name="60% - uthevingsfarge 1 8 3 2 2" xfId="18062" xr:uid="{00000000-0005-0000-0000-0000EA480000}"/>
    <cellStyle name="60% - uthevingsfarge 1 8 3 2 3" xfId="16317" xr:uid="{00000000-0005-0000-0000-0000EB480000}"/>
    <cellStyle name="60% - uthevingsfarge 1 8 3 2 3 2" xfId="25341" xr:uid="{00000000-0005-0000-0000-0000EC480000}"/>
    <cellStyle name="60% - uthevingsfarge 1 8 3 2 3 2 2" xfId="42872" xr:uid="{00000000-0005-0000-0000-0000ED480000}"/>
    <cellStyle name="60% - uthevingsfarge 1 8 3 2 3 3" xfId="43978" xr:uid="{00000000-0005-0000-0000-0000EE480000}"/>
    <cellStyle name="60% - uthevingsfarge 1 8 3 2_Avviksanalyse løpende RNB15 (1)" xfId="16666" xr:uid="{00000000-0005-0000-0000-0000EF480000}"/>
    <cellStyle name="60% - uthevingsfarge 1 9" xfId="1018" xr:uid="{00000000-0005-0000-0000-0000F0480000}"/>
    <cellStyle name="60% - uthevingsfarge 1 9 10" xfId="24853" xr:uid="{00000000-0005-0000-0000-0000F1480000}"/>
    <cellStyle name="60% - uthevingsfarge 1 9 2" xfId="11286" xr:uid="{00000000-0005-0000-0000-0000F2480000}"/>
    <cellStyle name="60% - uthevingsfarge 1 9 2 2" xfId="11287" xr:uid="{00000000-0005-0000-0000-0000F3480000}"/>
    <cellStyle name="60% - uthevingsfarge 1 9 2 2 2" xfId="18063" xr:uid="{00000000-0005-0000-0000-0000F4480000}"/>
    <cellStyle name="60% - uthevingsfarge 1 9 2 2 3" xfId="16318" xr:uid="{00000000-0005-0000-0000-0000F5480000}"/>
    <cellStyle name="60% - uthevingsfarge 1 9 2 2 3 2" xfId="25342" xr:uid="{00000000-0005-0000-0000-0000F6480000}"/>
    <cellStyle name="60% - uthevingsfarge 1 9 2 2 3 2 2" xfId="42873" xr:uid="{00000000-0005-0000-0000-0000F7480000}"/>
    <cellStyle name="60% - uthevingsfarge 1 9 2 2 3 3" xfId="43979" xr:uid="{00000000-0005-0000-0000-0000F8480000}"/>
    <cellStyle name="60% - uthevingsfarge 1 9 2 2_Avviksanalyse løpende RNB15 (1)" xfId="16667" xr:uid="{00000000-0005-0000-0000-0000F9480000}"/>
    <cellStyle name="60% - uthevingsfarge 1 9 3" xfId="11285" xr:uid="{00000000-0005-0000-0000-0000FA480000}"/>
    <cellStyle name="60% - uthevingsfarge 1 9 4" xfId="11235" xr:uid="{00000000-0005-0000-0000-0000FB480000}"/>
    <cellStyle name="60% - uthevingsfarge 1 9 5" xfId="21115" xr:uid="{00000000-0005-0000-0000-0000FC480000}"/>
    <cellStyle name="60% - uthevingsfarge 1 9 6" xfId="24780" xr:uid="{00000000-0005-0000-0000-0000FD480000}"/>
    <cellStyle name="60% - uthevingsfarge 1 9 7" xfId="25218" xr:uid="{00000000-0005-0000-0000-0000FE480000}"/>
    <cellStyle name="60% - uthevingsfarge 1 9 8" xfId="24963" xr:uid="{00000000-0005-0000-0000-0000FF480000}"/>
    <cellStyle name="60% - uthevingsfarge 1 9 9" xfId="24890" xr:uid="{00000000-0005-0000-0000-000000490000}"/>
    <cellStyle name="60% - uthevingsfarge 2" xfId="4583" xr:uid="{00000000-0005-0000-0000-000001490000}"/>
    <cellStyle name="60% - uthevingsfarge 2 10" xfId="1020" xr:uid="{00000000-0005-0000-0000-000002490000}"/>
    <cellStyle name="60% - uthevingsfarge 2 10 10" xfId="24932" xr:uid="{00000000-0005-0000-0000-000003490000}"/>
    <cellStyle name="60% - uthevingsfarge 2 10 2" xfId="4412" xr:uid="{00000000-0005-0000-0000-000004490000}"/>
    <cellStyle name="60% - uthevingsfarge 2 10 2 2" xfId="11290" xr:uid="{00000000-0005-0000-0000-000005490000}"/>
    <cellStyle name="60% - uthevingsfarge 2 10 2 2 2" xfId="18064" xr:uid="{00000000-0005-0000-0000-000006490000}"/>
    <cellStyle name="60% - uthevingsfarge 2 10 2 2 3" xfId="16319" xr:uid="{00000000-0005-0000-0000-000007490000}"/>
    <cellStyle name="60% - uthevingsfarge 2 10 2 2 3 2" xfId="25343" xr:uid="{00000000-0005-0000-0000-000008490000}"/>
    <cellStyle name="60% - uthevingsfarge 2 10 2 2 3 2 2" xfId="42874" xr:uid="{00000000-0005-0000-0000-000009490000}"/>
    <cellStyle name="60% - uthevingsfarge 2 10 2 2 3 3" xfId="43980" xr:uid="{00000000-0005-0000-0000-00000A490000}"/>
    <cellStyle name="60% - uthevingsfarge 2 10 2 2_Avviksanalyse løpende RNB15 (1)" xfId="16668" xr:uid="{00000000-0005-0000-0000-00000B490000}"/>
    <cellStyle name="60% - uthevingsfarge 2 10 2 3" xfId="11289" xr:uid="{00000000-0005-0000-0000-00000C490000}"/>
    <cellStyle name="60% - uthevingsfarge 2 10 3" xfId="4384" xr:uid="{00000000-0005-0000-0000-00000D490000}"/>
    <cellStyle name="60% - uthevingsfarge 2 10 4" xfId="11288" xr:uid="{00000000-0005-0000-0000-00000E490000}"/>
    <cellStyle name="60% - uthevingsfarge 2 10 5" xfId="11234" xr:uid="{00000000-0005-0000-0000-00000F490000}"/>
    <cellStyle name="60% - uthevingsfarge 2 10 6" xfId="24375" xr:uid="{00000000-0005-0000-0000-000010490000}"/>
    <cellStyle name="60% - uthevingsfarge 2 10 7" xfId="24781" xr:uid="{00000000-0005-0000-0000-000011490000}"/>
    <cellStyle name="60% - uthevingsfarge 2 10 8" xfId="25180" xr:uid="{00000000-0005-0000-0000-000012490000}"/>
    <cellStyle name="60% - uthevingsfarge 2 10 9" xfId="24741" xr:uid="{00000000-0005-0000-0000-000013490000}"/>
    <cellStyle name="60% - uthevingsfarge 2 11" xfId="1021" xr:uid="{00000000-0005-0000-0000-000014490000}"/>
    <cellStyle name="60% - uthevingsfarge 2 11 10" xfId="24846" xr:uid="{00000000-0005-0000-0000-000015490000}"/>
    <cellStyle name="60% - uthevingsfarge 2 11 2" xfId="11292" xr:uid="{00000000-0005-0000-0000-000016490000}"/>
    <cellStyle name="60% - uthevingsfarge 2 11 2 2" xfId="11293" xr:uid="{00000000-0005-0000-0000-000017490000}"/>
    <cellStyle name="60% - uthevingsfarge 2 11 2 2 2" xfId="18065" xr:uid="{00000000-0005-0000-0000-000018490000}"/>
    <cellStyle name="60% - uthevingsfarge 2 11 2 2 3" xfId="16320" xr:uid="{00000000-0005-0000-0000-000019490000}"/>
    <cellStyle name="60% - uthevingsfarge 2 11 2 2 3 2" xfId="25344" xr:uid="{00000000-0005-0000-0000-00001A490000}"/>
    <cellStyle name="60% - uthevingsfarge 2 11 2 2 3 2 2" xfId="42875" xr:uid="{00000000-0005-0000-0000-00001B490000}"/>
    <cellStyle name="60% - uthevingsfarge 2 11 2 2 3 3" xfId="43981" xr:uid="{00000000-0005-0000-0000-00001C490000}"/>
    <cellStyle name="60% - uthevingsfarge 2 11 2 2_Avviksanalyse løpende RNB15 (1)" xfId="16669" xr:uid="{00000000-0005-0000-0000-00001D490000}"/>
    <cellStyle name="60% - uthevingsfarge 2 11 3" xfId="11291" xr:uid="{00000000-0005-0000-0000-00001E490000}"/>
    <cellStyle name="60% - uthevingsfarge 2 11 4" xfId="11233" xr:uid="{00000000-0005-0000-0000-00001F490000}"/>
    <cellStyle name="60% - uthevingsfarge 2 11 5" xfId="23371" xr:uid="{00000000-0005-0000-0000-000020490000}"/>
    <cellStyle name="60% - uthevingsfarge 2 11 6" xfId="24782" xr:uid="{00000000-0005-0000-0000-000021490000}"/>
    <cellStyle name="60% - uthevingsfarge 2 11 7" xfId="24921" xr:uid="{00000000-0005-0000-0000-000022490000}"/>
    <cellStyle name="60% - uthevingsfarge 2 11 8" xfId="24767" xr:uid="{00000000-0005-0000-0000-000023490000}"/>
    <cellStyle name="60% - uthevingsfarge 2 11 9" xfId="25182" xr:uid="{00000000-0005-0000-0000-000024490000}"/>
    <cellStyle name="60% - uthevingsfarge 2 12" xfId="1022" xr:uid="{00000000-0005-0000-0000-000025490000}"/>
    <cellStyle name="60% - uthevingsfarge 2 12 10" xfId="25200" xr:uid="{00000000-0005-0000-0000-000026490000}"/>
    <cellStyle name="60% - uthevingsfarge 2 12 2" xfId="11295" xr:uid="{00000000-0005-0000-0000-000027490000}"/>
    <cellStyle name="60% - uthevingsfarge 2 12 2 2" xfId="11296" xr:uid="{00000000-0005-0000-0000-000028490000}"/>
    <cellStyle name="60% - uthevingsfarge 2 12 2 2 2" xfId="18066" xr:uid="{00000000-0005-0000-0000-000029490000}"/>
    <cellStyle name="60% - uthevingsfarge 2 12 2 2 3" xfId="16321" xr:uid="{00000000-0005-0000-0000-00002A490000}"/>
    <cellStyle name="60% - uthevingsfarge 2 12 2 2 3 2" xfId="25345" xr:uid="{00000000-0005-0000-0000-00002B490000}"/>
    <cellStyle name="60% - uthevingsfarge 2 12 2 2 3 2 2" xfId="42876" xr:uid="{00000000-0005-0000-0000-00002C490000}"/>
    <cellStyle name="60% - uthevingsfarge 2 12 2 2 3 3" xfId="43982" xr:uid="{00000000-0005-0000-0000-00002D490000}"/>
    <cellStyle name="60% - uthevingsfarge 2 12 2 2_Avviksanalyse løpende RNB15 (1)" xfId="16670" xr:uid="{00000000-0005-0000-0000-00002E490000}"/>
    <cellStyle name="60% - uthevingsfarge 2 12 3" xfId="11294" xr:uid="{00000000-0005-0000-0000-00002F490000}"/>
    <cellStyle name="60% - uthevingsfarge 2 12 4" xfId="11232" xr:uid="{00000000-0005-0000-0000-000030490000}"/>
    <cellStyle name="60% - uthevingsfarge 2 12 5" xfId="21112" xr:uid="{00000000-0005-0000-0000-000031490000}"/>
    <cellStyle name="60% - uthevingsfarge 2 12 6" xfId="24783" xr:uid="{00000000-0005-0000-0000-000032490000}"/>
    <cellStyle name="60% - uthevingsfarge 2 12 7" xfId="24990" xr:uid="{00000000-0005-0000-0000-000033490000}"/>
    <cellStyle name="60% - uthevingsfarge 2 12 8" xfId="24962" xr:uid="{00000000-0005-0000-0000-000034490000}"/>
    <cellStyle name="60% - uthevingsfarge 2 12 9" xfId="24833" xr:uid="{00000000-0005-0000-0000-000035490000}"/>
    <cellStyle name="60% - uthevingsfarge 2 13" xfId="3440" xr:uid="{00000000-0005-0000-0000-000036490000}"/>
    <cellStyle name="60% - uthevingsfarge 2 13 2" xfId="11297" xr:uid="{00000000-0005-0000-0000-000037490000}"/>
    <cellStyle name="60% - uthevingsfarge 2 14" xfId="11298" xr:uid="{00000000-0005-0000-0000-000038490000}"/>
    <cellStyle name="60% - uthevingsfarge 2 15" xfId="40948" xr:uid="{00000000-0005-0000-0000-000039490000}"/>
    <cellStyle name="60% - uthevingsfarge 2 16" xfId="43147" xr:uid="{00000000-0005-0000-0000-00003A490000}"/>
    <cellStyle name="60% - uthevingsfarge 2 17" xfId="40902" xr:uid="{00000000-0005-0000-0000-00003B490000}"/>
    <cellStyle name="60% - uthevingsfarge 2 18" xfId="40812" xr:uid="{00000000-0005-0000-0000-00003C490000}"/>
    <cellStyle name="60% - uthevingsfarge 2 19" xfId="40870" xr:uid="{00000000-0005-0000-0000-00003D490000}"/>
    <cellStyle name="60% - uthevingsfarge 2 2" xfId="1023" xr:uid="{00000000-0005-0000-0000-00003E490000}"/>
    <cellStyle name="60% - uthevingsfarge 2 2 2" xfId="11299" xr:uid="{00000000-0005-0000-0000-00003F490000}"/>
    <cellStyle name="60% - uthevingsfarge 2 2 3" xfId="11300" xr:uid="{00000000-0005-0000-0000-000040490000}"/>
    <cellStyle name="60% - uthevingsfarge 2 2 4" xfId="11301" xr:uid="{00000000-0005-0000-0000-000041490000}"/>
    <cellStyle name="60% - uthevingsfarge 2 2 5" xfId="11302" xr:uid="{00000000-0005-0000-0000-000042490000}"/>
    <cellStyle name="60% - uthevingsfarge 2 2 6" xfId="11303" xr:uid="{00000000-0005-0000-0000-000043490000}"/>
    <cellStyle name="60% - uthevingsfarge 2 2 7" xfId="11304" xr:uid="{00000000-0005-0000-0000-000044490000}"/>
    <cellStyle name="60% - uthevingsfarge 2 2 8" xfId="11305" xr:uid="{00000000-0005-0000-0000-000045490000}"/>
    <cellStyle name="60% - uthevingsfarge 2 2 9" xfId="11306" xr:uid="{00000000-0005-0000-0000-000046490000}"/>
    <cellStyle name="60% - uthevingsfarge 2 20" xfId="40840" xr:uid="{00000000-0005-0000-0000-000047490000}"/>
    <cellStyle name="60% - uthevingsfarge 2 21" xfId="43167" xr:uid="{00000000-0005-0000-0000-000048490000}"/>
    <cellStyle name="60% - uthevingsfarge 2 22" xfId="43209" xr:uid="{00000000-0005-0000-0000-000049490000}"/>
    <cellStyle name="60% - uthevingsfarge 2 23" xfId="43423" xr:uid="{00000000-0005-0000-0000-00004A490000}"/>
    <cellStyle name="60% - uthevingsfarge 2 24" xfId="43676" xr:uid="{00000000-0005-0000-0000-00004B490000}"/>
    <cellStyle name="60% - uthevingsfarge 2 25" xfId="46064" xr:uid="{00000000-0005-0000-0000-00004C490000}"/>
    <cellStyle name="60% - uthevingsfarge 2 26" xfId="43468" xr:uid="{00000000-0005-0000-0000-00004D490000}"/>
    <cellStyle name="60% - uthevingsfarge 2 27" xfId="46311" xr:uid="{00000000-0005-0000-0000-00004E490000}"/>
    <cellStyle name="60% - uthevingsfarge 2 28" xfId="46568" xr:uid="{00000000-0005-0000-0000-00004F490000}"/>
    <cellStyle name="60% - uthevingsfarge 2 29" xfId="46846" xr:uid="{00000000-0005-0000-0000-000050490000}"/>
    <cellStyle name="60% - uthevingsfarge 2 3" xfId="1024" xr:uid="{00000000-0005-0000-0000-000051490000}"/>
    <cellStyle name="60% - uthevingsfarge 2 30" xfId="46562" xr:uid="{00000000-0005-0000-0000-000052490000}"/>
    <cellStyle name="60% - uthevingsfarge 2 31" xfId="46639" xr:uid="{00000000-0005-0000-0000-000053490000}"/>
    <cellStyle name="60% - uthevingsfarge 2 32" xfId="46805" xr:uid="{00000000-0005-0000-0000-000054490000}"/>
    <cellStyle name="60% - uthevingsfarge 2 4" xfId="1025" xr:uid="{00000000-0005-0000-0000-000055490000}"/>
    <cellStyle name="60% - uthevingsfarge 2 5" xfId="1026" xr:uid="{00000000-0005-0000-0000-000056490000}"/>
    <cellStyle name="60% - uthevingsfarge 2 6" xfId="1027" xr:uid="{00000000-0005-0000-0000-000057490000}"/>
    <cellStyle name="60% - uthevingsfarge 2 7" xfId="1028" xr:uid="{00000000-0005-0000-0000-000058490000}"/>
    <cellStyle name="60% - uthevingsfarge 2 8" xfId="1029" xr:uid="{00000000-0005-0000-0000-000059490000}"/>
    <cellStyle name="60% - uthevingsfarge 2 8 2" xfId="1030" xr:uid="{00000000-0005-0000-0000-00005A490000}"/>
    <cellStyle name="60% - uthevingsfarge 2 8 3" xfId="11307" xr:uid="{00000000-0005-0000-0000-00005B490000}"/>
    <cellStyle name="60% - uthevingsfarge 2 8 3 2" xfId="11308" xr:uid="{00000000-0005-0000-0000-00005C490000}"/>
    <cellStyle name="60% - uthevingsfarge 2 8 3 2 2" xfId="18068" xr:uid="{00000000-0005-0000-0000-00005D490000}"/>
    <cellStyle name="60% - uthevingsfarge 2 8 3 2 3" xfId="16322" xr:uid="{00000000-0005-0000-0000-00005E490000}"/>
    <cellStyle name="60% - uthevingsfarge 2 8 3 2 3 2" xfId="25346" xr:uid="{00000000-0005-0000-0000-00005F490000}"/>
    <cellStyle name="60% - uthevingsfarge 2 8 3 2 3 2 2" xfId="42877" xr:uid="{00000000-0005-0000-0000-000060490000}"/>
    <cellStyle name="60% - uthevingsfarge 2 8 3 2 3 3" xfId="43983" xr:uid="{00000000-0005-0000-0000-000061490000}"/>
    <cellStyle name="60% - uthevingsfarge 2 8 3 2_Avviksanalyse løpende RNB15 (1)" xfId="16671" xr:uid="{00000000-0005-0000-0000-000062490000}"/>
    <cellStyle name="60% - uthevingsfarge 2 9" xfId="1031" xr:uid="{00000000-0005-0000-0000-000063490000}"/>
    <cellStyle name="60% - uthevingsfarge 2 9 10" xfId="25166" xr:uid="{00000000-0005-0000-0000-000064490000}"/>
    <cellStyle name="60% - uthevingsfarge 2 9 2" xfId="11310" xr:uid="{00000000-0005-0000-0000-000065490000}"/>
    <cellStyle name="60% - uthevingsfarge 2 9 2 2" xfId="11311" xr:uid="{00000000-0005-0000-0000-000066490000}"/>
    <cellStyle name="60% - uthevingsfarge 2 9 2 2 2" xfId="18069" xr:uid="{00000000-0005-0000-0000-000067490000}"/>
    <cellStyle name="60% - uthevingsfarge 2 9 2 2 3" xfId="16323" xr:uid="{00000000-0005-0000-0000-000068490000}"/>
    <cellStyle name="60% - uthevingsfarge 2 9 2 2 3 2" xfId="25347" xr:uid="{00000000-0005-0000-0000-000069490000}"/>
    <cellStyle name="60% - uthevingsfarge 2 9 2 2 3 2 2" xfId="42878" xr:uid="{00000000-0005-0000-0000-00006A490000}"/>
    <cellStyle name="60% - uthevingsfarge 2 9 2 2 3 3" xfId="43984" xr:uid="{00000000-0005-0000-0000-00006B490000}"/>
    <cellStyle name="60% - uthevingsfarge 2 9 2 2_Avviksanalyse løpende RNB15 (1)" xfId="16672" xr:uid="{00000000-0005-0000-0000-00006C490000}"/>
    <cellStyle name="60% - uthevingsfarge 2 9 3" xfId="11309" xr:uid="{00000000-0005-0000-0000-00006D490000}"/>
    <cellStyle name="60% - uthevingsfarge 2 9 4" xfId="11211" xr:uid="{00000000-0005-0000-0000-00006E490000}"/>
    <cellStyle name="60% - uthevingsfarge 2 9 5" xfId="23366" xr:uid="{00000000-0005-0000-0000-00006F490000}"/>
    <cellStyle name="60% - uthevingsfarge 2 9 6" xfId="24784" xr:uid="{00000000-0005-0000-0000-000070490000}"/>
    <cellStyle name="60% - uthevingsfarge 2 9 7" xfId="24920" xr:uid="{00000000-0005-0000-0000-000071490000}"/>
    <cellStyle name="60% - uthevingsfarge 2 9 8" xfId="24768" xr:uid="{00000000-0005-0000-0000-000072490000}"/>
    <cellStyle name="60% - uthevingsfarge 2 9 9" xfId="24936" xr:uid="{00000000-0005-0000-0000-000073490000}"/>
    <cellStyle name="60% - uthevingsfarge 3" xfId="4584" xr:uid="{00000000-0005-0000-0000-000074490000}"/>
    <cellStyle name="60% - uthevingsfarge 3 10" xfId="1033" xr:uid="{00000000-0005-0000-0000-000075490000}"/>
    <cellStyle name="60% - uthevingsfarge 3 10 10" xfId="24760" xr:uid="{00000000-0005-0000-0000-000076490000}"/>
    <cellStyle name="60% - uthevingsfarge 3 10 2" xfId="4413" xr:uid="{00000000-0005-0000-0000-000077490000}"/>
    <cellStyle name="60% - uthevingsfarge 3 10 2 2" xfId="11314" xr:uid="{00000000-0005-0000-0000-000078490000}"/>
    <cellStyle name="60% - uthevingsfarge 3 10 2 2 2" xfId="18070" xr:uid="{00000000-0005-0000-0000-000079490000}"/>
    <cellStyle name="60% - uthevingsfarge 3 10 2 2 3" xfId="16324" xr:uid="{00000000-0005-0000-0000-00007A490000}"/>
    <cellStyle name="60% - uthevingsfarge 3 10 2 2 3 2" xfId="25348" xr:uid="{00000000-0005-0000-0000-00007B490000}"/>
    <cellStyle name="60% - uthevingsfarge 3 10 2 2 3 2 2" xfId="42879" xr:uid="{00000000-0005-0000-0000-00007C490000}"/>
    <cellStyle name="60% - uthevingsfarge 3 10 2 2 3 3" xfId="43985" xr:uid="{00000000-0005-0000-0000-00007D490000}"/>
    <cellStyle name="60% - uthevingsfarge 3 10 2 2_Avviksanalyse løpende RNB15 (1)" xfId="16673" xr:uid="{00000000-0005-0000-0000-00007E490000}"/>
    <cellStyle name="60% - uthevingsfarge 3 10 2 3" xfId="11313" xr:uid="{00000000-0005-0000-0000-00007F490000}"/>
    <cellStyle name="60% - uthevingsfarge 3 10 3" xfId="4388" xr:uid="{00000000-0005-0000-0000-000080490000}"/>
    <cellStyle name="60% - uthevingsfarge 3 10 4" xfId="11312" xr:uid="{00000000-0005-0000-0000-000081490000}"/>
    <cellStyle name="60% - uthevingsfarge 3 10 5" xfId="11205" xr:uid="{00000000-0005-0000-0000-000082490000}"/>
    <cellStyle name="60% - uthevingsfarge 3 10 6" xfId="21101" xr:uid="{00000000-0005-0000-0000-000083490000}"/>
    <cellStyle name="60% - uthevingsfarge 3 10 7" xfId="24785" xr:uid="{00000000-0005-0000-0000-000084490000}"/>
    <cellStyle name="60% - uthevingsfarge 3 10 8" xfId="24994" xr:uid="{00000000-0005-0000-0000-000085490000}"/>
    <cellStyle name="60% - uthevingsfarge 3 10 9" xfId="24879" xr:uid="{00000000-0005-0000-0000-000086490000}"/>
    <cellStyle name="60% - uthevingsfarge 3 11" xfId="1034" xr:uid="{00000000-0005-0000-0000-000087490000}"/>
    <cellStyle name="60% - uthevingsfarge 3 11 10" xfId="24851" xr:uid="{00000000-0005-0000-0000-000088490000}"/>
    <cellStyle name="60% - uthevingsfarge 3 11 2" xfId="11316" xr:uid="{00000000-0005-0000-0000-000089490000}"/>
    <cellStyle name="60% - uthevingsfarge 3 11 2 2" xfId="11317" xr:uid="{00000000-0005-0000-0000-00008A490000}"/>
    <cellStyle name="60% - uthevingsfarge 3 11 2 2 2" xfId="18071" xr:uid="{00000000-0005-0000-0000-00008B490000}"/>
    <cellStyle name="60% - uthevingsfarge 3 11 2 2 3" xfId="16325" xr:uid="{00000000-0005-0000-0000-00008C490000}"/>
    <cellStyle name="60% - uthevingsfarge 3 11 2 2 3 2" xfId="25349" xr:uid="{00000000-0005-0000-0000-00008D490000}"/>
    <cellStyle name="60% - uthevingsfarge 3 11 2 2 3 2 2" xfId="42880" xr:uid="{00000000-0005-0000-0000-00008E490000}"/>
    <cellStyle name="60% - uthevingsfarge 3 11 2 2 3 3" xfId="43986" xr:uid="{00000000-0005-0000-0000-00008F490000}"/>
    <cellStyle name="60% - uthevingsfarge 3 11 2 2_Avviksanalyse løpende RNB15 (1)" xfId="16674" xr:uid="{00000000-0005-0000-0000-000090490000}"/>
    <cellStyle name="60% - uthevingsfarge 3 11 3" xfId="11315" xr:uid="{00000000-0005-0000-0000-000091490000}"/>
    <cellStyle name="60% - uthevingsfarge 3 11 4" xfId="11204" xr:uid="{00000000-0005-0000-0000-000092490000}"/>
    <cellStyle name="60% - uthevingsfarge 3 11 5" xfId="21874" xr:uid="{00000000-0005-0000-0000-000093490000}"/>
    <cellStyle name="60% - uthevingsfarge 3 11 6" xfId="24786" xr:uid="{00000000-0005-0000-0000-000094490000}"/>
    <cellStyle name="60% - uthevingsfarge 3 11 7" xfId="24919" xr:uid="{00000000-0005-0000-0000-000095490000}"/>
    <cellStyle name="60% - uthevingsfarge 3 11 8" xfId="24850" xr:uid="{00000000-0005-0000-0000-000096490000}"/>
    <cellStyle name="60% - uthevingsfarge 3 11 9" xfId="24898" xr:uid="{00000000-0005-0000-0000-000097490000}"/>
    <cellStyle name="60% - uthevingsfarge 3 12" xfId="1035" xr:uid="{00000000-0005-0000-0000-000098490000}"/>
    <cellStyle name="60% - uthevingsfarge 3 12 10" xfId="24865" xr:uid="{00000000-0005-0000-0000-000099490000}"/>
    <cellStyle name="60% - uthevingsfarge 3 12 2" xfId="11319" xr:uid="{00000000-0005-0000-0000-00009A490000}"/>
    <cellStyle name="60% - uthevingsfarge 3 12 2 2" xfId="11320" xr:uid="{00000000-0005-0000-0000-00009B490000}"/>
    <cellStyle name="60% - uthevingsfarge 3 12 2 2 2" xfId="18072" xr:uid="{00000000-0005-0000-0000-00009C490000}"/>
    <cellStyle name="60% - uthevingsfarge 3 12 2 2 3" xfId="16326" xr:uid="{00000000-0005-0000-0000-00009D490000}"/>
    <cellStyle name="60% - uthevingsfarge 3 12 2 2 3 2" xfId="25350" xr:uid="{00000000-0005-0000-0000-00009E490000}"/>
    <cellStyle name="60% - uthevingsfarge 3 12 2 2 3 2 2" xfId="42881" xr:uid="{00000000-0005-0000-0000-00009F490000}"/>
    <cellStyle name="60% - uthevingsfarge 3 12 2 2 3 3" xfId="43987" xr:uid="{00000000-0005-0000-0000-0000A0490000}"/>
    <cellStyle name="60% - uthevingsfarge 3 12 2 2_Avviksanalyse løpende RNB15 (1)" xfId="16675" xr:uid="{00000000-0005-0000-0000-0000A1490000}"/>
    <cellStyle name="60% - uthevingsfarge 3 12 3" xfId="11318" xr:uid="{00000000-0005-0000-0000-0000A2490000}"/>
    <cellStyle name="60% - uthevingsfarge 3 12 4" xfId="11203" xr:uid="{00000000-0005-0000-0000-0000A3490000}"/>
    <cellStyle name="60% - uthevingsfarge 3 12 5" xfId="21098" xr:uid="{00000000-0005-0000-0000-0000A4490000}"/>
    <cellStyle name="60% - uthevingsfarge 3 12 6" xfId="24787" xr:uid="{00000000-0005-0000-0000-0000A5490000}"/>
    <cellStyle name="60% - uthevingsfarge 3 12 7" xfId="25217" xr:uid="{00000000-0005-0000-0000-0000A6490000}"/>
    <cellStyle name="60% - uthevingsfarge 3 12 8" xfId="25161" xr:uid="{00000000-0005-0000-0000-0000A7490000}"/>
    <cellStyle name="60% - uthevingsfarge 3 12 9" xfId="24761" xr:uid="{00000000-0005-0000-0000-0000A8490000}"/>
    <cellStyle name="60% - uthevingsfarge 3 13" xfId="3444" xr:uid="{00000000-0005-0000-0000-0000A9490000}"/>
    <cellStyle name="60% - uthevingsfarge 3 13 2" xfId="11321" xr:uid="{00000000-0005-0000-0000-0000AA490000}"/>
    <cellStyle name="60% - uthevingsfarge 3 14" xfId="11322" xr:uid="{00000000-0005-0000-0000-0000AB490000}"/>
    <cellStyle name="60% - uthevingsfarge 3 15" xfId="40952" xr:uid="{00000000-0005-0000-0000-0000AC490000}"/>
    <cellStyle name="60% - uthevingsfarge 3 16" xfId="43151" xr:uid="{00000000-0005-0000-0000-0000AD490000}"/>
    <cellStyle name="60% - uthevingsfarge 3 17" xfId="40905" xr:uid="{00000000-0005-0000-0000-0000AE490000}"/>
    <cellStyle name="60% - uthevingsfarge 3 18" xfId="43181" xr:uid="{00000000-0005-0000-0000-0000AF490000}"/>
    <cellStyle name="60% - uthevingsfarge 3 19" xfId="40872" xr:uid="{00000000-0005-0000-0000-0000B0490000}"/>
    <cellStyle name="60% - uthevingsfarge 3 2" xfId="1036" xr:uid="{00000000-0005-0000-0000-0000B1490000}"/>
    <cellStyle name="60% - uthevingsfarge 3 2 2" xfId="11323" xr:uid="{00000000-0005-0000-0000-0000B2490000}"/>
    <cellStyle name="60% - uthevingsfarge 3 2 3" xfId="11324" xr:uid="{00000000-0005-0000-0000-0000B3490000}"/>
    <cellStyle name="60% - uthevingsfarge 3 2 4" xfId="11325" xr:uid="{00000000-0005-0000-0000-0000B4490000}"/>
    <cellStyle name="60% - uthevingsfarge 3 2 5" xfId="11326" xr:uid="{00000000-0005-0000-0000-0000B5490000}"/>
    <cellStyle name="60% - uthevingsfarge 3 2 6" xfId="11327" xr:uid="{00000000-0005-0000-0000-0000B6490000}"/>
    <cellStyle name="60% - uthevingsfarge 3 2 7" xfId="11328" xr:uid="{00000000-0005-0000-0000-0000B7490000}"/>
    <cellStyle name="60% - uthevingsfarge 3 2 8" xfId="11329" xr:uid="{00000000-0005-0000-0000-0000B8490000}"/>
    <cellStyle name="60% - uthevingsfarge 3 2 9" xfId="11330" xr:uid="{00000000-0005-0000-0000-0000B9490000}"/>
    <cellStyle name="60% - uthevingsfarge 3 20" xfId="40838" xr:uid="{00000000-0005-0000-0000-0000BA490000}"/>
    <cellStyle name="60% - uthevingsfarge 3 21" xfId="43163" xr:uid="{00000000-0005-0000-0000-0000BB490000}"/>
    <cellStyle name="60% - uthevingsfarge 3 22" xfId="43213" xr:uid="{00000000-0005-0000-0000-0000BC490000}"/>
    <cellStyle name="60% - uthevingsfarge 3 23" xfId="43427" xr:uid="{00000000-0005-0000-0000-0000BD490000}"/>
    <cellStyle name="60% - uthevingsfarge 3 24" xfId="46077" xr:uid="{00000000-0005-0000-0000-0000BE490000}"/>
    <cellStyle name="60% - uthevingsfarge 3 25" xfId="43483" xr:uid="{00000000-0005-0000-0000-0000BF490000}"/>
    <cellStyle name="60% - uthevingsfarge 3 26" xfId="43485" xr:uid="{00000000-0005-0000-0000-0000C0490000}"/>
    <cellStyle name="60% - uthevingsfarge 3 27" xfId="46315" xr:uid="{00000000-0005-0000-0000-0000C1490000}"/>
    <cellStyle name="60% - uthevingsfarge 3 28" xfId="46585" xr:uid="{00000000-0005-0000-0000-0000C2490000}"/>
    <cellStyle name="60% - uthevingsfarge 3 29" xfId="46827" xr:uid="{00000000-0005-0000-0000-0000C3490000}"/>
    <cellStyle name="60% - uthevingsfarge 3 3" xfId="1037" xr:uid="{00000000-0005-0000-0000-0000C4490000}"/>
    <cellStyle name="60% - uthevingsfarge 3 30" xfId="46786" xr:uid="{00000000-0005-0000-0000-0000C5490000}"/>
    <cellStyle name="60% - uthevingsfarge 3 31" xfId="46400" xr:uid="{00000000-0005-0000-0000-0000C6490000}"/>
    <cellStyle name="60% - uthevingsfarge 3 32" xfId="46374" xr:uid="{00000000-0005-0000-0000-0000C7490000}"/>
    <cellStyle name="60% - uthevingsfarge 3 4" xfId="1038" xr:uid="{00000000-0005-0000-0000-0000C8490000}"/>
    <cellStyle name="60% - uthevingsfarge 3 5" xfId="1039" xr:uid="{00000000-0005-0000-0000-0000C9490000}"/>
    <cellStyle name="60% - uthevingsfarge 3 6" xfId="1040" xr:uid="{00000000-0005-0000-0000-0000CA490000}"/>
    <cellStyle name="60% - uthevingsfarge 3 7" xfId="1041" xr:uid="{00000000-0005-0000-0000-0000CB490000}"/>
    <cellStyle name="60% - uthevingsfarge 3 8" xfId="1042" xr:uid="{00000000-0005-0000-0000-0000CC490000}"/>
    <cellStyle name="60% - uthevingsfarge 3 8 2" xfId="1043" xr:uid="{00000000-0005-0000-0000-0000CD490000}"/>
    <cellStyle name="60% - uthevingsfarge 3 8 3" xfId="11332" xr:uid="{00000000-0005-0000-0000-0000CE490000}"/>
    <cellStyle name="60% - uthevingsfarge 3 8 3 2" xfId="11333" xr:uid="{00000000-0005-0000-0000-0000CF490000}"/>
    <cellStyle name="60% - uthevingsfarge 3 8 3 2 2" xfId="18073" xr:uid="{00000000-0005-0000-0000-0000D0490000}"/>
    <cellStyle name="60% - uthevingsfarge 3 8 3 2 3" xfId="16327" xr:uid="{00000000-0005-0000-0000-0000D1490000}"/>
    <cellStyle name="60% - uthevingsfarge 3 8 3 2 3 2" xfId="25351" xr:uid="{00000000-0005-0000-0000-0000D2490000}"/>
    <cellStyle name="60% - uthevingsfarge 3 8 3 2 3 2 2" xfId="42882" xr:uid="{00000000-0005-0000-0000-0000D3490000}"/>
    <cellStyle name="60% - uthevingsfarge 3 8 3 2 3 3" xfId="43988" xr:uid="{00000000-0005-0000-0000-0000D4490000}"/>
    <cellStyle name="60% - uthevingsfarge 3 8 3 2_Avviksanalyse løpende RNB15 (1)" xfId="16676" xr:uid="{00000000-0005-0000-0000-0000D5490000}"/>
    <cellStyle name="60% - uthevingsfarge 3 9" xfId="1044" xr:uid="{00000000-0005-0000-0000-0000D6490000}"/>
    <cellStyle name="60% - uthevingsfarge 3 9 10" xfId="25170" xr:uid="{00000000-0005-0000-0000-0000D7490000}"/>
    <cellStyle name="60% - uthevingsfarge 3 9 2" xfId="11335" xr:uid="{00000000-0005-0000-0000-0000D8490000}"/>
    <cellStyle name="60% - uthevingsfarge 3 9 2 2" xfId="11336" xr:uid="{00000000-0005-0000-0000-0000D9490000}"/>
    <cellStyle name="60% - uthevingsfarge 3 9 2 2 2" xfId="18074" xr:uid="{00000000-0005-0000-0000-0000DA490000}"/>
    <cellStyle name="60% - uthevingsfarge 3 9 2 2 3" xfId="16328" xr:uid="{00000000-0005-0000-0000-0000DB490000}"/>
    <cellStyle name="60% - uthevingsfarge 3 9 2 2 3 2" xfId="25352" xr:uid="{00000000-0005-0000-0000-0000DC490000}"/>
    <cellStyle name="60% - uthevingsfarge 3 9 2 2 3 2 2" xfId="42883" xr:uid="{00000000-0005-0000-0000-0000DD490000}"/>
    <cellStyle name="60% - uthevingsfarge 3 9 2 2 3 3" xfId="43989" xr:uid="{00000000-0005-0000-0000-0000DE490000}"/>
    <cellStyle name="60% - uthevingsfarge 3 9 2 2_Avviksanalyse løpende RNB15 (1)" xfId="16677" xr:uid="{00000000-0005-0000-0000-0000DF490000}"/>
    <cellStyle name="60% - uthevingsfarge 3 9 3" xfId="11334" xr:uid="{00000000-0005-0000-0000-0000E0490000}"/>
    <cellStyle name="60% - uthevingsfarge 3 9 4" xfId="11202" xr:uid="{00000000-0005-0000-0000-0000E1490000}"/>
    <cellStyle name="60% - uthevingsfarge 3 9 5" xfId="24363" xr:uid="{00000000-0005-0000-0000-0000E2490000}"/>
    <cellStyle name="60% - uthevingsfarge 3 9 6" xfId="24788" xr:uid="{00000000-0005-0000-0000-0000E3490000}"/>
    <cellStyle name="60% - uthevingsfarge 3 9 7" xfId="24961" xr:uid="{00000000-0005-0000-0000-0000E4490000}"/>
    <cellStyle name="60% - uthevingsfarge 3 9 8" xfId="24742" xr:uid="{00000000-0005-0000-0000-0000E5490000}"/>
    <cellStyle name="60% - uthevingsfarge 3 9 9" xfId="24995" xr:uid="{00000000-0005-0000-0000-0000E6490000}"/>
    <cellStyle name="60% - uthevingsfarge 4" xfId="4585" xr:uid="{00000000-0005-0000-0000-0000E7490000}"/>
    <cellStyle name="60% - uthevingsfarge 4 10" xfId="1045" xr:uid="{00000000-0005-0000-0000-0000E8490000}"/>
    <cellStyle name="60% - uthevingsfarge 4 10 10" xfId="25205" xr:uid="{00000000-0005-0000-0000-0000E9490000}"/>
    <cellStyle name="60% - uthevingsfarge 4 10 2" xfId="4414" xr:uid="{00000000-0005-0000-0000-0000EA490000}"/>
    <cellStyle name="60% - uthevingsfarge 4 10 2 2" xfId="11339" xr:uid="{00000000-0005-0000-0000-0000EB490000}"/>
    <cellStyle name="60% - uthevingsfarge 4 10 2 2 2" xfId="18075" xr:uid="{00000000-0005-0000-0000-0000EC490000}"/>
    <cellStyle name="60% - uthevingsfarge 4 10 2 2 3" xfId="16329" xr:uid="{00000000-0005-0000-0000-0000ED490000}"/>
    <cellStyle name="60% - uthevingsfarge 4 10 2 2 3 2" xfId="25353" xr:uid="{00000000-0005-0000-0000-0000EE490000}"/>
    <cellStyle name="60% - uthevingsfarge 4 10 2 2 3 2 2" xfId="42884" xr:uid="{00000000-0005-0000-0000-0000EF490000}"/>
    <cellStyle name="60% - uthevingsfarge 4 10 2 2 3 3" xfId="43990" xr:uid="{00000000-0005-0000-0000-0000F0490000}"/>
    <cellStyle name="60% - uthevingsfarge 4 10 2 2_Avviksanalyse løpende RNB15 (1)" xfId="16678" xr:uid="{00000000-0005-0000-0000-0000F1490000}"/>
    <cellStyle name="60% - uthevingsfarge 4 10 2 3" xfId="11338" xr:uid="{00000000-0005-0000-0000-0000F2490000}"/>
    <cellStyle name="60% - uthevingsfarge 4 10 3" xfId="4392" xr:uid="{00000000-0005-0000-0000-0000F3490000}"/>
    <cellStyle name="60% - uthevingsfarge 4 10 4" xfId="11337" xr:uid="{00000000-0005-0000-0000-0000F4490000}"/>
    <cellStyle name="60% - uthevingsfarge 4 10 5" xfId="11201" xr:uid="{00000000-0005-0000-0000-0000F5490000}"/>
    <cellStyle name="60% - uthevingsfarge 4 10 6" xfId="21701" xr:uid="{00000000-0005-0000-0000-0000F6490000}"/>
    <cellStyle name="60% - uthevingsfarge 4 10 7" xfId="24789" xr:uid="{00000000-0005-0000-0000-0000F7490000}"/>
    <cellStyle name="60% - uthevingsfarge 4 10 8" xfId="24960" xr:uid="{00000000-0005-0000-0000-0000F8490000}"/>
    <cellStyle name="60% - uthevingsfarge 4 10 9" xfId="24862" xr:uid="{00000000-0005-0000-0000-0000F9490000}"/>
    <cellStyle name="60% - uthevingsfarge 4 11" xfId="1046" xr:uid="{00000000-0005-0000-0000-0000FA490000}"/>
    <cellStyle name="60% - uthevingsfarge 4 11 10" xfId="24866" xr:uid="{00000000-0005-0000-0000-0000FB490000}"/>
    <cellStyle name="60% - uthevingsfarge 4 11 2" xfId="11341" xr:uid="{00000000-0005-0000-0000-0000FC490000}"/>
    <cellStyle name="60% - uthevingsfarge 4 11 2 2" xfId="11342" xr:uid="{00000000-0005-0000-0000-0000FD490000}"/>
    <cellStyle name="60% - uthevingsfarge 4 11 2 2 2" xfId="18076" xr:uid="{00000000-0005-0000-0000-0000FE490000}"/>
    <cellStyle name="60% - uthevingsfarge 4 11 2 2 3" xfId="16330" xr:uid="{00000000-0005-0000-0000-0000FF490000}"/>
    <cellStyle name="60% - uthevingsfarge 4 11 2 2 3 2" xfId="25354" xr:uid="{00000000-0005-0000-0000-0000004A0000}"/>
    <cellStyle name="60% - uthevingsfarge 4 11 2 2 3 2 2" xfId="42885" xr:uid="{00000000-0005-0000-0000-0000014A0000}"/>
    <cellStyle name="60% - uthevingsfarge 4 11 2 2 3 3" xfId="43991" xr:uid="{00000000-0005-0000-0000-0000024A0000}"/>
    <cellStyle name="60% - uthevingsfarge 4 11 2 2_Avviksanalyse løpende RNB15 (1)" xfId="16679" xr:uid="{00000000-0005-0000-0000-0000034A0000}"/>
    <cellStyle name="60% - uthevingsfarge 4 11 3" xfId="11340" xr:uid="{00000000-0005-0000-0000-0000044A0000}"/>
    <cellStyle name="60% - uthevingsfarge 4 11 4" xfId="11196" xr:uid="{00000000-0005-0000-0000-0000054A0000}"/>
    <cellStyle name="60% - uthevingsfarge 4 11 5" xfId="21687" xr:uid="{00000000-0005-0000-0000-0000064A0000}"/>
    <cellStyle name="60% - uthevingsfarge 4 11 6" xfId="24790" xr:uid="{00000000-0005-0000-0000-0000074A0000}"/>
    <cellStyle name="60% - uthevingsfarge 4 11 7" xfId="24991" xr:uid="{00000000-0005-0000-0000-0000084A0000}"/>
    <cellStyle name="60% - uthevingsfarge 4 11 8" xfId="24863" xr:uid="{00000000-0005-0000-0000-0000094A0000}"/>
    <cellStyle name="60% - uthevingsfarge 4 11 9" xfId="24894" xr:uid="{00000000-0005-0000-0000-00000A4A0000}"/>
    <cellStyle name="60% - uthevingsfarge 4 12" xfId="1047" xr:uid="{00000000-0005-0000-0000-00000B4A0000}"/>
    <cellStyle name="60% - uthevingsfarge 4 12 10" xfId="25226" xr:uid="{00000000-0005-0000-0000-00000C4A0000}"/>
    <cellStyle name="60% - uthevingsfarge 4 12 2" xfId="11344" xr:uid="{00000000-0005-0000-0000-00000D4A0000}"/>
    <cellStyle name="60% - uthevingsfarge 4 12 2 2" xfId="11345" xr:uid="{00000000-0005-0000-0000-00000E4A0000}"/>
    <cellStyle name="60% - uthevingsfarge 4 12 2 2 2" xfId="18077" xr:uid="{00000000-0005-0000-0000-00000F4A0000}"/>
    <cellStyle name="60% - uthevingsfarge 4 12 2 2 3" xfId="16331" xr:uid="{00000000-0005-0000-0000-0000104A0000}"/>
    <cellStyle name="60% - uthevingsfarge 4 12 2 2 3 2" xfId="25355" xr:uid="{00000000-0005-0000-0000-0000114A0000}"/>
    <cellStyle name="60% - uthevingsfarge 4 12 2 2 3 2 2" xfId="42886" xr:uid="{00000000-0005-0000-0000-0000124A0000}"/>
    <cellStyle name="60% - uthevingsfarge 4 12 2 2 3 3" xfId="43993" xr:uid="{00000000-0005-0000-0000-0000134A0000}"/>
    <cellStyle name="60% - uthevingsfarge 4 12 2 2_Avviksanalyse løpende RNB15 (1)" xfId="16680" xr:uid="{00000000-0005-0000-0000-0000144A0000}"/>
    <cellStyle name="60% - uthevingsfarge 4 12 3" xfId="11343" xr:uid="{00000000-0005-0000-0000-0000154A0000}"/>
    <cellStyle name="60% - uthevingsfarge 4 12 4" xfId="11179" xr:uid="{00000000-0005-0000-0000-0000164A0000}"/>
    <cellStyle name="60% - uthevingsfarge 4 12 5" xfId="21775" xr:uid="{00000000-0005-0000-0000-0000174A0000}"/>
    <cellStyle name="60% - uthevingsfarge 4 12 6" xfId="24791" xr:uid="{00000000-0005-0000-0000-0000184A0000}"/>
    <cellStyle name="60% - uthevingsfarge 4 12 7" xfId="24918" xr:uid="{00000000-0005-0000-0000-0000194A0000}"/>
    <cellStyle name="60% - uthevingsfarge 4 12 8" xfId="24854" xr:uid="{00000000-0005-0000-0000-00001A4A0000}"/>
    <cellStyle name="60% - uthevingsfarge 4 12 9" xfId="25171" xr:uid="{00000000-0005-0000-0000-00001B4A0000}"/>
    <cellStyle name="60% - uthevingsfarge 4 13" xfId="3448" xr:uid="{00000000-0005-0000-0000-00001C4A0000}"/>
    <cellStyle name="60% - uthevingsfarge 4 13 2" xfId="11346" xr:uid="{00000000-0005-0000-0000-00001D4A0000}"/>
    <cellStyle name="60% - uthevingsfarge 4 14" xfId="11347" xr:uid="{00000000-0005-0000-0000-00001E4A0000}"/>
    <cellStyle name="60% - uthevingsfarge 4 15" xfId="40956" xr:uid="{00000000-0005-0000-0000-00001F4A0000}"/>
    <cellStyle name="60% - uthevingsfarge 4 16" xfId="43155" xr:uid="{00000000-0005-0000-0000-0000204A0000}"/>
    <cellStyle name="60% - uthevingsfarge 4 17" xfId="43184" xr:uid="{00000000-0005-0000-0000-0000214A0000}"/>
    <cellStyle name="60% - uthevingsfarge 4 18" xfId="40806" xr:uid="{00000000-0005-0000-0000-0000224A0000}"/>
    <cellStyle name="60% - uthevingsfarge 4 19" xfId="40917" xr:uid="{00000000-0005-0000-0000-0000234A0000}"/>
    <cellStyle name="60% - uthevingsfarge 4 2" xfId="1048" xr:uid="{00000000-0005-0000-0000-0000244A0000}"/>
    <cellStyle name="60% - uthevingsfarge 4 2 2" xfId="11348" xr:uid="{00000000-0005-0000-0000-0000254A0000}"/>
    <cellStyle name="60% - uthevingsfarge 4 2 3" xfId="11349" xr:uid="{00000000-0005-0000-0000-0000264A0000}"/>
    <cellStyle name="60% - uthevingsfarge 4 2 4" xfId="11350" xr:uid="{00000000-0005-0000-0000-0000274A0000}"/>
    <cellStyle name="60% - uthevingsfarge 4 2 5" xfId="11351" xr:uid="{00000000-0005-0000-0000-0000284A0000}"/>
    <cellStyle name="60% - uthevingsfarge 4 2 6" xfId="11352" xr:uid="{00000000-0005-0000-0000-0000294A0000}"/>
    <cellStyle name="60% - uthevingsfarge 4 2 7" xfId="11353" xr:uid="{00000000-0005-0000-0000-00002A4A0000}"/>
    <cellStyle name="60% - uthevingsfarge 4 2 8" xfId="11354" xr:uid="{00000000-0005-0000-0000-00002B4A0000}"/>
    <cellStyle name="60% - uthevingsfarge 4 2 9" xfId="11355" xr:uid="{00000000-0005-0000-0000-00002C4A0000}"/>
    <cellStyle name="60% - uthevingsfarge 4 20" xfId="40798" xr:uid="{00000000-0005-0000-0000-00002D4A0000}"/>
    <cellStyle name="60% - uthevingsfarge 4 21" xfId="40882" xr:uid="{00000000-0005-0000-0000-00002E4A0000}"/>
    <cellStyle name="60% - uthevingsfarge 4 22" xfId="43217" xr:uid="{00000000-0005-0000-0000-00002F4A0000}"/>
    <cellStyle name="60% - uthevingsfarge 4 23" xfId="43431" xr:uid="{00000000-0005-0000-0000-0000304A0000}"/>
    <cellStyle name="60% - uthevingsfarge 4 24" xfId="43457" xr:uid="{00000000-0005-0000-0000-0000314A0000}"/>
    <cellStyle name="60% - uthevingsfarge 4 25" xfId="43477" xr:uid="{00000000-0005-0000-0000-0000324A0000}"/>
    <cellStyle name="60% - uthevingsfarge 4 26" xfId="46280" xr:uid="{00000000-0005-0000-0000-0000334A0000}"/>
    <cellStyle name="60% - uthevingsfarge 4 27" xfId="46319" xr:uid="{00000000-0005-0000-0000-0000344A0000}"/>
    <cellStyle name="60% - uthevingsfarge 4 28" xfId="46602" xr:uid="{00000000-0005-0000-0000-0000354A0000}"/>
    <cellStyle name="60% - uthevingsfarge 4 29" xfId="46375" xr:uid="{00000000-0005-0000-0000-0000364A0000}"/>
    <cellStyle name="60% - uthevingsfarge 4 3" xfId="1049" xr:uid="{00000000-0005-0000-0000-0000374A0000}"/>
    <cellStyle name="60% - uthevingsfarge 4 30" xfId="46358" xr:uid="{00000000-0005-0000-0000-0000384A0000}"/>
    <cellStyle name="60% - uthevingsfarge 4 31" xfId="46384" xr:uid="{00000000-0005-0000-0000-0000394A0000}"/>
    <cellStyle name="60% - uthevingsfarge 4 32" xfId="46640" xr:uid="{00000000-0005-0000-0000-00003A4A0000}"/>
    <cellStyle name="60% - uthevingsfarge 4 4" xfId="1050" xr:uid="{00000000-0005-0000-0000-00003B4A0000}"/>
    <cellStyle name="60% - uthevingsfarge 4 5" xfId="1051" xr:uid="{00000000-0005-0000-0000-00003C4A0000}"/>
    <cellStyle name="60% - uthevingsfarge 4 6" xfId="1052" xr:uid="{00000000-0005-0000-0000-00003D4A0000}"/>
    <cellStyle name="60% - uthevingsfarge 4 7" xfId="1053" xr:uid="{00000000-0005-0000-0000-00003E4A0000}"/>
    <cellStyle name="60% - uthevingsfarge 4 8" xfId="1054" xr:uid="{00000000-0005-0000-0000-00003F4A0000}"/>
    <cellStyle name="60% - uthevingsfarge 4 8 2" xfId="1055" xr:uid="{00000000-0005-0000-0000-0000404A0000}"/>
    <cellStyle name="60% - uthevingsfarge 4 8 3" xfId="11356" xr:uid="{00000000-0005-0000-0000-0000414A0000}"/>
    <cellStyle name="60% - uthevingsfarge 4 8 3 2" xfId="11357" xr:uid="{00000000-0005-0000-0000-0000424A0000}"/>
    <cellStyle name="60% - uthevingsfarge 4 8 3 2 2" xfId="18078" xr:uid="{00000000-0005-0000-0000-0000434A0000}"/>
    <cellStyle name="60% - uthevingsfarge 4 8 3 2 3" xfId="16332" xr:uid="{00000000-0005-0000-0000-0000444A0000}"/>
    <cellStyle name="60% - uthevingsfarge 4 8 3 2 3 2" xfId="25356" xr:uid="{00000000-0005-0000-0000-0000454A0000}"/>
    <cellStyle name="60% - uthevingsfarge 4 8 3 2 3 2 2" xfId="42887" xr:uid="{00000000-0005-0000-0000-0000464A0000}"/>
    <cellStyle name="60% - uthevingsfarge 4 8 3 2 3 3" xfId="43994" xr:uid="{00000000-0005-0000-0000-0000474A0000}"/>
    <cellStyle name="60% - uthevingsfarge 4 8 3 2_Avviksanalyse løpende RNB15 (1)" xfId="16681" xr:uid="{00000000-0005-0000-0000-0000484A0000}"/>
    <cellStyle name="60% - uthevingsfarge 4 9" xfId="1056" xr:uid="{00000000-0005-0000-0000-0000494A0000}"/>
    <cellStyle name="60% - uthevingsfarge 4 9 10" xfId="24849" xr:uid="{00000000-0005-0000-0000-00004A4A0000}"/>
    <cellStyle name="60% - uthevingsfarge 4 9 2" xfId="11359" xr:uid="{00000000-0005-0000-0000-00004B4A0000}"/>
    <cellStyle name="60% - uthevingsfarge 4 9 2 2" xfId="11360" xr:uid="{00000000-0005-0000-0000-00004C4A0000}"/>
    <cellStyle name="60% - uthevingsfarge 4 9 2 2 2" xfId="18079" xr:uid="{00000000-0005-0000-0000-00004D4A0000}"/>
    <cellStyle name="60% - uthevingsfarge 4 9 2 2 3" xfId="16333" xr:uid="{00000000-0005-0000-0000-00004E4A0000}"/>
    <cellStyle name="60% - uthevingsfarge 4 9 2 2 3 2" xfId="25357" xr:uid="{00000000-0005-0000-0000-00004F4A0000}"/>
    <cellStyle name="60% - uthevingsfarge 4 9 2 2 3 2 2" xfId="42888" xr:uid="{00000000-0005-0000-0000-0000504A0000}"/>
    <cellStyle name="60% - uthevingsfarge 4 9 2 2 3 3" xfId="43995" xr:uid="{00000000-0005-0000-0000-0000514A0000}"/>
    <cellStyle name="60% - uthevingsfarge 4 9 2 2_Avviksanalyse løpende RNB15 (1)" xfId="16682" xr:uid="{00000000-0005-0000-0000-0000524A0000}"/>
    <cellStyle name="60% - uthevingsfarge 4 9 3" xfId="11358" xr:uid="{00000000-0005-0000-0000-0000534A0000}"/>
    <cellStyle name="60% - uthevingsfarge 4 9 4" xfId="11172" xr:uid="{00000000-0005-0000-0000-0000544A0000}"/>
    <cellStyle name="60% - uthevingsfarge 4 9 5" xfId="23354" xr:uid="{00000000-0005-0000-0000-0000554A0000}"/>
    <cellStyle name="60% - uthevingsfarge 4 9 6" xfId="24792" xr:uid="{00000000-0005-0000-0000-0000564A0000}"/>
    <cellStyle name="60% - uthevingsfarge 4 9 7" xfId="24917" xr:uid="{00000000-0005-0000-0000-0000574A0000}"/>
    <cellStyle name="60% - uthevingsfarge 4 9 8" xfId="24769" xr:uid="{00000000-0005-0000-0000-0000584A0000}"/>
    <cellStyle name="60% - uthevingsfarge 4 9 9" xfId="24762" xr:uid="{00000000-0005-0000-0000-0000594A0000}"/>
    <cellStyle name="60% - uthevingsfarge 5" xfId="4586" xr:uid="{00000000-0005-0000-0000-00005A4A0000}"/>
    <cellStyle name="60% - uthevingsfarge 5 10" xfId="1057" xr:uid="{00000000-0005-0000-0000-00005B4A0000}"/>
    <cellStyle name="60% - uthevingsfarge 5 10 10" xfId="24861" xr:uid="{00000000-0005-0000-0000-00005C4A0000}"/>
    <cellStyle name="60% - uthevingsfarge 5 10 2" xfId="4415" xr:uid="{00000000-0005-0000-0000-00005D4A0000}"/>
    <cellStyle name="60% - uthevingsfarge 5 10 2 2" xfId="11363" xr:uid="{00000000-0005-0000-0000-00005E4A0000}"/>
    <cellStyle name="60% - uthevingsfarge 5 10 2 2 2" xfId="18080" xr:uid="{00000000-0005-0000-0000-00005F4A0000}"/>
    <cellStyle name="60% - uthevingsfarge 5 10 2 2 3" xfId="16334" xr:uid="{00000000-0005-0000-0000-0000604A0000}"/>
    <cellStyle name="60% - uthevingsfarge 5 10 2 2 3 2" xfId="25358" xr:uid="{00000000-0005-0000-0000-0000614A0000}"/>
    <cellStyle name="60% - uthevingsfarge 5 10 2 2 3 2 2" xfId="42889" xr:uid="{00000000-0005-0000-0000-0000624A0000}"/>
    <cellStyle name="60% - uthevingsfarge 5 10 2 2 3 3" xfId="43996" xr:uid="{00000000-0005-0000-0000-0000634A0000}"/>
    <cellStyle name="60% - uthevingsfarge 5 10 2 2_Avviksanalyse løpende RNB15 (1)" xfId="16683" xr:uid="{00000000-0005-0000-0000-0000644A0000}"/>
    <cellStyle name="60% - uthevingsfarge 5 10 2 3" xfId="11362" xr:uid="{00000000-0005-0000-0000-0000654A0000}"/>
    <cellStyle name="60% - uthevingsfarge 5 10 3" xfId="4394" xr:uid="{00000000-0005-0000-0000-0000664A0000}"/>
    <cellStyle name="60% - uthevingsfarge 5 10 4" xfId="11361" xr:uid="{00000000-0005-0000-0000-0000674A0000}"/>
    <cellStyle name="60% - uthevingsfarge 5 10 5" xfId="11171" xr:uid="{00000000-0005-0000-0000-0000684A0000}"/>
    <cellStyle name="60% - uthevingsfarge 5 10 6" xfId="21078" xr:uid="{00000000-0005-0000-0000-0000694A0000}"/>
    <cellStyle name="60% - uthevingsfarge 5 10 7" xfId="24793" xr:uid="{00000000-0005-0000-0000-00006A4A0000}"/>
    <cellStyle name="60% - uthevingsfarge 5 10 8" xfId="25178" xr:uid="{00000000-0005-0000-0000-00006B4A0000}"/>
    <cellStyle name="60% - uthevingsfarge 5 10 9" xfId="25193" xr:uid="{00000000-0005-0000-0000-00006C4A0000}"/>
    <cellStyle name="60% - uthevingsfarge 5 11" xfId="1058" xr:uid="{00000000-0005-0000-0000-00006D4A0000}"/>
    <cellStyle name="60% - uthevingsfarge 5 11 10" xfId="25061" xr:uid="{00000000-0005-0000-0000-00006E4A0000}"/>
    <cellStyle name="60% - uthevingsfarge 5 11 2" xfId="11365" xr:uid="{00000000-0005-0000-0000-00006F4A0000}"/>
    <cellStyle name="60% - uthevingsfarge 5 11 2 2" xfId="11366" xr:uid="{00000000-0005-0000-0000-0000704A0000}"/>
    <cellStyle name="60% - uthevingsfarge 5 11 2 2 2" xfId="18081" xr:uid="{00000000-0005-0000-0000-0000714A0000}"/>
    <cellStyle name="60% - uthevingsfarge 5 11 2 2 3" xfId="16335" xr:uid="{00000000-0005-0000-0000-0000724A0000}"/>
    <cellStyle name="60% - uthevingsfarge 5 11 2 2 3 2" xfId="25359" xr:uid="{00000000-0005-0000-0000-0000734A0000}"/>
    <cellStyle name="60% - uthevingsfarge 5 11 2 2 3 2 2" xfId="42890" xr:uid="{00000000-0005-0000-0000-0000744A0000}"/>
    <cellStyle name="60% - uthevingsfarge 5 11 2 2 3 3" xfId="43997" xr:uid="{00000000-0005-0000-0000-0000754A0000}"/>
    <cellStyle name="60% - uthevingsfarge 5 11 2 2_Avviksanalyse løpende RNB15 (1)" xfId="16684" xr:uid="{00000000-0005-0000-0000-0000764A0000}"/>
    <cellStyle name="60% - uthevingsfarge 5 11 3" xfId="11364" xr:uid="{00000000-0005-0000-0000-0000774A0000}"/>
    <cellStyle name="60% - uthevingsfarge 5 11 4" xfId="11170" xr:uid="{00000000-0005-0000-0000-0000784A0000}"/>
    <cellStyle name="60% - uthevingsfarge 5 11 5" xfId="23353" xr:uid="{00000000-0005-0000-0000-0000794A0000}"/>
    <cellStyle name="60% - uthevingsfarge 5 11 6" xfId="24794" xr:uid="{00000000-0005-0000-0000-00007A4A0000}"/>
    <cellStyle name="60% - uthevingsfarge 5 11 7" xfId="24916" xr:uid="{00000000-0005-0000-0000-00007B4A0000}"/>
    <cellStyle name="60% - uthevingsfarge 5 11 8" xfId="24770" xr:uid="{00000000-0005-0000-0000-00007C4A0000}"/>
    <cellStyle name="60% - uthevingsfarge 5 11 9" xfId="24844" xr:uid="{00000000-0005-0000-0000-00007D4A0000}"/>
    <cellStyle name="60% - uthevingsfarge 5 12" xfId="1059" xr:uid="{00000000-0005-0000-0000-00007E4A0000}"/>
    <cellStyle name="60% - uthevingsfarge 5 12 10" xfId="24765" xr:uid="{00000000-0005-0000-0000-00007F4A0000}"/>
    <cellStyle name="60% - uthevingsfarge 5 12 2" xfId="11368" xr:uid="{00000000-0005-0000-0000-0000804A0000}"/>
    <cellStyle name="60% - uthevingsfarge 5 12 2 2" xfId="11369" xr:uid="{00000000-0005-0000-0000-0000814A0000}"/>
    <cellStyle name="60% - uthevingsfarge 5 12 2 2 2" xfId="18082" xr:uid="{00000000-0005-0000-0000-0000824A0000}"/>
    <cellStyle name="60% - uthevingsfarge 5 12 2 2 3" xfId="16336" xr:uid="{00000000-0005-0000-0000-0000834A0000}"/>
    <cellStyle name="60% - uthevingsfarge 5 12 2 2 3 2" xfId="25360" xr:uid="{00000000-0005-0000-0000-0000844A0000}"/>
    <cellStyle name="60% - uthevingsfarge 5 12 2 2 3 2 2" xfId="42891" xr:uid="{00000000-0005-0000-0000-0000854A0000}"/>
    <cellStyle name="60% - uthevingsfarge 5 12 2 2 3 3" xfId="43998" xr:uid="{00000000-0005-0000-0000-0000864A0000}"/>
    <cellStyle name="60% - uthevingsfarge 5 12 2 2_Avviksanalyse løpende RNB15 (1)" xfId="16685" xr:uid="{00000000-0005-0000-0000-0000874A0000}"/>
    <cellStyle name="60% - uthevingsfarge 5 12 3" xfId="11367" xr:uid="{00000000-0005-0000-0000-0000884A0000}"/>
    <cellStyle name="60% - uthevingsfarge 5 12 4" xfId="11169" xr:uid="{00000000-0005-0000-0000-0000894A0000}"/>
    <cellStyle name="60% - uthevingsfarge 5 12 5" xfId="21075" xr:uid="{00000000-0005-0000-0000-00008A4A0000}"/>
    <cellStyle name="60% - uthevingsfarge 5 12 6" xfId="24795" xr:uid="{00000000-0005-0000-0000-00008B4A0000}"/>
    <cellStyle name="60% - uthevingsfarge 5 12 7" xfId="25216" xr:uid="{00000000-0005-0000-0000-00008C4A0000}"/>
    <cellStyle name="60% - uthevingsfarge 5 12 8" xfId="24880" xr:uid="{00000000-0005-0000-0000-00008D4A0000}"/>
    <cellStyle name="60% - uthevingsfarge 5 12 9" xfId="24889" xr:uid="{00000000-0005-0000-0000-00008E4A0000}"/>
    <cellStyle name="60% - uthevingsfarge 5 13" xfId="3451" xr:uid="{00000000-0005-0000-0000-00008F4A0000}"/>
    <cellStyle name="60% - uthevingsfarge 5 13 2" xfId="11370" xr:uid="{00000000-0005-0000-0000-0000904A0000}"/>
    <cellStyle name="60% - uthevingsfarge 5 14" xfId="11371" xr:uid="{00000000-0005-0000-0000-0000914A0000}"/>
    <cellStyle name="60% - uthevingsfarge 5 15" xfId="40960" xr:uid="{00000000-0005-0000-0000-0000924A0000}"/>
    <cellStyle name="60% - uthevingsfarge 5 16" xfId="43158" xr:uid="{00000000-0005-0000-0000-0000934A0000}"/>
    <cellStyle name="60% - uthevingsfarge 5 17" xfId="40911" xr:uid="{00000000-0005-0000-0000-0000944A0000}"/>
    <cellStyle name="60% - uthevingsfarge 5 18" xfId="40804" xr:uid="{00000000-0005-0000-0000-0000954A0000}"/>
    <cellStyle name="60% - uthevingsfarge 5 19" xfId="40877" xr:uid="{00000000-0005-0000-0000-0000964A0000}"/>
    <cellStyle name="60% - uthevingsfarge 5 2" xfId="1060" xr:uid="{00000000-0005-0000-0000-0000974A0000}"/>
    <cellStyle name="60% - uthevingsfarge 5 2 2" xfId="11372" xr:uid="{00000000-0005-0000-0000-0000984A0000}"/>
    <cellStyle name="60% - uthevingsfarge 5 2 3" xfId="11373" xr:uid="{00000000-0005-0000-0000-0000994A0000}"/>
    <cellStyle name="60% - uthevingsfarge 5 2 4" xfId="11374" xr:uid="{00000000-0005-0000-0000-00009A4A0000}"/>
    <cellStyle name="60% - uthevingsfarge 5 2 5" xfId="11375" xr:uid="{00000000-0005-0000-0000-00009B4A0000}"/>
    <cellStyle name="60% - uthevingsfarge 5 2 6" xfId="11376" xr:uid="{00000000-0005-0000-0000-00009C4A0000}"/>
    <cellStyle name="60% - uthevingsfarge 5 2 7" xfId="11377" xr:uid="{00000000-0005-0000-0000-00009D4A0000}"/>
    <cellStyle name="60% - uthevingsfarge 5 2 8" xfId="11378" xr:uid="{00000000-0005-0000-0000-00009E4A0000}"/>
    <cellStyle name="60% - uthevingsfarge 5 2 9" xfId="11379" xr:uid="{00000000-0005-0000-0000-00009F4A0000}"/>
    <cellStyle name="60% - uthevingsfarge 5 20" xfId="40834" xr:uid="{00000000-0005-0000-0000-0000A04A0000}"/>
    <cellStyle name="60% - uthevingsfarge 5 21" xfId="40857" xr:uid="{00000000-0005-0000-0000-0000A14A0000}"/>
    <cellStyle name="60% - uthevingsfarge 5 22" xfId="43221" xr:uid="{00000000-0005-0000-0000-0000A24A0000}"/>
    <cellStyle name="60% - uthevingsfarge 5 23" xfId="43435" xr:uid="{00000000-0005-0000-0000-0000A34A0000}"/>
    <cellStyle name="60% - uthevingsfarge 5 24" xfId="43672" xr:uid="{00000000-0005-0000-0000-0000A44A0000}"/>
    <cellStyle name="60% - uthevingsfarge 5 25" xfId="46063" xr:uid="{00000000-0005-0000-0000-0000A54A0000}"/>
    <cellStyle name="60% - uthevingsfarge 5 26" xfId="43781" xr:uid="{00000000-0005-0000-0000-0000A64A0000}"/>
    <cellStyle name="60% - uthevingsfarge 5 27" xfId="46323" xr:uid="{00000000-0005-0000-0000-0000A74A0000}"/>
    <cellStyle name="60% - uthevingsfarge 5 28" xfId="46567" xr:uid="{00000000-0005-0000-0000-0000A84A0000}"/>
    <cellStyle name="60% - uthevingsfarge 5 29" xfId="46802" xr:uid="{00000000-0005-0000-0000-0000A94A0000}"/>
    <cellStyle name="60% - uthevingsfarge 5 3" xfId="1061" xr:uid="{00000000-0005-0000-0000-0000AA4A0000}"/>
    <cellStyle name="60% - uthevingsfarge 5 30" xfId="46605" xr:uid="{00000000-0005-0000-0000-0000AB4A0000}"/>
    <cellStyle name="60% - uthevingsfarge 5 31" xfId="46606" xr:uid="{00000000-0005-0000-0000-0000AC4A0000}"/>
    <cellStyle name="60% - uthevingsfarge 5 32" xfId="46348" xr:uid="{00000000-0005-0000-0000-0000AD4A0000}"/>
    <cellStyle name="60% - uthevingsfarge 5 4" xfId="1062" xr:uid="{00000000-0005-0000-0000-0000AE4A0000}"/>
    <cellStyle name="60% - uthevingsfarge 5 5" xfId="1063" xr:uid="{00000000-0005-0000-0000-0000AF4A0000}"/>
    <cellStyle name="60% - uthevingsfarge 5 6" xfId="1064" xr:uid="{00000000-0005-0000-0000-0000B04A0000}"/>
    <cellStyle name="60% - uthevingsfarge 5 7" xfId="1065" xr:uid="{00000000-0005-0000-0000-0000B14A0000}"/>
    <cellStyle name="60% - uthevingsfarge 5 8" xfId="1066" xr:uid="{00000000-0005-0000-0000-0000B24A0000}"/>
    <cellStyle name="60% - uthevingsfarge 5 8 2" xfId="1067" xr:uid="{00000000-0005-0000-0000-0000B34A0000}"/>
    <cellStyle name="60% - uthevingsfarge 5 8 3" xfId="11381" xr:uid="{00000000-0005-0000-0000-0000B44A0000}"/>
    <cellStyle name="60% - uthevingsfarge 5 8 3 2" xfId="11382" xr:uid="{00000000-0005-0000-0000-0000B54A0000}"/>
    <cellStyle name="60% - uthevingsfarge 5 8 3 2 2" xfId="18083" xr:uid="{00000000-0005-0000-0000-0000B64A0000}"/>
    <cellStyle name="60% - uthevingsfarge 5 8 3 2 3" xfId="16337" xr:uid="{00000000-0005-0000-0000-0000B74A0000}"/>
    <cellStyle name="60% - uthevingsfarge 5 8 3 2 3 2" xfId="25361" xr:uid="{00000000-0005-0000-0000-0000B84A0000}"/>
    <cellStyle name="60% - uthevingsfarge 5 8 3 2 3 2 2" xfId="42892" xr:uid="{00000000-0005-0000-0000-0000B94A0000}"/>
    <cellStyle name="60% - uthevingsfarge 5 8 3 2 3 3" xfId="43999" xr:uid="{00000000-0005-0000-0000-0000BA4A0000}"/>
    <cellStyle name="60% - uthevingsfarge 5 8 3 2_Avviksanalyse løpende RNB15 (1)" xfId="16686" xr:uid="{00000000-0005-0000-0000-0000BB4A0000}"/>
    <cellStyle name="60% - uthevingsfarge 5 9" xfId="1068" xr:uid="{00000000-0005-0000-0000-0000BC4A0000}"/>
    <cellStyle name="60% - uthevingsfarge 5 9 10" xfId="25184" xr:uid="{00000000-0005-0000-0000-0000BD4A0000}"/>
    <cellStyle name="60% - uthevingsfarge 5 9 2" xfId="11384" xr:uid="{00000000-0005-0000-0000-0000BE4A0000}"/>
    <cellStyle name="60% - uthevingsfarge 5 9 2 2" xfId="11385" xr:uid="{00000000-0005-0000-0000-0000BF4A0000}"/>
    <cellStyle name="60% - uthevingsfarge 5 9 2 2 2" xfId="18084" xr:uid="{00000000-0005-0000-0000-0000C04A0000}"/>
    <cellStyle name="60% - uthevingsfarge 5 9 2 2 3" xfId="16338" xr:uid="{00000000-0005-0000-0000-0000C14A0000}"/>
    <cellStyle name="60% - uthevingsfarge 5 9 2 2 3 2" xfId="25362" xr:uid="{00000000-0005-0000-0000-0000C24A0000}"/>
    <cellStyle name="60% - uthevingsfarge 5 9 2 2 3 2 2" xfId="42893" xr:uid="{00000000-0005-0000-0000-0000C34A0000}"/>
    <cellStyle name="60% - uthevingsfarge 5 9 2 2 3 3" xfId="44000" xr:uid="{00000000-0005-0000-0000-0000C44A0000}"/>
    <cellStyle name="60% - uthevingsfarge 5 9 2 2_Avviksanalyse løpende RNB15 (1)" xfId="16687" xr:uid="{00000000-0005-0000-0000-0000C54A0000}"/>
    <cellStyle name="60% - uthevingsfarge 5 9 3" xfId="11383" xr:uid="{00000000-0005-0000-0000-0000C64A0000}"/>
    <cellStyle name="60% - uthevingsfarge 5 9 4" xfId="11143" xr:uid="{00000000-0005-0000-0000-0000C74A0000}"/>
    <cellStyle name="60% - uthevingsfarge 5 9 5" xfId="24350" xr:uid="{00000000-0005-0000-0000-0000C84A0000}"/>
    <cellStyle name="60% - uthevingsfarge 5 9 6" xfId="24796" xr:uid="{00000000-0005-0000-0000-0000C94A0000}"/>
    <cellStyle name="60% - uthevingsfarge 5 9 7" xfId="24914" xr:uid="{00000000-0005-0000-0000-0000CA4A0000}"/>
    <cellStyle name="60% - uthevingsfarge 5 9 8" xfId="24743" xr:uid="{00000000-0005-0000-0000-0000CB4A0000}"/>
    <cellStyle name="60% - uthevingsfarge 5 9 9" xfId="25187" xr:uid="{00000000-0005-0000-0000-0000CC4A0000}"/>
    <cellStyle name="60% - uthevingsfarge 6" xfId="4587" xr:uid="{00000000-0005-0000-0000-0000CD4A0000}"/>
    <cellStyle name="60% - uthevingsfarge 6 10" xfId="1070" xr:uid="{00000000-0005-0000-0000-0000CE4A0000}"/>
    <cellStyle name="60% - uthevingsfarge 6 10 10" xfId="24831" xr:uid="{00000000-0005-0000-0000-0000CF4A0000}"/>
    <cellStyle name="60% - uthevingsfarge 6 10 2" xfId="4416" xr:uid="{00000000-0005-0000-0000-0000D04A0000}"/>
    <cellStyle name="60% - uthevingsfarge 6 10 2 2" xfId="11388" xr:uid="{00000000-0005-0000-0000-0000D14A0000}"/>
    <cellStyle name="60% - uthevingsfarge 6 10 2 2 2" xfId="18085" xr:uid="{00000000-0005-0000-0000-0000D24A0000}"/>
    <cellStyle name="60% - uthevingsfarge 6 10 2 2 3" xfId="16339" xr:uid="{00000000-0005-0000-0000-0000D34A0000}"/>
    <cellStyle name="60% - uthevingsfarge 6 10 2 2 3 2" xfId="25363" xr:uid="{00000000-0005-0000-0000-0000D44A0000}"/>
    <cellStyle name="60% - uthevingsfarge 6 10 2 2 3 2 2" xfId="42894" xr:uid="{00000000-0005-0000-0000-0000D54A0000}"/>
    <cellStyle name="60% - uthevingsfarge 6 10 2 2 3 3" xfId="44001" xr:uid="{00000000-0005-0000-0000-0000D64A0000}"/>
    <cellStyle name="60% - uthevingsfarge 6 10 2 2_Avviksanalyse løpende RNB15 (1)" xfId="16688" xr:uid="{00000000-0005-0000-0000-0000D74A0000}"/>
    <cellStyle name="60% - uthevingsfarge 6 10 2 3" xfId="11387" xr:uid="{00000000-0005-0000-0000-0000D84A0000}"/>
    <cellStyle name="60% - uthevingsfarge 6 10 3" xfId="4398" xr:uid="{00000000-0005-0000-0000-0000D94A0000}"/>
    <cellStyle name="60% - uthevingsfarge 6 10 4" xfId="11386" xr:uid="{00000000-0005-0000-0000-0000DA4A0000}"/>
    <cellStyle name="60% - uthevingsfarge 6 10 5" xfId="11142" xr:uid="{00000000-0005-0000-0000-0000DB4A0000}"/>
    <cellStyle name="60% - uthevingsfarge 6 10 6" xfId="21064" xr:uid="{00000000-0005-0000-0000-0000DC4A0000}"/>
    <cellStyle name="60% - uthevingsfarge 6 10 7" xfId="24797" xr:uid="{00000000-0005-0000-0000-0000DD4A0000}"/>
    <cellStyle name="60% - uthevingsfarge 6 10 8" xfId="25215" xr:uid="{00000000-0005-0000-0000-0000DE4A0000}"/>
    <cellStyle name="60% - uthevingsfarge 6 10 9" xfId="24964" xr:uid="{00000000-0005-0000-0000-0000DF4A0000}"/>
    <cellStyle name="60% - uthevingsfarge 6 11" xfId="1071" xr:uid="{00000000-0005-0000-0000-0000E04A0000}"/>
    <cellStyle name="60% - uthevingsfarge 6 11 10" xfId="24992" xr:uid="{00000000-0005-0000-0000-0000E14A0000}"/>
    <cellStyle name="60% - uthevingsfarge 6 11 2" xfId="11390" xr:uid="{00000000-0005-0000-0000-0000E24A0000}"/>
    <cellStyle name="60% - uthevingsfarge 6 11 2 2" xfId="11391" xr:uid="{00000000-0005-0000-0000-0000E34A0000}"/>
    <cellStyle name="60% - uthevingsfarge 6 11 2 2 2" xfId="18086" xr:uid="{00000000-0005-0000-0000-0000E44A0000}"/>
    <cellStyle name="60% - uthevingsfarge 6 11 2 2 3" xfId="16340" xr:uid="{00000000-0005-0000-0000-0000E54A0000}"/>
    <cellStyle name="60% - uthevingsfarge 6 11 2 2 3 2" xfId="25364" xr:uid="{00000000-0005-0000-0000-0000E64A0000}"/>
    <cellStyle name="60% - uthevingsfarge 6 11 2 2 3 2 2" xfId="42895" xr:uid="{00000000-0005-0000-0000-0000E74A0000}"/>
    <cellStyle name="60% - uthevingsfarge 6 11 2 2 3 3" xfId="44002" xr:uid="{00000000-0005-0000-0000-0000E84A0000}"/>
    <cellStyle name="60% - uthevingsfarge 6 11 2 2_Avviksanalyse løpende RNB15 (1)" xfId="16689" xr:uid="{00000000-0005-0000-0000-0000E94A0000}"/>
    <cellStyle name="60% - uthevingsfarge 6 11 3" xfId="11389" xr:uid="{00000000-0005-0000-0000-0000EA4A0000}"/>
    <cellStyle name="60% - uthevingsfarge 6 11 4" xfId="11141" xr:uid="{00000000-0005-0000-0000-0000EB4A0000}"/>
    <cellStyle name="60% - uthevingsfarge 6 11 5" xfId="24349" xr:uid="{00000000-0005-0000-0000-0000EC4A0000}"/>
    <cellStyle name="60% - uthevingsfarge 6 11 6" xfId="24798" xr:uid="{00000000-0005-0000-0000-0000ED4A0000}"/>
    <cellStyle name="60% - uthevingsfarge 6 11 7" xfId="24913" xr:uid="{00000000-0005-0000-0000-0000EE4A0000}"/>
    <cellStyle name="60% - uthevingsfarge 6 11 8" xfId="24744" xr:uid="{00000000-0005-0000-0000-0000EF4A0000}"/>
    <cellStyle name="60% - uthevingsfarge 6 11 9" xfId="25077" xr:uid="{00000000-0005-0000-0000-0000F04A0000}"/>
    <cellStyle name="60% - uthevingsfarge 6 12" xfId="1072" xr:uid="{00000000-0005-0000-0000-0000F14A0000}"/>
    <cellStyle name="60% - uthevingsfarge 6 12 10" xfId="24967" xr:uid="{00000000-0005-0000-0000-0000F24A0000}"/>
    <cellStyle name="60% - uthevingsfarge 6 12 2" xfId="11393" xr:uid="{00000000-0005-0000-0000-0000F34A0000}"/>
    <cellStyle name="60% - uthevingsfarge 6 12 2 2" xfId="11394" xr:uid="{00000000-0005-0000-0000-0000F44A0000}"/>
    <cellStyle name="60% - uthevingsfarge 6 12 2 2 2" xfId="18087" xr:uid="{00000000-0005-0000-0000-0000F54A0000}"/>
    <cellStyle name="60% - uthevingsfarge 6 12 2 2 3" xfId="16341" xr:uid="{00000000-0005-0000-0000-0000F64A0000}"/>
    <cellStyle name="60% - uthevingsfarge 6 12 2 2 3 2" xfId="25365" xr:uid="{00000000-0005-0000-0000-0000F74A0000}"/>
    <cellStyle name="60% - uthevingsfarge 6 12 2 2 3 2 2" xfId="42896" xr:uid="{00000000-0005-0000-0000-0000F84A0000}"/>
    <cellStyle name="60% - uthevingsfarge 6 12 2 2 3 3" xfId="44003" xr:uid="{00000000-0005-0000-0000-0000F94A0000}"/>
    <cellStyle name="60% - uthevingsfarge 6 12 2 2_Avviksanalyse løpende RNB15 (1)" xfId="16690" xr:uid="{00000000-0005-0000-0000-0000FA4A0000}"/>
    <cellStyle name="60% - uthevingsfarge 6 12 3" xfId="11392" xr:uid="{00000000-0005-0000-0000-0000FB4A0000}"/>
    <cellStyle name="60% - uthevingsfarge 6 12 4" xfId="11140" xr:uid="{00000000-0005-0000-0000-0000FC4A0000}"/>
    <cellStyle name="60% - uthevingsfarge 6 12 5" xfId="21062" xr:uid="{00000000-0005-0000-0000-0000FD4A0000}"/>
    <cellStyle name="60% - uthevingsfarge 6 12 6" xfId="24799" xr:uid="{00000000-0005-0000-0000-0000FE4A0000}"/>
    <cellStyle name="60% - uthevingsfarge 6 12 7" xfId="24952" xr:uid="{00000000-0005-0000-0000-0000FF4A0000}"/>
    <cellStyle name="60% - uthevingsfarge 6 12 8" xfId="25194" xr:uid="{00000000-0005-0000-0000-0000004B0000}"/>
    <cellStyle name="60% - uthevingsfarge 6 12 9" xfId="24758" xr:uid="{00000000-0005-0000-0000-0000014B0000}"/>
    <cellStyle name="60% - uthevingsfarge 6 13" xfId="3455" xr:uid="{00000000-0005-0000-0000-0000024B0000}"/>
    <cellStyle name="60% - uthevingsfarge 6 13 2" xfId="11395" xr:uid="{00000000-0005-0000-0000-0000034B0000}"/>
    <cellStyle name="60% - uthevingsfarge 6 14" xfId="11396" xr:uid="{00000000-0005-0000-0000-0000044B0000}"/>
    <cellStyle name="60% - uthevingsfarge 6 15" xfId="40964" xr:uid="{00000000-0005-0000-0000-0000054B0000}"/>
    <cellStyle name="60% - uthevingsfarge 6 16" xfId="43162" xr:uid="{00000000-0005-0000-0000-0000064B0000}"/>
    <cellStyle name="60% - uthevingsfarge 6 17" xfId="40914" xr:uid="{00000000-0005-0000-0000-0000074B0000}"/>
    <cellStyle name="60% - uthevingsfarge 6 18" xfId="40926" xr:uid="{00000000-0005-0000-0000-0000084B0000}"/>
    <cellStyle name="60% - uthevingsfarge 6 19" xfId="43186" xr:uid="{00000000-0005-0000-0000-0000094B0000}"/>
    <cellStyle name="60% - uthevingsfarge 6 2" xfId="1073" xr:uid="{00000000-0005-0000-0000-00000A4B0000}"/>
    <cellStyle name="60% - uthevingsfarge 6 2 2" xfId="11397" xr:uid="{00000000-0005-0000-0000-00000B4B0000}"/>
    <cellStyle name="60% - uthevingsfarge 6 2 3" xfId="11398" xr:uid="{00000000-0005-0000-0000-00000C4B0000}"/>
    <cellStyle name="60% - uthevingsfarge 6 2 4" xfId="11399" xr:uid="{00000000-0005-0000-0000-00000D4B0000}"/>
    <cellStyle name="60% - uthevingsfarge 6 2 5" xfId="11400" xr:uid="{00000000-0005-0000-0000-00000E4B0000}"/>
    <cellStyle name="60% - uthevingsfarge 6 2 6" xfId="11401" xr:uid="{00000000-0005-0000-0000-00000F4B0000}"/>
    <cellStyle name="60% - uthevingsfarge 6 2 7" xfId="11402" xr:uid="{00000000-0005-0000-0000-0000104B0000}"/>
    <cellStyle name="60% - uthevingsfarge 6 2 8" xfId="11403" xr:uid="{00000000-0005-0000-0000-0000114B0000}"/>
    <cellStyle name="60% - uthevingsfarge 6 2 9" xfId="11404" xr:uid="{00000000-0005-0000-0000-0000124B0000}"/>
    <cellStyle name="60% - uthevingsfarge 6 20" xfId="40885" xr:uid="{00000000-0005-0000-0000-0000134B0000}"/>
    <cellStyle name="60% - uthevingsfarge 6 21" xfId="40827" xr:uid="{00000000-0005-0000-0000-0000144B0000}"/>
    <cellStyle name="60% - uthevingsfarge 6 22" xfId="43225" xr:uid="{00000000-0005-0000-0000-0000154B0000}"/>
    <cellStyle name="60% - uthevingsfarge 6 23" xfId="43439" xr:uid="{00000000-0005-0000-0000-0000164B0000}"/>
    <cellStyle name="60% - uthevingsfarge 6 24" xfId="46097" xr:uid="{00000000-0005-0000-0000-0000174B0000}"/>
    <cellStyle name="60% - uthevingsfarge 6 25" xfId="43666" xr:uid="{00000000-0005-0000-0000-0000184B0000}"/>
    <cellStyle name="60% - uthevingsfarge 6 26" xfId="43667" xr:uid="{00000000-0005-0000-0000-0000194B0000}"/>
    <cellStyle name="60% - uthevingsfarge 6 27" xfId="46327" xr:uid="{00000000-0005-0000-0000-00001A4B0000}"/>
    <cellStyle name="60% - uthevingsfarge 6 28" xfId="46584" xr:uid="{00000000-0005-0000-0000-00001B4B0000}"/>
    <cellStyle name="60% - uthevingsfarge 6 29" xfId="46800" xr:uid="{00000000-0005-0000-0000-00001C4B0000}"/>
    <cellStyle name="60% - uthevingsfarge 6 3" xfId="1074" xr:uid="{00000000-0005-0000-0000-00001D4B0000}"/>
    <cellStyle name="60% - uthevingsfarge 6 30" xfId="46356" xr:uid="{00000000-0005-0000-0000-00001E4B0000}"/>
    <cellStyle name="60% - uthevingsfarge 6 31" xfId="46385" xr:uid="{00000000-0005-0000-0000-00001F4B0000}"/>
    <cellStyle name="60% - uthevingsfarge 6 32" xfId="46409" xr:uid="{00000000-0005-0000-0000-0000204B0000}"/>
    <cellStyle name="60% - uthevingsfarge 6 4" xfId="1075" xr:uid="{00000000-0005-0000-0000-0000214B0000}"/>
    <cellStyle name="60% - uthevingsfarge 6 5" xfId="1076" xr:uid="{00000000-0005-0000-0000-0000224B0000}"/>
    <cellStyle name="60% - uthevingsfarge 6 6" xfId="1077" xr:uid="{00000000-0005-0000-0000-0000234B0000}"/>
    <cellStyle name="60% - uthevingsfarge 6 7" xfId="1078" xr:uid="{00000000-0005-0000-0000-0000244B0000}"/>
    <cellStyle name="60% - uthevingsfarge 6 8" xfId="1079" xr:uid="{00000000-0005-0000-0000-0000254B0000}"/>
    <cellStyle name="60% - uthevingsfarge 6 8 2" xfId="1080" xr:uid="{00000000-0005-0000-0000-0000264B0000}"/>
    <cellStyle name="60% - uthevingsfarge 6 8 3" xfId="11405" xr:uid="{00000000-0005-0000-0000-0000274B0000}"/>
    <cellStyle name="60% - uthevingsfarge 6 8 3 2" xfId="11406" xr:uid="{00000000-0005-0000-0000-0000284B0000}"/>
    <cellStyle name="60% - uthevingsfarge 6 8 3 2 2" xfId="18088" xr:uid="{00000000-0005-0000-0000-0000294B0000}"/>
    <cellStyle name="60% - uthevingsfarge 6 8 3 2 3" xfId="16342" xr:uid="{00000000-0005-0000-0000-00002A4B0000}"/>
    <cellStyle name="60% - uthevingsfarge 6 8 3 2 3 2" xfId="25366" xr:uid="{00000000-0005-0000-0000-00002B4B0000}"/>
    <cellStyle name="60% - uthevingsfarge 6 8 3 2 3 2 2" xfId="42897" xr:uid="{00000000-0005-0000-0000-00002C4B0000}"/>
    <cellStyle name="60% - uthevingsfarge 6 8 3 2 3 3" xfId="44004" xr:uid="{00000000-0005-0000-0000-00002D4B0000}"/>
    <cellStyle name="60% - uthevingsfarge 6 8 3 2_Avviksanalyse løpende RNB15 (1)" xfId="16691" xr:uid="{00000000-0005-0000-0000-00002E4B0000}"/>
    <cellStyle name="60% - uthevingsfarge 6 9" xfId="1081" xr:uid="{00000000-0005-0000-0000-00002F4B0000}"/>
    <cellStyle name="60% - uthevingsfarge 6 9 10" xfId="24766" xr:uid="{00000000-0005-0000-0000-0000304B0000}"/>
    <cellStyle name="60% - uthevingsfarge 6 9 2" xfId="11408" xr:uid="{00000000-0005-0000-0000-0000314B0000}"/>
    <cellStyle name="60% - uthevingsfarge 6 9 2 2" xfId="11409" xr:uid="{00000000-0005-0000-0000-0000324B0000}"/>
    <cellStyle name="60% - uthevingsfarge 6 9 2 2 2" xfId="18089" xr:uid="{00000000-0005-0000-0000-0000334B0000}"/>
    <cellStyle name="60% - uthevingsfarge 6 9 2 2 3" xfId="16343" xr:uid="{00000000-0005-0000-0000-0000344B0000}"/>
    <cellStyle name="60% - uthevingsfarge 6 9 2 2 3 2" xfId="25367" xr:uid="{00000000-0005-0000-0000-0000354B0000}"/>
    <cellStyle name="60% - uthevingsfarge 6 9 2 2 3 2 2" xfId="42898" xr:uid="{00000000-0005-0000-0000-0000364B0000}"/>
    <cellStyle name="60% - uthevingsfarge 6 9 2 2 3 3" xfId="44005" xr:uid="{00000000-0005-0000-0000-0000374B0000}"/>
    <cellStyle name="60% - uthevingsfarge 6 9 2 2_Avviksanalyse løpende RNB15 (1)" xfId="16692" xr:uid="{00000000-0005-0000-0000-0000384B0000}"/>
    <cellStyle name="60% - uthevingsfarge 6 9 3" xfId="11407" xr:uid="{00000000-0005-0000-0000-0000394B0000}"/>
    <cellStyle name="60% - uthevingsfarge 6 9 4" xfId="11139" xr:uid="{00000000-0005-0000-0000-00003A4B0000}"/>
    <cellStyle name="60% - uthevingsfarge 6 9 5" xfId="21054" xr:uid="{00000000-0005-0000-0000-00003B4B0000}"/>
    <cellStyle name="60% - uthevingsfarge 6 9 6" xfId="24801" xr:uid="{00000000-0005-0000-0000-00003C4B0000}"/>
    <cellStyle name="60% - uthevingsfarge 6 9 7" xfId="25214" xr:uid="{00000000-0005-0000-0000-00003D4B0000}"/>
    <cellStyle name="60% - uthevingsfarge 6 9 8" xfId="24881" xr:uid="{00000000-0005-0000-0000-00003E4B0000}"/>
    <cellStyle name="60% - uthevingsfarge 6 9 9" xfId="24888" xr:uid="{00000000-0005-0000-0000-00003F4B0000}"/>
    <cellStyle name="Accent1" xfId="4083" xr:uid="{00000000-0005-0000-0000-0000404B0000}"/>
    <cellStyle name="Accent1 2" xfId="1006" xr:uid="{00000000-0005-0000-0000-0000414B0000}"/>
    <cellStyle name="Accent1 3" xfId="4588" xr:uid="{00000000-0005-0000-0000-0000424B0000}"/>
    <cellStyle name="Accent2" xfId="4087" xr:uid="{00000000-0005-0000-0000-0000434B0000}"/>
    <cellStyle name="Accent2 2" xfId="1002" xr:uid="{00000000-0005-0000-0000-0000444B0000}"/>
    <cellStyle name="Accent2 3" xfId="4589" xr:uid="{00000000-0005-0000-0000-0000454B0000}"/>
    <cellStyle name="Accent3" xfId="4091" xr:uid="{00000000-0005-0000-0000-0000464B0000}"/>
    <cellStyle name="Accent3 2" xfId="636" xr:uid="{00000000-0005-0000-0000-0000474B0000}"/>
    <cellStyle name="Accent3 3" xfId="4590" xr:uid="{00000000-0005-0000-0000-0000484B0000}"/>
    <cellStyle name="Accent4" xfId="4095" xr:uid="{00000000-0005-0000-0000-0000494B0000}"/>
    <cellStyle name="Accent4 2" xfId="254" xr:uid="{00000000-0005-0000-0000-00004A4B0000}"/>
    <cellStyle name="Accent4 3" xfId="4591" xr:uid="{00000000-0005-0000-0000-00004B4B0000}"/>
    <cellStyle name="Accent5" xfId="4099" xr:uid="{00000000-0005-0000-0000-00004C4B0000}"/>
    <cellStyle name="Accent5 2" xfId="178" xr:uid="{00000000-0005-0000-0000-00004D4B0000}"/>
    <cellStyle name="Accent5 3" xfId="4592" xr:uid="{00000000-0005-0000-0000-00004E4B0000}"/>
    <cellStyle name="Accent6" xfId="4103" xr:uid="{00000000-0005-0000-0000-00004F4B0000}"/>
    <cellStyle name="Accent6 2" xfId="3646" xr:uid="{00000000-0005-0000-0000-0000504B0000}"/>
    <cellStyle name="Accent6 3" xfId="4593" xr:uid="{00000000-0005-0000-0000-0000514B0000}"/>
    <cellStyle name="Bad" xfId="4077" xr:uid="{00000000-0005-0000-0000-0000524B0000}"/>
    <cellStyle name="Bad 2" xfId="1156" xr:uid="{00000000-0005-0000-0000-0000534B0000}"/>
    <cellStyle name="Bad 3" xfId="4594" xr:uid="{00000000-0005-0000-0000-0000544B0000}"/>
    <cellStyle name="Beregning" xfId="40828" builtinId="22" customBuiltin="1"/>
    <cellStyle name="Beregning 10" xfId="1088" xr:uid="{00000000-0005-0000-0000-0000554B0000}"/>
    <cellStyle name="Beregning 10 10" xfId="25168" xr:uid="{00000000-0005-0000-0000-0000564B0000}"/>
    <cellStyle name="Beregning 10 2" xfId="11411" xr:uid="{00000000-0005-0000-0000-0000574B0000}"/>
    <cellStyle name="Beregning 10 2 2" xfId="11412" xr:uid="{00000000-0005-0000-0000-0000584B0000}"/>
    <cellStyle name="Beregning 10 2 2 2" xfId="18090" xr:uid="{00000000-0005-0000-0000-0000594B0000}"/>
    <cellStyle name="Beregning 10 2 2 3" xfId="16344" xr:uid="{00000000-0005-0000-0000-00005A4B0000}"/>
    <cellStyle name="Beregning 10 2 2 3 2" xfId="25368" xr:uid="{00000000-0005-0000-0000-00005B4B0000}"/>
    <cellStyle name="Beregning 10 2 2 3 2 2" xfId="42899" xr:uid="{00000000-0005-0000-0000-00005C4B0000}"/>
    <cellStyle name="Beregning 10 2 2 3 3" xfId="44006" xr:uid="{00000000-0005-0000-0000-00005D4B0000}"/>
    <cellStyle name="Beregning 10 2 2_Avviksanalyse løpende RNB15 (1)" xfId="16693" xr:uid="{00000000-0005-0000-0000-00005E4B0000}"/>
    <cellStyle name="Beregning 10 3" xfId="11410" xr:uid="{00000000-0005-0000-0000-00005F4B0000}"/>
    <cellStyle name="Beregning 10 4" xfId="11135" xr:uid="{00000000-0005-0000-0000-0000604B0000}"/>
    <cellStyle name="Beregning 10 5" xfId="24344" xr:uid="{00000000-0005-0000-0000-0000614B0000}"/>
    <cellStyle name="Beregning 10 6" xfId="24802" xr:uid="{00000000-0005-0000-0000-0000624B0000}"/>
    <cellStyle name="Beregning 10 7" xfId="25223" xr:uid="{00000000-0005-0000-0000-0000634B0000}"/>
    <cellStyle name="Beregning 10 8" xfId="24745" xr:uid="{00000000-0005-0000-0000-0000644B0000}"/>
    <cellStyle name="Beregning 10 9" xfId="25186" xr:uid="{00000000-0005-0000-0000-0000654B0000}"/>
    <cellStyle name="Beregning 11" xfId="1089" xr:uid="{00000000-0005-0000-0000-0000664B0000}"/>
    <cellStyle name="Beregning 11 10" xfId="25228" xr:uid="{00000000-0005-0000-0000-0000674B0000}"/>
    <cellStyle name="Beregning 11 2" xfId="4417" xr:uid="{00000000-0005-0000-0000-0000684B0000}"/>
    <cellStyle name="Beregning 11 2 2" xfId="11415" xr:uid="{00000000-0005-0000-0000-0000694B0000}"/>
    <cellStyle name="Beregning 11 2 2 2" xfId="18091" xr:uid="{00000000-0005-0000-0000-00006A4B0000}"/>
    <cellStyle name="Beregning 11 2 2 3" xfId="16345" xr:uid="{00000000-0005-0000-0000-00006B4B0000}"/>
    <cellStyle name="Beregning 11 2 2 3 2" xfId="25369" xr:uid="{00000000-0005-0000-0000-00006C4B0000}"/>
    <cellStyle name="Beregning 11 2 2 3 2 2" xfId="42900" xr:uid="{00000000-0005-0000-0000-00006D4B0000}"/>
    <cellStyle name="Beregning 11 2 2 3 3" xfId="44007" xr:uid="{00000000-0005-0000-0000-00006E4B0000}"/>
    <cellStyle name="Beregning 11 2 2_Avviksanalyse løpende RNB15 (1)" xfId="16694" xr:uid="{00000000-0005-0000-0000-00006F4B0000}"/>
    <cellStyle name="Beregning 11 2 3" xfId="11414" xr:uid="{00000000-0005-0000-0000-0000704B0000}"/>
    <cellStyle name="Beregning 11 3" xfId="4374" xr:uid="{00000000-0005-0000-0000-0000714B0000}"/>
    <cellStyle name="Beregning 11 4" xfId="11413" xr:uid="{00000000-0005-0000-0000-0000724B0000}"/>
    <cellStyle name="Beregning 11 5" xfId="11134" xr:uid="{00000000-0005-0000-0000-0000734B0000}"/>
    <cellStyle name="Beregning 11 6" xfId="24654" xr:uid="{00000000-0005-0000-0000-0000744B0000}"/>
    <cellStyle name="Beregning 11 7" xfId="24803" xr:uid="{00000000-0005-0000-0000-0000754B0000}"/>
    <cellStyle name="Beregning 11 8" xfId="24989" xr:uid="{00000000-0005-0000-0000-0000764B0000}"/>
    <cellStyle name="Beregning 11 9" xfId="25227" xr:uid="{00000000-0005-0000-0000-0000774B0000}"/>
    <cellStyle name="Beregning 12" xfId="1090" xr:uid="{00000000-0005-0000-0000-0000784B0000}"/>
    <cellStyle name="Beregning 12 10" xfId="24966" xr:uid="{00000000-0005-0000-0000-0000794B0000}"/>
    <cellStyle name="Beregning 12 2" xfId="11417" xr:uid="{00000000-0005-0000-0000-00007A4B0000}"/>
    <cellStyle name="Beregning 12 2 2" xfId="11418" xr:uid="{00000000-0005-0000-0000-00007B4B0000}"/>
    <cellStyle name="Beregning 12 2 2 2" xfId="18092" xr:uid="{00000000-0005-0000-0000-00007C4B0000}"/>
    <cellStyle name="Beregning 12 2 2 3" xfId="16346" xr:uid="{00000000-0005-0000-0000-00007D4B0000}"/>
    <cellStyle name="Beregning 12 2 2 3 2" xfId="25370" xr:uid="{00000000-0005-0000-0000-00007E4B0000}"/>
    <cellStyle name="Beregning 12 2 2 3 2 2" xfId="42901" xr:uid="{00000000-0005-0000-0000-00007F4B0000}"/>
    <cellStyle name="Beregning 12 2 2 3 3" xfId="44008" xr:uid="{00000000-0005-0000-0000-0000804B0000}"/>
    <cellStyle name="Beregning 12 2 2_Avviksanalyse løpende RNB15 (1)" xfId="16695" xr:uid="{00000000-0005-0000-0000-0000814B0000}"/>
    <cellStyle name="Beregning 12 3" xfId="11416" xr:uid="{00000000-0005-0000-0000-0000824B0000}"/>
    <cellStyle name="Beregning 12 4" xfId="11133" xr:uid="{00000000-0005-0000-0000-0000834B0000}"/>
    <cellStyle name="Beregning 12 5" xfId="23341" xr:uid="{00000000-0005-0000-0000-0000844B0000}"/>
    <cellStyle name="Beregning 12 6" xfId="24804" xr:uid="{00000000-0005-0000-0000-0000854B0000}"/>
    <cellStyle name="Beregning 12 7" xfId="24912" xr:uid="{00000000-0005-0000-0000-0000864B0000}"/>
    <cellStyle name="Beregning 12 8" xfId="24771" xr:uid="{00000000-0005-0000-0000-0000874B0000}"/>
    <cellStyle name="Beregning 12 9" xfId="24925" xr:uid="{00000000-0005-0000-0000-0000884B0000}"/>
    <cellStyle name="Beregning 13" xfId="1091" xr:uid="{00000000-0005-0000-0000-0000894B0000}"/>
    <cellStyle name="Beregning 13 10" xfId="24999" xr:uid="{00000000-0005-0000-0000-00008A4B0000}"/>
    <cellStyle name="Beregning 13 2" xfId="11420" xr:uid="{00000000-0005-0000-0000-00008B4B0000}"/>
    <cellStyle name="Beregning 13 2 2" xfId="11421" xr:uid="{00000000-0005-0000-0000-00008C4B0000}"/>
    <cellStyle name="Beregning 13 2 2 2" xfId="18093" xr:uid="{00000000-0005-0000-0000-00008D4B0000}"/>
    <cellStyle name="Beregning 13 2 2 3" xfId="16347" xr:uid="{00000000-0005-0000-0000-00008E4B0000}"/>
    <cellStyle name="Beregning 13 2 2 3 2" xfId="25371" xr:uid="{00000000-0005-0000-0000-00008F4B0000}"/>
    <cellStyle name="Beregning 13 2 2 3 2 2" xfId="42902" xr:uid="{00000000-0005-0000-0000-0000904B0000}"/>
    <cellStyle name="Beregning 13 2 2 3 3" xfId="44009" xr:uid="{00000000-0005-0000-0000-0000914B0000}"/>
    <cellStyle name="Beregning 13 2 2_Avviksanalyse løpende RNB15 (1)" xfId="16696" xr:uid="{00000000-0005-0000-0000-0000924B0000}"/>
    <cellStyle name="Beregning 13 3" xfId="11419" xr:uid="{00000000-0005-0000-0000-0000934B0000}"/>
    <cellStyle name="Beregning 13 4" xfId="11127" xr:uid="{00000000-0005-0000-0000-0000944B0000}"/>
    <cellStyle name="Beregning 13 5" xfId="21049" xr:uid="{00000000-0005-0000-0000-0000954B0000}"/>
    <cellStyle name="Beregning 13 6" xfId="24805" xr:uid="{00000000-0005-0000-0000-0000964B0000}"/>
    <cellStyle name="Beregning 13 7" xfId="25213" xr:uid="{00000000-0005-0000-0000-0000974B0000}"/>
    <cellStyle name="Beregning 13 8" xfId="24882" xr:uid="{00000000-0005-0000-0000-0000984B0000}"/>
    <cellStyle name="Beregning 13 9" xfId="24757" xr:uid="{00000000-0005-0000-0000-0000994B0000}"/>
    <cellStyle name="Beregning 14" xfId="3429" xr:uid="{00000000-0005-0000-0000-00009A4B0000}"/>
    <cellStyle name="Beregning 14 2" xfId="11422" xr:uid="{00000000-0005-0000-0000-00009B4B0000}"/>
    <cellStyle name="Beregning 15" xfId="40937" xr:uid="{00000000-0005-0000-0000-00009C4B0000}"/>
    <cellStyle name="Beregning 16" xfId="40785" xr:uid="{00000000-0005-0000-0000-00009D4B0000}"/>
    <cellStyle name="Beregning 17" xfId="40893" xr:uid="{00000000-0005-0000-0000-00009E4B0000}"/>
    <cellStyle name="Beregning 18" xfId="40820" xr:uid="{00000000-0005-0000-0000-00009F4B0000}"/>
    <cellStyle name="Beregning 19" xfId="40863" xr:uid="{00000000-0005-0000-0000-0000A04B0000}"/>
    <cellStyle name="Beregning 2" xfId="1092" xr:uid="{00000000-0005-0000-0000-0000A14B0000}"/>
    <cellStyle name="Beregning 2 2" xfId="1093" xr:uid="{00000000-0005-0000-0000-0000A24B0000}"/>
    <cellStyle name="Beregning 2 3" xfId="11423" xr:uid="{00000000-0005-0000-0000-0000A34B0000}"/>
    <cellStyle name="Beregning 2 4" xfId="11424" xr:uid="{00000000-0005-0000-0000-0000A44B0000}"/>
    <cellStyle name="Beregning 2 5" xfId="11425" xr:uid="{00000000-0005-0000-0000-0000A54B0000}"/>
    <cellStyle name="Beregning 2 6" xfId="11426" xr:uid="{00000000-0005-0000-0000-0000A64B0000}"/>
    <cellStyle name="Beregning 2 7" xfId="11427" xr:uid="{00000000-0005-0000-0000-0000A74B0000}"/>
    <cellStyle name="Beregning 2 8" xfId="11428" xr:uid="{00000000-0005-0000-0000-0000A84B0000}"/>
    <cellStyle name="Beregning 2 9" xfId="11429" xr:uid="{00000000-0005-0000-0000-0000A94B0000}"/>
    <cellStyle name="Beregning 20" xfId="40845" xr:uid="{00000000-0005-0000-0000-0000AA4B0000}"/>
    <cellStyle name="Beregning 21" xfId="40851" xr:uid="{00000000-0005-0000-0000-0000AB4B0000}"/>
    <cellStyle name="Beregning 22" xfId="43198" xr:uid="{00000000-0005-0000-0000-0000AC4B0000}"/>
    <cellStyle name="Beregning 23" xfId="43412" xr:uid="{00000000-0005-0000-0000-0000AD4B0000}"/>
    <cellStyle name="Beregning 24" xfId="46249" xr:uid="{00000000-0005-0000-0000-0000AE4B0000}"/>
    <cellStyle name="Beregning 25" xfId="44531" xr:uid="{00000000-0005-0000-0000-0000AF4B0000}"/>
    <cellStyle name="Beregning 26" xfId="43668" xr:uid="{00000000-0005-0000-0000-0000B04B0000}"/>
    <cellStyle name="Beregning 27" xfId="46300" xr:uid="{00000000-0005-0000-0000-0000B14B0000}"/>
    <cellStyle name="Beregning 28" xfId="46566" xr:uid="{00000000-0005-0000-0000-0000B24B0000}"/>
    <cellStyle name="Beregning 29" xfId="46561" xr:uid="{00000000-0005-0000-0000-0000B34B0000}"/>
    <cellStyle name="Beregning 3" xfId="1094" xr:uid="{00000000-0005-0000-0000-0000B44B0000}"/>
    <cellStyle name="Beregning 3 2" xfId="1095" xr:uid="{00000000-0005-0000-0000-0000B54B0000}"/>
    <cellStyle name="Beregning 30" xfId="46797" xr:uid="{00000000-0005-0000-0000-0000B64B0000}"/>
    <cellStyle name="Beregning 31" xfId="46360" xr:uid="{00000000-0005-0000-0000-0000B74B0000}"/>
    <cellStyle name="Beregning 32" xfId="46410" xr:uid="{00000000-0005-0000-0000-0000B84B0000}"/>
    <cellStyle name="Beregning 4" xfId="1096" xr:uid="{00000000-0005-0000-0000-0000B94B0000}"/>
    <cellStyle name="Beregning 4 2" xfId="1097" xr:uid="{00000000-0005-0000-0000-0000BA4B0000}"/>
    <cellStyle name="Beregning 5" xfId="1098" xr:uid="{00000000-0005-0000-0000-0000BB4B0000}"/>
    <cellStyle name="Beregning 6" xfId="1099" xr:uid="{00000000-0005-0000-0000-0000BC4B0000}"/>
    <cellStyle name="Beregning 7" xfId="1100" xr:uid="{00000000-0005-0000-0000-0000BD4B0000}"/>
    <cellStyle name="Beregning 8" xfId="1101" xr:uid="{00000000-0005-0000-0000-0000BE4B0000}"/>
    <cellStyle name="Beregning 9" xfId="1102" xr:uid="{00000000-0005-0000-0000-0000BF4B0000}"/>
    <cellStyle name="Beregning 9 2" xfId="1103" xr:uid="{00000000-0005-0000-0000-0000C04B0000}"/>
    <cellStyle name="Beregning 9 3" xfId="11431" xr:uid="{00000000-0005-0000-0000-0000C14B0000}"/>
    <cellStyle name="Beregning 9 3 2" xfId="11432" xr:uid="{00000000-0005-0000-0000-0000C24B0000}"/>
    <cellStyle name="Beregning 9 3 2 2" xfId="18094" xr:uid="{00000000-0005-0000-0000-0000C34B0000}"/>
    <cellStyle name="Beregning 9 3 2 3" xfId="16348" xr:uid="{00000000-0005-0000-0000-0000C44B0000}"/>
    <cellStyle name="Beregning 9 3 2 3 2" xfId="25372" xr:uid="{00000000-0005-0000-0000-0000C54B0000}"/>
    <cellStyle name="Beregning 9 3 2 3 2 2" xfId="42903" xr:uid="{00000000-0005-0000-0000-0000C64B0000}"/>
    <cellStyle name="Beregning 9 3 2 3 3" xfId="44010" xr:uid="{00000000-0005-0000-0000-0000C74B0000}"/>
    <cellStyle name="Beregning 9 3 2_Avviksanalyse løpende RNB15 (1)" xfId="16697" xr:uid="{00000000-0005-0000-0000-0000C84B0000}"/>
    <cellStyle name="C01_Main head" xfId="1104" xr:uid="{00000000-0005-0000-0000-0000C94B0000}"/>
    <cellStyle name="C02_Column heads" xfId="1105" xr:uid="{00000000-0005-0000-0000-0000CA4B0000}"/>
    <cellStyle name="C03_Sub head bold" xfId="1106" xr:uid="{00000000-0005-0000-0000-0000CB4B0000}"/>
    <cellStyle name="C03a_Sub head" xfId="1107" xr:uid="{00000000-0005-0000-0000-0000CC4B0000}"/>
    <cellStyle name="C04_Total text white bold" xfId="1108" xr:uid="{00000000-0005-0000-0000-0000CD4B0000}"/>
    <cellStyle name="C04a_Total text black with rule" xfId="1109" xr:uid="{00000000-0005-0000-0000-0000CE4B0000}"/>
    <cellStyle name="C05_Main text" xfId="1110" xr:uid="{00000000-0005-0000-0000-0000CF4B0000}"/>
    <cellStyle name="C06_Figs" xfId="1111" xr:uid="{00000000-0005-0000-0000-0000D04B0000}"/>
    <cellStyle name="C07_Figs 1 dec percent" xfId="1112" xr:uid="{00000000-0005-0000-0000-0000D14B0000}"/>
    <cellStyle name="C08_Figs 1 decimal" xfId="1113" xr:uid="{00000000-0005-0000-0000-0000D24B0000}"/>
    <cellStyle name="C09_Notes" xfId="1114" xr:uid="{00000000-0005-0000-0000-0000D34B0000}"/>
    <cellStyle name="Calculation 2" xfId="1116" xr:uid="{00000000-0005-0000-0000-0000D54B0000}"/>
    <cellStyle name="Calculation 3" xfId="1180" xr:uid="{00000000-0005-0000-0000-0000D64B0000}"/>
    <cellStyle name="Check Cell" xfId="4080" xr:uid="{00000000-0005-0000-0000-0000D74B0000}"/>
    <cellStyle name="Check Cell 2" xfId="1161" xr:uid="{00000000-0005-0000-0000-0000D84B0000}"/>
    <cellStyle name="Check Cell 3" xfId="4595" xr:uid="{00000000-0005-0000-0000-0000D94B0000}"/>
    <cellStyle name="Comma 10" xfId="47695" xr:uid="{00000000-0005-0000-0000-0000DB4B0000}"/>
    <cellStyle name="Comma 11" xfId="47701" xr:uid="{00000000-0005-0000-0000-0000DC4B0000}"/>
    <cellStyle name="Comma 12" xfId="47706" xr:uid="{00000000-0005-0000-0000-0000DD4B0000}"/>
    <cellStyle name="Comma 2" xfId="1084" xr:uid="{00000000-0005-0000-0000-0000DE4B0000}"/>
    <cellStyle name="Comma 2 2" xfId="5371" xr:uid="{00000000-0005-0000-0000-0000DF4B0000}"/>
    <cellStyle name="Comma 2 2 2" xfId="8786" xr:uid="{00000000-0005-0000-0000-0000E04B0000}"/>
    <cellStyle name="Comma 2 2 2 2" xfId="11769" xr:uid="{00000000-0005-0000-0000-0000E14B0000}"/>
    <cellStyle name="Comma 2 2 2 2 2" xfId="34860" xr:uid="{00000000-0005-0000-0000-0000E24B0000}"/>
    <cellStyle name="Comma 2 2 2 3" xfId="29012" xr:uid="{00000000-0005-0000-0000-0000E34B0000}"/>
    <cellStyle name="Comma 2 2 3" xfId="19817" xr:uid="{00000000-0005-0000-0000-0000E44B0000}"/>
    <cellStyle name="Comma 2 2 3 2" xfId="35930" xr:uid="{00000000-0005-0000-0000-0000E54B0000}"/>
    <cellStyle name="Comma 2 2 4" xfId="32403" xr:uid="{00000000-0005-0000-0000-0000E64B0000}"/>
    <cellStyle name="Comma 2 3" xfId="6968" xr:uid="{00000000-0005-0000-0000-0000E74B0000}"/>
    <cellStyle name="Comma 2 3 2" xfId="23122" xr:uid="{00000000-0005-0000-0000-0000E84B0000}"/>
    <cellStyle name="Comma 2 3 2 2" xfId="39191" xr:uid="{00000000-0005-0000-0000-0000E94B0000}"/>
    <cellStyle name="Comma 2 3 3" xfId="30830" xr:uid="{00000000-0005-0000-0000-0000EA4B0000}"/>
    <cellStyle name="Comma 2 4" xfId="12870" xr:uid="{00000000-0005-0000-0000-0000EB4B0000}"/>
    <cellStyle name="Comma 2 4 2" xfId="35299" xr:uid="{00000000-0005-0000-0000-0000EC4B0000}"/>
    <cellStyle name="Comma 2 5" xfId="34218" xr:uid="{00000000-0005-0000-0000-0000ED4B0000}"/>
    <cellStyle name="Comma 3" xfId="4497" xr:uid="{00000000-0005-0000-0000-0000EE4B0000}"/>
    <cellStyle name="Comma 3 2" xfId="6289" xr:uid="{00000000-0005-0000-0000-0000EF4B0000}"/>
    <cellStyle name="Comma 3 2 2" xfId="9699" xr:uid="{00000000-0005-0000-0000-0000F04B0000}"/>
    <cellStyle name="Comma 3 2 2 2" xfId="24551" xr:uid="{00000000-0005-0000-0000-0000F14B0000}"/>
    <cellStyle name="Comma 3 2 2 2 2" xfId="40595" xr:uid="{00000000-0005-0000-0000-0000F24B0000}"/>
    <cellStyle name="Comma 3 2 2 3" xfId="28100" xr:uid="{00000000-0005-0000-0000-0000F34B0000}"/>
    <cellStyle name="Comma 3 2 3" xfId="23011" xr:uid="{00000000-0005-0000-0000-0000F44B0000}"/>
    <cellStyle name="Comma 3 2 3 2" xfId="39080" xr:uid="{00000000-0005-0000-0000-0000F54B0000}"/>
    <cellStyle name="Comma 3 2 4" xfId="31501" xr:uid="{00000000-0005-0000-0000-0000F64B0000}"/>
    <cellStyle name="Comma 3 3" xfId="7995" xr:uid="{00000000-0005-0000-0000-0000F74B0000}"/>
    <cellStyle name="Comma 3 3 2" xfId="19457" xr:uid="{00000000-0005-0000-0000-0000F84B0000}"/>
    <cellStyle name="Comma 3 3 2 2" xfId="35571" xr:uid="{00000000-0005-0000-0000-0000F94B0000}"/>
    <cellStyle name="Comma 3 3 3" xfId="29803" xr:uid="{00000000-0005-0000-0000-0000FA4B0000}"/>
    <cellStyle name="Comma 3 4" xfId="19659" xr:uid="{00000000-0005-0000-0000-0000FB4B0000}"/>
    <cellStyle name="Comma 3 4 2" xfId="35773" xr:uid="{00000000-0005-0000-0000-0000FC4B0000}"/>
    <cellStyle name="Comma 3 5" xfId="33194" xr:uid="{00000000-0005-0000-0000-0000FD4B0000}"/>
    <cellStyle name="Comma 4" xfId="4555" xr:uid="{00000000-0005-0000-0000-0000FE4B0000}"/>
    <cellStyle name="Comma 4 2" xfId="6346" xr:uid="{00000000-0005-0000-0000-0000FF4B0000}"/>
    <cellStyle name="Comma 4 2 2" xfId="9756" xr:uid="{00000000-0005-0000-0000-0000004C0000}"/>
    <cellStyle name="Comma 4 2 2 2" xfId="21473" xr:uid="{00000000-0005-0000-0000-0000014C0000}"/>
    <cellStyle name="Comma 4 2 2 2 2" xfId="37553" xr:uid="{00000000-0005-0000-0000-0000024C0000}"/>
    <cellStyle name="Comma 4 2 2 3" xfId="28043" xr:uid="{00000000-0005-0000-0000-0000034C0000}"/>
    <cellStyle name="Comma 4 2 3" xfId="22343" xr:uid="{00000000-0005-0000-0000-0000044C0000}"/>
    <cellStyle name="Comma 4 2 3 2" xfId="38415" xr:uid="{00000000-0005-0000-0000-0000054C0000}"/>
    <cellStyle name="Comma 4 2 4" xfId="31444" xr:uid="{00000000-0005-0000-0000-0000064C0000}"/>
    <cellStyle name="Comma 4 3" xfId="8052" xr:uid="{00000000-0005-0000-0000-0000074C0000}"/>
    <cellStyle name="Comma 4 3 2" xfId="20985" xr:uid="{00000000-0005-0000-0000-0000084C0000}"/>
    <cellStyle name="Comma 4 3 2 2" xfId="37081" xr:uid="{00000000-0005-0000-0000-0000094C0000}"/>
    <cellStyle name="Comma 4 3 3" xfId="29746" xr:uid="{00000000-0005-0000-0000-00000A4C0000}"/>
    <cellStyle name="Comma 4 4" xfId="20027" xr:uid="{00000000-0005-0000-0000-00000B4C0000}"/>
    <cellStyle name="Comma 4 4 2" xfId="36131" xr:uid="{00000000-0005-0000-0000-00000C4C0000}"/>
    <cellStyle name="Comma 4 5" xfId="33137" xr:uid="{00000000-0005-0000-0000-00000D4C0000}"/>
    <cellStyle name="Comma 5" xfId="1118" xr:uid="{00000000-0005-0000-0000-00000E4C0000}"/>
    <cellStyle name="Comma 6" xfId="4603" xr:uid="{00000000-0005-0000-0000-00000F4C0000}"/>
    <cellStyle name="Comma 7" xfId="15109" xr:uid="{00000000-0005-0000-0000-0000104C0000}"/>
    <cellStyle name="Comma 7 2" xfId="35304" xr:uid="{00000000-0005-0000-0000-0000114C0000}"/>
    <cellStyle name="Comma 8" xfId="5172" xr:uid="{00000000-0005-0000-0000-0000124C0000}"/>
    <cellStyle name="Comma 9" xfId="47027" xr:uid="{00000000-0005-0000-0000-0000134C0000}"/>
    <cellStyle name="Dårlig" xfId="4596" xr:uid="{00000000-0005-0000-0000-0000144C0000}"/>
    <cellStyle name="Dårlig 10" xfId="1119" xr:uid="{00000000-0005-0000-0000-0000154C0000}"/>
    <cellStyle name="Dårlig 10 2" xfId="1120" xr:uid="{00000000-0005-0000-0000-0000164C0000}"/>
    <cellStyle name="Dårlig 10 3" xfId="11433" xr:uid="{00000000-0005-0000-0000-0000174C0000}"/>
    <cellStyle name="Dårlig 10 3 2" xfId="11434" xr:uid="{00000000-0005-0000-0000-0000184C0000}"/>
    <cellStyle name="Dårlig 10 3 2 2" xfId="18095" xr:uid="{00000000-0005-0000-0000-0000194C0000}"/>
    <cellStyle name="Dårlig 10 3 2 3" xfId="16349" xr:uid="{00000000-0005-0000-0000-00001A4C0000}"/>
    <cellStyle name="Dårlig 10 3 2 3 2" xfId="25373" xr:uid="{00000000-0005-0000-0000-00001B4C0000}"/>
    <cellStyle name="Dårlig 10 3 2 3 2 2" xfId="42904" xr:uid="{00000000-0005-0000-0000-00001C4C0000}"/>
    <cellStyle name="Dårlig 10 3 2 3 3" xfId="44011" xr:uid="{00000000-0005-0000-0000-00001D4C0000}"/>
    <cellStyle name="Dårlig 10 3 2_Avviksanalyse løpende RNB15 (1)" xfId="16698" xr:uid="{00000000-0005-0000-0000-00001E4C0000}"/>
    <cellStyle name="Dårlig 11" xfId="1121" xr:uid="{00000000-0005-0000-0000-00001F4C0000}"/>
    <cellStyle name="Dårlig 11 10" xfId="24750" xr:uid="{00000000-0005-0000-0000-0000204C0000}"/>
    <cellStyle name="Dårlig 11 2" xfId="11436" xr:uid="{00000000-0005-0000-0000-0000214C0000}"/>
    <cellStyle name="Dårlig 11 2 2" xfId="11437" xr:uid="{00000000-0005-0000-0000-0000224C0000}"/>
    <cellStyle name="Dårlig 11 2 2 2" xfId="18096" xr:uid="{00000000-0005-0000-0000-0000234C0000}"/>
    <cellStyle name="Dårlig 11 2 2 3" xfId="16350" xr:uid="{00000000-0005-0000-0000-0000244C0000}"/>
    <cellStyle name="Dårlig 11 2 2 3 2" xfId="25374" xr:uid="{00000000-0005-0000-0000-0000254C0000}"/>
    <cellStyle name="Dårlig 11 2 2 3 2 2" xfId="42905" xr:uid="{00000000-0005-0000-0000-0000264C0000}"/>
    <cellStyle name="Dårlig 11 2 2 3 3" xfId="44012" xr:uid="{00000000-0005-0000-0000-0000274C0000}"/>
    <cellStyle name="Dårlig 11 2 2_Avviksanalyse løpende RNB15 (1)" xfId="16699" xr:uid="{00000000-0005-0000-0000-0000284C0000}"/>
    <cellStyle name="Dårlig 11 3" xfId="11435" xr:uid="{00000000-0005-0000-0000-0000294C0000}"/>
    <cellStyle name="Dårlig 11 4" xfId="11106" xr:uid="{00000000-0005-0000-0000-00002A4C0000}"/>
    <cellStyle name="Dårlig 11 5" xfId="23331" xr:uid="{00000000-0005-0000-0000-00002B4C0000}"/>
    <cellStyle name="Dårlig 11 6" xfId="24807" xr:uid="{00000000-0005-0000-0000-00002C4C0000}"/>
    <cellStyle name="Dårlig 11 7" xfId="24911" xr:uid="{00000000-0005-0000-0000-00002D4C0000}"/>
    <cellStyle name="Dårlig 11 8" xfId="24772" xr:uid="{00000000-0005-0000-0000-00002E4C0000}"/>
    <cellStyle name="Dårlig 11 9" xfId="24924" xr:uid="{00000000-0005-0000-0000-00002F4C0000}"/>
    <cellStyle name="Dårlig 12" xfId="1122" xr:uid="{00000000-0005-0000-0000-0000304C0000}"/>
    <cellStyle name="Dårlig 12 10" xfId="24756" xr:uid="{00000000-0005-0000-0000-0000314C0000}"/>
    <cellStyle name="Dårlig 12 2" xfId="4418" xr:uid="{00000000-0005-0000-0000-0000324C0000}"/>
    <cellStyle name="Dårlig 12 2 2" xfId="11440" xr:uid="{00000000-0005-0000-0000-0000334C0000}"/>
    <cellStyle name="Dårlig 12 2 2 2" xfId="18097" xr:uid="{00000000-0005-0000-0000-0000344C0000}"/>
    <cellStyle name="Dårlig 12 2 2 3" xfId="16351" xr:uid="{00000000-0005-0000-0000-0000354C0000}"/>
    <cellStyle name="Dårlig 12 2 2 3 2" xfId="25375" xr:uid="{00000000-0005-0000-0000-0000364C0000}"/>
    <cellStyle name="Dårlig 12 2 2 3 2 2" xfId="42906" xr:uid="{00000000-0005-0000-0000-0000374C0000}"/>
    <cellStyle name="Dårlig 12 2 2 3 3" xfId="44013" xr:uid="{00000000-0005-0000-0000-0000384C0000}"/>
    <cellStyle name="Dårlig 12 2 2_Avviksanalyse løpende RNB15 (1)" xfId="16700" xr:uid="{00000000-0005-0000-0000-0000394C0000}"/>
    <cellStyle name="Dårlig 12 2 3" xfId="11439" xr:uid="{00000000-0005-0000-0000-00003A4C0000}"/>
    <cellStyle name="Dårlig 12 3" xfId="4370" xr:uid="{00000000-0005-0000-0000-00003B4C0000}"/>
    <cellStyle name="Dårlig 12 4" xfId="11438" xr:uid="{00000000-0005-0000-0000-00003C4C0000}"/>
    <cellStyle name="Dårlig 12 5" xfId="11100" xr:uid="{00000000-0005-0000-0000-00003D4C0000}"/>
    <cellStyle name="Dårlig 12 6" xfId="21033" xr:uid="{00000000-0005-0000-0000-00003E4C0000}"/>
    <cellStyle name="Dårlig 12 7" xfId="24808" xr:uid="{00000000-0005-0000-0000-00003F4C0000}"/>
    <cellStyle name="Dårlig 12 8" xfId="24987" xr:uid="{00000000-0005-0000-0000-0000404C0000}"/>
    <cellStyle name="Dårlig 12 9" xfId="25163" xr:uid="{00000000-0005-0000-0000-0000414C0000}"/>
    <cellStyle name="Dårlig 13" xfId="1123" xr:uid="{00000000-0005-0000-0000-0000424C0000}"/>
    <cellStyle name="Dårlig 13 10" xfId="24800" xr:uid="{00000000-0005-0000-0000-0000434C0000}"/>
    <cellStyle name="Dårlig 13 2" xfId="11442" xr:uid="{00000000-0005-0000-0000-0000444C0000}"/>
    <cellStyle name="Dårlig 13 2 2" xfId="11443" xr:uid="{00000000-0005-0000-0000-0000454C0000}"/>
    <cellStyle name="Dårlig 13 2 2 2" xfId="18098" xr:uid="{00000000-0005-0000-0000-0000464C0000}"/>
    <cellStyle name="Dårlig 13 2 2 3" xfId="16352" xr:uid="{00000000-0005-0000-0000-0000474C0000}"/>
    <cellStyle name="Dårlig 13 2 2 3 2" xfId="25376" xr:uid="{00000000-0005-0000-0000-0000484C0000}"/>
    <cellStyle name="Dårlig 13 2 2 3 2 2" xfId="42907" xr:uid="{00000000-0005-0000-0000-0000494C0000}"/>
    <cellStyle name="Dårlig 13 2 2 3 3" xfId="44014" xr:uid="{00000000-0005-0000-0000-00004A4C0000}"/>
    <cellStyle name="Dårlig 13 2 2_Avviksanalyse løpende RNB15 (1)" xfId="16701" xr:uid="{00000000-0005-0000-0000-00004B4C0000}"/>
    <cellStyle name="Dårlig 13 3" xfId="11441" xr:uid="{00000000-0005-0000-0000-00004C4C0000}"/>
    <cellStyle name="Dårlig 13 4" xfId="11099" xr:uid="{00000000-0005-0000-0000-00004D4C0000}"/>
    <cellStyle name="Dårlig 13 5" xfId="23330" xr:uid="{00000000-0005-0000-0000-00004E4C0000}"/>
    <cellStyle name="Dårlig 13 6" xfId="24809" xr:uid="{00000000-0005-0000-0000-00004F4C0000}"/>
    <cellStyle name="Dårlig 13 7" xfId="25177" xr:uid="{00000000-0005-0000-0000-0000504C0000}"/>
    <cellStyle name="Dårlig 13 8" xfId="24773" xr:uid="{00000000-0005-0000-0000-0000514C0000}"/>
    <cellStyle name="Dårlig 13 9" xfId="24923" xr:uid="{00000000-0005-0000-0000-0000524C0000}"/>
    <cellStyle name="Dårlig 14" xfId="1124" xr:uid="{00000000-0005-0000-0000-0000534C0000}"/>
    <cellStyle name="Dårlig 14 10" xfId="25160" xr:uid="{00000000-0005-0000-0000-0000544C0000}"/>
    <cellStyle name="Dårlig 14 2" xfId="11445" xr:uid="{00000000-0005-0000-0000-0000554C0000}"/>
    <cellStyle name="Dårlig 14 2 2" xfId="11446" xr:uid="{00000000-0005-0000-0000-0000564C0000}"/>
    <cellStyle name="Dårlig 14 2 2 2" xfId="18099" xr:uid="{00000000-0005-0000-0000-0000574C0000}"/>
    <cellStyle name="Dårlig 14 2 2 3" xfId="16353" xr:uid="{00000000-0005-0000-0000-0000584C0000}"/>
    <cellStyle name="Dårlig 14 2 2 3 2" xfId="25377" xr:uid="{00000000-0005-0000-0000-0000594C0000}"/>
    <cellStyle name="Dårlig 14 2 2 3 2 2" xfId="42908" xr:uid="{00000000-0005-0000-0000-00005A4C0000}"/>
    <cellStyle name="Dårlig 14 2 2 3 3" xfId="44015" xr:uid="{00000000-0005-0000-0000-00005B4C0000}"/>
    <cellStyle name="Dårlig 14 2 2_Avviksanalyse løpende RNB15 (1)" xfId="16702" xr:uid="{00000000-0005-0000-0000-00005C4C0000}"/>
    <cellStyle name="Dårlig 14 3" xfId="11444" xr:uid="{00000000-0005-0000-0000-00005D4C0000}"/>
    <cellStyle name="Dårlig 14 4" xfId="11098" xr:uid="{00000000-0005-0000-0000-00005E4C0000}"/>
    <cellStyle name="Dårlig 14 5" xfId="21030" xr:uid="{00000000-0005-0000-0000-00005F4C0000}"/>
    <cellStyle name="Dårlig 14 6" xfId="24810" xr:uid="{00000000-0005-0000-0000-0000604C0000}"/>
    <cellStyle name="Dårlig 14 7" xfId="24910" xr:uid="{00000000-0005-0000-0000-0000614C0000}"/>
    <cellStyle name="Dårlig 14 8" xfId="25162" xr:uid="{00000000-0005-0000-0000-0000624C0000}"/>
    <cellStyle name="Dårlig 14 9" xfId="25004" xr:uid="{00000000-0005-0000-0000-0000634C0000}"/>
    <cellStyle name="Dårlig 15" xfId="3425" xr:uid="{00000000-0005-0000-0000-0000644C0000}"/>
    <cellStyle name="Dårlig 16" xfId="40933" xr:uid="{00000000-0005-0000-0000-0000654C0000}"/>
    <cellStyle name="Dårlig 17" xfId="40789" xr:uid="{00000000-0005-0000-0000-0000664C0000}"/>
    <cellStyle name="Dårlig 18" xfId="40889" xr:uid="{00000000-0005-0000-0000-0000674C0000}"/>
    <cellStyle name="Dårlig 19" xfId="40823" xr:uid="{00000000-0005-0000-0000-0000684C0000}"/>
    <cellStyle name="Dårlig 2" xfId="1125" xr:uid="{00000000-0005-0000-0000-0000694C0000}"/>
    <cellStyle name="Dårlig 2 10" xfId="18100" xr:uid="{00000000-0005-0000-0000-00006A4C0000}"/>
    <cellStyle name="Dårlig 2 11" xfId="15147" xr:uid="{00000000-0005-0000-0000-00006B4C0000}"/>
    <cellStyle name="Dårlig 2 11 2" xfId="25378" xr:uid="{00000000-0005-0000-0000-00006C4C0000}"/>
    <cellStyle name="Dårlig 2 11 2 2" xfId="41704" xr:uid="{00000000-0005-0000-0000-00006D4C0000}"/>
    <cellStyle name="Dårlig 2 11 3" xfId="44016" xr:uid="{00000000-0005-0000-0000-00006E4C0000}"/>
    <cellStyle name="Dårlig 2 12" xfId="11447" xr:uid="{00000000-0005-0000-0000-00006F4C0000}"/>
    <cellStyle name="Dårlig 2 2" xfId="3654" xr:uid="{00000000-0005-0000-0000-0000704C0000}"/>
    <cellStyle name="Dårlig 2 2 2" xfId="11448" xr:uid="{00000000-0005-0000-0000-0000714C0000}"/>
    <cellStyle name="Dårlig 2 3" xfId="11449" xr:uid="{00000000-0005-0000-0000-0000724C0000}"/>
    <cellStyle name="Dårlig 2 4" xfId="11450" xr:uid="{00000000-0005-0000-0000-0000734C0000}"/>
    <cellStyle name="Dårlig 2 5" xfId="11451" xr:uid="{00000000-0005-0000-0000-0000744C0000}"/>
    <cellStyle name="Dårlig 2 6" xfId="11452" xr:uid="{00000000-0005-0000-0000-0000754C0000}"/>
    <cellStyle name="Dårlig 2 7" xfId="11453" xr:uid="{00000000-0005-0000-0000-0000764C0000}"/>
    <cellStyle name="Dårlig 2 8" xfId="11454" xr:uid="{00000000-0005-0000-0000-0000774C0000}"/>
    <cellStyle name="Dårlig 2 9" xfId="11455" xr:uid="{00000000-0005-0000-0000-0000784C0000}"/>
    <cellStyle name="Dårlig 2_Ark1" xfId="11456" xr:uid="{00000000-0005-0000-0000-0000794C0000}"/>
    <cellStyle name="Dårlig 20" xfId="40916" xr:uid="{00000000-0005-0000-0000-00007A4C0000}"/>
    <cellStyle name="Dårlig 21" xfId="40799" xr:uid="{00000000-0005-0000-0000-00007B4C0000}"/>
    <cellStyle name="Dårlig 22" xfId="40881" xr:uid="{00000000-0005-0000-0000-00007C4C0000}"/>
    <cellStyle name="Dårlig 23" xfId="43194" xr:uid="{00000000-0005-0000-0000-00007D4C0000}"/>
    <cellStyle name="Dårlig 24" xfId="43408" xr:uid="{00000000-0005-0000-0000-00007E4C0000}"/>
    <cellStyle name="Dårlig 25" xfId="43461" xr:uid="{00000000-0005-0000-0000-00007F4C0000}"/>
    <cellStyle name="Dårlig 26" xfId="43476" xr:uid="{00000000-0005-0000-0000-0000804C0000}"/>
    <cellStyle name="Dårlig 27" xfId="43464" xr:uid="{00000000-0005-0000-0000-0000814C0000}"/>
    <cellStyle name="Dårlig 28" xfId="46296" xr:uid="{00000000-0005-0000-0000-0000824C0000}"/>
    <cellStyle name="Dårlig 29" xfId="46603" xr:uid="{00000000-0005-0000-0000-0000834C0000}"/>
    <cellStyle name="Dårlig 3" xfId="1126" xr:uid="{00000000-0005-0000-0000-0000844C0000}"/>
    <cellStyle name="Dårlig 30" xfId="46798" xr:uid="{00000000-0005-0000-0000-0000854C0000}"/>
    <cellStyle name="Dårlig 31" xfId="46367" xr:uid="{00000000-0005-0000-0000-0000864C0000}"/>
    <cellStyle name="Dårlig 32" xfId="46580" xr:uid="{00000000-0005-0000-0000-0000874C0000}"/>
    <cellStyle name="Dårlig 33" xfId="46570" xr:uid="{00000000-0005-0000-0000-0000884C0000}"/>
    <cellStyle name="Dårlig 4" xfId="1127" xr:uid="{00000000-0005-0000-0000-0000894C0000}"/>
    <cellStyle name="Dårlig 5" xfId="1128" xr:uid="{00000000-0005-0000-0000-00008A4C0000}"/>
    <cellStyle name="Dårlig 5 10" xfId="24751" xr:uid="{00000000-0005-0000-0000-00008B4C0000}"/>
    <cellStyle name="Dårlig 5 2" xfId="11458" xr:uid="{00000000-0005-0000-0000-00008C4C0000}"/>
    <cellStyle name="Dårlig 5 2 2" xfId="11459" xr:uid="{00000000-0005-0000-0000-00008D4C0000}"/>
    <cellStyle name="Dårlig 5 2 2 2" xfId="18101" xr:uid="{00000000-0005-0000-0000-00008E4C0000}"/>
    <cellStyle name="Dårlig 5 2 2 3" xfId="15775" xr:uid="{00000000-0005-0000-0000-00008F4C0000}"/>
    <cellStyle name="Dårlig 5 2 2 3 2" xfId="25379" xr:uid="{00000000-0005-0000-0000-0000904C0000}"/>
    <cellStyle name="Dårlig 5 2 2 3 2 2" xfId="42331" xr:uid="{00000000-0005-0000-0000-0000914C0000}"/>
    <cellStyle name="Dårlig 5 2 2 3 3" xfId="44017" xr:uid="{00000000-0005-0000-0000-0000924C0000}"/>
    <cellStyle name="Dårlig 5 2 2_Avviksanalyse løpende RNB15 (1)" xfId="16703" xr:uid="{00000000-0005-0000-0000-0000934C0000}"/>
    <cellStyle name="Dårlig 5 3" xfId="11457" xr:uid="{00000000-0005-0000-0000-0000944C0000}"/>
    <cellStyle name="Dårlig 5 4" xfId="11097" xr:uid="{00000000-0005-0000-0000-0000954C0000}"/>
    <cellStyle name="Dårlig 5 5" xfId="23326" xr:uid="{00000000-0005-0000-0000-0000964C0000}"/>
    <cellStyle name="Dårlig 5 6" xfId="24811" xr:uid="{00000000-0005-0000-0000-0000974C0000}"/>
    <cellStyle name="Dårlig 5 7" xfId="25176" xr:uid="{00000000-0005-0000-0000-0000984C0000}"/>
    <cellStyle name="Dårlig 5 8" xfId="24774" xr:uid="{00000000-0005-0000-0000-0000994C0000}"/>
    <cellStyle name="Dårlig 5 9" xfId="24922" xr:uid="{00000000-0005-0000-0000-00009A4C0000}"/>
    <cellStyle name="Dårlig 6" xfId="1129" xr:uid="{00000000-0005-0000-0000-00009B4C0000}"/>
    <cellStyle name="Dårlig 6 10" xfId="24740" xr:uid="{00000000-0005-0000-0000-00009C4C0000}"/>
    <cellStyle name="Dårlig 6 2" xfId="11461" xr:uid="{00000000-0005-0000-0000-00009D4C0000}"/>
    <cellStyle name="Dårlig 6 2 2" xfId="11462" xr:uid="{00000000-0005-0000-0000-00009E4C0000}"/>
    <cellStyle name="Dårlig 6 2 2 2" xfId="18102" xr:uid="{00000000-0005-0000-0000-00009F4C0000}"/>
    <cellStyle name="Dårlig 6 2 2 3" xfId="15943" xr:uid="{00000000-0005-0000-0000-0000A04C0000}"/>
    <cellStyle name="Dårlig 6 2 2 3 2" xfId="25380" xr:uid="{00000000-0005-0000-0000-0000A14C0000}"/>
    <cellStyle name="Dårlig 6 2 2 3 2 2" xfId="42499" xr:uid="{00000000-0005-0000-0000-0000A24C0000}"/>
    <cellStyle name="Dårlig 6 2 2 3 3" xfId="44018" xr:uid="{00000000-0005-0000-0000-0000A34C0000}"/>
    <cellStyle name="Dårlig 6 2 2_Avviksanalyse løpende RNB15 (1)" xfId="16704" xr:uid="{00000000-0005-0000-0000-0000A44C0000}"/>
    <cellStyle name="Dårlig 6 3" xfId="11460" xr:uid="{00000000-0005-0000-0000-0000A54C0000}"/>
    <cellStyle name="Dårlig 6 4" xfId="11096" xr:uid="{00000000-0005-0000-0000-0000A64C0000}"/>
    <cellStyle name="Dårlig 6 5" xfId="21024" xr:uid="{00000000-0005-0000-0000-0000A74C0000}"/>
    <cellStyle name="Dårlig 6 6" xfId="24812" xr:uid="{00000000-0005-0000-0000-0000A84C0000}"/>
    <cellStyle name="Dårlig 6 7" xfId="24909" xr:uid="{00000000-0005-0000-0000-0000A94C0000}"/>
    <cellStyle name="Dårlig 6 8" xfId="25195" xr:uid="{00000000-0005-0000-0000-0000AA4C0000}"/>
    <cellStyle name="Dårlig 6 9" xfId="24860" xr:uid="{00000000-0005-0000-0000-0000AB4C0000}"/>
    <cellStyle name="Dårlig 7" xfId="1130" xr:uid="{00000000-0005-0000-0000-0000AC4C0000}"/>
    <cellStyle name="Dårlig 8" xfId="1131" xr:uid="{00000000-0005-0000-0000-0000AD4C0000}"/>
    <cellStyle name="Dårlig 9" xfId="1132" xr:uid="{00000000-0005-0000-0000-0000AE4C0000}"/>
    <cellStyle name="Explanatory Text" xfId="4081" xr:uid="{00000000-0005-0000-0000-0000AF4C0000}"/>
    <cellStyle name="Explanatory Text 2" xfId="1086" xr:uid="{00000000-0005-0000-0000-0000B04C0000}"/>
    <cellStyle name="Explanatory Text 3" xfId="4597" xr:uid="{00000000-0005-0000-0000-0000B14C0000}"/>
    <cellStyle name="FieldName" xfId="3655" xr:uid="{00000000-0005-0000-0000-0000B24C0000}"/>
    <cellStyle name="Forklarende tekst" xfId="4598" xr:uid="{00000000-0005-0000-0000-0000B34C0000}"/>
    <cellStyle name="Forklarende tekst 10" xfId="11463" xr:uid="{00000000-0005-0000-0000-0000B44C0000}"/>
    <cellStyle name="Forklarende tekst 11" xfId="11464" xr:uid="{00000000-0005-0000-0000-0000B54C0000}"/>
    <cellStyle name="Forklarende tekst 12" xfId="11465" xr:uid="{00000000-0005-0000-0000-0000B64C0000}"/>
    <cellStyle name="Forklarende tekst 13" xfId="11466" xr:uid="{00000000-0005-0000-0000-0000B74C0000}"/>
    <cellStyle name="Forklarende tekst 14" xfId="11467" xr:uid="{00000000-0005-0000-0000-0000B84C0000}"/>
    <cellStyle name="Forklarende tekst 2" xfId="1134" xr:uid="{00000000-0005-0000-0000-0000B94C0000}"/>
    <cellStyle name="Forklarende tekst 2 2" xfId="11468" xr:uid="{00000000-0005-0000-0000-0000BA4C0000}"/>
    <cellStyle name="Forklarende tekst 2 3" xfId="11469" xr:uid="{00000000-0005-0000-0000-0000BB4C0000}"/>
    <cellStyle name="Forklarende tekst 2 4" xfId="11470" xr:uid="{00000000-0005-0000-0000-0000BC4C0000}"/>
    <cellStyle name="Forklarende tekst 2 5" xfId="11471" xr:uid="{00000000-0005-0000-0000-0000BD4C0000}"/>
    <cellStyle name="Forklarende tekst 2 6" xfId="11472" xr:uid="{00000000-0005-0000-0000-0000BE4C0000}"/>
    <cellStyle name="Forklarende tekst 2 7" xfId="11473" xr:uid="{00000000-0005-0000-0000-0000BF4C0000}"/>
    <cellStyle name="Forklarende tekst 2 8" xfId="11474" xr:uid="{00000000-0005-0000-0000-0000C04C0000}"/>
    <cellStyle name="Forklarende tekst 2 9" xfId="11475" xr:uid="{00000000-0005-0000-0000-0000C14C0000}"/>
    <cellStyle name="Forklarende tekst 3" xfId="1135" xr:uid="{00000000-0005-0000-0000-0000C24C0000}"/>
    <cellStyle name="Forklarende tekst 4" xfId="1136" xr:uid="{00000000-0005-0000-0000-0000C34C0000}"/>
    <cellStyle name="Forklarende tekst 5" xfId="1137" xr:uid="{00000000-0005-0000-0000-0000C44C0000}"/>
    <cellStyle name="Forklarende tekst 5 2" xfId="11477" xr:uid="{00000000-0005-0000-0000-0000C54C0000}"/>
    <cellStyle name="Forklarende tekst 5 2 2" xfId="11478" xr:uid="{00000000-0005-0000-0000-0000C64C0000}"/>
    <cellStyle name="Forklarende tekst 5 2 2 2" xfId="18103" xr:uid="{00000000-0005-0000-0000-0000C74C0000}"/>
    <cellStyle name="Forklarende tekst 5 2 2 3" xfId="16222" xr:uid="{00000000-0005-0000-0000-0000C84C0000}"/>
    <cellStyle name="Forklarende tekst 5 2 2 3 2" xfId="25381" xr:uid="{00000000-0005-0000-0000-0000C94C0000}"/>
    <cellStyle name="Forklarende tekst 5 2 2 3 2 2" xfId="42778" xr:uid="{00000000-0005-0000-0000-0000CA4C0000}"/>
    <cellStyle name="Forklarende tekst 5 2 2 3 3" xfId="44019" xr:uid="{00000000-0005-0000-0000-0000CB4C0000}"/>
    <cellStyle name="Forklarende tekst 5 2 2_Avviksanalyse løpende RNB15 (1)" xfId="16705" xr:uid="{00000000-0005-0000-0000-0000CC4C0000}"/>
    <cellStyle name="Forklarende tekst 5 3" xfId="11476" xr:uid="{00000000-0005-0000-0000-0000CD4C0000}"/>
    <cellStyle name="Forklarende tekst 6" xfId="1138" xr:uid="{00000000-0005-0000-0000-0000CE4C0000}"/>
    <cellStyle name="Forklarende tekst 7" xfId="1139" xr:uid="{00000000-0005-0000-0000-0000CF4C0000}"/>
    <cellStyle name="Forklarende tekst 8" xfId="1140" xr:uid="{00000000-0005-0000-0000-0000D04C0000}"/>
    <cellStyle name="Forklarende tekst 9" xfId="1141" xr:uid="{00000000-0005-0000-0000-0000D14C0000}"/>
    <cellStyle name="FS_Headings" xfId="3656" xr:uid="{00000000-0005-0000-0000-0000D24C0000}"/>
    <cellStyle name="God" xfId="40829" builtinId="26" customBuiltin="1"/>
    <cellStyle name="God 10" xfId="1143" xr:uid="{00000000-0005-0000-0000-0000D34C0000}"/>
    <cellStyle name="God 10 10" xfId="24836" xr:uid="{00000000-0005-0000-0000-0000D44C0000}"/>
    <cellStyle name="God 10 2" xfId="4419" xr:uid="{00000000-0005-0000-0000-0000D54C0000}"/>
    <cellStyle name="God 10 2 2" xfId="11481" xr:uid="{00000000-0005-0000-0000-0000D64C0000}"/>
    <cellStyle name="God 10 2 2 2" xfId="18104" xr:uid="{00000000-0005-0000-0000-0000D74C0000}"/>
    <cellStyle name="God 10 2 2 3" xfId="16354" xr:uid="{00000000-0005-0000-0000-0000D84C0000}"/>
    <cellStyle name="God 10 2 2 3 2" xfId="25382" xr:uid="{00000000-0005-0000-0000-0000D94C0000}"/>
    <cellStyle name="God 10 2 2 3 2 2" xfId="42909" xr:uid="{00000000-0005-0000-0000-0000DA4C0000}"/>
    <cellStyle name="God 10 2 2 3 3" xfId="44020" xr:uid="{00000000-0005-0000-0000-0000DB4C0000}"/>
    <cellStyle name="God 10 2 2_Avviksanalyse løpende RNB15 (1)" xfId="16706" xr:uid="{00000000-0005-0000-0000-0000DC4C0000}"/>
    <cellStyle name="God 10 2 3" xfId="11480" xr:uid="{00000000-0005-0000-0000-0000DD4C0000}"/>
    <cellStyle name="God 10 3" xfId="4369" xr:uid="{00000000-0005-0000-0000-0000DE4C0000}"/>
    <cellStyle name="God 10 4" xfId="11479" xr:uid="{00000000-0005-0000-0000-0000DF4C0000}"/>
    <cellStyle name="God 10 5" xfId="11093" xr:uid="{00000000-0005-0000-0000-0000E04C0000}"/>
    <cellStyle name="God 10 6" xfId="23319" xr:uid="{00000000-0005-0000-0000-0000E14C0000}"/>
    <cellStyle name="God 10 7" xfId="24813" xr:uid="{00000000-0005-0000-0000-0000E24C0000}"/>
    <cellStyle name="God 10 8" xfId="24908" xr:uid="{00000000-0005-0000-0000-0000E34C0000}"/>
    <cellStyle name="God 10 9" xfId="25159" xr:uid="{00000000-0005-0000-0000-0000E44C0000}"/>
    <cellStyle name="God 11" xfId="1144" xr:uid="{00000000-0005-0000-0000-0000E54C0000}"/>
    <cellStyle name="God 11 10" xfId="24993" xr:uid="{00000000-0005-0000-0000-0000E64C0000}"/>
    <cellStyle name="God 11 2" xfId="11483" xr:uid="{00000000-0005-0000-0000-0000E74C0000}"/>
    <cellStyle name="God 11 2 2" xfId="11484" xr:uid="{00000000-0005-0000-0000-0000E84C0000}"/>
    <cellStyle name="God 11 2 2 2" xfId="18105" xr:uid="{00000000-0005-0000-0000-0000E94C0000}"/>
    <cellStyle name="God 11 2 2 3" xfId="16355" xr:uid="{00000000-0005-0000-0000-0000EA4C0000}"/>
    <cellStyle name="God 11 2 2 3 2" xfId="25383" xr:uid="{00000000-0005-0000-0000-0000EB4C0000}"/>
    <cellStyle name="God 11 2 2 3 2 2" xfId="42910" xr:uid="{00000000-0005-0000-0000-0000EC4C0000}"/>
    <cellStyle name="God 11 2 2 3 3" xfId="44021" xr:uid="{00000000-0005-0000-0000-0000ED4C0000}"/>
    <cellStyle name="God 11 2 2_Avviksanalyse løpende RNB15 (1)" xfId="16707" xr:uid="{00000000-0005-0000-0000-0000EE4C0000}"/>
    <cellStyle name="God 11 3" xfId="11482" xr:uid="{00000000-0005-0000-0000-0000EF4C0000}"/>
    <cellStyle name="God 11 4" xfId="11092" xr:uid="{00000000-0005-0000-0000-0000F04C0000}"/>
    <cellStyle name="God 11 5" xfId="21011" xr:uid="{00000000-0005-0000-0000-0000F14C0000}"/>
    <cellStyle name="God 11 6" xfId="24814" xr:uid="{00000000-0005-0000-0000-0000F24C0000}"/>
    <cellStyle name="God 11 7" xfId="25212" xr:uid="{00000000-0005-0000-0000-0000F34C0000}"/>
    <cellStyle name="God 11 8" xfId="25196" xr:uid="{00000000-0005-0000-0000-0000F44C0000}"/>
    <cellStyle name="God 11 9" xfId="24887" xr:uid="{00000000-0005-0000-0000-0000F54C0000}"/>
    <cellStyle name="God 12" xfId="1145" xr:uid="{00000000-0005-0000-0000-0000F64C0000}"/>
    <cellStyle name="God 12 10" xfId="24867" xr:uid="{00000000-0005-0000-0000-0000F74C0000}"/>
    <cellStyle name="God 12 2" xfId="11486" xr:uid="{00000000-0005-0000-0000-0000F84C0000}"/>
    <cellStyle name="God 12 2 2" xfId="11487" xr:uid="{00000000-0005-0000-0000-0000F94C0000}"/>
    <cellStyle name="God 12 2 2 2" xfId="18106" xr:uid="{00000000-0005-0000-0000-0000FA4C0000}"/>
    <cellStyle name="God 12 2 2 3" xfId="16356" xr:uid="{00000000-0005-0000-0000-0000FB4C0000}"/>
    <cellStyle name="God 12 2 2 3 2" xfId="25384" xr:uid="{00000000-0005-0000-0000-0000FC4C0000}"/>
    <cellStyle name="God 12 2 2 3 2 2" xfId="42911" xr:uid="{00000000-0005-0000-0000-0000FD4C0000}"/>
    <cellStyle name="God 12 2 2 3 3" xfId="44022" xr:uid="{00000000-0005-0000-0000-0000FE4C0000}"/>
    <cellStyle name="God 12 2 2_Avviksanalyse løpende RNB15 (1)" xfId="16708" xr:uid="{00000000-0005-0000-0000-0000FF4C0000}"/>
    <cellStyle name="God 12 3" xfId="11485" xr:uid="{00000000-0005-0000-0000-0000004D0000}"/>
    <cellStyle name="God 12 4" xfId="11091" xr:uid="{00000000-0005-0000-0000-0000014D0000}"/>
    <cellStyle name="God 12 5" xfId="22047" xr:uid="{00000000-0005-0000-0000-0000024D0000}"/>
    <cellStyle name="God 12 6" xfId="24815" xr:uid="{00000000-0005-0000-0000-0000034D0000}"/>
    <cellStyle name="God 12 7" xfId="25008" xr:uid="{00000000-0005-0000-0000-0000044D0000}"/>
    <cellStyle name="God 12 8" xfId="25191" xr:uid="{00000000-0005-0000-0000-0000054D0000}"/>
    <cellStyle name="God 12 9" xfId="24839" xr:uid="{00000000-0005-0000-0000-0000064D0000}"/>
    <cellStyle name="God 13" xfId="3424" xr:uid="{00000000-0005-0000-0000-0000074D0000}"/>
    <cellStyle name="God 13 2" xfId="11488" xr:uid="{00000000-0005-0000-0000-0000084D0000}"/>
    <cellStyle name="God 14" xfId="11489" xr:uid="{00000000-0005-0000-0000-0000094D0000}"/>
    <cellStyle name="God 15" xfId="40932" xr:uid="{00000000-0005-0000-0000-00000A4D0000}"/>
    <cellStyle name="God 16" xfId="40790" xr:uid="{00000000-0005-0000-0000-00000B4D0000}"/>
    <cellStyle name="God 17" xfId="40888" xr:uid="{00000000-0005-0000-0000-00000C4D0000}"/>
    <cellStyle name="God 18" xfId="40824" xr:uid="{00000000-0005-0000-0000-00000D4D0000}"/>
    <cellStyle name="God 19" xfId="40859" xr:uid="{00000000-0005-0000-0000-00000E4D0000}"/>
    <cellStyle name="God 2" xfId="1146" xr:uid="{00000000-0005-0000-0000-00000F4D0000}"/>
    <cellStyle name="God 2 10" xfId="18107" xr:uid="{00000000-0005-0000-0000-0000104D0000}"/>
    <cellStyle name="God 2 11" xfId="15148" xr:uid="{00000000-0005-0000-0000-0000114D0000}"/>
    <cellStyle name="God 2 11 2" xfId="25385" xr:uid="{00000000-0005-0000-0000-0000124D0000}"/>
    <cellStyle name="God 2 11 2 2" xfId="41705" xr:uid="{00000000-0005-0000-0000-0000134D0000}"/>
    <cellStyle name="God 2 11 3" xfId="44023" xr:uid="{00000000-0005-0000-0000-0000144D0000}"/>
    <cellStyle name="God 2 12" xfId="11490" xr:uid="{00000000-0005-0000-0000-0000154D0000}"/>
    <cellStyle name="God 2 2" xfId="3657" xr:uid="{00000000-0005-0000-0000-0000164D0000}"/>
    <cellStyle name="God 2 2 2" xfId="11491" xr:uid="{00000000-0005-0000-0000-0000174D0000}"/>
    <cellStyle name="God 2 3" xfId="11492" xr:uid="{00000000-0005-0000-0000-0000184D0000}"/>
    <cellStyle name="God 2 4" xfId="11493" xr:uid="{00000000-0005-0000-0000-0000194D0000}"/>
    <cellStyle name="God 2 5" xfId="11494" xr:uid="{00000000-0005-0000-0000-00001A4D0000}"/>
    <cellStyle name="God 2 6" xfId="11495" xr:uid="{00000000-0005-0000-0000-00001B4D0000}"/>
    <cellStyle name="God 2 7" xfId="11496" xr:uid="{00000000-0005-0000-0000-00001C4D0000}"/>
    <cellStyle name="God 2 8" xfId="11497" xr:uid="{00000000-0005-0000-0000-00001D4D0000}"/>
    <cellStyle name="God 2 9" xfId="11498" xr:uid="{00000000-0005-0000-0000-00001E4D0000}"/>
    <cellStyle name="God 2_Ark1" xfId="11499" xr:uid="{00000000-0005-0000-0000-00001F4D0000}"/>
    <cellStyle name="God 20" xfId="40848" xr:uid="{00000000-0005-0000-0000-0000204D0000}"/>
    <cellStyle name="God 21" xfId="40921" xr:uid="{00000000-0005-0000-0000-0000214D0000}"/>
    <cellStyle name="God 22" xfId="43193" xr:uid="{00000000-0005-0000-0000-0000224D0000}"/>
    <cellStyle name="God 23" xfId="43407" xr:uid="{00000000-0005-0000-0000-0000234D0000}"/>
    <cellStyle name="God 24" xfId="43462" xr:uid="{00000000-0005-0000-0000-0000244D0000}"/>
    <cellStyle name="God 25" xfId="46286" xr:uid="{00000000-0005-0000-0000-0000254D0000}"/>
    <cellStyle name="God 26" xfId="43467" xr:uid="{00000000-0005-0000-0000-0000264D0000}"/>
    <cellStyle name="God 27" xfId="46295" xr:uid="{00000000-0005-0000-0000-0000274D0000}"/>
    <cellStyle name="God 28" xfId="46844" xr:uid="{00000000-0005-0000-0000-0000284D0000}"/>
    <cellStyle name="God 29" xfId="46349" xr:uid="{00000000-0005-0000-0000-0000294D0000}"/>
    <cellStyle name="God 3" xfId="1147" xr:uid="{00000000-0005-0000-0000-00002A4D0000}"/>
    <cellStyle name="God 30" xfId="46403" xr:uid="{00000000-0005-0000-0000-00002B4D0000}"/>
    <cellStyle name="God 31" xfId="46380" xr:uid="{00000000-0005-0000-0000-00002C4D0000}"/>
    <cellStyle name="God 32" xfId="46926" xr:uid="{00000000-0005-0000-0000-00002D4D0000}"/>
    <cellStyle name="God 4" xfId="1148" xr:uid="{00000000-0005-0000-0000-00002E4D0000}"/>
    <cellStyle name="God 5" xfId="1149" xr:uid="{00000000-0005-0000-0000-00002F4D0000}"/>
    <cellStyle name="God 6" xfId="1150" xr:uid="{00000000-0005-0000-0000-0000304D0000}"/>
    <cellStyle name="God 7" xfId="1151" xr:uid="{00000000-0005-0000-0000-0000314D0000}"/>
    <cellStyle name="God 8" xfId="1152" xr:uid="{00000000-0005-0000-0000-0000324D0000}"/>
    <cellStyle name="God 8 2" xfId="1153" xr:uid="{00000000-0005-0000-0000-0000334D0000}"/>
    <cellStyle name="God 8 3" xfId="11500" xr:uid="{00000000-0005-0000-0000-0000344D0000}"/>
    <cellStyle name="God 8 3 2" xfId="11501" xr:uid="{00000000-0005-0000-0000-0000354D0000}"/>
    <cellStyle name="God 8 3 2 2" xfId="18108" xr:uid="{00000000-0005-0000-0000-0000364D0000}"/>
    <cellStyle name="God 8 3 2 3" xfId="16357" xr:uid="{00000000-0005-0000-0000-0000374D0000}"/>
    <cellStyle name="God 8 3 2 3 2" xfId="25386" xr:uid="{00000000-0005-0000-0000-0000384D0000}"/>
    <cellStyle name="God 8 3 2 3 2 2" xfId="42912" xr:uid="{00000000-0005-0000-0000-0000394D0000}"/>
    <cellStyle name="God 8 3 2 3 3" xfId="44024" xr:uid="{00000000-0005-0000-0000-00003A4D0000}"/>
    <cellStyle name="God 8 3 2_Avviksanalyse løpende RNB15 (1)" xfId="16709" xr:uid="{00000000-0005-0000-0000-00003B4D0000}"/>
    <cellStyle name="God 9" xfId="1154" xr:uid="{00000000-0005-0000-0000-00003C4D0000}"/>
    <cellStyle name="God 9 10" xfId="24763" xr:uid="{00000000-0005-0000-0000-00003D4D0000}"/>
    <cellStyle name="God 9 2" xfId="11503" xr:uid="{00000000-0005-0000-0000-00003E4D0000}"/>
    <cellStyle name="God 9 2 2" xfId="11504" xr:uid="{00000000-0005-0000-0000-00003F4D0000}"/>
    <cellStyle name="God 9 2 2 2" xfId="18109" xr:uid="{00000000-0005-0000-0000-0000404D0000}"/>
    <cellStyle name="God 9 2 2 3" xfId="16358" xr:uid="{00000000-0005-0000-0000-0000414D0000}"/>
    <cellStyle name="God 9 2 2 3 2" xfId="25387" xr:uid="{00000000-0005-0000-0000-0000424D0000}"/>
    <cellStyle name="God 9 2 2 3 2 2" xfId="42913" xr:uid="{00000000-0005-0000-0000-0000434D0000}"/>
    <cellStyle name="God 9 2 2 3 3" xfId="44025" xr:uid="{00000000-0005-0000-0000-0000444D0000}"/>
    <cellStyle name="God 9 2 2_Avviksanalyse løpende RNB15 (1)" xfId="16710" xr:uid="{00000000-0005-0000-0000-0000454D0000}"/>
    <cellStyle name="God 9 3" xfId="11502" xr:uid="{00000000-0005-0000-0000-0000464D0000}"/>
    <cellStyle name="God 9 4" xfId="11078" xr:uid="{00000000-0005-0000-0000-0000474D0000}"/>
    <cellStyle name="God 9 5" xfId="22506" xr:uid="{00000000-0005-0000-0000-0000484D0000}"/>
    <cellStyle name="God 9 6" xfId="24816" xr:uid="{00000000-0005-0000-0000-0000494D0000}"/>
    <cellStyle name="God 9 7" xfId="24907" xr:uid="{00000000-0005-0000-0000-00004A4D0000}"/>
    <cellStyle name="God 9 8" xfId="24845" xr:uid="{00000000-0005-0000-0000-00004B4D0000}"/>
    <cellStyle name="God 9 9" xfId="25188" xr:uid="{00000000-0005-0000-0000-00004C4D0000}"/>
    <cellStyle name="Good 2" xfId="1157" xr:uid="{00000000-0005-0000-0000-00004E4D0000}"/>
    <cellStyle name="Good 3" xfId="29634" xr:uid="{00000000-0005-0000-0000-00004F4D0000}"/>
    <cellStyle name="Heading" xfId="3658" xr:uid="{00000000-0005-0000-0000-0000504D0000}"/>
    <cellStyle name="Heading 1" xfId="4073" xr:uid="{00000000-0005-0000-0000-0000514D0000}"/>
    <cellStyle name="Heading 1 2" xfId="2307" xr:uid="{00000000-0005-0000-0000-0000524D0000}"/>
    <cellStyle name="Heading 1 3" xfId="4599" xr:uid="{00000000-0005-0000-0000-0000534D0000}"/>
    <cellStyle name="Heading 2" xfId="4074" xr:uid="{00000000-0005-0000-0000-0000544D0000}"/>
    <cellStyle name="Heading 2 2" xfId="3191" xr:uid="{00000000-0005-0000-0000-0000554D0000}"/>
    <cellStyle name="Heading 2 3" xfId="4600" xr:uid="{00000000-0005-0000-0000-0000564D0000}"/>
    <cellStyle name="Heading 3" xfId="4075" xr:uid="{00000000-0005-0000-0000-0000574D0000}"/>
    <cellStyle name="Heading 3 2" xfId="3175" xr:uid="{00000000-0005-0000-0000-0000584D0000}"/>
    <cellStyle name="Heading 3 3" xfId="4601" xr:uid="{00000000-0005-0000-0000-0000594D0000}"/>
    <cellStyle name="Heading 4" xfId="4076" xr:uid="{00000000-0005-0000-0000-00005A4D0000}"/>
    <cellStyle name="Heading 4 2" xfId="1158" xr:uid="{00000000-0005-0000-0000-00005B4D0000}"/>
    <cellStyle name="Heading 4 3" xfId="4602" xr:uid="{00000000-0005-0000-0000-00005C4D0000}"/>
    <cellStyle name="Hyperkobling 2" xfId="1159" xr:uid="{00000000-0005-0000-0000-00005D4D0000}"/>
    <cellStyle name="Hyperkobling 3" xfId="1160" xr:uid="{00000000-0005-0000-0000-00005E4D0000}"/>
    <cellStyle name="Inndata" xfId="40830" builtinId="20" customBuiltin="1"/>
    <cellStyle name="Inndata 10" xfId="1162" xr:uid="{00000000-0005-0000-0000-00005F4D0000}"/>
    <cellStyle name="Inndata 10 10" xfId="25005" xr:uid="{00000000-0005-0000-0000-0000604D0000}"/>
    <cellStyle name="Inndata 10 2" xfId="11506" xr:uid="{00000000-0005-0000-0000-0000614D0000}"/>
    <cellStyle name="Inndata 10 2 2" xfId="11507" xr:uid="{00000000-0005-0000-0000-0000624D0000}"/>
    <cellStyle name="Inndata 10 2 2 2" xfId="18110" xr:uid="{00000000-0005-0000-0000-0000634D0000}"/>
    <cellStyle name="Inndata 10 2 2 3" xfId="16359" xr:uid="{00000000-0005-0000-0000-0000644D0000}"/>
    <cellStyle name="Inndata 10 2 2 3 2" xfId="25388" xr:uid="{00000000-0005-0000-0000-0000654D0000}"/>
    <cellStyle name="Inndata 10 2 2 3 2 2" xfId="42914" xr:uid="{00000000-0005-0000-0000-0000664D0000}"/>
    <cellStyle name="Inndata 10 2 2 3 3" xfId="44026" xr:uid="{00000000-0005-0000-0000-0000674D0000}"/>
    <cellStyle name="Inndata 10 2 2_Avviksanalyse løpende RNB15 (1)" xfId="16711" xr:uid="{00000000-0005-0000-0000-0000684D0000}"/>
    <cellStyle name="Inndata 10 3" xfId="11505" xr:uid="{00000000-0005-0000-0000-0000694D0000}"/>
    <cellStyle name="Inndata 10 4" xfId="11071" xr:uid="{00000000-0005-0000-0000-00006A4D0000}"/>
    <cellStyle name="Inndata 10 5" xfId="24314" xr:uid="{00000000-0005-0000-0000-00006B4D0000}"/>
    <cellStyle name="Inndata 10 6" xfId="24817" xr:uid="{00000000-0005-0000-0000-00006C4D0000}"/>
    <cellStyle name="Inndata 10 7" xfId="25211" xr:uid="{00000000-0005-0000-0000-00006D4D0000}"/>
    <cellStyle name="Inndata 10 8" xfId="24746" xr:uid="{00000000-0005-0000-0000-00006E4D0000}"/>
    <cellStyle name="Inndata 10 9" xfId="25076" xr:uid="{00000000-0005-0000-0000-00006F4D0000}"/>
    <cellStyle name="Inndata 11" xfId="1163" xr:uid="{00000000-0005-0000-0000-0000704D0000}"/>
    <cellStyle name="Inndata 11 10" xfId="24834" xr:uid="{00000000-0005-0000-0000-0000714D0000}"/>
    <cellStyle name="Inndata 11 2" xfId="4420" xr:uid="{00000000-0005-0000-0000-0000724D0000}"/>
    <cellStyle name="Inndata 11 2 2" xfId="11510" xr:uid="{00000000-0005-0000-0000-0000734D0000}"/>
    <cellStyle name="Inndata 11 2 2 2" xfId="18111" xr:uid="{00000000-0005-0000-0000-0000744D0000}"/>
    <cellStyle name="Inndata 11 2 2 3" xfId="16360" xr:uid="{00000000-0005-0000-0000-0000754D0000}"/>
    <cellStyle name="Inndata 11 2 2 3 2" xfId="25389" xr:uid="{00000000-0005-0000-0000-0000764D0000}"/>
    <cellStyle name="Inndata 11 2 2 3 2 2" xfId="42915" xr:uid="{00000000-0005-0000-0000-0000774D0000}"/>
    <cellStyle name="Inndata 11 2 2 3 3" xfId="44027" xr:uid="{00000000-0005-0000-0000-0000784D0000}"/>
    <cellStyle name="Inndata 11 2 2_Avviksanalyse løpende RNB15 (1)" xfId="16712" xr:uid="{00000000-0005-0000-0000-0000794D0000}"/>
    <cellStyle name="Inndata 11 2 3" xfId="11509" xr:uid="{00000000-0005-0000-0000-00007A4D0000}"/>
    <cellStyle name="Inndata 11 3" xfId="4372" xr:uid="{00000000-0005-0000-0000-00007B4D0000}"/>
    <cellStyle name="Inndata 11 4" xfId="11508" xr:uid="{00000000-0005-0000-0000-00007C4D0000}"/>
    <cellStyle name="Inndata 11 5" xfId="11068" xr:uid="{00000000-0005-0000-0000-00007D4D0000}"/>
    <cellStyle name="Inndata 11 6" xfId="22505" xr:uid="{00000000-0005-0000-0000-00007E4D0000}"/>
    <cellStyle name="Inndata 11 7" xfId="24818" xr:uid="{00000000-0005-0000-0000-00007F4D0000}"/>
    <cellStyle name="Inndata 11 8" xfId="24906" xr:uid="{00000000-0005-0000-0000-0000804D0000}"/>
    <cellStyle name="Inndata 11 9" xfId="25190" xr:uid="{00000000-0005-0000-0000-0000814D0000}"/>
    <cellStyle name="Inndata 12" xfId="1164" xr:uid="{00000000-0005-0000-0000-0000824D0000}"/>
    <cellStyle name="Inndata 12 10" xfId="24998" xr:uid="{00000000-0005-0000-0000-0000834D0000}"/>
    <cellStyle name="Inndata 12 2" xfId="11512" xr:uid="{00000000-0005-0000-0000-0000844D0000}"/>
    <cellStyle name="Inndata 12 2 2" xfId="11513" xr:uid="{00000000-0005-0000-0000-0000854D0000}"/>
    <cellStyle name="Inndata 12 2 2 2" xfId="18112" xr:uid="{00000000-0005-0000-0000-0000864D0000}"/>
    <cellStyle name="Inndata 12 2 2 3" xfId="16361" xr:uid="{00000000-0005-0000-0000-0000874D0000}"/>
    <cellStyle name="Inndata 12 2 2 3 2" xfId="25390" xr:uid="{00000000-0005-0000-0000-0000884D0000}"/>
    <cellStyle name="Inndata 12 2 2 3 2 2" xfId="42916" xr:uid="{00000000-0005-0000-0000-0000894D0000}"/>
    <cellStyle name="Inndata 12 2 2 3 3" xfId="44028" xr:uid="{00000000-0005-0000-0000-00008A4D0000}"/>
    <cellStyle name="Inndata 12 2 2_Avviksanalyse løpende RNB15 (1)" xfId="16713" xr:uid="{00000000-0005-0000-0000-00008B4D0000}"/>
    <cellStyle name="Inndata 12 3" xfId="11511" xr:uid="{00000000-0005-0000-0000-00008C4D0000}"/>
    <cellStyle name="Inndata 12 4" xfId="11065" xr:uid="{00000000-0005-0000-0000-00008D4D0000}"/>
    <cellStyle name="Inndata 12 5" xfId="20995" xr:uid="{00000000-0005-0000-0000-00008E4D0000}"/>
    <cellStyle name="Inndata 12 6" xfId="24819" xr:uid="{00000000-0005-0000-0000-00008F4D0000}"/>
    <cellStyle name="Inndata 12 7" xfId="24988" xr:uid="{00000000-0005-0000-0000-0000904D0000}"/>
    <cellStyle name="Inndata 12 8" xfId="25164" xr:uid="{00000000-0005-0000-0000-0000914D0000}"/>
    <cellStyle name="Inndata 12 9" xfId="24759" xr:uid="{00000000-0005-0000-0000-0000924D0000}"/>
    <cellStyle name="Inndata 13" xfId="1165" xr:uid="{00000000-0005-0000-0000-0000934D0000}"/>
    <cellStyle name="Inndata 13 10" xfId="24752" xr:uid="{00000000-0005-0000-0000-0000944D0000}"/>
    <cellStyle name="Inndata 13 2" xfId="11515" xr:uid="{00000000-0005-0000-0000-0000954D0000}"/>
    <cellStyle name="Inndata 13 2 2" xfId="11516" xr:uid="{00000000-0005-0000-0000-0000964D0000}"/>
    <cellStyle name="Inndata 13 2 2 2" xfId="18113" xr:uid="{00000000-0005-0000-0000-0000974D0000}"/>
    <cellStyle name="Inndata 13 2 2 3" xfId="16362" xr:uid="{00000000-0005-0000-0000-0000984D0000}"/>
    <cellStyle name="Inndata 13 2 2 3 2" xfId="25391" xr:uid="{00000000-0005-0000-0000-0000994D0000}"/>
    <cellStyle name="Inndata 13 2 2 3 2 2" xfId="42917" xr:uid="{00000000-0005-0000-0000-00009A4D0000}"/>
    <cellStyle name="Inndata 13 2 2 3 3" xfId="44029" xr:uid="{00000000-0005-0000-0000-00009B4D0000}"/>
    <cellStyle name="Inndata 13 2 2_Avviksanalyse løpende RNB15 (1)" xfId="16714" xr:uid="{00000000-0005-0000-0000-00009C4D0000}"/>
    <cellStyle name="Inndata 13 3" xfId="11514" xr:uid="{00000000-0005-0000-0000-00009D4D0000}"/>
    <cellStyle name="Inndata 13 4" xfId="11062" xr:uid="{00000000-0005-0000-0000-00009E4D0000}"/>
    <cellStyle name="Inndata 13 5" xfId="23310" xr:uid="{00000000-0005-0000-0000-00009F4D0000}"/>
    <cellStyle name="Inndata 13 6" xfId="24820" xr:uid="{00000000-0005-0000-0000-0000A04D0000}"/>
    <cellStyle name="Inndata 13 7" xfId="25175" xr:uid="{00000000-0005-0000-0000-0000A14D0000}"/>
    <cellStyle name="Inndata 13 8" xfId="24775" xr:uid="{00000000-0005-0000-0000-0000A24D0000}"/>
    <cellStyle name="Inndata 13 9" xfId="24843" xr:uid="{00000000-0005-0000-0000-0000A34D0000}"/>
    <cellStyle name="Inndata 14" xfId="3427" xr:uid="{00000000-0005-0000-0000-0000A44D0000}"/>
    <cellStyle name="Inndata 14 2" xfId="11517" xr:uid="{00000000-0005-0000-0000-0000A54D0000}"/>
    <cellStyle name="Inndata 15" xfId="40935" xr:uid="{00000000-0005-0000-0000-0000A64D0000}"/>
    <cellStyle name="Inndata 16" xfId="40787" xr:uid="{00000000-0005-0000-0000-0000A74D0000}"/>
    <cellStyle name="Inndata 17" xfId="40891" xr:uid="{00000000-0005-0000-0000-0000A84D0000}"/>
    <cellStyle name="Inndata 18" xfId="40822" xr:uid="{00000000-0005-0000-0000-0000A94D0000}"/>
    <cellStyle name="Inndata 19" xfId="40861" xr:uid="{00000000-0005-0000-0000-0000AA4D0000}"/>
    <cellStyle name="Inndata 2" xfId="1166" xr:uid="{00000000-0005-0000-0000-0000AB4D0000}"/>
    <cellStyle name="Inndata 2 2" xfId="1167" xr:uid="{00000000-0005-0000-0000-0000AC4D0000}"/>
    <cellStyle name="Inndata 2 3" xfId="11518" xr:uid="{00000000-0005-0000-0000-0000AD4D0000}"/>
    <cellStyle name="Inndata 2 4" xfId="11519" xr:uid="{00000000-0005-0000-0000-0000AE4D0000}"/>
    <cellStyle name="Inndata 2 5" xfId="11520" xr:uid="{00000000-0005-0000-0000-0000AF4D0000}"/>
    <cellStyle name="Inndata 2 6" xfId="11521" xr:uid="{00000000-0005-0000-0000-0000B04D0000}"/>
    <cellStyle name="Inndata 2 7" xfId="11522" xr:uid="{00000000-0005-0000-0000-0000B14D0000}"/>
    <cellStyle name="Inndata 2 8" xfId="11523" xr:uid="{00000000-0005-0000-0000-0000B24D0000}"/>
    <cellStyle name="Inndata 2 9" xfId="11524" xr:uid="{00000000-0005-0000-0000-0000B34D0000}"/>
    <cellStyle name="Inndata 20" xfId="40847" xr:uid="{00000000-0005-0000-0000-0000B44D0000}"/>
    <cellStyle name="Inndata 21" xfId="40850" xr:uid="{00000000-0005-0000-0000-0000B54D0000}"/>
    <cellStyle name="Inndata 22" xfId="43196" xr:uid="{00000000-0005-0000-0000-0000B64D0000}"/>
    <cellStyle name="Inndata 23" xfId="43410" xr:uid="{00000000-0005-0000-0000-0000B74D0000}"/>
    <cellStyle name="Inndata 24" xfId="46080" xr:uid="{00000000-0005-0000-0000-0000B84D0000}"/>
    <cellStyle name="Inndata 25" xfId="43656" xr:uid="{00000000-0005-0000-0000-0000B94D0000}"/>
    <cellStyle name="Inndata 26" xfId="43443" xr:uid="{00000000-0005-0000-0000-0000BA4D0000}"/>
    <cellStyle name="Inndata 27" xfId="46298" xr:uid="{00000000-0005-0000-0000-0000BB4D0000}"/>
    <cellStyle name="Inndata 28" xfId="46341" xr:uid="{00000000-0005-0000-0000-0000BC4D0000}"/>
    <cellStyle name="Inndata 29" xfId="46583" xr:uid="{00000000-0005-0000-0000-0000BD4D0000}"/>
    <cellStyle name="Inndata 3" xfId="1168" xr:uid="{00000000-0005-0000-0000-0000BE4D0000}"/>
    <cellStyle name="Inndata 3 2" xfId="1169" xr:uid="{00000000-0005-0000-0000-0000BF4D0000}"/>
    <cellStyle name="Inndata 30" xfId="46828" xr:uid="{00000000-0005-0000-0000-0000C04D0000}"/>
    <cellStyle name="Inndata 31" xfId="46794" xr:uid="{00000000-0005-0000-0000-0000C14D0000}"/>
    <cellStyle name="Inndata 32" xfId="46383" xr:uid="{00000000-0005-0000-0000-0000C24D0000}"/>
    <cellStyle name="Inndata 4" xfId="1170" xr:uid="{00000000-0005-0000-0000-0000C34D0000}"/>
    <cellStyle name="Inndata 4 2" xfId="1171" xr:uid="{00000000-0005-0000-0000-0000C44D0000}"/>
    <cellStyle name="Inndata 5" xfId="1172" xr:uid="{00000000-0005-0000-0000-0000C54D0000}"/>
    <cellStyle name="Inndata 6" xfId="1173" xr:uid="{00000000-0005-0000-0000-0000C64D0000}"/>
    <cellStyle name="Inndata 7" xfId="1174" xr:uid="{00000000-0005-0000-0000-0000C74D0000}"/>
    <cellStyle name="Inndata 8" xfId="1175" xr:uid="{00000000-0005-0000-0000-0000C84D0000}"/>
    <cellStyle name="Inndata 9" xfId="1176" xr:uid="{00000000-0005-0000-0000-0000C94D0000}"/>
    <cellStyle name="Inndata 9 2" xfId="1177" xr:uid="{00000000-0005-0000-0000-0000CA4D0000}"/>
    <cellStyle name="Inndata 9 3" xfId="11525" xr:uid="{00000000-0005-0000-0000-0000CB4D0000}"/>
    <cellStyle name="Inndata 9 3 2" xfId="11526" xr:uid="{00000000-0005-0000-0000-0000CC4D0000}"/>
    <cellStyle name="Inndata 9 3 2 2" xfId="18114" xr:uid="{00000000-0005-0000-0000-0000CD4D0000}"/>
    <cellStyle name="Inndata 9 3 2 3" xfId="16363" xr:uid="{00000000-0005-0000-0000-0000CE4D0000}"/>
    <cellStyle name="Inndata 9 3 2 3 2" xfId="25392" xr:uid="{00000000-0005-0000-0000-0000CF4D0000}"/>
    <cellStyle name="Inndata 9 3 2 3 2 2" xfId="42918" xr:uid="{00000000-0005-0000-0000-0000D04D0000}"/>
    <cellStyle name="Inndata 9 3 2 3 3" xfId="44030" xr:uid="{00000000-0005-0000-0000-0000D14D0000}"/>
    <cellStyle name="Inndata 9 3 2_Avviksanalyse løpende RNB15 (1)" xfId="16715" xr:uid="{00000000-0005-0000-0000-0000D24D0000}"/>
    <cellStyle name="Input 2" xfId="1179" xr:uid="{00000000-0005-0000-0000-0000D44D0000}"/>
    <cellStyle name="Input 3" xfId="1341" xr:uid="{00000000-0005-0000-0000-0000D54D0000}"/>
    <cellStyle name="Koblet celle" xfId="40831" builtinId="24" customBuiltin="1"/>
    <cellStyle name="Koblet celle 10" xfId="1181" xr:uid="{00000000-0005-0000-0000-0000D64D0000}"/>
    <cellStyle name="Koblet celle 10 2" xfId="1182" xr:uid="{00000000-0005-0000-0000-0000D74D0000}"/>
    <cellStyle name="Koblet celle 10 3" xfId="4421" xr:uid="{00000000-0005-0000-0000-0000D84D0000}"/>
    <cellStyle name="Koblet celle 10 4" xfId="4375" xr:uid="{00000000-0005-0000-0000-0000D94D0000}"/>
    <cellStyle name="Koblet celle 10 5" xfId="11527" xr:uid="{00000000-0005-0000-0000-0000DA4D0000}"/>
    <cellStyle name="Koblet celle 11" xfId="1183" xr:uid="{00000000-0005-0000-0000-0000DB4D0000}"/>
    <cellStyle name="Koblet celle 11 2" xfId="3361" xr:uid="{00000000-0005-0000-0000-0000DC4D0000}"/>
    <cellStyle name="Koblet celle 11 3" xfId="11529" xr:uid="{00000000-0005-0000-0000-0000DD4D0000}"/>
    <cellStyle name="Koblet celle 11 4" xfId="11528" xr:uid="{00000000-0005-0000-0000-0000DE4D0000}"/>
    <cellStyle name="Koblet celle 12" xfId="1184" xr:uid="{00000000-0005-0000-0000-0000DF4D0000}"/>
    <cellStyle name="Koblet celle 12 10" xfId="24931" xr:uid="{00000000-0005-0000-0000-0000E04D0000}"/>
    <cellStyle name="Koblet celle 12 2" xfId="3362" xr:uid="{00000000-0005-0000-0000-0000E14D0000}"/>
    <cellStyle name="Koblet celle 12 2 2" xfId="11532" xr:uid="{00000000-0005-0000-0000-0000E24D0000}"/>
    <cellStyle name="Koblet celle 12 2 2 2" xfId="18115" xr:uid="{00000000-0005-0000-0000-0000E34D0000}"/>
    <cellStyle name="Koblet celle 12 2 2 3" xfId="16521" xr:uid="{00000000-0005-0000-0000-0000E44D0000}"/>
    <cellStyle name="Koblet celle 12 2 2 3 2" xfId="25393" xr:uid="{00000000-0005-0000-0000-0000E54D0000}"/>
    <cellStyle name="Koblet celle 12 2 2 3 2 2" xfId="43076" xr:uid="{00000000-0005-0000-0000-0000E64D0000}"/>
    <cellStyle name="Koblet celle 12 2 2 3 3" xfId="44031" xr:uid="{00000000-0005-0000-0000-0000E74D0000}"/>
    <cellStyle name="Koblet celle 12 2 2_Avviksanalyse løpende RNB15 (1)" xfId="16716" xr:uid="{00000000-0005-0000-0000-0000E84D0000}"/>
    <cellStyle name="Koblet celle 12 2 3" xfId="11531" xr:uid="{00000000-0005-0000-0000-0000E94D0000}"/>
    <cellStyle name="Koblet celle 12 3" xfId="3508" xr:uid="{00000000-0005-0000-0000-0000EA4D0000}"/>
    <cellStyle name="Koblet celle 12 4" xfId="11530" xr:uid="{00000000-0005-0000-0000-0000EB4D0000}"/>
    <cellStyle name="Koblet celle 12 5" xfId="11030" xr:uid="{00000000-0005-0000-0000-0000EC4D0000}"/>
    <cellStyle name="Koblet celle 12 6" xfId="24306" xr:uid="{00000000-0005-0000-0000-0000ED4D0000}"/>
    <cellStyle name="Koblet celle 12 7" xfId="24822" xr:uid="{00000000-0005-0000-0000-0000EE4D0000}"/>
    <cellStyle name="Koblet celle 12 8" xfId="25209" xr:uid="{00000000-0005-0000-0000-0000EF4D0000}"/>
    <cellStyle name="Koblet celle 12 9" xfId="24747" xr:uid="{00000000-0005-0000-0000-0000F04D0000}"/>
    <cellStyle name="Koblet celle 13" xfId="3430" xr:uid="{00000000-0005-0000-0000-0000F14D0000}"/>
    <cellStyle name="Koblet celle 13 2" xfId="11533" xr:uid="{00000000-0005-0000-0000-0000F24D0000}"/>
    <cellStyle name="Koblet celle 14" xfId="11534" xr:uid="{00000000-0005-0000-0000-0000F34D0000}"/>
    <cellStyle name="Koblet celle 2" xfId="1185" xr:uid="{00000000-0005-0000-0000-0000F44D0000}"/>
    <cellStyle name="Koblet celle 2 2" xfId="11535" xr:uid="{00000000-0005-0000-0000-0000F54D0000}"/>
    <cellStyle name="Koblet celle 2 3" xfId="11536" xr:uid="{00000000-0005-0000-0000-0000F64D0000}"/>
    <cellStyle name="Koblet celle 2 4" xfId="11537" xr:uid="{00000000-0005-0000-0000-0000F74D0000}"/>
    <cellStyle name="Koblet celle 2 5" xfId="11538" xr:uid="{00000000-0005-0000-0000-0000F84D0000}"/>
    <cellStyle name="Koblet celle 2 6" xfId="11539" xr:uid="{00000000-0005-0000-0000-0000F94D0000}"/>
    <cellStyle name="Koblet celle 2 7" xfId="11540" xr:uid="{00000000-0005-0000-0000-0000FA4D0000}"/>
    <cellStyle name="Koblet celle 2 8" xfId="11541" xr:uid="{00000000-0005-0000-0000-0000FB4D0000}"/>
    <cellStyle name="Koblet celle 2 9" xfId="11542" xr:uid="{00000000-0005-0000-0000-0000FC4D0000}"/>
    <cellStyle name="Koblet celle 3" xfId="1186" xr:uid="{00000000-0005-0000-0000-0000FD4D0000}"/>
    <cellStyle name="Koblet celle 4" xfId="1187" xr:uid="{00000000-0005-0000-0000-0000FE4D0000}"/>
    <cellStyle name="Koblet celle 5" xfId="1188" xr:uid="{00000000-0005-0000-0000-0000FF4D0000}"/>
    <cellStyle name="Koblet celle 6" xfId="1189" xr:uid="{00000000-0005-0000-0000-0000004E0000}"/>
    <cellStyle name="Koblet celle 7" xfId="1190" xr:uid="{00000000-0005-0000-0000-0000014E0000}"/>
    <cellStyle name="Koblet celle 8" xfId="1191" xr:uid="{00000000-0005-0000-0000-0000024E0000}"/>
    <cellStyle name="Koblet celle 8 2" xfId="1192" xr:uid="{00000000-0005-0000-0000-0000034E0000}"/>
    <cellStyle name="Koblet celle 8 3" xfId="1193" xr:uid="{00000000-0005-0000-0000-0000044E0000}"/>
    <cellStyle name="Koblet celle 8 4" xfId="11543" xr:uid="{00000000-0005-0000-0000-0000054E0000}"/>
    <cellStyle name="Koblet celle 9" xfId="1194" xr:uid="{00000000-0005-0000-0000-0000064E0000}"/>
    <cellStyle name="Koblet celle 9 2" xfId="1195" xr:uid="{00000000-0005-0000-0000-0000074E0000}"/>
    <cellStyle name="Koblet celle 9 3" xfId="11545" xr:uid="{00000000-0005-0000-0000-0000084E0000}"/>
    <cellStyle name="Koblet celle 9 4" xfId="11544" xr:uid="{00000000-0005-0000-0000-0000094E0000}"/>
    <cellStyle name="Kolonne" xfId="1196" xr:uid="{00000000-0005-0000-0000-00000A4E0000}"/>
    <cellStyle name="Kolonne 10" xfId="18204" xr:uid="{00000000-0005-0000-0000-00000B4E0000}"/>
    <cellStyle name="Kolonne 11" xfId="15129" xr:uid="{00000000-0005-0000-0000-00000C4E0000}"/>
    <cellStyle name="Kolonne 11 2" xfId="25394" xr:uid="{00000000-0005-0000-0000-00000D4E0000}"/>
    <cellStyle name="Kolonne 11 2 2" xfId="41686" xr:uid="{00000000-0005-0000-0000-00000E4E0000}"/>
    <cellStyle name="Kolonne 11 3" xfId="44032" xr:uid="{00000000-0005-0000-0000-00000F4E0000}"/>
    <cellStyle name="Kolonne 12" xfId="11546" xr:uid="{00000000-0005-0000-0000-0000104E0000}"/>
    <cellStyle name="Kolonne 2" xfId="1197" xr:uid="{00000000-0005-0000-0000-0000114E0000}"/>
    <cellStyle name="Kolonne 2 2" xfId="11548" xr:uid="{00000000-0005-0000-0000-0000124E0000}"/>
    <cellStyle name="Kolonne 2 2 2" xfId="18117" xr:uid="{00000000-0005-0000-0000-0000134E0000}"/>
    <cellStyle name="Kolonne 2 2 3" xfId="16365" xr:uid="{00000000-0005-0000-0000-0000144E0000}"/>
    <cellStyle name="Kolonne 2 2 3 2" xfId="25395" xr:uid="{00000000-0005-0000-0000-0000154E0000}"/>
    <cellStyle name="Kolonne 2 2 3 2 2" xfId="42920" xr:uid="{00000000-0005-0000-0000-0000164E0000}"/>
    <cellStyle name="Kolonne 2 2 3 3" xfId="44033" xr:uid="{00000000-0005-0000-0000-0000174E0000}"/>
    <cellStyle name="Kolonne 2 2_Avviksanalyse løpende RNB15 (1)" xfId="16717" xr:uid="{00000000-0005-0000-0000-0000184E0000}"/>
    <cellStyle name="Kolonne 2 3" xfId="11547" xr:uid="{00000000-0005-0000-0000-0000194E0000}"/>
    <cellStyle name="Kolonne 3" xfId="1198" xr:uid="{00000000-0005-0000-0000-00001A4E0000}"/>
    <cellStyle name="Kolonne 3 2" xfId="4422" xr:uid="{00000000-0005-0000-0000-00001B4E0000}"/>
    <cellStyle name="Kolonne 3 2 2" xfId="18118" xr:uid="{00000000-0005-0000-0000-00001C4E0000}"/>
    <cellStyle name="Kolonne 3 2 3" xfId="16366" xr:uid="{00000000-0005-0000-0000-00001D4E0000}"/>
    <cellStyle name="Kolonne 3 2 3 2" xfId="25396" xr:uid="{00000000-0005-0000-0000-00001E4E0000}"/>
    <cellStyle name="Kolonne 3 2 3 2 2" xfId="42921" xr:uid="{00000000-0005-0000-0000-00001F4E0000}"/>
    <cellStyle name="Kolonne 3 2 3 3" xfId="44034" xr:uid="{00000000-0005-0000-0000-0000204E0000}"/>
    <cellStyle name="Kolonne 3 2 4" xfId="11550" xr:uid="{00000000-0005-0000-0000-0000214E0000}"/>
    <cellStyle name="Kolonne 3 2_Avviksanalyse løpende RNB15 (1)" xfId="16718" xr:uid="{00000000-0005-0000-0000-0000224E0000}"/>
    <cellStyle name="Kolonne 3 3" xfId="4399" xr:uid="{00000000-0005-0000-0000-0000234E0000}"/>
    <cellStyle name="Kolonne 3 4" xfId="11549" xr:uid="{00000000-0005-0000-0000-0000244E0000}"/>
    <cellStyle name="Kolonne 4" xfId="1199" xr:uid="{00000000-0005-0000-0000-0000254E0000}"/>
    <cellStyle name="Kolonne 4 2" xfId="11552" xr:uid="{00000000-0005-0000-0000-0000264E0000}"/>
    <cellStyle name="Kolonne 4 2 2" xfId="18119" xr:uid="{00000000-0005-0000-0000-0000274E0000}"/>
    <cellStyle name="Kolonne 4 2 3" xfId="16367" xr:uid="{00000000-0005-0000-0000-0000284E0000}"/>
    <cellStyle name="Kolonne 4 2 3 2" xfId="25397" xr:uid="{00000000-0005-0000-0000-0000294E0000}"/>
    <cellStyle name="Kolonne 4 2 3 2 2" xfId="42922" xr:uid="{00000000-0005-0000-0000-00002A4E0000}"/>
    <cellStyle name="Kolonne 4 2 3 3" xfId="44035" xr:uid="{00000000-0005-0000-0000-00002B4E0000}"/>
    <cellStyle name="Kolonne 4 2_Avviksanalyse løpende RNB15 (1)" xfId="16719" xr:uid="{00000000-0005-0000-0000-00002C4E0000}"/>
    <cellStyle name="Kolonne 4 3" xfId="11551" xr:uid="{00000000-0005-0000-0000-00002D4E0000}"/>
    <cellStyle name="Kolonne 5" xfId="1200" xr:uid="{00000000-0005-0000-0000-00002E4E0000}"/>
    <cellStyle name="Kolonne 5 2" xfId="11554" xr:uid="{00000000-0005-0000-0000-00002F4E0000}"/>
    <cellStyle name="Kolonne 5 2 2" xfId="18120" xr:uid="{00000000-0005-0000-0000-0000304E0000}"/>
    <cellStyle name="Kolonne 5 2 3" xfId="16368" xr:uid="{00000000-0005-0000-0000-0000314E0000}"/>
    <cellStyle name="Kolonne 5 2 3 2" xfId="25398" xr:uid="{00000000-0005-0000-0000-0000324E0000}"/>
    <cellStyle name="Kolonne 5 2 3 2 2" xfId="42923" xr:uid="{00000000-0005-0000-0000-0000334E0000}"/>
    <cellStyle name="Kolonne 5 2 3 3" xfId="44036" xr:uid="{00000000-0005-0000-0000-0000344E0000}"/>
    <cellStyle name="Kolonne 5 2_Avviksanalyse løpende RNB15 (1)" xfId="16720" xr:uid="{00000000-0005-0000-0000-0000354E0000}"/>
    <cellStyle name="Kolonne 5 3" xfId="11553" xr:uid="{00000000-0005-0000-0000-0000364E0000}"/>
    <cellStyle name="Kolonne 6" xfId="3410" xr:uid="{00000000-0005-0000-0000-0000374E0000}"/>
    <cellStyle name="Kolonne 6 2" xfId="11556" xr:uid="{00000000-0005-0000-0000-0000384E0000}"/>
    <cellStyle name="Kolonne 6 2 2" xfId="18121" xr:uid="{00000000-0005-0000-0000-0000394E0000}"/>
    <cellStyle name="Kolonne 6 2 3" xfId="16364" xr:uid="{00000000-0005-0000-0000-00003A4E0000}"/>
    <cellStyle name="Kolonne 6 2 3 2" xfId="25399" xr:uid="{00000000-0005-0000-0000-00003B4E0000}"/>
    <cellStyle name="Kolonne 6 2 3 2 2" xfId="42919" xr:uid="{00000000-0005-0000-0000-00003C4E0000}"/>
    <cellStyle name="Kolonne 6 2 3 3" xfId="44037" xr:uid="{00000000-0005-0000-0000-00003D4E0000}"/>
    <cellStyle name="Kolonne 6 2_Avviksanalyse løpende RNB15 (1)" xfId="16721" xr:uid="{00000000-0005-0000-0000-00003E4E0000}"/>
    <cellStyle name="Kolonne 6 3" xfId="11555" xr:uid="{00000000-0005-0000-0000-00003F4E0000}"/>
    <cellStyle name="Kolonne 7" xfId="18116" xr:uid="{00000000-0005-0000-0000-0000404E0000}"/>
    <cellStyle name="Kolonne 8" xfId="18203" xr:uid="{00000000-0005-0000-0000-0000414E0000}"/>
    <cellStyle name="Kolonne 9" xfId="17942" xr:uid="{00000000-0005-0000-0000-0000424E0000}"/>
    <cellStyle name="Kolonne_Ark1" xfId="11557" xr:uid="{00000000-0005-0000-0000-0000434E0000}"/>
    <cellStyle name="Komma" xfId="1201" builtinId="3"/>
    <cellStyle name="Komma 10" xfId="1202" xr:uid="{00000000-0005-0000-0000-0000444E0000}"/>
    <cellStyle name="Komma 10 2" xfId="1203" xr:uid="{00000000-0005-0000-0000-0000454E0000}"/>
    <cellStyle name="Komma 10 2 2" xfId="47618" xr:uid="{00000000-0005-0000-0000-0000464E0000}"/>
    <cellStyle name="Komma 10 3" xfId="47617" xr:uid="{00000000-0005-0000-0000-0000474E0000}"/>
    <cellStyle name="Komma 11" xfId="1204" xr:uid="{00000000-0005-0000-0000-0000484E0000}"/>
    <cellStyle name="Komma 11 2" xfId="1205" xr:uid="{00000000-0005-0000-0000-0000494E0000}"/>
    <cellStyle name="Komma 11 2 2" xfId="47619" xr:uid="{00000000-0005-0000-0000-00004A4E0000}"/>
    <cellStyle name="Komma 11 3" xfId="4423" xr:uid="{00000000-0005-0000-0000-00004B4E0000}"/>
    <cellStyle name="Komma 11 4" xfId="4363" xr:uid="{00000000-0005-0000-0000-00004C4E0000}"/>
    <cellStyle name="Komma 11 4 2" xfId="6186" xr:uid="{00000000-0005-0000-0000-00004D4E0000}"/>
    <cellStyle name="Komma 11 4 2 2" xfId="9600" xr:uid="{00000000-0005-0000-0000-00004E4E0000}"/>
    <cellStyle name="Komma 11 4 2 2 2" xfId="21965" xr:uid="{00000000-0005-0000-0000-00004F4E0000}"/>
    <cellStyle name="Komma 11 4 2 2 2 2" xfId="38040" xr:uid="{00000000-0005-0000-0000-0000504E0000}"/>
    <cellStyle name="Komma 11 4 2 2 3" xfId="28198" xr:uid="{00000000-0005-0000-0000-0000514E0000}"/>
    <cellStyle name="Komma 11 4 2 3" xfId="20355" xr:uid="{00000000-0005-0000-0000-0000524E0000}"/>
    <cellStyle name="Komma 11 4 2 3 2" xfId="36454" xr:uid="{00000000-0005-0000-0000-0000534E0000}"/>
    <cellStyle name="Komma 11 4 2 4" xfId="31597" xr:uid="{00000000-0005-0000-0000-0000544E0000}"/>
    <cellStyle name="Komma 11 4 3" xfId="7920" xr:uid="{00000000-0005-0000-0000-0000554E0000}"/>
    <cellStyle name="Komma 11 4 3 2" xfId="23288" xr:uid="{00000000-0005-0000-0000-0000564E0000}"/>
    <cellStyle name="Komma 11 4 3 2 2" xfId="39355" xr:uid="{00000000-0005-0000-0000-0000574E0000}"/>
    <cellStyle name="Komma 11 4 3 3" xfId="29879" xr:uid="{00000000-0005-0000-0000-0000584E0000}"/>
    <cellStyle name="Komma 11 4 4" xfId="20010" xr:uid="{00000000-0005-0000-0000-0000594E0000}"/>
    <cellStyle name="Komma 11 4 4 2" xfId="36114" xr:uid="{00000000-0005-0000-0000-00005A4E0000}"/>
    <cellStyle name="Komma 11 4 5" xfId="33267" xr:uid="{00000000-0005-0000-0000-00005B4E0000}"/>
    <cellStyle name="Komma 11 5" xfId="5218" xr:uid="{00000000-0005-0000-0000-00005C4E0000}"/>
    <cellStyle name="Komma 11 5 2" xfId="8633" xr:uid="{00000000-0005-0000-0000-00005D4E0000}"/>
    <cellStyle name="Komma 11 5 2 2" xfId="21144" xr:uid="{00000000-0005-0000-0000-00005E4E0000}"/>
    <cellStyle name="Komma 11 5 2 2 2" xfId="37224" xr:uid="{00000000-0005-0000-0000-00005F4E0000}"/>
    <cellStyle name="Komma 11 5 2 3" xfId="29165" xr:uid="{00000000-0005-0000-0000-0000604E0000}"/>
    <cellStyle name="Komma 11 5 3" xfId="10781" xr:uid="{00000000-0005-0000-0000-0000614E0000}"/>
    <cellStyle name="Komma 11 5 3 2" xfId="34604" xr:uid="{00000000-0005-0000-0000-0000624E0000}"/>
    <cellStyle name="Komma 11 5 4" xfId="32556" xr:uid="{00000000-0005-0000-0000-0000634E0000}"/>
    <cellStyle name="Komma 12" xfId="1206" xr:uid="{00000000-0005-0000-0000-0000644E0000}"/>
    <cellStyle name="Komma 12 2" xfId="3363" xr:uid="{00000000-0005-0000-0000-0000654E0000}"/>
    <cellStyle name="Komma 12 2 2" xfId="47621" xr:uid="{00000000-0005-0000-0000-0000664E0000}"/>
    <cellStyle name="Komma 12 3" xfId="47620" xr:uid="{00000000-0005-0000-0000-0000674E0000}"/>
    <cellStyle name="Komma 13" xfId="1207" xr:uid="{00000000-0005-0000-0000-0000684E0000}"/>
    <cellStyle name="Komma 13 2" xfId="3364" xr:uid="{00000000-0005-0000-0000-0000694E0000}"/>
    <cellStyle name="Komma 13 2 2" xfId="47623" xr:uid="{00000000-0005-0000-0000-00006A4E0000}"/>
    <cellStyle name="Komma 13 3" xfId="47622" xr:uid="{00000000-0005-0000-0000-00006B4E0000}"/>
    <cellStyle name="Komma 14" xfId="3409" xr:uid="{00000000-0005-0000-0000-00006C4E0000}"/>
    <cellStyle name="Komma 14 2" xfId="3623" xr:uid="{00000000-0005-0000-0000-00006D4E0000}"/>
    <cellStyle name="Komma 14 2 2" xfId="4051" xr:uid="{00000000-0005-0000-0000-00006E4E0000}"/>
    <cellStyle name="Komma 14 2 2 2" xfId="5939" xr:uid="{00000000-0005-0000-0000-00006F4E0000}"/>
    <cellStyle name="Komma 14 2 2 2 2" xfId="9354" xr:uid="{00000000-0005-0000-0000-0000704E0000}"/>
    <cellStyle name="Komma 14 2 2 2 2 2" xfId="19523" xr:uid="{00000000-0005-0000-0000-0000714E0000}"/>
    <cellStyle name="Komma 14 2 2 2 2 2 2" xfId="35637" xr:uid="{00000000-0005-0000-0000-0000724E0000}"/>
    <cellStyle name="Komma 14 2 2 2 2 3" xfId="28444" xr:uid="{00000000-0005-0000-0000-0000734E0000}"/>
    <cellStyle name="Komma 14 2 2 2 3" xfId="23946" xr:uid="{00000000-0005-0000-0000-0000744E0000}"/>
    <cellStyle name="Komma 14 2 2 2 3 2" xfId="40000" xr:uid="{00000000-0005-0000-0000-0000754E0000}"/>
    <cellStyle name="Komma 14 2 2 2 4" xfId="31838" xr:uid="{00000000-0005-0000-0000-0000764E0000}"/>
    <cellStyle name="Komma 14 2 2 3" xfId="7657" xr:uid="{00000000-0005-0000-0000-0000774E0000}"/>
    <cellStyle name="Komma 14 2 2 3 2" xfId="20854" xr:uid="{00000000-0005-0000-0000-0000784E0000}"/>
    <cellStyle name="Komma 14 2 2 3 2 2" xfId="36953" xr:uid="{00000000-0005-0000-0000-0000794E0000}"/>
    <cellStyle name="Komma 14 2 2 3 3" xfId="30141" xr:uid="{00000000-0005-0000-0000-00007A4E0000}"/>
    <cellStyle name="Komma 14 2 2 4" xfId="21831" xr:uid="{00000000-0005-0000-0000-00007B4E0000}"/>
    <cellStyle name="Komma 14 2 2 4 2" xfId="37907" xr:uid="{00000000-0005-0000-0000-00007C4E0000}"/>
    <cellStyle name="Komma 14 2 2 5" xfId="33528" xr:uid="{00000000-0005-0000-0000-00007D4E0000}"/>
    <cellStyle name="Komma 14 2 3" xfId="4991" xr:uid="{00000000-0005-0000-0000-00007E4E0000}"/>
    <cellStyle name="Komma 14 2 3 2" xfId="6710" xr:uid="{00000000-0005-0000-0000-00007F4E0000}"/>
    <cellStyle name="Komma 14 2 3 2 2" xfId="10116" xr:uid="{00000000-0005-0000-0000-0000804E0000}"/>
    <cellStyle name="Komma 14 2 3 2 2 2" xfId="22025" xr:uid="{00000000-0005-0000-0000-0000814E0000}"/>
    <cellStyle name="Komma 14 2 3 2 2 2 2" xfId="38100" xr:uid="{00000000-0005-0000-0000-0000824E0000}"/>
    <cellStyle name="Komma 14 2 3 2 2 3" xfId="27683" xr:uid="{00000000-0005-0000-0000-0000834E0000}"/>
    <cellStyle name="Komma 14 2 3 2 3" xfId="20546" xr:uid="{00000000-0005-0000-0000-0000844E0000}"/>
    <cellStyle name="Komma 14 2 3 2 3 2" xfId="36645" xr:uid="{00000000-0005-0000-0000-0000854E0000}"/>
    <cellStyle name="Komma 14 2 3 2 4" xfId="31084" xr:uid="{00000000-0005-0000-0000-0000864E0000}"/>
    <cellStyle name="Komma 14 2 3 3" xfId="8413" xr:uid="{00000000-0005-0000-0000-0000874E0000}"/>
    <cellStyle name="Komma 14 2 3 3 2" xfId="10555" xr:uid="{00000000-0005-0000-0000-0000884E0000}"/>
    <cellStyle name="Komma 14 2 3 3 2 2" xfId="34422" xr:uid="{00000000-0005-0000-0000-0000894E0000}"/>
    <cellStyle name="Komma 14 2 3 3 3" xfId="29385" xr:uid="{00000000-0005-0000-0000-00008A4E0000}"/>
    <cellStyle name="Komma 14 2 3 4" xfId="12228" xr:uid="{00000000-0005-0000-0000-00008B4E0000}"/>
    <cellStyle name="Komma 14 2 3 4 2" xfId="35128" xr:uid="{00000000-0005-0000-0000-00008C4E0000}"/>
    <cellStyle name="Komma 14 2 3 5" xfId="32776" xr:uid="{00000000-0005-0000-0000-00008D4E0000}"/>
    <cellStyle name="Komma 14 2 4" xfId="5545" xr:uid="{00000000-0005-0000-0000-00008E4E0000}"/>
    <cellStyle name="Komma 14 2 4 2" xfId="8960" xr:uid="{00000000-0005-0000-0000-00008F4E0000}"/>
    <cellStyle name="Komma 14 2 4 2 2" xfId="21232" xr:uid="{00000000-0005-0000-0000-0000904E0000}"/>
    <cellStyle name="Komma 14 2 4 2 2 2" xfId="37312" xr:uid="{00000000-0005-0000-0000-0000914E0000}"/>
    <cellStyle name="Komma 14 2 4 2 3" xfId="28838" xr:uid="{00000000-0005-0000-0000-0000924E0000}"/>
    <cellStyle name="Komma 14 2 4 3" xfId="22870" xr:uid="{00000000-0005-0000-0000-0000934E0000}"/>
    <cellStyle name="Komma 14 2 4 3 2" xfId="38939" xr:uid="{00000000-0005-0000-0000-0000944E0000}"/>
    <cellStyle name="Komma 14 2 4 4" xfId="32229" xr:uid="{00000000-0005-0000-0000-0000954E0000}"/>
    <cellStyle name="Komma 14 2 5" xfId="7263" xr:uid="{00000000-0005-0000-0000-0000964E0000}"/>
    <cellStyle name="Komma 14 2 5 2" xfId="20716" xr:uid="{00000000-0005-0000-0000-0000974E0000}"/>
    <cellStyle name="Komma 14 2 5 2 2" xfId="36815" xr:uid="{00000000-0005-0000-0000-0000984E0000}"/>
    <cellStyle name="Komma 14 2 5 3" xfId="30535" xr:uid="{00000000-0005-0000-0000-0000994E0000}"/>
    <cellStyle name="Komma 14 2 6" xfId="19917" xr:uid="{00000000-0005-0000-0000-00009A4E0000}"/>
    <cellStyle name="Komma 14 2 6 2" xfId="36021" xr:uid="{00000000-0005-0000-0000-00009B4E0000}"/>
    <cellStyle name="Komma 14 2 7" xfId="33922" xr:uid="{00000000-0005-0000-0000-00009C4E0000}"/>
    <cellStyle name="Komma 14 3" xfId="3871" xr:uid="{00000000-0005-0000-0000-00009D4E0000}"/>
    <cellStyle name="Komma 14 3 2" xfId="5759" xr:uid="{00000000-0005-0000-0000-00009E4E0000}"/>
    <cellStyle name="Komma 14 3 2 2" xfId="9174" xr:uid="{00000000-0005-0000-0000-00009F4E0000}"/>
    <cellStyle name="Komma 14 3 2 2 2" xfId="24472" xr:uid="{00000000-0005-0000-0000-0000A04E0000}"/>
    <cellStyle name="Komma 14 3 2 2 2 2" xfId="40516" xr:uid="{00000000-0005-0000-0000-0000A14E0000}"/>
    <cellStyle name="Komma 14 3 2 2 3" xfId="28624" xr:uid="{00000000-0005-0000-0000-0000A24E0000}"/>
    <cellStyle name="Komma 14 3 2 3" xfId="22276" xr:uid="{00000000-0005-0000-0000-0000A34E0000}"/>
    <cellStyle name="Komma 14 3 2 3 2" xfId="38348" xr:uid="{00000000-0005-0000-0000-0000A44E0000}"/>
    <cellStyle name="Komma 14 3 2 4" xfId="32015" xr:uid="{00000000-0005-0000-0000-0000A54E0000}"/>
    <cellStyle name="Komma 14 3 3" xfId="7477" xr:uid="{00000000-0005-0000-0000-0000A64E0000}"/>
    <cellStyle name="Komma 14 3 3 2" xfId="23214" xr:uid="{00000000-0005-0000-0000-0000A74E0000}"/>
    <cellStyle name="Komma 14 3 3 2 2" xfId="39283" xr:uid="{00000000-0005-0000-0000-0000A84E0000}"/>
    <cellStyle name="Komma 14 3 3 3" xfId="30321" xr:uid="{00000000-0005-0000-0000-0000A94E0000}"/>
    <cellStyle name="Komma 14 3 4" xfId="12511" xr:uid="{00000000-0005-0000-0000-0000AA4E0000}"/>
    <cellStyle name="Komma 14 3 4 2" xfId="35265" xr:uid="{00000000-0005-0000-0000-0000AB4E0000}"/>
    <cellStyle name="Komma 14 3 5" xfId="33708" xr:uid="{00000000-0005-0000-0000-0000AC4E0000}"/>
    <cellStyle name="Komma 14 4" xfId="4811" xr:uid="{00000000-0005-0000-0000-0000AD4E0000}"/>
    <cellStyle name="Komma 14 4 2" xfId="6530" xr:uid="{00000000-0005-0000-0000-0000AE4E0000}"/>
    <cellStyle name="Komma 14 4 2 2" xfId="9936" xr:uid="{00000000-0005-0000-0000-0000AF4E0000}"/>
    <cellStyle name="Komma 14 4 2 2 2" xfId="22000" xr:uid="{00000000-0005-0000-0000-0000B04E0000}"/>
    <cellStyle name="Komma 14 4 2 2 2 2" xfId="38075" xr:uid="{00000000-0005-0000-0000-0000B14E0000}"/>
    <cellStyle name="Komma 14 4 2 2 3" xfId="27863" xr:uid="{00000000-0005-0000-0000-0000B24E0000}"/>
    <cellStyle name="Komma 14 4 2 3" xfId="22140" xr:uid="{00000000-0005-0000-0000-0000B34E0000}"/>
    <cellStyle name="Komma 14 4 2 3 2" xfId="38214" xr:uid="{00000000-0005-0000-0000-0000B44E0000}"/>
    <cellStyle name="Komma 14 4 2 4" xfId="31264" xr:uid="{00000000-0005-0000-0000-0000B54E0000}"/>
    <cellStyle name="Komma 14 4 3" xfId="8233" xr:uid="{00000000-0005-0000-0000-0000B64E0000}"/>
    <cellStyle name="Komma 14 4 3 2" xfId="23333" xr:uid="{00000000-0005-0000-0000-0000B74E0000}"/>
    <cellStyle name="Komma 14 4 3 2 2" xfId="39395" xr:uid="{00000000-0005-0000-0000-0000B84E0000}"/>
    <cellStyle name="Komma 14 4 3 3" xfId="29564" xr:uid="{00000000-0005-0000-0000-0000B94E0000}"/>
    <cellStyle name="Komma 14 4 4" xfId="19714" xr:uid="{00000000-0005-0000-0000-0000BA4E0000}"/>
    <cellStyle name="Komma 14 4 4 2" xfId="35828" xr:uid="{00000000-0005-0000-0000-0000BB4E0000}"/>
    <cellStyle name="Komma 14 4 5" xfId="32956" xr:uid="{00000000-0005-0000-0000-0000BC4E0000}"/>
    <cellStyle name="Komma 14 5" xfId="5375" xr:uid="{00000000-0005-0000-0000-0000BD4E0000}"/>
    <cellStyle name="Komma 14 5 2" xfId="8790" xr:uid="{00000000-0005-0000-0000-0000BE4E0000}"/>
    <cellStyle name="Komma 14 5 2 2" xfId="11768" xr:uid="{00000000-0005-0000-0000-0000BF4E0000}"/>
    <cellStyle name="Komma 14 5 2 2 2" xfId="34859" xr:uid="{00000000-0005-0000-0000-0000C04E0000}"/>
    <cellStyle name="Komma 14 5 2 3" xfId="29008" xr:uid="{00000000-0005-0000-0000-0000C14E0000}"/>
    <cellStyle name="Komma 14 5 3" xfId="12047" xr:uid="{00000000-0005-0000-0000-0000C24E0000}"/>
    <cellStyle name="Komma 14 5 3 2" xfId="35044" xr:uid="{00000000-0005-0000-0000-0000C34E0000}"/>
    <cellStyle name="Komma 14 5 4" xfId="32399" xr:uid="{00000000-0005-0000-0000-0000C44E0000}"/>
    <cellStyle name="Komma 14 6" xfId="7083" xr:uid="{00000000-0005-0000-0000-0000C54E0000}"/>
    <cellStyle name="Komma 14 6 2" xfId="20661" xr:uid="{00000000-0005-0000-0000-0000C64E0000}"/>
    <cellStyle name="Komma 14 6 2 2" xfId="36760" xr:uid="{00000000-0005-0000-0000-0000C74E0000}"/>
    <cellStyle name="Komma 14 6 3" xfId="30715" xr:uid="{00000000-0005-0000-0000-0000C84E0000}"/>
    <cellStyle name="Komma 14 7" xfId="21705" xr:uid="{00000000-0005-0000-0000-0000C94E0000}"/>
    <cellStyle name="Komma 14 7 2" xfId="37783" xr:uid="{00000000-0005-0000-0000-0000CA4E0000}"/>
    <cellStyle name="Komma 14 8" xfId="34102" xr:uid="{00000000-0005-0000-0000-0000CB4E0000}"/>
    <cellStyle name="Komma 14 9" xfId="47042" xr:uid="{00000000-0005-0000-0000-0000CC4E0000}"/>
    <cellStyle name="Komma 15" xfId="4135" xr:uid="{00000000-0005-0000-0000-0000CD4E0000}"/>
    <cellStyle name="Komma 15 2" xfId="5988" xr:uid="{00000000-0005-0000-0000-0000CE4E0000}"/>
    <cellStyle name="Komma 15 2 2" xfId="9403" xr:uid="{00000000-0005-0000-0000-0000CF4E0000}"/>
    <cellStyle name="Komma 15 2 2 2" xfId="21378" xr:uid="{00000000-0005-0000-0000-0000D04E0000}"/>
    <cellStyle name="Komma 15 2 2 2 2" xfId="37458" xr:uid="{00000000-0005-0000-0000-0000D14E0000}"/>
    <cellStyle name="Komma 15 2 2 3" xfId="28395" xr:uid="{00000000-0005-0000-0000-0000D24E0000}"/>
    <cellStyle name="Komma 15 2 3" xfId="20278" xr:uid="{00000000-0005-0000-0000-0000D34E0000}"/>
    <cellStyle name="Komma 15 2 3 2" xfId="36377" xr:uid="{00000000-0005-0000-0000-0000D44E0000}"/>
    <cellStyle name="Komma 15 2 4" xfId="31790" xr:uid="{00000000-0005-0000-0000-0000D54E0000}"/>
    <cellStyle name="Komma 15 3" xfId="7718" xr:uid="{00000000-0005-0000-0000-0000D64E0000}"/>
    <cellStyle name="Komma 15 3 2" xfId="24257" xr:uid="{00000000-0005-0000-0000-0000D74E0000}"/>
    <cellStyle name="Komma 15 3 2 2" xfId="40310" xr:uid="{00000000-0005-0000-0000-0000D84E0000}"/>
    <cellStyle name="Komma 15 3 3" xfId="30081" xr:uid="{00000000-0005-0000-0000-0000D94E0000}"/>
    <cellStyle name="Komma 15 4" xfId="19975" xr:uid="{00000000-0005-0000-0000-0000DA4E0000}"/>
    <cellStyle name="Komma 15 4 2" xfId="36079" xr:uid="{00000000-0005-0000-0000-0000DB4E0000}"/>
    <cellStyle name="Komma 15 5" xfId="33467" xr:uid="{00000000-0005-0000-0000-0000DC4E0000}"/>
    <cellStyle name="Komma 16" xfId="4466" xr:uid="{00000000-0005-0000-0000-0000DD4E0000}"/>
    <cellStyle name="Komma 16 2" xfId="6263" xr:uid="{00000000-0005-0000-0000-0000DE4E0000}"/>
    <cellStyle name="Komma 16 2 2" xfId="9673" xr:uid="{00000000-0005-0000-0000-0000DF4E0000}"/>
    <cellStyle name="Komma 16 2 2 2" xfId="21450" xr:uid="{00000000-0005-0000-0000-0000E04E0000}"/>
    <cellStyle name="Komma 16 2 2 2 2" xfId="37530" xr:uid="{00000000-0005-0000-0000-0000E14E0000}"/>
    <cellStyle name="Komma 16 2 2 3" xfId="28126" xr:uid="{00000000-0005-0000-0000-0000E24E0000}"/>
    <cellStyle name="Komma 16 2 3" xfId="22334" xr:uid="{00000000-0005-0000-0000-0000E34E0000}"/>
    <cellStyle name="Komma 16 2 3 2" xfId="38406" xr:uid="{00000000-0005-0000-0000-0000E44E0000}"/>
    <cellStyle name="Komma 16 2 4" xfId="31527" xr:uid="{00000000-0005-0000-0000-0000E54E0000}"/>
    <cellStyle name="Komma 16 3" xfId="7969" xr:uid="{00000000-0005-0000-0000-0000E64E0000}"/>
    <cellStyle name="Komma 16 3 2" xfId="22494" xr:uid="{00000000-0005-0000-0000-0000E74E0000}"/>
    <cellStyle name="Komma 16 3 2 2" xfId="38566" xr:uid="{00000000-0005-0000-0000-0000E84E0000}"/>
    <cellStyle name="Komma 16 3 3" xfId="29830" xr:uid="{00000000-0005-0000-0000-0000E94E0000}"/>
    <cellStyle name="Komma 16 4" xfId="20016" xr:uid="{00000000-0005-0000-0000-0000EA4E0000}"/>
    <cellStyle name="Komma 16 4 2" xfId="36120" xr:uid="{00000000-0005-0000-0000-0000EB4E0000}"/>
    <cellStyle name="Komma 16 5" xfId="33220" xr:uid="{00000000-0005-0000-0000-0000EC4E0000}"/>
    <cellStyle name="Komma 17" xfId="24934" xr:uid="{00000000-0005-0000-0000-0000ED4E0000}"/>
    <cellStyle name="Komma 18" xfId="25233" xr:uid="{00000000-0005-0000-0000-0000EE4E0000}"/>
    <cellStyle name="Komma 19" xfId="40782" xr:uid="{00000000-0005-0000-0000-0000EF4E0000}"/>
    <cellStyle name="Komma 2" xfId="1208" xr:uid="{00000000-0005-0000-0000-0000F04E0000}"/>
    <cellStyle name="Komma 2 2" xfId="4604" xr:uid="{00000000-0005-0000-0000-0000F14E0000}"/>
    <cellStyle name="Komma 2 2 2" xfId="47625" xr:uid="{00000000-0005-0000-0000-0000F24E0000}"/>
    <cellStyle name="Komma 2 3" xfId="47624" xr:uid="{00000000-0005-0000-0000-0000F34E0000}"/>
    <cellStyle name="Komma 20" xfId="43191" xr:uid="{00000000-0005-0000-0000-0000F44E0000}"/>
    <cellStyle name="Komma 21" xfId="43405" xr:uid="{00000000-0005-0000-0000-0000F54E0000}"/>
    <cellStyle name="Komma 22" xfId="46293" xr:uid="{00000000-0005-0000-0000-0000F64E0000}"/>
    <cellStyle name="Komma 23" xfId="47697" xr:uid="{00000000-0005-0000-0000-0000F74E0000}"/>
    <cellStyle name="Komma 24" xfId="47704" xr:uid="{00000000-0005-0000-0000-0000F84E0000}"/>
    <cellStyle name="Komma 3" xfId="1209" xr:uid="{00000000-0005-0000-0000-0000F94E0000}"/>
    <cellStyle name="Komma 3 2" xfId="1210" xr:uid="{00000000-0005-0000-0000-0000FA4E0000}"/>
    <cellStyle name="Komma 3 2 2" xfId="4606" xr:uid="{00000000-0005-0000-0000-0000FB4E0000}"/>
    <cellStyle name="Komma 3 3" xfId="4605" xr:uid="{00000000-0005-0000-0000-0000FC4E0000}"/>
    <cellStyle name="Komma 3 3 2" xfId="47626" xr:uid="{00000000-0005-0000-0000-0000FD4E0000}"/>
    <cellStyle name="Komma 3 4" xfId="11558" xr:uid="{00000000-0005-0000-0000-0000FE4E0000}"/>
    <cellStyle name="Komma 4" xfId="1211" xr:uid="{00000000-0005-0000-0000-0000FF4E0000}"/>
    <cellStyle name="Komma 4 2" xfId="1212" xr:uid="{00000000-0005-0000-0000-0000004F0000}"/>
    <cellStyle name="Komma 4 2 2" xfId="4608" xr:uid="{00000000-0005-0000-0000-0000014F0000}"/>
    <cellStyle name="Komma 4 3" xfId="4607" xr:uid="{00000000-0005-0000-0000-0000024F0000}"/>
    <cellStyle name="Komma 5" xfId="1213" xr:uid="{00000000-0005-0000-0000-0000034F0000}"/>
    <cellStyle name="Komma 5 2" xfId="1214" xr:uid="{00000000-0005-0000-0000-0000044F0000}"/>
    <cellStyle name="Komma 5 2 2" xfId="4610" xr:uid="{00000000-0005-0000-0000-0000054F0000}"/>
    <cellStyle name="Komma 5 3" xfId="4609" xr:uid="{00000000-0005-0000-0000-0000064F0000}"/>
    <cellStyle name="Komma 6" xfId="1215" xr:uid="{00000000-0005-0000-0000-0000074F0000}"/>
    <cellStyle name="Komma 6 2" xfId="1216" xr:uid="{00000000-0005-0000-0000-0000084F0000}"/>
    <cellStyle name="Komma 6 2 2" xfId="4612" xr:uid="{00000000-0005-0000-0000-0000094F0000}"/>
    <cellStyle name="Komma 6 3" xfId="4611" xr:uid="{00000000-0005-0000-0000-00000A4F0000}"/>
    <cellStyle name="Komma 7" xfId="1217" xr:uid="{00000000-0005-0000-0000-00000B4F0000}"/>
    <cellStyle name="Komma 7 2" xfId="4613" xr:uid="{00000000-0005-0000-0000-00000C4F0000}"/>
    <cellStyle name="Komma 8" xfId="1218" xr:uid="{00000000-0005-0000-0000-00000D4F0000}"/>
    <cellStyle name="Komma 8 2" xfId="1219" xr:uid="{00000000-0005-0000-0000-00000E4F0000}"/>
    <cellStyle name="Komma 8 2 2" xfId="4615" xr:uid="{00000000-0005-0000-0000-00000F4F0000}"/>
    <cellStyle name="Komma 8 3" xfId="4614" xr:uid="{00000000-0005-0000-0000-0000104F0000}"/>
    <cellStyle name="Komma 9" xfId="1220" xr:uid="{00000000-0005-0000-0000-0000114F0000}"/>
    <cellStyle name="Komma 9 2" xfId="1221" xr:uid="{00000000-0005-0000-0000-0000124F0000}"/>
    <cellStyle name="Komma 9 2 2" xfId="47628" xr:uid="{00000000-0005-0000-0000-0000134F0000}"/>
    <cellStyle name="Komma 9 3" xfId="1222" xr:uid="{00000000-0005-0000-0000-0000144F0000}"/>
    <cellStyle name="Komma 9 3 2" xfId="47629" xr:uid="{00000000-0005-0000-0000-0000154F0000}"/>
    <cellStyle name="Komma 9 4" xfId="47627" xr:uid="{00000000-0005-0000-0000-0000164F0000}"/>
    <cellStyle name="Kontrollcelle" xfId="4616" xr:uid="{00000000-0005-0000-0000-0000174F0000}"/>
    <cellStyle name="Kontrollcelle 10" xfId="11559" xr:uid="{00000000-0005-0000-0000-0000184F0000}"/>
    <cellStyle name="Kontrollcelle 11" xfId="11560" xr:uid="{00000000-0005-0000-0000-0000194F0000}"/>
    <cellStyle name="Kontrollcelle 12" xfId="11561" xr:uid="{00000000-0005-0000-0000-00001A4F0000}"/>
    <cellStyle name="Kontrollcelle 13" xfId="11562" xr:uid="{00000000-0005-0000-0000-00001B4F0000}"/>
    <cellStyle name="Kontrollcelle 14" xfId="11563" xr:uid="{00000000-0005-0000-0000-00001C4F0000}"/>
    <cellStyle name="Kontrollcelle 2" xfId="1223" xr:uid="{00000000-0005-0000-0000-00001D4F0000}"/>
    <cellStyle name="Kontrollcelle 2 2" xfId="11564" xr:uid="{00000000-0005-0000-0000-00001E4F0000}"/>
    <cellStyle name="Kontrollcelle 2 3" xfId="11565" xr:uid="{00000000-0005-0000-0000-00001F4F0000}"/>
    <cellStyle name="Kontrollcelle 2 4" xfId="11566" xr:uid="{00000000-0005-0000-0000-0000204F0000}"/>
    <cellStyle name="Kontrollcelle 2 5" xfId="11567" xr:uid="{00000000-0005-0000-0000-0000214F0000}"/>
    <cellStyle name="Kontrollcelle 2 6" xfId="11568" xr:uid="{00000000-0005-0000-0000-0000224F0000}"/>
    <cellStyle name="Kontrollcelle 2 7" xfId="11569" xr:uid="{00000000-0005-0000-0000-0000234F0000}"/>
    <cellStyle name="Kontrollcelle 2 8" xfId="11570" xr:uid="{00000000-0005-0000-0000-0000244F0000}"/>
    <cellStyle name="Kontrollcelle 2 9" xfId="11571" xr:uid="{00000000-0005-0000-0000-0000254F0000}"/>
    <cellStyle name="Kontrollcelle 3" xfId="1224" xr:uid="{00000000-0005-0000-0000-0000264F0000}"/>
    <cellStyle name="Kontrollcelle 4" xfId="1225" xr:uid="{00000000-0005-0000-0000-0000274F0000}"/>
    <cellStyle name="Kontrollcelle 5" xfId="1226" xr:uid="{00000000-0005-0000-0000-0000284F0000}"/>
    <cellStyle name="Kontrollcelle 6" xfId="1227" xr:uid="{00000000-0005-0000-0000-0000294F0000}"/>
    <cellStyle name="Kontrollcelle 7" xfId="1228" xr:uid="{00000000-0005-0000-0000-00002A4F0000}"/>
    <cellStyle name="Kontrollcelle 8" xfId="1229" xr:uid="{00000000-0005-0000-0000-00002B4F0000}"/>
    <cellStyle name="Kontrollcelle 8 2" xfId="1230" xr:uid="{00000000-0005-0000-0000-00002C4F0000}"/>
    <cellStyle name="Kontrollcelle 8 3" xfId="11572" xr:uid="{00000000-0005-0000-0000-00002D4F0000}"/>
    <cellStyle name="Kontrollcelle 8 3 2" xfId="11573" xr:uid="{00000000-0005-0000-0000-00002E4F0000}"/>
    <cellStyle name="Kontrollcelle 8 3 2 2" xfId="18122" xr:uid="{00000000-0005-0000-0000-00002F4F0000}"/>
    <cellStyle name="Kontrollcelle 8 3 2 3" xfId="16369" xr:uid="{00000000-0005-0000-0000-0000304F0000}"/>
    <cellStyle name="Kontrollcelle 8 3 2 3 2" xfId="25400" xr:uid="{00000000-0005-0000-0000-0000314F0000}"/>
    <cellStyle name="Kontrollcelle 8 3 2 3 2 2" xfId="42924" xr:uid="{00000000-0005-0000-0000-0000324F0000}"/>
    <cellStyle name="Kontrollcelle 8 3 2 3 3" xfId="44038" xr:uid="{00000000-0005-0000-0000-0000334F0000}"/>
    <cellStyle name="Kontrollcelle 8 3 2_Avviksanalyse løpende RNB15 (1)" xfId="16722" xr:uid="{00000000-0005-0000-0000-0000344F0000}"/>
    <cellStyle name="Kontrollcelle 9" xfId="11574" xr:uid="{00000000-0005-0000-0000-0000354F0000}"/>
    <cellStyle name="Linked Cell 2" xfId="1117" xr:uid="{00000000-0005-0000-0000-0000374F0000}"/>
    <cellStyle name="Linked Cell 3" xfId="29813" xr:uid="{00000000-0005-0000-0000-0000384F0000}"/>
    <cellStyle name="Merknad" xfId="40849" builtinId="10" customBuiltin="1"/>
    <cellStyle name="Merknad 10" xfId="1232" xr:uid="{00000000-0005-0000-0000-0000394F0000}"/>
    <cellStyle name="Merknad 10 2" xfId="11575" xr:uid="{00000000-0005-0000-0000-00003A4F0000}"/>
    <cellStyle name="Merknad 10 3" xfId="11576" xr:uid="{00000000-0005-0000-0000-00003B4F0000}"/>
    <cellStyle name="Merknad 11" xfId="1233" xr:uid="{00000000-0005-0000-0000-00003C4F0000}"/>
    <cellStyle name="Merknad 11 2" xfId="11577" xr:uid="{00000000-0005-0000-0000-00003D4F0000}"/>
    <cellStyle name="Merknad 11 3" xfId="11578" xr:uid="{00000000-0005-0000-0000-00003E4F0000}"/>
    <cellStyle name="Merknad 12" xfId="1234" xr:uid="{00000000-0005-0000-0000-00003F4F0000}"/>
    <cellStyle name="Merknad 12 2" xfId="11579" xr:uid="{00000000-0005-0000-0000-0000404F0000}"/>
    <cellStyle name="Merknad 12 3" xfId="11580" xr:uid="{00000000-0005-0000-0000-0000414F0000}"/>
    <cellStyle name="Merknad 13" xfId="1235" xr:uid="{00000000-0005-0000-0000-0000424F0000}"/>
    <cellStyle name="Merknad 13 2" xfId="11581" xr:uid="{00000000-0005-0000-0000-0000434F0000}"/>
    <cellStyle name="Merknad 13 3" xfId="11582" xr:uid="{00000000-0005-0000-0000-0000444F0000}"/>
    <cellStyle name="Merknad 14" xfId="1236" xr:uid="{00000000-0005-0000-0000-0000454F0000}"/>
    <cellStyle name="Merknad 14 10" xfId="25179" xr:uid="{00000000-0005-0000-0000-0000464F0000}"/>
    <cellStyle name="Merknad 14 2" xfId="1237" xr:uid="{00000000-0005-0000-0000-0000474F0000}"/>
    <cellStyle name="Merknad 14 2 10" xfId="25158" xr:uid="{00000000-0005-0000-0000-0000484F0000}"/>
    <cellStyle name="Merknad 14 2 2" xfId="11584" xr:uid="{00000000-0005-0000-0000-0000494F0000}"/>
    <cellStyle name="Merknad 14 2 2 2" xfId="11585" xr:uid="{00000000-0005-0000-0000-00004A4F0000}"/>
    <cellStyle name="Merknad 14 2 2 2 2" xfId="18123" xr:uid="{00000000-0005-0000-0000-00004B4F0000}"/>
    <cellStyle name="Merknad 14 2 2 2 3" xfId="16371" xr:uid="{00000000-0005-0000-0000-00004C4F0000}"/>
    <cellStyle name="Merknad 14 2 2 2 3 2" xfId="25401" xr:uid="{00000000-0005-0000-0000-00004D4F0000}"/>
    <cellStyle name="Merknad 14 2 2 2 3 2 2" xfId="42926" xr:uid="{00000000-0005-0000-0000-00004E4F0000}"/>
    <cellStyle name="Merknad 14 2 2 2 3 3" xfId="44039" xr:uid="{00000000-0005-0000-0000-00004F4F0000}"/>
    <cellStyle name="Merknad 14 2 2 2_Avviksanalyse løpende RNB15 (1)" xfId="16723" xr:uid="{00000000-0005-0000-0000-0000504F0000}"/>
    <cellStyle name="Merknad 14 2 3" xfId="11583" xr:uid="{00000000-0005-0000-0000-0000514F0000}"/>
    <cellStyle name="Merknad 14 2 4" xfId="10940" xr:uid="{00000000-0005-0000-0000-0000524F0000}"/>
    <cellStyle name="Merknad 14 2 5" xfId="21758" xr:uid="{00000000-0005-0000-0000-0000534F0000}"/>
    <cellStyle name="Merknad 14 2 6" xfId="24825" xr:uid="{00000000-0005-0000-0000-0000544F0000}"/>
    <cellStyle name="Merknad 14 2 7" xfId="24904" xr:uid="{00000000-0005-0000-0000-0000554F0000}"/>
    <cellStyle name="Merknad 14 2 8" xfId="24855" xr:uid="{00000000-0005-0000-0000-0000564F0000}"/>
    <cellStyle name="Merknad 14 2 9" xfId="24897" xr:uid="{00000000-0005-0000-0000-0000574F0000}"/>
    <cellStyle name="Merknad 14 3" xfId="1238" xr:uid="{00000000-0005-0000-0000-0000584F0000}"/>
    <cellStyle name="Merknad 14 4" xfId="11586" xr:uid="{00000000-0005-0000-0000-0000594F0000}"/>
    <cellStyle name="Merknad 14 4 2" xfId="11587" xr:uid="{00000000-0005-0000-0000-00005A4F0000}"/>
    <cellStyle name="Merknad 14 4 2 2" xfId="18124" xr:uid="{00000000-0005-0000-0000-00005B4F0000}"/>
    <cellStyle name="Merknad 14 4 2 3" xfId="16370" xr:uid="{00000000-0005-0000-0000-00005C4F0000}"/>
    <cellStyle name="Merknad 14 4 2 3 2" xfId="25402" xr:uid="{00000000-0005-0000-0000-00005D4F0000}"/>
    <cellStyle name="Merknad 14 4 2 3 2 2" xfId="42925" xr:uid="{00000000-0005-0000-0000-00005E4F0000}"/>
    <cellStyle name="Merknad 14 4 2 3 3" xfId="44040" xr:uid="{00000000-0005-0000-0000-00005F4F0000}"/>
    <cellStyle name="Merknad 14 4 2_Avviksanalyse løpende RNB15 (1)" xfId="16724" xr:uid="{00000000-0005-0000-0000-0000604F0000}"/>
    <cellStyle name="Merknad 14 5" xfId="10941" xr:uid="{00000000-0005-0000-0000-0000614F0000}"/>
    <cellStyle name="Merknad 14 6" xfId="23286" xr:uid="{00000000-0005-0000-0000-0000624F0000}"/>
    <cellStyle name="Merknad 14 7" xfId="24824" xr:uid="{00000000-0005-0000-0000-0000634F0000}"/>
    <cellStyle name="Merknad 14 8" xfId="25208" xr:uid="{00000000-0005-0000-0000-0000644F0000}"/>
    <cellStyle name="Merknad 14 9" xfId="24776" xr:uid="{00000000-0005-0000-0000-0000654F0000}"/>
    <cellStyle name="Merknad 15" xfId="1239" xr:uid="{00000000-0005-0000-0000-0000664F0000}"/>
    <cellStyle name="Merknad 15 10" xfId="24830" xr:uid="{00000000-0005-0000-0000-0000674F0000}"/>
    <cellStyle name="Merknad 15 2" xfId="1240" xr:uid="{00000000-0005-0000-0000-0000684F0000}"/>
    <cellStyle name="Merknad 15 2 2" xfId="11590" xr:uid="{00000000-0005-0000-0000-0000694F0000}"/>
    <cellStyle name="Merknad 15 2 2 2" xfId="18125" xr:uid="{00000000-0005-0000-0000-00006A4F0000}"/>
    <cellStyle name="Merknad 15 2 2 3" xfId="16373" xr:uid="{00000000-0005-0000-0000-00006B4F0000}"/>
    <cellStyle name="Merknad 15 2 2 3 2" xfId="25403" xr:uid="{00000000-0005-0000-0000-00006C4F0000}"/>
    <cellStyle name="Merknad 15 2 2 3 2 2" xfId="42928" xr:uid="{00000000-0005-0000-0000-00006D4F0000}"/>
    <cellStyle name="Merknad 15 2 2 3 3" xfId="44041" xr:uid="{00000000-0005-0000-0000-00006E4F0000}"/>
    <cellStyle name="Merknad 15 2 2_Avviksanalyse løpende RNB15 (1)" xfId="16725" xr:uid="{00000000-0005-0000-0000-00006F4F0000}"/>
    <cellStyle name="Merknad 15 2 3" xfId="11589" xr:uid="{00000000-0005-0000-0000-0000704F0000}"/>
    <cellStyle name="Merknad 15 3" xfId="11591" xr:uid="{00000000-0005-0000-0000-0000714F0000}"/>
    <cellStyle name="Merknad 15 3 2" xfId="11592" xr:uid="{00000000-0005-0000-0000-0000724F0000}"/>
    <cellStyle name="Merknad 15 3 2 2" xfId="18126" xr:uid="{00000000-0005-0000-0000-0000734F0000}"/>
    <cellStyle name="Merknad 15 3 2 3" xfId="16372" xr:uid="{00000000-0005-0000-0000-0000744F0000}"/>
    <cellStyle name="Merknad 15 3 2 3 2" xfId="25404" xr:uid="{00000000-0005-0000-0000-0000754F0000}"/>
    <cellStyle name="Merknad 15 3 2 3 2 2" xfId="42927" xr:uid="{00000000-0005-0000-0000-0000764F0000}"/>
    <cellStyle name="Merknad 15 3 2 3 3" xfId="44042" xr:uid="{00000000-0005-0000-0000-0000774F0000}"/>
    <cellStyle name="Merknad 15 3 2_Avviksanalyse løpende RNB15 (1)" xfId="16726" xr:uid="{00000000-0005-0000-0000-0000784F0000}"/>
    <cellStyle name="Merknad 15 4" xfId="11588" xr:uid="{00000000-0005-0000-0000-0000794F0000}"/>
    <cellStyle name="Merknad 15 5" xfId="10916" xr:uid="{00000000-0005-0000-0000-00007A4F0000}"/>
    <cellStyle name="Merknad 15 6" xfId="20937" xr:uid="{00000000-0005-0000-0000-00007B4F0000}"/>
    <cellStyle name="Merknad 15 7" xfId="24826" xr:uid="{00000000-0005-0000-0000-00007C4F0000}"/>
    <cellStyle name="Merknad 15 8" xfId="24903" xr:uid="{00000000-0005-0000-0000-00007D4F0000}"/>
    <cellStyle name="Merknad 15 9" xfId="24965" xr:uid="{00000000-0005-0000-0000-00007E4F0000}"/>
    <cellStyle name="Merknad 16" xfId="1241" xr:uid="{00000000-0005-0000-0000-00007F4F0000}"/>
    <cellStyle name="Merknad 16 10" xfId="24902" xr:uid="{00000000-0005-0000-0000-0000804F0000}"/>
    <cellStyle name="Merknad 16 2" xfId="1242" xr:uid="{00000000-0005-0000-0000-0000814F0000}"/>
    <cellStyle name="Merknad 16 2 2" xfId="11595" xr:uid="{00000000-0005-0000-0000-0000824F0000}"/>
    <cellStyle name="Merknad 16 2 2 2" xfId="18127" xr:uid="{00000000-0005-0000-0000-0000834F0000}"/>
    <cellStyle name="Merknad 16 2 2 3" xfId="16375" xr:uid="{00000000-0005-0000-0000-0000844F0000}"/>
    <cellStyle name="Merknad 16 2 2 3 2" xfId="25405" xr:uid="{00000000-0005-0000-0000-0000854F0000}"/>
    <cellStyle name="Merknad 16 2 2 3 2 2" xfId="42930" xr:uid="{00000000-0005-0000-0000-0000864F0000}"/>
    <cellStyle name="Merknad 16 2 2 3 3" xfId="44043" xr:uid="{00000000-0005-0000-0000-0000874F0000}"/>
    <cellStyle name="Merknad 16 2 2_Avviksanalyse løpende RNB15 (1)" xfId="16727" xr:uid="{00000000-0005-0000-0000-0000884F0000}"/>
    <cellStyle name="Merknad 16 2 3" xfId="11594" xr:uid="{00000000-0005-0000-0000-0000894F0000}"/>
    <cellStyle name="Merknad 16 3" xfId="4424" xr:uid="{00000000-0005-0000-0000-00008A4F0000}"/>
    <cellStyle name="Merknad 16 3 2" xfId="11597" xr:uid="{00000000-0005-0000-0000-00008B4F0000}"/>
    <cellStyle name="Merknad 16 3 2 2" xfId="18128" xr:uid="{00000000-0005-0000-0000-00008C4F0000}"/>
    <cellStyle name="Merknad 16 3 2 3" xfId="16374" xr:uid="{00000000-0005-0000-0000-00008D4F0000}"/>
    <cellStyle name="Merknad 16 3 2 3 2" xfId="25406" xr:uid="{00000000-0005-0000-0000-00008E4F0000}"/>
    <cellStyle name="Merknad 16 3 2 3 2 2" xfId="42929" xr:uid="{00000000-0005-0000-0000-00008F4F0000}"/>
    <cellStyle name="Merknad 16 3 2 3 3" xfId="44044" xr:uid="{00000000-0005-0000-0000-0000904F0000}"/>
    <cellStyle name="Merknad 16 3 2_Avviksanalyse løpende RNB15 (1)" xfId="16728" xr:uid="{00000000-0005-0000-0000-0000914F0000}"/>
    <cellStyle name="Merknad 16 3 3" xfId="11596" xr:uid="{00000000-0005-0000-0000-0000924F0000}"/>
    <cellStyle name="Merknad 16 4" xfId="4376" xr:uid="{00000000-0005-0000-0000-0000934F0000}"/>
    <cellStyle name="Merknad 16 4 2" xfId="6187" xr:uid="{00000000-0005-0000-0000-0000944F0000}"/>
    <cellStyle name="Merknad 16 4 2 2" xfId="9601" xr:uid="{00000000-0005-0000-0000-0000954F0000}"/>
    <cellStyle name="Merknad 16 4 2 2 2" xfId="23533" xr:uid="{00000000-0005-0000-0000-0000964F0000}"/>
    <cellStyle name="Merknad 16 4 2 2 2 2" xfId="39589" xr:uid="{00000000-0005-0000-0000-0000974F0000}"/>
    <cellStyle name="Merknad 16 4 2 2 3" xfId="28197" xr:uid="{00000000-0005-0000-0000-0000984F0000}"/>
    <cellStyle name="Merknad 16 4 2 3" xfId="20356" xr:uid="{00000000-0005-0000-0000-0000994F0000}"/>
    <cellStyle name="Merknad 16 4 2 3 2" xfId="36455" xr:uid="{00000000-0005-0000-0000-00009A4F0000}"/>
    <cellStyle name="Merknad 16 4 2 4" xfId="31596" xr:uid="{00000000-0005-0000-0000-00009B4F0000}"/>
    <cellStyle name="Merknad 16 4 3" xfId="7921" xr:uid="{00000000-0005-0000-0000-00009C4F0000}"/>
    <cellStyle name="Merknad 16 4 3 2" xfId="20944" xr:uid="{00000000-0005-0000-0000-00009D4F0000}"/>
    <cellStyle name="Merknad 16 4 3 2 2" xfId="37040" xr:uid="{00000000-0005-0000-0000-00009E4F0000}"/>
    <cellStyle name="Merknad 16 4 3 3" xfId="29878" xr:uid="{00000000-0005-0000-0000-00009F4F0000}"/>
    <cellStyle name="Merknad 16 4 4" xfId="12357" xr:uid="{00000000-0005-0000-0000-0000A04F0000}"/>
    <cellStyle name="Merknad 16 4 4 2" xfId="35205" xr:uid="{00000000-0005-0000-0000-0000A14F0000}"/>
    <cellStyle name="Merknad 16 4 5" xfId="33266" xr:uid="{00000000-0005-0000-0000-0000A24F0000}"/>
    <cellStyle name="Merknad 16 5" xfId="5219" xr:uid="{00000000-0005-0000-0000-0000A34F0000}"/>
    <cellStyle name="Merknad 16 5 2" xfId="8634" xr:uid="{00000000-0005-0000-0000-0000A44F0000}"/>
    <cellStyle name="Merknad 16 5 2 2" xfId="21145" xr:uid="{00000000-0005-0000-0000-0000A54F0000}"/>
    <cellStyle name="Merknad 16 5 2 2 2" xfId="37225" xr:uid="{00000000-0005-0000-0000-0000A64F0000}"/>
    <cellStyle name="Merknad 16 5 2 3" xfId="29164" xr:uid="{00000000-0005-0000-0000-0000A74F0000}"/>
    <cellStyle name="Merknad 16 5 3" xfId="19781" xr:uid="{00000000-0005-0000-0000-0000A84F0000}"/>
    <cellStyle name="Merknad 16 5 3 2" xfId="35895" xr:uid="{00000000-0005-0000-0000-0000A94F0000}"/>
    <cellStyle name="Merknad 16 5 4" xfId="32555" xr:uid="{00000000-0005-0000-0000-0000AA4F0000}"/>
    <cellStyle name="Merknad 16 6" xfId="11593" xr:uid="{00000000-0005-0000-0000-0000AB4F0000}"/>
    <cellStyle name="Merknad 16 7" xfId="10906" xr:uid="{00000000-0005-0000-0000-0000AC4F0000}"/>
    <cellStyle name="Merknad 16 8" xfId="20935" xr:uid="{00000000-0005-0000-0000-0000AD4F0000}"/>
    <cellStyle name="Merknad 16 9" xfId="24827" xr:uid="{00000000-0005-0000-0000-0000AE4F0000}"/>
    <cellStyle name="Merknad 17" xfId="1243" xr:uid="{00000000-0005-0000-0000-0000AF4F0000}"/>
    <cellStyle name="Merknad 17 10" xfId="24858" xr:uid="{00000000-0005-0000-0000-0000B04F0000}"/>
    <cellStyle name="Merknad 17 2" xfId="3365" xr:uid="{00000000-0005-0000-0000-0000B14F0000}"/>
    <cellStyle name="Merknad 17 2 2" xfId="11600" xr:uid="{00000000-0005-0000-0000-0000B24F0000}"/>
    <cellStyle name="Merknad 17 2 2 2" xfId="18129" xr:uid="{00000000-0005-0000-0000-0000B34F0000}"/>
    <cellStyle name="Merknad 17 2 2 3" xfId="16522" xr:uid="{00000000-0005-0000-0000-0000B44F0000}"/>
    <cellStyle name="Merknad 17 2 2 3 2" xfId="25407" xr:uid="{00000000-0005-0000-0000-0000B54F0000}"/>
    <cellStyle name="Merknad 17 2 2 3 2 2" xfId="43077" xr:uid="{00000000-0005-0000-0000-0000B64F0000}"/>
    <cellStyle name="Merknad 17 2 2 3 3" xfId="44045" xr:uid="{00000000-0005-0000-0000-0000B74F0000}"/>
    <cellStyle name="Merknad 17 2 2_Avviksanalyse løpende RNB15 (1)" xfId="16729" xr:uid="{00000000-0005-0000-0000-0000B84F0000}"/>
    <cellStyle name="Merknad 17 2 3" xfId="11599" xr:uid="{00000000-0005-0000-0000-0000B94F0000}"/>
    <cellStyle name="Merknad 17 3" xfId="11601" xr:uid="{00000000-0005-0000-0000-0000BA4F0000}"/>
    <cellStyle name="Merknad 17 3 2" xfId="11602" xr:uid="{00000000-0005-0000-0000-0000BB4F0000}"/>
    <cellStyle name="Merknad 17 3 2 2" xfId="18130" xr:uid="{00000000-0005-0000-0000-0000BC4F0000}"/>
    <cellStyle name="Merknad 17 3 2 3" xfId="16376" xr:uid="{00000000-0005-0000-0000-0000BD4F0000}"/>
    <cellStyle name="Merknad 17 3 2 3 2" xfId="25408" xr:uid="{00000000-0005-0000-0000-0000BE4F0000}"/>
    <cellStyle name="Merknad 17 3 2 3 2 2" xfId="42931" xr:uid="{00000000-0005-0000-0000-0000BF4F0000}"/>
    <cellStyle name="Merknad 17 3 2 3 3" xfId="44046" xr:uid="{00000000-0005-0000-0000-0000C04F0000}"/>
    <cellStyle name="Merknad 17 3 2_Avviksanalyse løpende RNB15 (1)" xfId="16730" xr:uid="{00000000-0005-0000-0000-0000C14F0000}"/>
    <cellStyle name="Merknad 17 4" xfId="11598" xr:uid="{00000000-0005-0000-0000-0000C24F0000}"/>
    <cellStyle name="Merknad 17 5" xfId="10901" xr:uid="{00000000-0005-0000-0000-0000C34F0000}"/>
    <cellStyle name="Merknad 17 6" xfId="20933" xr:uid="{00000000-0005-0000-0000-0000C44F0000}"/>
    <cellStyle name="Merknad 17 7" xfId="24828" xr:uid="{00000000-0005-0000-0000-0000C54F0000}"/>
    <cellStyle name="Merknad 17 8" xfId="24901" xr:uid="{00000000-0005-0000-0000-0000C64F0000}"/>
    <cellStyle name="Merknad 17 9" xfId="25197" xr:uid="{00000000-0005-0000-0000-0000C74F0000}"/>
    <cellStyle name="Merknad 18" xfId="1244" xr:uid="{00000000-0005-0000-0000-0000C84F0000}"/>
    <cellStyle name="Merknad 18 10" xfId="24930" xr:uid="{00000000-0005-0000-0000-0000C94F0000}"/>
    <cellStyle name="Merknad 18 2" xfId="3366" xr:uid="{00000000-0005-0000-0000-0000CA4F0000}"/>
    <cellStyle name="Merknad 18 2 2" xfId="11605" xr:uid="{00000000-0005-0000-0000-0000CB4F0000}"/>
    <cellStyle name="Merknad 18 2 2 2" xfId="18131" xr:uid="{00000000-0005-0000-0000-0000CC4F0000}"/>
    <cellStyle name="Merknad 18 2 2 3" xfId="16523" xr:uid="{00000000-0005-0000-0000-0000CD4F0000}"/>
    <cellStyle name="Merknad 18 2 2 3 2" xfId="25409" xr:uid="{00000000-0005-0000-0000-0000CE4F0000}"/>
    <cellStyle name="Merknad 18 2 2 3 2 2" xfId="43078" xr:uid="{00000000-0005-0000-0000-0000CF4F0000}"/>
    <cellStyle name="Merknad 18 2 2 3 3" xfId="44047" xr:uid="{00000000-0005-0000-0000-0000D04F0000}"/>
    <cellStyle name="Merknad 18 2 2_Avviksanalyse løpende RNB15 (1)" xfId="16731" xr:uid="{00000000-0005-0000-0000-0000D14F0000}"/>
    <cellStyle name="Merknad 18 2 3" xfId="11604" xr:uid="{00000000-0005-0000-0000-0000D24F0000}"/>
    <cellStyle name="Merknad 18 3" xfId="11606" xr:uid="{00000000-0005-0000-0000-0000D34F0000}"/>
    <cellStyle name="Merknad 18 3 2" xfId="11607" xr:uid="{00000000-0005-0000-0000-0000D44F0000}"/>
    <cellStyle name="Merknad 18 3 2 2" xfId="18132" xr:uid="{00000000-0005-0000-0000-0000D54F0000}"/>
    <cellStyle name="Merknad 18 3 2 3" xfId="16377" xr:uid="{00000000-0005-0000-0000-0000D64F0000}"/>
    <cellStyle name="Merknad 18 3 2 3 2" xfId="25410" xr:uid="{00000000-0005-0000-0000-0000D74F0000}"/>
    <cellStyle name="Merknad 18 3 2 3 2 2" xfId="42932" xr:uid="{00000000-0005-0000-0000-0000D84F0000}"/>
    <cellStyle name="Merknad 18 3 2 3 3" xfId="44048" xr:uid="{00000000-0005-0000-0000-0000D94F0000}"/>
    <cellStyle name="Merknad 18 3 2_Avviksanalyse løpende RNB15 (1)" xfId="16732" xr:uid="{00000000-0005-0000-0000-0000DA4F0000}"/>
    <cellStyle name="Merknad 18 4" xfId="11603" xr:uid="{00000000-0005-0000-0000-0000DB4F0000}"/>
    <cellStyle name="Merknad 18 5" xfId="10896" xr:uid="{00000000-0005-0000-0000-0000DC4F0000}"/>
    <cellStyle name="Merknad 18 6" xfId="24284" xr:uid="{00000000-0005-0000-0000-0000DD4F0000}"/>
    <cellStyle name="Merknad 18 7" xfId="24829" xr:uid="{00000000-0005-0000-0000-0000DE4F0000}"/>
    <cellStyle name="Merknad 18 8" xfId="24900" xr:uid="{00000000-0005-0000-0000-0000DF4F0000}"/>
    <cellStyle name="Merknad 18 9" xfId="24748" xr:uid="{00000000-0005-0000-0000-0000E04F0000}"/>
    <cellStyle name="Merknad 19" xfId="3431" xr:uid="{00000000-0005-0000-0000-0000E14F0000}"/>
    <cellStyle name="Merknad 19 2" xfId="3631" xr:uid="{00000000-0005-0000-0000-0000E24F0000}"/>
    <cellStyle name="Merknad 19 2 2" xfId="4059" xr:uid="{00000000-0005-0000-0000-0000E34F0000}"/>
    <cellStyle name="Merknad 19 2 2 2" xfId="5947" xr:uid="{00000000-0005-0000-0000-0000E44F0000}"/>
    <cellStyle name="Merknad 19 2 2 2 2" xfId="9362" xr:uid="{00000000-0005-0000-0000-0000E54F0000}"/>
    <cellStyle name="Merknad 19 2 2 2 2 2" xfId="21361" xr:uid="{00000000-0005-0000-0000-0000E64F0000}"/>
    <cellStyle name="Merknad 19 2 2 2 2 2 2" xfId="37441" xr:uid="{00000000-0005-0000-0000-0000E74F0000}"/>
    <cellStyle name="Merknad 19 2 2 2 2 3" xfId="28436" xr:uid="{00000000-0005-0000-0000-0000E84F0000}"/>
    <cellStyle name="Merknad 19 2 2 2 3" xfId="22944" xr:uid="{00000000-0005-0000-0000-0000E94F0000}"/>
    <cellStyle name="Merknad 19 2 2 2 3 2" xfId="39013" xr:uid="{00000000-0005-0000-0000-0000EA4F0000}"/>
    <cellStyle name="Merknad 19 2 2 2 4" xfId="31831" xr:uid="{00000000-0005-0000-0000-0000EB4F0000}"/>
    <cellStyle name="Merknad 19 2 2 3" xfId="7665" xr:uid="{00000000-0005-0000-0000-0000EC4F0000}"/>
    <cellStyle name="Merknad 19 2 2 3 2" xfId="23244" xr:uid="{00000000-0005-0000-0000-0000ED4F0000}"/>
    <cellStyle name="Merknad 19 2 2 3 2 2" xfId="39312" xr:uid="{00000000-0005-0000-0000-0000EE4F0000}"/>
    <cellStyle name="Merknad 19 2 2 3 3" xfId="30133" xr:uid="{00000000-0005-0000-0000-0000EF4F0000}"/>
    <cellStyle name="Merknad 19 2 2 4" xfId="23752" xr:uid="{00000000-0005-0000-0000-0000F04F0000}"/>
    <cellStyle name="Merknad 19 2 2 4 2" xfId="39808" xr:uid="{00000000-0005-0000-0000-0000F14F0000}"/>
    <cellStyle name="Merknad 19 2 2 5" xfId="33520" xr:uid="{00000000-0005-0000-0000-0000F24F0000}"/>
    <cellStyle name="Merknad 19 2 3" xfId="4999" xr:uid="{00000000-0005-0000-0000-0000F34F0000}"/>
    <cellStyle name="Merknad 19 2 3 2" xfId="6718" xr:uid="{00000000-0005-0000-0000-0000F44F0000}"/>
    <cellStyle name="Merknad 19 2 3 2 2" xfId="10124" xr:uid="{00000000-0005-0000-0000-0000F54F0000}"/>
    <cellStyle name="Merknad 19 2 3 2 2 2" xfId="21616" xr:uid="{00000000-0005-0000-0000-0000F64F0000}"/>
    <cellStyle name="Merknad 19 2 3 2 2 2 2" xfId="37696" xr:uid="{00000000-0005-0000-0000-0000F74F0000}"/>
    <cellStyle name="Merknad 19 2 3 2 2 3" xfId="27675" xr:uid="{00000000-0005-0000-0000-0000F84F0000}"/>
    <cellStyle name="Merknad 19 2 3 2 3" xfId="10349" xr:uid="{00000000-0005-0000-0000-0000F94F0000}"/>
    <cellStyle name="Merknad 19 2 3 2 3 2" xfId="34321" xr:uid="{00000000-0005-0000-0000-0000FA4F0000}"/>
    <cellStyle name="Merknad 19 2 3 2 4" xfId="31076" xr:uid="{00000000-0005-0000-0000-0000FB4F0000}"/>
    <cellStyle name="Merknad 19 2 3 3" xfId="8421" xr:uid="{00000000-0005-0000-0000-0000FC4F0000}"/>
    <cellStyle name="Merknad 19 2 3 3 2" xfId="21727" xr:uid="{00000000-0005-0000-0000-0000FD4F0000}"/>
    <cellStyle name="Merknad 19 2 3 3 2 2" xfId="37805" xr:uid="{00000000-0005-0000-0000-0000FE4F0000}"/>
    <cellStyle name="Merknad 19 2 3 3 3" xfId="29377" xr:uid="{00000000-0005-0000-0000-0000FF4F0000}"/>
    <cellStyle name="Merknad 19 2 3 4" xfId="22836" xr:uid="{00000000-0005-0000-0000-000000500000}"/>
    <cellStyle name="Merknad 19 2 3 4 2" xfId="38905" xr:uid="{00000000-0005-0000-0000-000001500000}"/>
    <cellStyle name="Merknad 19 2 3 5" xfId="32768" xr:uid="{00000000-0005-0000-0000-000002500000}"/>
    <cellStyle name="Merknad 19 2 4" xfId="5553" xr:uid="{00000000-0005-0000-0000-000003500000}"/>
    <cellStyle name="Merknad 19 2 4 2" xfId="8968" xr:uid="{00000000-0005-0000-0000-000004500000}"/>
    <cellStyle name="Merknad 19 2 4 2 2" xfId="23434" xr:uid="{00000000-0005-0000-0000-000005500000}"/>
    <cellStyle name="Merknad 19 2 4 2 2 2" xfId="39490" xr:uid="{00000000-0005-0000-0000-000006500000}"/>
    <cellStyle name="Merknad 19 2 4 2 3" xfId="28830" xr:uid="{00000000-0005-0000-0000-000007500000}"/>
    <cellStyle name="Merknad 19 2 4 3" xfId="23875" xr:uid="{00000000-0005-0000-0000-000008500000}"/>
    <cellStyle name="Merknad 19 2 4 3 2" xfId="39931" xr:uid="{00000000-0005-0000-0000-000009500000}"/>
    <cellStyle name="Merknad 19 2 4 4" xfId="32221" xr:uid="{00000000-0005-0000-0000-00000A500000}"/>
    <cellStyle name="Merknad 19 2 5" xfId="7271" xr:uid="{00000000-0005-0000-0000-00000B500000}"/>
    <cellStyle name="Merknad 19 2 5 2" xfId="23174" xr:uid="{00000000-0005-0000-0000-00000C500000}"/>
    <cellStyle name="Merknad 19 2 5 2 2" xfId="39243" xr:uid="{00000000-0005-0000-0000-00000D500000}"/>
    <cellStyle name="Merknad 19 2 5 3" xfId="30527" xr:uid="{00000000-0005-0000-0000-00000E500000}"/>
    <cellStyle name="Merknad 19 2 6" xfId="19590" xr:uid="{00000000-0005-0000-0000-00000F500000}"/>
    <cellStyle name="Merknad 19 2 6 2" xfId="35704" xr:uid="{00000000-0005-0000-0000-000010500000}"/>
    <cellStyle name="Merknad 19 2 7" xfId="33914" xr:uid="{00000000-0005-0000-0000-000011500000}"/>
    <cellStyle name="Merknad 19 3" xfId="3879" xr:uid="{00000000-0005-0000-0000-000012500000}"/>
    <cellStyle name="Merknad 19 3 2" xfId="5767" xr:uid="{00000000-0005-0000-0000-000013500000}"/>
    <cellStyle name="Merknad 19 3 2 2" xfId="9182" xr:uid="{00000000-0005-0000-0000-000014500000}"/>
    <cellStyle name="Merknad 19 3 2 2 2" xfId="23469" xr:uid="{00000000-0005-0000-0000-000015500000}"/>
    <cellStyle name="Merknad 19 3 2 2 2 2" xfId="39525" xr:uid="{00000000-0005-0000-0000-000016500000}"/>
    <cellStyle name="Merknad 19 3 2 2 3" xfId="28616" xr:uid="{00000000-0005-0000-0000-000017500000}"/>
    <cellStyle name="Merknad 19 3 2 3" xfId="11982" xr:uid="{00000000-0005-0000-0000-000018500000}"/>
    <cellStyle name="Merknad 19 3 2 3 2" xfId="35004" xr:uid="{00000000-0005-0000-0000-000019500000}"/>
    <cellStyle name="Merknad 19 3 2 4" xfId="32007" xr:uid="{00000000-0005-0000-0000-00001A500000}"/>
    <cellStyle name="Merknad 19 3 3" xfId="7485" xr:uid="{00000000-0005-0000-0000-00001B500000}"/>
    <cellStyle name="Merknad 19 3 3 2" xfId="24217" xr:uid="{00000000-0005-0000-0000-00001C500000}"/>
    <cellStyle name="Merknad 19 3 3 2 2" xfId="40270" xr:uid="{00000000-0005-0000-0000-00001D500000}"/>
    <cellStyle name="Merknad 19 3 3 3" xfId="30313" xr:uid="{00000000-0005-0000-0000-00001E500000}"/>
    <cellStyle name="Merknad 19 3 4" xfId="12507" xr:uid="{00000000-0005-0000-0000-00001F500000}"/>
    <cellStyle name="Merknad 19 3 4 2" xfId="35263" xr:uid="{00000000-0005-0000-0000-000020500000}"/>
    <cellStyle name="Merknad 19 3 5" xfId="33700" xr:uid="{00000000-0005-0000-0000-000021500000}"/>
    <cellStyle name="Merknad 19 4" xfId="4819" xr:uid="{00000000-0005-0000-0000-000022500000}"/>
    <cellStyle name="Merknad 19 4 2" xfId="6538" xr:uid="{00000000-0005-0000-0000-000023500000}"/>
    <cellStyle name="Merknad 19 4 2 2" xfId="9944" xr:uid="{00000000-0005-0000-0000-000024500000}"/>
    <cellStyle name="Merknad 19 4 2 2 2" xfId="21544" xr:uid="{00000000-0005-0000-0000-000025500000}"/>
    <cellStyle name="Merknad 19 4 2 2 2 2" xfId="37624" xr:uid="{00000000-0005-0000-0000-000026500000}"/>
    <cellStyle name="Merknad 19 4 2 2 3" xfId="27855" xr:uid="{00000000-0005-0000-0000-000027500000}"/>
    <cellStyle name="Merknad 19 4 2 3" xfId="20489" xr:uid="{00000000-0005-0000-0000-000028500000}"/>
    <cellStyle name="Merknad 19 4 2 3 2" xfId="36588" xr:uid="{00000000-0005-0000-0000-000029500000}"/>
    <cellStyle name="Merknad 19 4 2 4" xfId="31256" xr:uid="{00000000-0005-0000-0000-00002A500000}"/>
    <cellStyle name="Merknad 19 4 3" xfId="8241" xr:uid="{00000000-0005-0000-0000-00002B500000}"/>
    <cellStyle name="Merknad 19 4 3 2" xfId="24337" xr:uid="{00000000-0005-0000-0000-00002C500000}"/>
    <cellStyle name="Merknad 19 4 3 2 2" xfId="40387" xr:uid="{00000000-0005-0000-0000-00002D500000}"/>
    <cellStyle name="Merknad 19 4 3 3" xfId="29556" xr:uid="{00000000-0005-0000-0000-00002E500000}"/>
    <cellStyle name="Merknad 19 4 4" xfId="19716" xr:uid="{00000000-0005-0000-0000-00002F500000}"/>
    <cellStyle name="Merknad 19 4 4 2" xfId="35830" xr:uid="{00000000-0005-0000-0000-000030500000}"/>
    <cellStyle name="Merknad 19 4 5" xfId="32948" xr:uid="{00000000-0005-0000-0000-000031500000}"/>
    <cellStyle name="Merknad 19 5" xfId="5383" xr:uid="{00000000-0005-0000-0000-000032500000}"/>
    <cellStyle name="Merknad 19 5 2" xfId="8798" xr:uid="{00000000-0005-0000-0000-000033500000}"/>
    <cellStyle name="Merknad 19 5 2 2" xfId="23719" xr:uid="{00000000-0005-0000-0000-000034500000}"/>
    <cellStyle name="Merknad 19 5 2 2 2" xfId="39775" xr:uid="{00000000-0005-0000-0000-000035500000}"/>
    <cellStyle name="Merknad 19 5 2 3" xfId="29000" xr:uid="{00000000-0005-0000-0000-000036500000}"/>
    <cellStyle name="Merknad 19 5 3" xfId="12043" xr:uid="{00000000-0005-0000-0000-000037500000}"/>
    <cellStyle name="Merknad 19 5 3 2" xfId="35042" xr:uid="{00000000-0005-0000-0000-000038500000}"/>
    <cellStyle name="Merknad 19 5 4" xfId="32391" xr:uid="{00000000-0005-0000-0000-000039500000}"/>
    <cellStyle name="Merknad 19 6" xfId="7091" xr:uid="{00000000-0005-0000-0000-00003A500000}"/>
    <cellStyle name="Merknad 19 6 2" xfId="20663" xr:uid="{00000000-0005-0000-0000-00003B500000}"/>
    <cellStyle name="Merknad 19 6 2 2" xfId="36762" xr:uid="{00000000-0005-0000-0000-00003C500000}"/>
    <cellStyle name="Merknad 19 6 3" xfId="30707" xr:uid="{00000000-0005-0000-0000-00003D500000}"/>
    <cellStyle name="Merknad 19 7" xfId="11608" xr:uid="{00000000-0005-0000-0000-00003E500000}"/>
    <cellStyle name="Merknad 19 8" xfId="11094" xr:uid="{00000000-0005-0000-0000-00003F500000}"/>
    <cellStyle name="Merknad 19 8 2" xfId="34794" xr:uid="{00000000-0005-0000-0000-000040500000}"/>
    <cellStyle name="Merknad 19 9" xfId="34094" xr:uid="{00000000-0005-0000-0000-000041500000}"/>
    <cellStyle name="Merknad 2" xfId="1245" xr:uid="{00000000-0005-0000-0000-000042500000}"/>
    <cellStyle name="Merknad 2 10" xfId="1246" xr:uid="{00000000-0005-0000-0000-000043500000}"/>
    <cellStyle name="Merknad 2 10 2" xfId="1247" xr:uid="{00000000-0005-0000-0000-000044500000}"/>
    <cellStyle name="Merknad 2 10 2 2" xfId="11612" xr:uid="{00000000-0005-0000-0000-000045500000}"/>
    <cellStyle name="Merknad 2 10 3" xfId="11613" xr:uid="{00000000-0005-0000-0000-000046500000}"/>
    <cellStyle name="Merknad 2 11" xfId="1248" xr:uid="{00000000-0005-0000-0000-000047500000}"/>
    <cellStyle name="Merknad 2 11 2" xfId="1249" xr:uid="{00000000-0005-0000-0000-000048500000}"/>
    <cellStyle name="Merknad 2 11 2 2" xfId="11616" xr:uid="{00000000-0005-0000-0000-000049500000}"/>
    <cellStyle name="Merknad 2 11 3" xfId="11617" xr:uid="{00000000-0005-0000-0000-00004A500000}"/>
    <cellStyle name="Merknad 2 12" xfId="1250" xr:uid="{00000000-0005-0000-0000-00004B500000}"/>
    <cellStyle name="Merknad 2 12 2" xfId="1251" xr:uid="{00000000-0005-0000-0000-00004C500000}"/>
    <cellStyle name="Merknad 2 12 2 2" xfId="11620" xr:uid="{00000000-0005-0000-0000-00004D500000}"/>
    <cellStyle name="Merknad 2 12 3" xfId="11621" xr:uid="{00000000-0005-0000-0000-00004E500000}"/>
    <cellStyle name="Merknad 2 13" xfId="1252" xr:uid="{00000000-0005-0000-0000-00004F500000}"/>
    <cellStyle name="Merknad 2 13 2" xfId="1253" xr:uid="{00000000-0005-0000-0000-000050500000}"/>
    <cellStyle name="Merknad 2 13 2 2" xfId="11624" xr:uid="{00000000-0005-0000-0000-000051500000}"/>
    <cellStyle name="Merknad 2 13 3" xfId="11625" xr:uid="{00000000-0005-0000-0000-000052500000}"/>
    <cellStyle name="Merknad 2 14" xfId="1254" xr:uid="{00000000-0005-0000-0000-000053500000}"/>
    <cellStyle name="Merknad 2 14 2" xfId="1255" xr:uid="{00000000-0005-0000-0000-000054500000}"/>
    <cellStyle name="Merknad 2 14 2 2" xfId="11628" xr:uid="{00000000-0005-0000-0000-000055500000}"/>
    <cellStyle name="Merknad 2 14 3" xfId="11629" xr:uid="{00000000-0005-0000-0000-000056500000}"/>
    <cellStyle name="Merknad 2 15" xfId="1256" xr:uid="{00000000-0005-0000-0000-000057500000}"/>
    <cellStyle name="Merknad 2 15 2" xfId="1257" xr:uid="{00000000-0005-0000-0000-000058500000}"/>
    <cellStyle name="Merknad 2 15 2 2" xfId="11632" xr:uid="{00000000-0005-0000-0000-000059500000}"/>
    <cellStyle name="Merknad 2 15 3" xfId="11633" xr:uid="{00000000-0005-0000-0000-00005A500000}"/>
    <cellStyle name="Merknad 2 16" xfId="1258" xr:uid="{00000000-0005-0000-0000-00005B500000}"/>
    <cellStyle name="Merknad 2 16 2" xfId="1259" xr:uid="{00000000-0005-0000-0000-00005C500000}"/>
    <cellStyle name="Merknad 2 16 2 2" xfId="11636" xr:uid="{00000000-0005-0000-0000-00005D500000}"/>
    <cellStyle name="Merknad 2 16 3" xfId="11637" xr:uid="{00000000-0005-0000-0000-00005E500000}"/>
    <cellStyle name="Merknad 2 17" xfId="1260" xr:uid="{00000000-0005-0000-0000-00005F500000}"/>
    <cellStyle name="Merknad 2 17 2" xfId="1261" xr:uid="{00000000-0005-0000-0000-000060500000}"/>
    <cellStyle name="Merknad 2 17 2 2" xfId="11640" xr:uid="{00000000-0005-0000-0000-000061500000}"/>
    <cellStyle name="Merknad 2 17 3" xfId="11641" xr:uid="{00000000-0005-0000-0000-000062500000}"/>
    <cellStyle name="Merknad 2 18" xfId="1262" xr:uid="{00000000-0005-0000-0000-000063500000}"/>
    <cellStyle name="Merknad 2 18 2" xfId="1263" xr:uid="{00000000-0005-0000-0000-000064500000}"/>
    <cellStyle name="Merknad 2 18 2 2" xfId="11644" xr:uid="{00000000-0005-0000-0000-000065500000}"/>
    <cellStyle name="Merknad 2 18 3" xfId="11645" xr:uid="{00000000-0005-0000-0000-000066500000}"/>
    <cellStyle name="Merknad 2 19" xfId="1264" xr:uid="{00000000-0005-0000-0000-000067500000}"/>
    <cellStyle name="Merknad 2 19 2" xfId="1265" xr:uid="{00000000-0005-0000-0000-000068500000}"/>
    <cellStyle name="Merknad 2 19 2 2" xfId="11648" xr:uid="{00000000-0005-0000-0000-000069500000}"/>
    <cellStyle name="Merknad 2 19 3" xfId="11649" xr:uid="{00000000-0005-0000-0000-00006A500000}"/>
    <cellStyle name="Merknad 2 2" xfId="1266" xr:uid="{00000000-0005-0000-0000-00006B500000}"/>
    <cellStyle name="Merknad 2 2 2" xfId="1267" xr:uid="{00000000-0005-0000-0000-00006C500000}"/>
    <cellStyle name="Merknad 2 2 2 2" xfId="1268" xr:uid="{00000000-0005-0000-0000-00006D500000}"/>
    <cellStyle name="Merknad 2 2 2 2 2" xfId="11653" xr:uid="{00000000-0005-0000-0000-00006E500000}"/>
    <cellStyle name="Merknad 2 2 2 3" xfId="11654" xr:uid="{00000000-0005-0000-0000-00006F500000}"/>
    <cellStyle name="Merknad 2 2 3" xfId="1269" xr:uid="{00000000-0005-0000-0000-000070500000}"/>
    <cellStyle name="Merknad 2 2 3 2" xfId="1270" xr:uid="{00000000-0005-0000-0000-000071500000}"/>
    <cellStyle name="Merknad 2 2 3 2 2" xfId="11657" xr:uid="{00000000-0005-0000-0000-000072500000}"/>
    <cellStyle name="Merknad 2 2 3 3" xfId="11658" xr:uid="{00000000-0005-0000-0000-000073500000}"/>
    <cellStyle name="Merknad 2 2 4" xfId="1271" xr:uid="{00000000-0005-0000-0000-000074500000}"/>
    <cellStyle name="Merknad 2 2 4 2" xfId="1272" xr:uid="{00000000-0005-0000-0000-000075500000}"/>
    <cellStyle name="Merknad 2 2 4 2 2" xfId="11661" xr:uid="{00000000-0005-0000-0000-000076500000}"/>
    <cellStyle name="Merknad 2 2 4 3" xfId="11662" xr:uid="{00000000-0005-0000-0000-000077500000}"/>
    <cellStyle name="Merknad 2 2 5" xfId="1273" xr:uid="{00000000-0005-0000-0000-000078500000}"/>
    <cellStyle name="Merknad 2 2 5 2" xfId="1274" xr:uid="{00000000-0005-0000-0000-000079500000}"/>
    <cellStyle name="Merknad 2 2 5 2 2" xfId="11665" xr:uid="{00000000-0005-0000-0000-00007A500000}"/>
    <cellStyle name="Merknad 2 2 5 3" xfId="11666" xr:uid="{00000000-0005-0000-0000-00007B500000}"/>
    <cellStyle name="Merknad 2 2 6" xfId="1275" xr:uid="{00000000-0005-0000-0000-00007C500000}"/>
    <cellStyle name="Merknad 2 2 6 2" xfId="11668" xr:uid="{00000000-0005-0000-0000-00007D500000}"/>
    <cellStyle name="Merknad 2 2 7" xfId="11669" xr:uid="{00000000-0005-0000-0000-00007E500000}"/>
    <cellStyle name="Merknad 2 20" xfId="1276" xr:uid="{00000000-0005-0000-0000-00007F500000}"/>
    <cellStyle name="Merknad 2 20 2" xfId="1277" xr:uid="{00000000-0005-0000-0000-000080500000}"/>
    <cellStyle name="Merknad 2 20 2 2" xfId="11672" xr:uid="{00000000-0005-0000-0000-000081500000}"/>
    <cellStyle name="Merknad 2 20 3" xfId="11673" xr:uid="{00000000-0005-0000-0000-000082500000}"/>
    <cellStyle name="Merknad 2 21" xfId="1278" xr:uid="{00000000-0005-0000-0000-000083500000}"/>
    <cellStyle name="Merknad 2 21 2" xfId="1279" xr:uid="{00000000-0005-0000-0000-000084500000}"/>
    <cellStyle name="Merknad 2 21 2 2" xfId="11676" xr:uid="{00000000-0005-0000-0000-000085500000}"/>
    <cellStyle name="Merknad 2 21 3" xfId="11677" xr:uid="{00000000-0005-0000-0000-000086500000}"/>
    <cellStyle name="Merknad 2 22" xfId="1280" xr:uid="{00000000-0005-0000-0000-000087500000}"/>
    <cellStyle name="Merknad 2 22 2" xfId="11679" xr:uid="{00000000-0005-0000-0000-000088500000}"/>
    <cellStyle name="Merknad 2 23" xfId="11680" xr:uid="{00000000-0005-0000-0000-000089500000}"/>
    <cellStyle name="Merknad 2 24" xfId="11681" xr:uid="{00000000-0005-0000-0000-00008A500000}"/>
    <cellStyle name="Merknad 2 25" xfId="11682" xr:uid="{00000000-0005-0000-0000-00008B500000}"/>
    <cellStyle name="Merknad 2 26" xfId="11683" xr:uid="{00000000-0005-0000-0000-00008C500000}"/>
    <cellStyle name="Merknad 2 27" xfId="11684" xr:uid="{00000000-0005-0000-0000-00008D500000}"/>
    <cellStyle name="Merknad 2 28" xfId="11685" xr:uid="{00000000-0005-0000-0000-00008E500000}"/>
    <cellStyle name="Merknad 2 29" xfId="11686" xr:uid="{00000000-0005-0000-0000-00008F500000}"/>
    <cellStyle name="Merknad 2 3" xfId="1281" xr:uid="{00000000-0005-0000-0000-000090500000}"/>
    <cellStyle name="Merknad 2 3 2" xfId="1282" xr:uid="{00000000-0005-0000-0000-000091500000}"/>
    <cellStyle name="Merknad 2 3 2 2" xfId="1283" xr:uid="{00000000-0005-0000-0000-000092500000}"/>
    <cellStyle name="Merknad 2 3 2 2 2" xfId="11690" xr:uid="{00000000-0005-0000-0000-000093500000}"/>
    <cellStyle name="Merknad 2 3 2 3" xfId="11691" xr:uid="{00000000-0005-0000-0000-000094500000}"/>
    <cellStyle name="Merknad 2 3 3" xfId="1284" xr:uid="{00000000-0005-0000-0000-000095500000}"/>
    <cellStyle name="Merknad 2 3 3 2" xfId="11693" xr:uid="{00000000-0005-0000-0000-000096500000}"/>
    <cellStyle name="Merknad 2 3 4" xfId="11694" xr:uid="{00000000-0005-0000-0000-000097500000}"/>
    <cellStyle name="Merknad 2 30" xfId="11695" xr:uid="{00000000-0005-0000-0000-000098500000}"/>
    <cellStyle name="Merknad 2 31" xfId="11696" xr:uid="{00000000-0005-0000-0000-000099500000}"/>
    <cellStyle name="Merknad 2 32" xfId="11697" xr:uid="{00000000-0005-0000-0000-00009A500000}"/>
    <cellStyle name="Merknad 2 33" xfId="11698" xr:uid="{00000000-0005-0000-0000-00009B500000}"/>
    <cellStyle name="Merknad 2 34" xfId="11699" xr:uid="{00000000-0005-0000-0000-00009C500000}"/>
    <cellStyle name="Merknad 2 35" xfId="11700" xr:uid="{00000000-0005-0000-0000-00009D500000}"/>
    <cellStyle name="Merknad 2 36" xfId="11701" xr:uid="{00000000-0005-0000-0000-00009E500000}"/>
    <cellStyle name="Merknad 2 37" xfId="11702" xr:uid="{00000000-0005-0000-0000-00009F500000}"/>
    <cellStyle name="Merknad 2 38" xfId="11703" xr:uid="{00000000-0005-0000-0000-0000A0500000}"/>
    <cellStyle name="Merknad 2 39" xfId="11704" xr:uid="{00000000-0005-0000-0000-0000A1500000}"/>
    <cellStyle name="Merknad 2 4" xfId="1285" xr:uid="{00000000-0005-0000-0000-0000A2500000}"/>
    <cellStyle name="Merknad 2 4 2" xfId="1286" xr:uid="{00000000-0005-0000-0000-0000A3500000}"/>
    <cellStyle name="Merknad 2 4 2 2" xfId="11707" xr:uid="{00000000-0005-0000-0000-0000A4500000}"/>
    <cellStyle name="Merknad 2 4 3" xfId="11708" xr:uid="{00000000-0005-0000-0000-0000A5500000}"/>
    <cellStyle name="Merknad 2 40" xfId="11709" xr:uid="{00000000-0005-0000-0000-0000A6500000}"/>
    <cellStyle name="Merknad 2 41" xfId="11710" xr:uid="{00000000-0005-0000-0000-0000A7500000}"/>
    <cellStyle name="Merknad 2 42" xfId="11711" xr:uid="{00000000-0005-0000-0000-0000A8500000}"/>
    <cellStyle name="Merknad 2 43" xfId="11712" xr:uid="{00000000-0005-0000-0000-0000A9500000}"/>
    <cellStyle name="Merknad 2 44" xfId="11713" xr:uid="{00000000-0005-0000-0000-0000AA500000}"/>
    <cellStyle name="Merknad 2 45" xfId="11714" xr:uid="{00000000-0005-0000-0000-0000AB500000}"/>
    <cellStyle name="Merknad 2 46" xfId="11715" xr:uid="{00000000-0005-0000-0000-0000AC500000}"/>
    <cellStyle name="Merknad 2 47" xfId="11716" xr:uid="{00000000-0005-0000-0000-0000AD500000}"/>
    <cellStyle name="Merknad 2 48" xfId="11717" xr:uid="{00000000-0005-0000-0000-0000AE500000}"/>
    <cellStyle name="Merknad 2 49" xfId="11718" xr:uid="{00000000-0005-0000-0000-0000AF500000}"/>
    <cellStyle name="Merknad 2 5" xfId="1287" xr:uid="{00000000-0005-0000-0000-0000B0500000}"/>
    <cellStyle name="Merknad 2 5 2" xfId="1288" xr:uid="{00000000-0005-0000-0000-0000B1500000}"/>
    <cellStyle name="Merknad 2 5 2 2" xfId="11721" xr:uid="{00000000-0005-0000-0000-0000B2500000}"/>
    <cellStyle name="Merknad 2 5 3" xfId="11722" xr:uid="{00000000-0005-0000-0000-0000B3500000}"/>
    <cellStyle name="Merknad 2 50" xfId="11723" xr:uid="{00000000-0005-0000-0000-0000B4500000}"/>
    <cellStyle name="Merknad 2 51" xfId="11724" xr:uid="{00000000-0005-0000-0000-0000B5500000}"/>
    <cellStyle name="Merknad 2 52" xfId="11725" xr:uid="{00000000-0005-0000-0000-0000B6500000}"/>
    <cellStyle name="Merknad 2 53" xfId="11726" xr:uid="{00000000-0005-0000-0000-0000B7500000}"/>
    <cellStyle name="Merknad 2 54" xfId="11727" xr:uid="{00000000-0005-0000-0000-0000B8500000}"/>
    <cellStyle name="Merknad 2 6" xfId="1289" xr:uid="{00000000-0005-0000-0000-0000B9500000}"/>
    <cellStyle name="Merknad 2 6 2" xfId="1290" xr:uid="{00000000-0005-0000-0000-0000BA500000}"/>
    <cellStyle name="Merknad 2 6 2 2" xfId="11730" xr:uid="{00000000-0005-0000-0000-0000BB500000}"/>
    <cellStyle name="Merknad 2 6 3" xfId="11731" xr:uid="{00000000-0005-0000-0000-0000BC500000}"/>
    <cellStyle name="Merknad 2 7" xfId="1291" xr:uid="{00000000-0005-0000-0000-0000BD500000}"/>
    <cellStyle name="Merknad 2 7 2" xfId="1292" xr:uid="{00000000-0005-0000-0000-0000BE500000}"/>
    <cellStyle name="Merknad 2 7 2 2" xfId="11734" xr:uid="{00000000-0005-0000-0000-0000BF500000}"/>
    <cellStyle name="Merknad 2 7 3" xfId="11735" xr:uid="{00000000-0005-0000-0000-0000C0500000}"/>
    <cellStyle name="Merknad 2 8" xfId="1293" xr:uid="{00000000-0005-0000-0000-0000C1500000}"/>
    <cellStyle name="Merknad 2 8 2" xfId="1294" xr:uid="{00000000-0005-0000-0000-0000C2500000}"/>
    <cellStyle name="Merknad 2 8 2 2" xfId="11738" xr:uid="{00000000-0005-0000-0000-0000C3500000}"/>
    <cellStyle name="Merknad 2 8 3" xfId="11739" xr:uid="{00000000-0005-0000-0000-0000C4500000}"/>
    <cellStyle name="Merknad 2 9" xfId="1295" xr:uid="{00000000-0005-0000-0000-0000C5500000}"/>
    <cellStyle name="Merknad 2 9 2" xfId="1296" xr:uid="{00000000-0005-0000-0000-0000C6500000}"/>
    <cellStyle name="Merknad 2 9 2 2" xfId="11742" xr:uid="{00000000-0005-0000-0000-0000C7500000}"/>
    <cellStyle name="Merknad 2 9 3" xfId="11743" xr:uid="{00000000-0005-0000-0000-0000C8500000}"/>
    <cellStyle name="Merknad 20" xfId="4111" xr:uid="{00000000-0005-0000-0000-0000C9500000}"/>
    <cellStyle name="Merknad 20 2" xfId="5964" xr:uid="{00000000-0005-0000-0000-0000CA500000}"/>
    <cellStyle name="Merknad 20 2 2" xfId="9379" xr:uid="{00000000-0005-0000-0000-0000CB500000}"/>
    <cellStyle name="Merknad 20 2 2 2" xfId="24505" xr:uid="{00000000-0005-0000-0000-0000CC500000}"/>
    <cellStyle name="Merknad 20 2 2 2 2" xfId="40549" xr:uid="{00000000-0005-0000-0000-0000CD500000}"/>
    <cellStyle name="Merknad 20 2 2 3" xfId="28419" xr:uid="{00000000-0005-0000-0000-0000CE500000}"/>
    <cellStyle name="Merknad 20 2 3" xfId="20269" xr:uid="{00000000-0005-0000-0000-0000CF500000}"/>
    <cellStyle name="Merknad 20 2 3 2" xfId="36368" xr:uid="{00000000-0005-0000-0000-0000D0500000}"/>
    <cellStyle name="Merknad 20 2 4" xfId="31814" xr:uid="{00000000-0005-0000-0000-0000D1500000}"/>
    <cellStyle name="Merknad 20 3" xfId="7694" xr:uid="{00000000-0005-0000-0000-0000D2500000}"/>
    <cellStyle name="Merknad 20 3 2" xfId="21847" xr:uid="{00000000-0005-0000-0000-0000D3500000}"/>
    <cellStyle name="Merknad 20 3 2 2" xfId="37923" xr:uid="{00000000-0005-0000-0000-0000D4500000}"/>
    <cellStyle name="Merknad 20 3 3" xfId="30105" xr:uid="{00000000-0005-0000-0000-0000D5500000}"/>
    <cellStyle name="Merknad 20 4" xfId="11744" xr:uid="{00000000-0005-0000-0000-0000D6500000}"/>
    <cellStyle name="Merknad 20 5" xfId="23799" xr:uid="{00000000-0005-0000-0000-0000D7500000}"/>
    <cellStyle name="Merknad 20 5 2" xfId="39855" xr:uid="{00000000-0005-0000-0000-0000D8500000}"/>
    <cellStyle name="Merknad 20 6" xfId="33491" xr:uid="{00000000-0005-0000-0000-0000D9500000}"/>
    <cellStyle name="Merknad 21" xfId="4443" xr:uid="{00000000-0005-0000-0000-0000DA500000}"/>
    <cellStyle name="Merknad 21 2" xfId="6240" xr:uid="{00000000-0005-0000-0000-0000DB500000}"/>
    <cellStyle name="Merknad 21 2 2" xfId="9650" xr:uid="{00000000-0005-0000-0000-0000DC500000}"/>
    <cellStyle name="Merknad 21 2 2 2" xfId="10402" xr:uid="{00000000-0005-0000-0000-0000DD500000}"/>
    <cellStyle name="Merknad 21 2 2 2 2" xfId="34346" xr:uid="{00000000-0005-0000-0000-0000DE500000}"/>
    <cellStyle name="Merknad 21 2 2 3" xfId="28149" xr:uid="{00000000-0005-0000-0000-0000DF500000}"/>
    <cellStyle name="Merknad 21 2 3" xfId="23001" xr:uid="{00000000-0005-0000-0000-0000E0500000}"/>
    <cellStyle name="Merknad 21 2 3 2" xfId="39070" xr:uid="{00000000-0005-0000-0000-0000E1500000}"/>
    <cellStyle name="Merknad 21 2 4" xfId="31550" xr:uid="{00000000-0005-0000-0000-0000E2500000}"/>
    <cellStyle name="Merknad 21 3" xfId="7946" xr:uid="{00000000-0005-0000-0000-0000E3500000}"/>
    <cellStyle name="Merknad 21 3 2" xfId="20954" xr:uid="{00000000-0005-0000-0000-0000E4500000}"/>
    <cellStyle name="Merknad 21 3 2 2" xfId="37050" xr:uid="{00000000-0005-0000-0000-0000E5500000}"/>
    <cellStyle name="Merknad 21 3 3" xfId="29853" xr:uid="{00000000-0005-0000-0000-0000E6500000}"/>
    <cellStyle name="Merknad 21 4" xfId="11745" xr:uid="{00000000-0005-0000-0000-0000E7500000}"/>
    <cellStyle name="Merknad 21 5" xfId="22051" xr:uid="{00000000-0005-0000-0000-0000E8500000}"/>
    <cellStyle name="Merknad 21 5 2" xfId="38125" xr:uid="{00000000-0005-0000-0000-0000E9500000}"/>
    <cellStyle name="Merknad 21 6" xfId="33242" xr:uid="{00000000-0005-0000-0000-0000EA500000}"/>
    <cellStyle name="Merknad 22" xfId="11746" xr:uid="{00000000-0005-0000-0000-0000EB500000}"/>
    <cellStyle name="Merknad 23" xfId="11747" xr:uid="{00000000-0005-0000-0000-0000EC500000}"/>
    <cellStyle name="Merknad 24" xfId="11748" xr:uid="{00000000-0005-0000-0000-0000ED500000}"/>
    <cellStyle name="Merknad 25" xfId="11749" xr:uid="{00000000-0005-0000-0000-0000EE500000}"/>
    <cellStyle name="Merknad 26" xfId="11750" xr:uid="{00000000-0005-0000-0000-0000EF500000}"/>
    <cellStyle name="Merknad 27" xfId="11751" xr:uid="{00000000-0005-0000-0000-0000F0500000}"/>
    <cellStyle name="Merknad 28" xfId="11752" xr:uid="{00000000-0005-0000-0000-0000F1500000}"/>
    <cellStyle name="Merknad 29" xfId="11753" xr:uid="{00000000-0005-0000-0000-0000F2500000}"/>
    <cellStyle name="Merknad 3" xfId="1297" xr:uid="{00000000-0005-0000-0000-0000F3500000}"/>
    <cellStyle name="Merknad 3 10" xfId="11755" xr:uid="{00000000-0005-0000-0000-0000F4500000}"/>
    <cellStyle name="Merknad 3 2" xfId="1298" xr:uid="{00000000-0005-0000-0000-0000F5500000}"/>
    <cellStyle name="Merknad 3 2 2" xfId="1299" xr:uid="{00000000-0005-0000-0000-0000F6500000}"/>
    <cellStyle name="Merknad 3 2 2 2" xfId="11758" xr:uid="{00000000-0005-0000-0000-0000F7500000}"/>
    <cellStyle name="Merknad 3 2 3" xfId="11759" xr:uid="{00000000-0005-0000-0000-0000F8500000}"/>
    <cellStyle name="Merknad 3 3" xfId="1300" xr:uid="{00000000-0005-0000-0000-0000F9500000}"/>
    <cellStyle name="Merknad 3 3 2" xfId="1301" xr:uid="{00000000-0005-0000-0000-0000FA500000}"/>
    <cellStyle name="Merknad 3 3 2 2" xfId="11762" xr:uid="{00000000-0005-0000-0000-0000FB500000}"/>
    <cellStyle name="Merknad 3 3 3" xfId="11763" xr:uid="{00000000-0005-0000-0000-0000FC500000}"/>
    <cellStyle name="Merknad 3 4" xfId="1302" xr:uid="{00000000-0005-0000-0000-0000FD500000}"/>
    <cellStyle name="Merknad 3 4 2" xfId="1303" xr:uid="{00000000-0005-0000-0000-0000FE500000}"/>
    <cellStyle name="Merknad 3 4 2 2" xfId="11766" xr:uid="{00000000-0005-0000-0000-0000FF500000}"/>
    <cellStyle name="Merknad 3 4 3" xfId="11767" xr:uid="{00000000-0005-0000-0000-000000510000}"/>
    <cellStyle name="Merknad 3 5" xfId="1304" xr:uid="{00000000-0005-0000-0000-000001510000}"/>
    <cellStyle name="Merknad 3 5 2" xfId="1305" xr:uid="{00000000-0005-0000-0000-000002510000}"/>
    <cellStyle name="Merknad 3 5 2 2" xfId="11770" xr:uid="{00000000-0005-0000-0000-000003510000}"/>
    <cellStyle name="Merknad 3 5 3" xfId="11771" xr:uid="{00000000-0005-0000-0000-000004510000}"/>
    <cellStyle name="Merknad 3 6" xfId="1306" xr:uid="{00000000-0005-0000-0000-000005510000}"/>
    <cellStyle name="Merknad 3 6 2" xfId="11773" xr:uid="{00000000-0005-0000-0000-000006510000}"/>
    <cellStyle name="Merknad 3 7" xfId="11774" xr:uid="{00000000-0005-0000-0000-000007510000}"/>
    <cellStyle name="Merknad 3 8" xfId="11775" xr:uid="{00000000-0005-0000-0000-000008510000}"/>
    <cellStyle name="Merknad 3 9" xfId="11776" xr:uid="{00000000-0005-0000-0000-000009510000}"/>
    <cellStyle name="Merknad 30" xfId="11777" xr:uid="{00000000-0005-0000-0000-00000A510000}"/>
    <cellStyle name="Merknad 31" xfId="11778" xr:uid="{00000000-0005-0000-0000-00000B510000}"/>
    <cellStyle name="Merknad 32" xfId="11779" xr:uid="{00000000-0005-0000-0000-00000C510000}"/>
    <cellStyle name="Merknad 33" xfId="11780" xr:uid="{00000000-0005-0000-0000-00000D510000}"/>
    <cellStyle name="Merknad 34" xfId="11781" xr:uid="{00000000-0005-0000-0000-00000E510000}"/>
    <cellStyle name="Merknad 35" xfId="11782" xr:uid="{00000000-0005-0000-0000-00000F510000}"/>
    <cellStyle name="Merknad 36" xfId="11783" xr:uid="{00000000-0005-0000-0000-000010510000}"/>
    <cellStyle name="Merknad 37" xfId="40939" xr:uid="{00000000-0005-0000-0000-000011510000}"/>
    <cellStyle name="Merknad 38" xfId="40783" xr:uid="{00000000-0005-0000-0000-000012510000}"/>
    <cellStyle name="Merknad 39" xfId="40895" xr:uid="{00000000-0005-0000-0000-000013510000}"/>
    <cellStyle name="Merknad 4" xfId="1307" xr:uid="{00000000-0005-0000-0000-000014510000}"/>
    <cellStyle name="Merknad 4 2" xfId="1308" xr:uid="{00000000-0005-0000-0000-000015510000}"/>
    <cellStyle name="Merknad 4 2 2" xfId="1309" xr:uid="{00000000-0005-0000-0000-000016510000}"/>
    <cellStyle name="Merknad 4 2 2 2" xfId="11787" xr:uid="{00000000-0005-0000-0000-000017510000}"/>
    <cellStyle name="Merknad 4 2 3" xfId="11788" xr:uid="{00000000-0005-0000-0000-000018510000}"/>
    <cellStyle name="Merknad 4 3" xfId="1310" xr:uid="{00000000-0005-0000-0000-000019510000}"/>
    <cellStyle name="Merknad 4 3 2" xfId="11790" xr:uid="{00000000-0005-0000-0000-00001A510000}"/>
    <cellStyle name="Merknad 4 4" xfId="11791" xr:uid="{00000000-0005-0000-0000-00001B510000}"/>
    <cellStyle name="Merknad 40" xfId="40818" xr:uid="{00000000-0005-0000-0000-00001C510000}"/>
    <cellStyle name="Merknad 41" xfId="40925" xr:uid="{00000000-0005-0000-0000-00001D510000}"/>
    <cellStyle name="Merknad 42" xfId="40794" xr:uid="{00000000-0005-0000-0000-00001E510000}"/>
    <cellStyle name="Merknad 43" xfId="40919" xr:uid="{00000000-0005-0000-0000-00001F510000}"/>
    <cellStyle name="Merknad 44" xfId="43200" xr:uid="{00000000-0005-0000-0000-000020510000}"/>
    <cellStyle name="Merknad 45" xfId="43414" xr:uid="{00000000-0005-0000-0000-000021510000}"/>
    <cellStyle name="Merknad 46" xfId="46076" xr:uid="{00000000-0005-0000-0000-000022510000}"/>
    <cellStyle name="Merknad 47" xfId="46276" xr:uid="{00000000-0005-0000-0000-000023510000}"/>
    <cellStyle name="Merknad 48" xfId="46291" xr:uid="{00000000-0005-0000-0000-000024510000}"/>
    <cellStyle name="Merknad 49" xfId="46302" xr:uid="{00000000-0005-0000-0000-000025510000}"/>
    <cellStyle name="Merknad 5" xfId="1311" xr:uid="{00000000-0005-0000-0000-000026510000}"/>
    <cellStyle name="Merknad 5 2" xfId="1312" xr:uid="{00000000-0005-0000-0000-000027510000}"/>
    <cellStyle name="Merknad 5 2 2" xfId="1313" xr:uid="{00000000-0005-0000-0000-000028510000}"/>
    <cellStyle name="Merknad 5 2 2 2" xfId="11795" xr:uid="{00000000-0005-0000-0000-000029510000}"/>
    <cellStyle name="Merknad 5 2 3" xfId="11796" xr:uid="{00000000-0005-0000-0000-00002A510000}"/>
    <cellStyle name="Merknad 5 3" xfId="1314" xr:uid="{00000000-0005-0000-0000-00002B510000}"/>
    <cellStyle name="Merknad 5 3 2" xfId="11798" xr:uid="{00000000-0005-0000-0000-00002C510000}"/>
    <cellStyle name="Merknad 5 4" xfId="11799" xr:uid="{00000000-0005-0000-0000-00002D510000}"/>
    <cellStyle name="Merknad 50" xfId="46819" xr:uid="{00000000-0005-0000-0000-00002E510000}"/>
    <cellStyle name="Merknad 51" xfId="46924" xr:uid="{00000000-0005-0000-0000-00002F510000}"/>
    <cellStyle name="Merknad 52" xfId="46820" xr:uid="{00000000-0005-0000-0000-000030510000}"/>
    <cellStyle name="Merknad 53" xfId="46362" xr:uid="{00000000-0005-0000-0000-000031510000}"/>
    <cellStyle name="Merknad 54" xfId="46581" xr:uid="{00000000-0005-0000-0000-000032510000}"/>
    <cellStyle name="Merknad 6" xfId="1315" xr:uid="{00000000-0005-0000-0000-000033510000}"/>
    <cellStyle name="Merknad 6 2" xfId="1316" xr:uid="{00000000-0005-0000-0000-000034510000}"/>
    <cellStyle name="Merknad 6 2 2" xfId="11802" xr:uid="{00000000-0005-0000-0000-000035510000}"/>
    <cellStyle name="Merknad 6 3" xfId="11803" xr:uid="{00000000-0005-0000-0000-000036510000}"/>
    <cellStyle name="Merknad 7" xfId="1317" xr:uid="{00000000-0005-0000-0000-000037510000}"/>
    <cellStyle name="Merknad 7 2" xfId="1318" xr:uid="{00000000-0005-0000-0000-000038510000}"/>
    <cellStyle name="Merknad 7 2 2" xfId="1319" xr:uid="{00000000-0005-0000-0000-000039510000}"/>
    <cellStyle name="Merknad 7 2 2 2" xfId="11807" xr:uid="{00000000-0005-0000-0000-00003A510000}"/>
    <cellStyle name="Merknad 7 2 3" xfId="11808" xr:uid="{00000000-0005-0000-0000-00003B510000}"/>
    <cellStyle name="Merknad 7 3" xfId="1320" xr:uid="{00000000-0005-0000-0000-00003C510000}"/>
    <cellStyle name="Merknad 7 3 2" xfId="1321" xr:uid="{00000000-0005-0000-0000-00003D510000}"/>
    <cellStyle name="Merknad 7 3 2 2" xfId="1322" xr:uid="{00000000-0005-0000-0000-00003E510000}"/>
    <cellStyle name="Merknad 7 3 2 2 2" xfId="11812" xr:uid="{00000000-0005-0000-0000-00003F510000}"/>
    <cellStyle name="Merknad 7 3 2 3" xfId="11813" xr:uid="{00000000-0005-0000-0000-000040510000}"/>
    <cellStyle name="Merknad 7 3 3" xfId="1323" xr:uid="{00000000-0005-0000-0000-000041510000}"/>
    <cellStyle name="Merknad 7 3 3 2" xfId="11815" xr:uid="{00000000-0005-0000-0000-000042510000}"/>
    <cellStyle name="Merknad 7 3 4" xfId="11816" xr:uid="{00000000-0005-0000-0000-000043510000}"/>
    <cellStyle name="Merknad 7 4" xfId="1324" xr:uid="{00000000-0005-0000-0000-000044510000}"/>
    <cellStyle name="Merknad 7 4 2" xfId="1325" xr:uid="{00000000-0005-0000-0000-000045510000}"/>
    <cellStyle name="Merknad 7 4 2 2" xfId="1326" xr:uid="{00000000-0005-0000-0000-000046510000}"/>
    <cellStyle name="Merknad 7 4 2 2 2" xfId="11820" xr:uid="{00000000-0005-0000-0000-000047510000}"/>
    <cellStyle name="Merknad 7 4 2 3" xfId="11821" xr:uid="{00000000-0005-0000-0000-000048510000}"/>
    <cellStyle name="Merknad 7 4 3" xfId="1327" xr:uid="{00000000-0005-0000-0000-000049510000}"/>
    <cellStyle name="Merknad 7 4 3 2" xfId="1328" xr:uid="{00000000-0005-0000-0000-00004A510000}"/>
    <cellStyle name="Merknad 7 4 3 2 2" xfId="11824" xr:uid="{00000000-0005-0000-0000-00004B510000}"/>
    <cellStyle name="Merknad 7 4 3 3" xfId="11825" xr:uid="{00000000-0005-0000-0000-00004C510000}"/>
    <cellStyle name="Merknad 7 4 4" xfId="1329" xr:uid="{00000000-0005-0000-0000-00004D510000}"/>
    <cellStyle name="Merknad 7 4 4 2" xfId="11827" xr:uid="{00000000-0005-0000-0000-00004E510000}"/>
    <cellStyle name="Merknad 7 4 5" xfId="11828" xr:uid="{00000000-0005-0000-0000-00004F510000}"/>
    <cellStyle name="Merknad 7 5" xfId="1330" xr:uid="{00000000-0005-0000-0000-000050510000}"/>
    <cellStyle name="Merknad 7 5 2" xfId="1331" xr:uid="{00000000-0005-0000-0000-000051510000}"/>
    <cellStyle name="Merknad 7 5 2 2" xfId="1332" xr:uid="{00000000-0005-0000-0000-000052510000}"/>
    <cellStyle name="Merknad 7 5 2 2 2" xfId="11832" xr:uid="{00000000-0005-0000-0000-000053510000}"/>
    <cellStyle name="Merknad 7 5 2 3" xfId="11833" xr:uid="{00000000-0005-0000-0000-000054510000}"/>
    <cellStyle name="Merknad 7 5 3" xfId="1333" xr:uid="{00000000-0005-0000-0000-000055510000}"/>
    <cellStyle name="Merknad 7 5 3 2" xfId="11835" xr:uid="{00000000-0005-0000-0000-000056510000}"/>
    <cellStyle name="Merknad 7 5 4" xfId="11836" xr:uid="{00000000-0005-0000-0000-000057510000}"/>
    <cellStyle name="Merknad 7 6" xfId="1334" xr:uid="{00000000-0005-0000-0000-000058510000}"/>
    <cellStyle name="Merknad 7 6 2" xfId="11838" xr:uid="{00000000-0005-0000-0000-000059510000}"/>
    <cellStyle name="Merknad 7 7" xfId="11839" xr:uid="{00000000-0005-0000-0000-00005A510000}"/>
    <cellStyle name="Merknad 8" xfId="1335" xr:uid="{00000000-0005-0000-0000-00005B510000}"/>
    <cellStyle name="Merknad 8 2" xfId="1336" xr:uid="{00000000-0005-0000-0000-00005C510000}"/>
    <cellStyle name="Merknad 8 2 2" xfId="11842" xr:uid="{00000000-0005-0000-0000-00005D510000}"/>
    <cellStyle name="Merknad 8 3" xfId="11843" xr:uid="{00000000-0005-0000-0000-00005E510000}"/>
    <cellStyle name="Merknad 9" xfId="1337" xr:uid="{00000000-0005-0000-0000-00005F510000}"/>
    <cellStyle name="Merknad 9 2" xfId="1338" xr:uid="{00000000-0005-0000-0000-000060510000}"/>
    <cellStyle name="Merknad 9 2 2" xfId="1339" xr:uid="{00000000-0005-0000-0000-000061510000}"/>
    <cellStyle name="Merknad 9 2 2 2" xfId="11847" xr:uid="{00000000-0005-0000-0000-000062510000}"/>
    <cellStyle name="Merknad 9 2 3" xfId="11848" xr:uid="{00000000-0005-0000-0000-000063510000}"/>
    <cellStyle name="Merknad 9 3" xfId="1340" xr:uid="{00000000-0005-0000-0000-000064510000}"/>
    <cellStyle name="Merknad 9 3 2" xfId="11850" xr:uid="{00000000-0005-0000-0000-000065510000}"/>
    <cellStyle name="Merknad 9 4" xfId="11851" xr:uid="{00000000-0005-0000-0000-000066510000}"/>
    <cellStyle name="Neutral" xfId="4078" xr:uid="{00000000-0005-0000-0000-000067510000}"/>
    <cellStyle name="Neutral 2" xfId="1155" xr:uid="{00000000-0005-0000-0000-000068510000}"/>
    <cellStyle name="Neutral 3" xfId="4617" xr:uid="{00000000-0005-0000-0000-000069510000}"/>
    <cellStyle name="Normal" xfId="0" builtinId="0"/>
    <cellStyle name="Normal 10" xfId="1342" xr:uid="{00000000-0005-0000-0000-00006B510000}"/>
    <cellStyle name="Normal 10 10" xfId="1343" xr:uid="{00000000-0005-0000-0000-00006C510000}"/>
    <cellStyle name="Normal 10 2" xfId="1344" xr:uid="{00000000-0005-0000-0000-00006D510000}"/>
    <cellStyle name="Normal 10 2 2" xfId="11855" xr:uid="{00000000-0005-0000-0000-00006E510000}"/>
    <cellStyle name="Normal 10 3" xfId="11856" xr:uid="{00000000-0005-0000-0000-00006F510000}"/>
    <cellStyle name="Normal 100" xfId="4149" xr:uid="{00000000-0005-0000-0000-000070510000}"/>
    <cellStyle name="Normal 100 2" xfId="6000" xr:uid="{00000000-0005-0000-0000-000071510000}"/>
    <cellStyle name="Normal 100 2 2" xfId="9415" xr:uid="{00000000-0005-0000-0000-000072510000}"/>
    <cellStyle name="Normal 100 2 2 2" xfId="23507" xr:uid="{00000000-0005-0000-0000-000073510000}"/>
    <cellStyle name="Normal 100 2 2 2 2" xfId="39563" xr:uid="{00000000-0005-0000-0000-000074510000}"/>
    <cellStyle name="Normal 100 2 2 3" xfId="28383" xr:uid="{00000000-0005-0000-0000-000075510000}"/>
    <cellStyle name="Normal 100 2 3" xfId="22303" xr:uid="{00000000-0005-0000-0000-000076510000}"/>
    <cellStyle name="Normal 100 2 3 2" xfId="38375" xr:uid="{00000000-0005-0000-0000-000077510000}"/>
    <cellStyle name="Normal 100 2 4" xfId="31778" xr:uid="{00000000-0005-0000-0000-000078510000}"/>
    <cellStyle name="Normal 100 3" xfId="7730" xr:uid="{00000000-0005-0000-0000-000079510000}"/>
    <cellStyle name="Normal 100 3 2" xfId="20882" xr:uid="{00000000-0005-0000-0000-00007A510000}"/>
    <cellStyle name="Normal 100 3 2 2" xfId="36981" xr:uid="{00000000-0005-0000-0000-00007B510000}"/>
    <cellStyle name="Normal 100 3 3" xfId="30069" xr:uid="{00000000-0005-0000-0000-00007C510000}"/>
    <cellStyle name="Normal 100 4" xfId="19976" xr:uid="{00000000-0005-0000-0000-00007D510000}"/>
    <cellStyle name="Normal 100 4 2" xfId="36080" xr:uid="{00000000-0005-0000-0000-00007E510000}"/>
    <cellStyle name="Normal 100 5" xfId="33456" xr:uid="{00000000-0005-0000-0000-00007F510000}"/>
    <cellStyle name="Normal 101" xfId="4440" xr:uid="{00000000-0005-0000-0000-000080510000}"/>
    <cellStyle name="Normal 101 2" xfId="6237" xr:uid="{00000000-0005-0000-0000-000081510000}"/>
    <cellStyle name="Normal 101 2 2" xfId="9647" xr:uid="{00000000-0005-0000-0000-000082510000}"/>
    <cellStyle name="Normal 101 2 2 2" xfId="23732" xr:uid="{00000000-0005-0000-0000-000083510000}"/>
    <cellStyle name="Normal 101 2 2 2 2" xfId="39788" xr:uid="{00000000-0005-0000-0000-000084510000}"/>
    <cellStyle name="Normal 101 2 2 3" xfId="28152" xr:uid="{00000000-0005-0000-0000-000085510000}"/>
    <cellStyle name="Normal 101 2 3" xfId="20375" xr:uid="{00000000-0005-0000-0000-000086510000}"/>
    <cellStyle name="Normal 101 2 3 2" xfId="36474" xr:uid="{00000000-0005-0000-0000-000087510000}"/>
    <cellStyle name="Normal 101 2 4" xfId="31553" xr:uid="{00000000-0005-0000-0000-000088510000}"/>
    <cellStyle name="Normal 101 3" xfId="7943" xr:uid="{00000000-0005-0000-0000-000089510000}"/>
    <cellStyle name="Normal 101 3 2" xfId="24294" xr:uid="{00000000-0005-0000-0000-00008A510000}"/>
    <cellStyle name="Normal 101 3 2 2" xfId="40346" xr:uid="{00000000-0005-0000-0000-00008B510000}"/>
    <cellStyle name="Normal 101 3 3" xfId="29856" xr:uid="{00000000-0005-0000-0000-00008C510000}"/>
    <cellStyle name="Normal 101 4" xfId="19638" xr:uid="{00000000-0005-0000-0000-00008D510000}"/>
    <cellStyle name="Normal 101 4 2" xfId="35752" xr:uid="{00000000-0005-0000-0000-00008E510000}"/>
    <cellStyle name="Normal 101 5" xfId="33245" xr:uid="{00000000-0005-0000-0000-00008F510000}"/>
    <cellStyle name="Normal 102" xfId="3268" xr:uid="{00000000-0005-0000-0000-000090510000}"/>
    <cellStyle name="Normal 102 2" xfId="6230" xr:uid="{00000000-0005-0000-0000-000091510000}"/>
    <cellStyle name="Normal 102 2 2" xfId="9640" xr:uid="{00000000-0005-0000-0000-000092510000}"/>
    <cellStyle name="Normal 102 2 2 2" xfId="10406" xr:uid="{00000000-0005-0000-0000-000093510000}"/>
    <cellStyle name="Normal 102 2 2 2 2" xfId="34348" xr:uid="{00000000-0005-0000-0000-000094510000}"/>
    <cellStyle name="Normal 102 2 2 3" xfId="28159" xr:uid="{00000000-0005-0000-0000-000095510000}"/>
    <cellStyle name="Normal 102 2 3" xfId="22999" xr:uid="{00000000-0005-0000-0000-000096510000}"/>
    <cellStyle name="Normal 102 2 3 2" xfId="39068" xr:uid="{00000000-0005-0000-0000-000097510000}"/>
    <cellStyle name="Normal 102 2 4" xfId="31560" xr:uid="{00000000-0005-0000-0000-000098510000}"/>
    <cellStyle name="Normal 102 3" xfId="7002" xr:uid="{00000000-0005-0000-0000-000099510000}"/>
    <cellStyle name="Normal 102 3 2" xfId="20628" xr:uid="{00000000-0005-0000-0000-00009A510000}"/>
    <cellStyle name="Normal 102 3 2 2" xfId="36727" xr:uid="{00000000-0005-0000-0000-00009B510000}"/>
    <cellStyle name="Normal 102 3 3" xfId="30796" xr:uid="{00000000-0005-0000-0000-00009C510000}"/>
    <cellStyle name="Normal 102 4" xfId="21704" xr:uid="{00000000-0005-0000-0000-00009D510000}"/>
    <cellStyle name="Normal 102 4 2" xfId="37782" xr:uid="{00000000-0005-0000-0000-00009E510000}"/>
    <cellStyle name="Normal 102 5" xfId="34183" xr:uid="{00000000-0005-0000-0000-00009F510000}"/>
    <cellStyle name="Normal 103" xfId="4502" xr:uid="{00000000-0005-0000-0000-0000A0510000}"/>
    <cellStyle name="Normal 103 2" xfId="6294" xr:uid="{00000000-0005-0000-0000-0000A1510000}"/>
    <cellStyle name="Normal 103 2 2" xfId="9704" xr:uid="{00000000-0005-0000-0000-0000A2510000}"/>
    <cellStyle name="Normal 103 2 2 2" xfId="24552" xr:uid="{00000000-0005-0000-0000-0000A3510000}"/>
    <cellStyle name="Normal 103 2 2 2 2" xfId="40596" xr:uid="{00000000-0005-0000-0000-0000A4510000}"/>
    <cellStyle name="Normal 103 2 2 3" xfId="28095" xr:uid="{00000000-0005-0000-0000-0000A5510000}"/>
    <cellStyle name="Normal 103 2 3" xfId="22126" xr:uid="{00000000-0005-0000-0000-0000A6510000}"/>
    <cellStyle name="Normal 103 2 3 2" xfId="38200" xr:uid="{00000000-0005-0000-0000-0000A7510000}"/>
    <cellStyle name="Normal 103 2 4" xfId="31496" xr:uid="{00000000-0005-0000-0000-0000A8510000}"/>
    <cellStyle name="Normal 103 3" xfId="8000" xr:uid="{00000000-0005-0000-0000-0000A9510000}"/>
    <cellStyle name="Normal 103 3 2" xfId="19458" xr:uid="{00000000-0005-0000-0000-0000AA510000}"/>
    <cellStyle name="Normal 103 3 2 2" xfId="35572" xr:uid="{00000000-0005-0000-0000-0000AB510000}"/>
    <cellStyle name="Normal 103 3 3" xfId="29798" xr:uid="{00000000-0005-0000-0000-0000AC510000}"/>
    <cellStyle name="Normal 103 4" xfId="19661" xr:uid="{00000000-0005-0000-0000-0000AD510000}"/>
    <cellStyle name="Normal 103 4 2" xfId="35775" xr:uid="{00000000-0005-0000-0000-0000AE510000}"/>
    <cellStyle name="Normal 103 5" xfId="33189" xr:uid="{00000000-0005-0000-0000-0000AF510000}"/>
    <cellStyle name="Normal 104" xfId="6208" xr:uid="{00000000-0005-0000-0000-0000B0510000}"/>
    <cellStyle name="Normal 104 2" xfId="9622" xr:uid="{00000000-0005-0000-0000-0000B1510000}"/>
    <cellStyle name="Normal 105" xfId="5170" xr:uid="{00000000-0005-0000-0000-0000B2510000}"/>
    <cellStyle name="Normal 105 2" xfId="8592" xr:uid="{00000000-0005-0000-0000-0000B3510000}"/>
    <cellStyle name="Normal 105 2 2" xfId="10513" xr:uid="{00000000-0005-0000-0000-0000B4510000}"/>
    <cellStyle name="Normal 105 2 2 2" xfId="34401" xr:uid="{00000000-0005-0000-0000-0000B5510000}"/>
    <cellStyle name="Normal 105 2 3" xfId="29206" xr:uid="{00000000-0005-0000-0000-0000B6510000}"/>
    <cellStyle name="Normal 105 3" xfId="19765" xr:uid="{00000000-0005-0000-0000-0000B7510000}"/>
    <cellStyle name="Normal 105 3 2" xfId="35879" xr:uid="{00000000-0005-0000-0000-0000B8510000}"/>
    <cellStyle name="Normal 105 4" xfId="32597" xr:uid="{00000000-0005-0000-0000-0000B9510000}"/>
    <cellStyle name="Normal 106" xfId="10295" xr:uid="{00000000-0005-0000-0000-0000BA510000}"/>
    <cellStyle name="Normal 106 2" xfId="27504" xr:uid="{00000000-0005-0000-0000-0000BB510000}"/>
    <cellStyle name="Normal 107" xfId="24738" xr:uid="{00000000-0005-0000-0000-0000BC510000}"/>
    <cellStyle name="Normal 108" xfId="25231" xr:uid="{00000000-0005-0000-0000-0000BD510000}"/>
    <cellStyle name="Normal 109" xfId="25230" xr:uid="{00000000-0005-0000-0000-0000BE510000}"/>
    <cellStyle name="Normal 11" xfId="1345" xr:uid="{00000000-0005-0000-0000-0000BF510000}"/>
    <cellStyle name="Normal 11 2" xfId="1346" xr:uid="{00000000-0005-0000-0000-0000C0510000}"/>
    <cellStyle name="Normal 11 2 2" xfId="11859" xr:uid="{00000000-0005-0000-0000-0000C1510000}"/>
    <cellStyle name="Normal 11 3" xfId="11860" xr:uid="{00000000-0005-0000-0000-0000C2510000}"/>
    <cellStyle name="Normal 110" xfId="25232" xr:uid="{00000000-0005-0000-0000-0000C3510000}"/>
    <cellStyle name="Normal 111" xfId="5173" xr:uid="{00000000-0005-0000-0000-0000C4510000}"/>
    <cellStyle name="Normal 112" xfId="40781" xr:uid="{00000000-0005-0000-0000-0000C5510000}"/>
    <cellStyle name="Normal 113" xfId="43190" xr:uid="{00000000-0005-0000-0000-0000C6510000}"/>
    <cellStyle name="Normal 114" xfId="43404" xr:uid="{00000000-0005-0000-0000-0000C7510000}"/>
    <cellStyle name="Normal 115" xfId="46292" xr:uid="{00000000-0005-0000-0000-0000C8510000}"/>
    <cellStyle name="Normal 116" xfId="47026" xr:uid="{00000000-0005-0000-0000-0000C9510000}"/>
    <cellStyle name="Normal 117" xfId="47694" xr:uid="{00000000-0005-0000-0000-0000CA510000}"/>
    <cellStyle name="Normal 118" xfId="47696" xr:uid="{00000000-0005-0000-0000-0000CB510000}"/>
    <cellStyle name="Normal 119" xfId="47700" xr:uid="{00000000-0005-0000-0000-0000CC510000}"/>
    <cellStyle name="Normal 12" xfId="1347" xr:uid="{00000000-0005-0000-0000-0000CD510000}"/>
    <cellStyle name="Normal 12 2" xfId="1348" xr:uid="{00000000-0005-0000-0000-0000CE510000}"/>
    <cellStyle name="Normal 12 2 2" xfId="11863" xr:uid="{00000000-0005-0000-0000-0000CF510000}"/>
    <cellStyle name="Normal 12 3" xfId="11864" xr:uid="{00000000-0005-0000-0000-0000D0510000}"/>
    <cellStyle name="Normal 120" xfId="47703" xr:uid="{00000000-0005-0000-0000-0000D1510000}"/>
    <cellStyle name="Normal 121" xfId="47705" xr:uid="{00000000-0005-0000-0000-0000D2510000}"/>
    <cellStyle name="Normal 122" xfId="47707" xr:uid="{00000000-0005-0000-0000-0000D3510000}"/>
    <cellStyle name="Normal 123" xfId="47708" xr:uid="{00000000-0005-0000-0000-0000D4510000}"/>
    <cellStyle name="Normal 124" xfId="47709" xr:uid="{00000000-0005-0000-0000-0000D5510000}"/>
    <cellStyle name="Normal 125" xfId="47710" xr:uid="{00000000-0005-0000-0000-0000D6510000}"/>
    <cellStyle name="Normal 126" xfId="47711" xr:uid="{00000000-0005-0000-0000-0000D7510000}"/>
    <cellStyle name="Normal 127" xfId="47712" xr:uid="{3D82E596-9CAC-44D3-A750-B35A5A142807}"/>
    <cellStyle name="Normal 128" xfId="47713" xr:uid="{34AB4FC9-7070-40EE-8D75-4761E0E41E30}"/>
    <cellStyle name="Normal 129" xfId="47714" xr:uid="{475C4DF0-40AD-4AD8-AF14-67BDFEADB6F2}"/>
    <cellStyle name="Normal 13" xfId="1349" xr:uid="{00000000-0005-0000-0000-0000D8510000}"/>
    <cellStyle name="Normal 13 10" xfId="1350" xr:uid="{00000000-0005-0000-0000-0000D9510000}"/>
    <cellStyle name="Normal 13 10 2" xfId="1351" xr:uid="{00000000-0005-0000-0000-0000DA510000}"/>
    <cellStyle name="Normal 13 100" xfId="24749" xr:uid="{00000000-0005-0000-0000-0000DB510000}"/>
    <cellStyle name="Normal 13 101" xfId="43444" xr:uid="{00000000-0005-0000-0000-0000DC510000}"/>
    <cellStyle name="Normal 13 102" xfId="46331" xr:uid="{00000000-0005-0000-0000-0000DD510000}"/>
    <cellStyle name="Normal 13 103" xfId="47044" xr:uid="{00000000-0005-0000-0000-0000DE510000}"/>
    <cellStyle name="Normal 13 11" xfId="1352" xr:uid="{00000000-0005-0000-0000-0000DF510000}"/>
    <cellStyle name="Normal 13 11 2" xfId="1353" xr:uid="{00000000-0005-0000-0000-0000E0510000}"/>
    <cellStyle name="Normal 13 12" xfId="1354" xr:uid="{00000000-0005-0000-0000-0000E1510000}"/>
    <cellStyle name="Normal 13 12 2" xfId="1355" xr:uid="{00000000-0005-0000-0000-0000E2510000}"/>
    <cellStyle name="Normal 13 13" xfId="1356" xr:uid="{00000000-0005-0000-0000-0000E3510000}"/>
    <cellStyle name="Normal 13 13 2" xfId="1357" xr:uid="{00000000-0005-0000-0000-0000E4510000}"/>
    <cellStyle name="Normal 13 14" xfId="1358" xr:uid="{00000000-0005-0000-0000-0000E5510000}"/>
    <cellStyle name="Normal 13 14 2" xfId="1359" xr:uid="{00000000-0005-0000-0000-0000E6510000}"/>
    <cellStyle name="Normal 13 15" xfId="1360" xr:uid="{00000000-0005-0000-0000-0000E7510000}"/>
    <cellStyle name="Normal 13 15 2" xfId="1361" xr:uid="{00000000-0005-0000-0000-0000E8510000}"/>
    <cellStyle name="Normal 13 16" xfId="1362" xr:uid="{00000000-0005-0000-0000-0000E9510000}"/>
    <cellStyle name="Normal 13 16 2" xfId="1363" xr:uid="{00000000-0005-0000-0000-0000EA510000}"/>
    <cellStyle name="Normal 13 17" xfId="1364" xr:uid="{00000000-0005-0000-0000-0000EB510000}"/>
    <cellStyle name="Normal 13 17 2" xfId="1365" xr:uid="{00000000-0005-0000-0000-0000EC510000}"/>
    <cellStyle name="Normal 13 18" xfId="1366" xr:uid="{00000000-0005-0000-0000-0000ED510000}"/>
    <cellStyle name="Normal 13 18 2" xfId="1367" xr:uid="{00000000-0005-0000-0000-0000EE510000}"/>
    <cellStyle name="Normal 13 19" xfId="1368" xr:uid="{00000000-0005-0000-0000-0000EF510000}"/>
    <cellStyle name="Normal 13 19 2" xfId="1369" xr:uid="{00000000-0005-0000-0000-0000F0510000}"/>
    <cellStyle name="Normal 13 2" xfId="1370" xr:uid="{00000000-0005-0000-0000-0000F1510000}"/>
    <cellStyle name="Normal 13 2 2" xfId="1371" xr:uid="{00000000-0005-0000-0000-0000F2510000}"/>
    <cellStyle name="Normal 13 2 3" xfId="1372" xr:uid="{00000000-0005-0000-0000-0000F3510000}"/>
    <cellStyle name="Normal 13 2 3 2" xfId="1373" xr:uid="{00000000-0005-0000-0000-0000F4510000}"/>
    <cellStyle name="Normal 13 2 4" xfId="11890" xr:uid="{00000000-0005-0000-0000-0000F5510000}"/>
    <cellStyle name="Normal 13 2_NGL-pris" xfId="1374" xr:uid="{00000000-0005-0000-0000-0000F6510000}"/>
    <cellStyle name="Normal 13 20" xfId="1375" xr:uid="{00000000-0005-0000-0000-0000F7510000}"/>
    <cellStyle name="Normal 13 20 2" xfId="1376" xr:uid="{00000000-0005-0000-0000-0000F8510000}"/>
    <cellStyle name="Normal 13 21" xfId="1377" xr:uid="{00000000-0005-0000-0000-0000F9510000}"/>
    <cellStyle name="Normal 13 21 2" xfId="1378" xr:uid="{00000000-0005-0000-0000-0000FA510000}"/>
    <cellStyle name="Normal 13 22" xfId="1379" xr:uid="{00000000-0005-0000-0000-0000FB510000}"/>
    <cellStyle name="Normal 13 22 2" xfId="1380" xr:uid="{00000000-0005-0000-0000-0000FC510000}"/>
    <cellStyle name="Normal 13 23" xfId="1381" xr:uid="{00000000-0005-0000-0000-0000FD510000}"/>
    <cellStyle name="Normal 13 23 2" xfId="1382" xr:uid="{00000000-0005-0000-0000-0000FE510000}"/>
    <cellStyle name="Normal 13 23 2 2" xfId="1383" xr:uid="{00000000-0005-0000-0000-0000FF510000}"/>
    <cellStyle name="Normal 13 23 3" xfId="1384" xr:uid="{00000000-0005-0000-0000-000000520000}"/>
    <cellStyle name="Normal 13 23 3 2" xfId="1385" xr:uid="{00000000-0005-0000-0000-000001520000}"/>
    <cellStyle name="Normal 13 23 4" xfId="1386" xr:uid="{00000000-0005-0000-0000-000002520000}"/>
    <cellStyle name="Normal 13 24" xfId="1387" xr:uid="{00000000-0005-0000-0000-000003520000}"/>
    <cellStyle name="Normal 13 24 2" xfId="1388" xr:uid="{00000000-0005-0000-0000-000004520000}"/>
    <cellStyle name="Normal 13 25" xfId="1389" xr:uid="{00000000-0005-0000-0000-000005520000}"/>
    <cellStyle name="Normal 13 25 2" xfId="1390" xr:uid="{00000000-0005-0000-0000-000006520000}"/>
    <cellStyle name="Normal 13 26" xfId="1391" xr:uid="{00000000-0005-0000-0000-000007520000}"/>
    <cellStyle name="Normal 13 26 2" xfId="1392" xr:uid="{00000000-0005-0000-0000-000008520000}"/>
    <cellStyle name="Normal 13 27" xfId="1393" xr:uid="{00000000-0005-0000-0000-000009520000}"/>
    <cellStyle name="Normal 13 27 2" xfId="1394" xr:uid="{00000000-0005-0000-0000-00000A520000}"/>
    <cellStyle name="Normal 13 28" xfId="1395" xr:uid="{00000000-0005-0000-0000-00000B520000}"/>
    <cellStyle name="Normal 13 29" xfId="1396" xr:uid="{00000000-0005-0000-0000-00000C520000}"/>
    <cellStyle name="Normal 13 29 10" xfId="6973" xr:uid="{00000000-0005-0000-0000-00000D520000}"/>
    <cellStyle name="Normal 13 29 10 2" xfId="22166" xr:uid="{00000000-0005-0000-0000-00000E520000}"/>
    <cellStyle name="Normal 13 29 10 2 2" xfId="38240" xr:uid="{00000000-0005-0000-0000-00000F520000}"/>
    <cellStyle name="Normal 13 29 10 3" xfId="30825" xr:uid="{00000000-0005-0000-0000-000010520000}"/>
    <cellStyle name="Normal 13 29 11" xfId="11913" xr:uid="{00000000-0005-0000-0000-000011520000}"/>
    <cellStyle name="Normal 13 29 12" xfId="34213" xr:uid="{00000000-0005-0000-0000-000012520000}"/>
    <cellStyle name="Normal 13 29 2" xfId="1397" xr:uid="{00000000-0005-0000-0000-000013520000}"/>
    <cellStyle name="Normal 13 29 3" xfId="3367" xr:uid="{00000000-0005-0000-0000-000014520000}"/>
    <cellStyle name="Normal 13 29 3 10" xfId="34130" xr:uid="{00000000-0005-0000-0000-000015520000}"/>
    <cellStyle name="Normal 13 29 3 2" xfId="3593" xr:uid="{00000000-0005-0000-0000-000016520000}"/>
    <cellStyle name="Normal 13 29 3 2 10" xfId="47192" xr:uid="{00000000-0005-0000-0000-000017520000}"/>
    <cellStyle name="Normal 13 29 3 2 2" xfId="4023" xr:uid="{00000000-0005-0000-0000-000018520000}"/>
    <cellStyle name="Normal 13 29 3 2 2 2" xfId="5911" xr:uid="{00000000-0005-0000-0000-000019520000}"/>
    <cellStyle name="Normal 13 29 3 2 2 2 2" xfId="9326" xr:uid="{00000000-0005-0000-0000-00001A520000}"/>
    <cellStyle name="Normal 13 29 3 2 2 2 2 2" xfId="21349" xr:uid="{00000000-0005-0000-0000-00001B520000}"/>
    <cellStyle name="Normal 13 29 3 2 2 2 2 2 2" xfId="37429" xr:uid="{00000000-0005-0000-0000-00001C520000}"/>
    <cellStyle name="Normal 13 29 3 2 2 2 2 3" xfId="28472" xr:uid="{00000000-0005-0000-0000-00001D520000}"/>
    <cellStyle name="Normal 13 29 3 2 2 2 3" xfId="23940" xr:uid="{00000000-0005-0000-0000-00001E520000}"/>
    <cellStyle name="Normal 13 29 3 2 2 2 3 2" xfId="39994" xr:uid="{00000000-0005-0000-0000-00001F520000}"/>
    <cellStyle name="Normal 13 29 3 2 2 2 4" xfId="31865" xr:uid="{00000000-0005-0000-0000-000020520000}"/>
    <cellStyle name="Normal 13 29 3 2 2 3" xfId="7629" xr:uid="{00000000-0005-0000-0000-000021520000}"/>
    <cellStyle name="Normal 13 29 3 2 2 3 2" xfId="20844" xr:uid="{00000000-0005-0000-0000-000022520000}"/>
    <cellStyle name="Normal 13 29 3 2 2 3 2 2" xfId="36943" xr:uid="{00000000-0005-0000-0000-000023520000}"/>
    <cellStyle name="Normal 13 29 3 2 2 3 3" xfId="30169" xr:uid="{00000000-0005-0000-0000-000024520000}"/>
    <cellStyle name="Normal 13 29 3 2 2 4" xfId="18141" xr:uid="{00000000-0005-0000-0000-000025520000}"/>
    <cellStyle name="Normal 13 29 3 2 2 5" xfId="23795" xr:uid="{00000000-0005-0000-0000-000026520000}"/>
    <cellStyle name="Normal 13 29 3 2 2 5 2" xfId="39851" xr:uid="{00000000-0005-0000-0000-000027520000}"/>
    <cellStyle name="Normal 13 29 3 2 2 6" xfId="33556" xr:uid="{00000000-0005-0000-0000-000028520000}"/>
    <cellStyle name="Normal 13 29 3 2 3" xfId="4963" xr:uid="{00000000-0005-0000-0000-000029520000}"/>
    <cellStyle name="Normal 13 29 3 2 3 10" xfId="47382" xr:uid="{00000000-0005-0000-0000-00002A520000}"/>
    <cellStyle name="Normal 13 29 3 2 3 2" xfId="6682" xr:uid="{00000000-0005-0000-0000-00002B520000}"/>
    <cellStyle name="Normal 13 29 3 2 3 2 2" xfId="10088" xr:uid="{00000000-0005-0000-0000-00002C520000}"/>
    <cellStyle name="Normal 13 29 3 2 3 2 2 2" xfId="21601" xr:uid="{00000000-0005-0000-0000-00002D520000}"/>
    <cellStyle name="Normal 13 29 3 2 3 2 2 2 2" xfId="37681" xr:uid="{00000000-0005-0000-0000-00002E520000}"/>
    <cellStyle name="Normal 13 29 3 2 3 2 2 3" xfId="27711" xr:uid="{00000000-0005-0000-0000-00002F520000}"/>
    <cellStyle name="Normal 13 29 3 2 3 2 3" xfId="20539" xr:uid="{00000000-0005-0000-0000-000030520000}"/>
    <cellStyle name="Normal 13 29 3 2 3 2 3 2" xfId="36638" xr:uid="{00000000-0005-0000-0000-000031520000}"/>
    <cellStyle name="Normal 13 29 3 2 3 2 4" xfId="31112" xr:uid="{00000000-0005-0000-0000-000032520000}"/>
    <cellStyle name="Normal 13 29 3 2 3 2 5" xfId="43079" xr:uid="{00000000-0005-0000-0000-000033520000}"/>
    <cellStyle name="Normal 13 29 3 2 3 2 6" xfId="43373" xr:uid="{00000000-0005-0000-0000-000034520000}"/>
    <cellStyle name="Normal 13 29 3 2 3 2 7" xfId="46221" xr:uid="{00000000-0005-0000-0000-000035520000}"/>
    <cellStyle name="Normal 13 29 3 2 3 2 8" xfId="46993" xr:uid="{00000000-0005-0000-0000-000036520000}"/>
    <cellStyle name="Normal 13 29 3 2 3 2 9" xfId="47578" xr:uid="{00000000-0005-0000-0000-000037520000}"/>
    <cellStyle name="Normal 13 29 3 2 3 3" xfId="8385" xr:uid="{00000000-0005-0000-0000-000038520000}"/>
    <cellStyle name="Normal 13 29 3 2 3 3 2" xfId="10558" xr:uid="{00000000-0005-0000-0000-000039520000}"/>
    <cellStyle name="Normal 13 29 3 2 3 3 2 2" xfId="34424" xr:uid="{00000000-0005-0000-0000-00003A520000}"/>
    <cellStyle name="Normal 13 29 3 2 3 3 3" xfId="29413" xr:uid="{00000000-0005-0000-0000-00003B520000}"/>
    <cellStyle name="Normal 13 29 3 2 3 3 4" xfId="44050" xr:uid="{00000000-0005-0000-0000-00003C520000}"/>
    <cellStyle name="Normal 13 29 3 2 3 4" xfId="16524" xr:uid="{00000000-0005-0000-0000-00003D520000}"/>
    <cellStyle name="Normal 13 29 3 2 3 4 2" xfId="35468" xr:uid="{00000000-0005-0000-0000-00003E520000}"/>
    <cellStyle name="Normal 13 29 3 2 3 5" xfId="25130" xr:uid="{00000000-0005-0000-0000-00003F520000}"/>
    <cellStyle name="Normal 13 29 3 2 3 6" xfId="25411" xr:uid="{00000000-0005-0000-0000-000040520000}"/>
    <cellStyle name="Normal 13 29 3 2 3 7" xfId="32804" xr:uid="{00000000-0005-0000-0000-000041520000}"/>
    <cellStyle name="Normal 13 29 3 2 3 8" xfId="43834" xr:uid="{00000000-0005-0000-0000-000042520000}"/>
    <cellStyle name="Normal 13 29 3 2 3 9" xfId="46759" xr:uid="{00000000-0005-0000-0000-000043520000}"/>
    <cellStyle name="Normal 13 29 3 2 4" xfId="5517" xr:uid="{00000000-0005-0000-0000-000044520000}"/>
    <cellStyle name="Normal 13 29 3 2 4 2" xfId="8932" xr:uid="{00000000-0005-0000-0000-000045520000}"/>
    <cellStyle name="Normal 13 29 3 2 4 2 2" xfId="24431" xr:uid="{00000000-0005-0000-0000-000046520000}"/>
    <cellStyle name="Normal 13 29 3 2 4 2 2 2" xfId="40475" xr:uid="{00000000-0005-0000-0000-000047520000}"/>
    <cellStyle name="Normal 13 29 3 2 4 2 3" xfId="28866" xr:uid="{00000000-0005-0000-0000-000048520000}"/>
    <cellStyle name="Normal 13 29 3 2 4 3" xfId="22247" xr:uid="{00000000-0005-0000-0000-000049520000}"/>
    <cellStyle name="Normal 13 29 3 2 4 3 2" xfId="38321" xr:uid="{00000000-0005-0000-0000-00004A520000}"/>
    <cellStyle name="Normal 13 29 3 2 4 4" xfId="32257" xr:uid="{00000000-0005-0000-0000-00004B520000}"/>
    <cellStyle name="Normal 13 29 3 2 5" xfId="7235" xr:uid="{00000000-0005-0000-0000-00004C520000}"/>
    <cellStyle name="Normal 13 29 3 2 5 2" xfId="20706" xr:uid="{00000000-0005-0000-0000-00004D520000}"/>
    <cellStyle name="Normal 13 29 3 2 5 2 2" xfId="36805" xr:uid="{00000000-0005-0000-0000-00004E520000}"/>
    <cellStyle name="Normal 13 29 3 2 5 3" xfId="30563" xr:uid="{00000000-0005-0000-0000-00004F520000}"/>
    <cellStyle name="Normal 13 29 3 2 6" xfId="11916" xr:uid="{00000000-0005-0000-0000-000050520000}"/>
    <cellStyle name="Normal 13 29 3 2 7" xfId="33950" xr:uid="{00000000-0005-0000-0000-000051520000}"/>
    <cellStyle name="Normal 13 29 3 2 8" xfId="43625" xr:uid="{00000000-0005-0000-0000-000052520000}"/>
    <cellStyle name="Normal 13 29 3 2 9" xfId="46531" xr:uid="{00000000-0005-0000-0000-000053520000}"/>
    <cellStyle name="Normal 13 29 3 2_Avviksanalyse løpende RNB15 (1)" xfId="16733" xr:uid="{00000000-0005-0000-0000-000054520000}"/>
    <cellStyle name="Normal 13 29 3 3" xfId="3843" xr:uid="{00000000-0005-0000-0000-000055520000}"/>
    <cellStyle name="Normal 13 29 3 3 2" xfId="5731" xr:uid="{00000000-0005-0000-0000-000056520000}"/>
    <cellStyle name="Normal 13 29 3 3 2 2" xfId="9146" xr:uid="{00000000-0005-0000-0000-000057520000}"/>
    <cellStyle name="Normal 13 29 3 3 2 2 2" xfId="23462" xr:uid="{00000000-0005-0000-0000-000058520000}"/>
    <cellStyle name="Normal 13 29 3 3 2 2 2 2" xfId="39518" xr:uid="{00000000-0005-0000-0000-000059520000}"/>
    <cellStyle name="Normal 13 29 3 3 2 2 3" xfId="28652" xr:uid="{00000000-0005-0000-0000-00005A520000}"/>
    <cellStyle name="Normal 13 29 3 3 2 3" xfId="19888" xr:uid="{00000000-0005-0000-0000-00005B520000}"/>
    <cellStyle name="Normal 13 29 3 3 2 3 2" xfId="36001" xr:uid="{00000000-0005-0000-0000-00005C520000}"/>
    <cellStyle name="Normal 13 29 3 3 2 4" xfId="32043" xr:uid="{00000000-0005-0000-0000-00005D520000}"/>
    <cellStyle name="Normal 13 29 3 3 3" xfId="7449" xr:uid="{00000000-0005-0000-0000-00005E520000}"/>
    <cellStyle name="Normal 13 29 3 3 3 2" xfId="24210" xr:uid="{00000000-0005-0000-0000-00005F520000}"/>
    <cellStyle name="Normal 13 29 3 3 3 2 2" xfId="40263" xr:uid="{00000000-0005-0000-0000-000060520000}"/>
    <cellStyle name="Normal 13 29 3 3 3 3" xfId="30349" xr:uid="{00000000-0005-0000-0000-000061520000}"/>
    <cellStyle name="Normal 13 29 3 3 4" xfId="22220" xr:uid="{00000000-0005-0000-0000-000062520000}"/>
    <cellStyle name="Normal 13 29 3 3 4 2" xfId="38294" xr:uid="{00000000-0005-0000-0000-000063520000}"/>
    <cellStyle name="Normal 13 29 3 3 5" xfId="33736" xr:uid="{00000000-0005-0000-0000-000064520000}"/>
    <cellStyle name="Normal 13 29 3 4" xfId="4328" xr:uid="{00000000-0005-0000-0000-000065520000}"/>
    <cellStyle name="Normal 13 29 3 4 2" xfId="6157" xr:uid="{00000000-0005-0000-0000-000066520000}"/>
    <cellStyle name="Normal 13 29 3 4 2 2" xfId="9571" xr:uid="{00000000-0005-0000-0000-000067520000}"/>
    <cellStyle name="Normal 13 29 3 4 2 2 2" xfId="23527" xr:uid="{00000000-0005-0000-0000-000068520000}"/>
    <cellStyle name="Normal 13 29 3 4 2 2 2 2" xfId="39583" xr:uid="{00000000-0005-0000-0000-000069520000}"/>
    <cellStyle name="Normal 13 29 3 4 2 2 3" xfId="28227" xr:uid="{00000000-0005-0000-0000-00006A520000}"/>
    <cellStyle name="Normal 13 29 3 4 2 3" xfId="20344" xr:uid="{00000000-0005-0000-0000-00006B520000}"/>
    <cellStyle name="Normal 13 29 3 4 2 3 2" xfId="36443" xr:uid="{00000000-0005-0000-0000-00006C520000}"/>
    <cellStyle name="Normal 13 29 3 4 2 4" xfId="31624" xr:uid="{00000000-0005-0000-0000-00006D520000}"/>
    <cellStyle name="Normal 13 29 3 4 3" xfId="7890" xr:uid="{00000000-0005-0000-0000-00006E520000}"/>
    <cellStyle name="Normal 13 29 3 4 3 2" xfId="19451" xr:uid="{00000000-0005-0000-0000-00006F520000}"/>
    <cellStyle name="Normal 13 29 3 4 3 2 2" xfId="35565" xr:uid="{00000000-0005-0000-0000-000070520000}"/>
    <cellStyle name="Normal 13 29 3 4 3 3" xfId="29909" xr:uid="{00000000-0005-0000-0000-000071520000}"/>
    <cellStyle name="Normal 13 29 3 4 4" xfId="20005" xr:uid="{00000000-0005-0000-0000-000072520000}"/>
    <cellStyle name="Normal 13 29 3 4 4 2" xfId="36109" xr:uid="{00000000-0005-0000-0000-000073520000}"/>
    <cellStyle name="Normal 13 29 3 4 5" xfId="33297" xr:uid="{00000000-0005-0000-0000-000074520000}"/>
    <cellStyle name="Normal 13 29 3 5" xfId="4783" xr:uid="{00000000-0005-0000-0000-000075520000}"/>
    <cellStyle name="Normal 13 29 3 5 2" xfId="6503" xr:uid="{00000000-0005-0000-0000-000076520000}"/>
    <cellStyle name="Normal 13 29 3 5 2 2" xfId="9909" xr:uid="{00000000-0005-0000-0000-000077520000}"/>
    <cellStyle name="Normal 13 29 3 5 2 2 2" xfId="24586" xr:uid="{00000000-0005-0000-0000-000078520000}"/>
    <cellStyle name="Normal 13 29 3 5 2 2 2 2" xfId="40630" xr:uid="{00000000-0005-0000-0000-000079520000}"/>
    <cellStyle name="Normal 13 29 3 5 2 2 3" xfId="27890" xr:uid="{00000000-0005-0000-0000-00007A520000}"/>
    <cellStyle name="Normal 13 29 3 5 2 3" xfId="20478" xr:uid="{00000000-0005-0000-0000-00007B520000}"/>
    <cellStyle name="Normal 13 29 3 5 2 3 2" xfId="36577" xr:uid="{00000000-0005-0000-0000-00007C520000}"/>
    <cellStyle name="Normal 13 29 3 5 2 4" xfId="31291" xr:uid="{00000000-0005-0000-0000-00007D520000}"/>
    <cellStyle name="Normal 13 29 3 5 3" xfId="8205" xr:uid="{00000000-0005-0000-0000-00007E520000}"/>
    <cellStyle name="Normal 13 29 3 5 3 2" xfId="19471" xr:uid="{00000000-0005-0000-0000-00007F520000}"/>
    <cellStyle name="Normal 13 29 3 5 3 2 2" xfId="35585" xr:uid="{00000000-0005-0000-0000-000080520000}"/>
    <cellStyle name="Normal 13 29 3 5 3 3" xfId="29592" xr:uid="{00000000-0005-0000-0000-000081520000}"/>
    <cellStyle name="Normal 13 29 3 5 4" xfId="22059" xr:uid="{00000000-0005-0000-0000-000082520000}"/>
    <cellStyle name="Normal 13 29 3 5 4 2" xfId="38133" xr:uid="{00000000-0005-0000-0000-000083520000}"/>
    <cellStyle name="Normal 13 29 3 5 5" xfId="32984" xr:uid="{00000000-0005-0000-0000-000084520000}"/>
    <cellStyle name="Normal 13 29 3 6" xfId="5143" xr:uid="{00000000-0005-0000-0000-000085520000}"/>
    <cellStyle name="Normal 13 29 3 6 2" xfId="6862" xr:uid="{00000000-0005-0000-0000-000086520000}"/>
    <cellStyle name="Normal 13 29 3 6 2 2" xfId="10268" xr:uid="{00000000-0005-0000-0000-000087520000}"/>
    <cellStyle name="Normal 13 29 3 6 2 2 2" xfId="24711" xr:uid="{00000000-0005-0000-0000-000088520000}"/>
    <cellStyle name="Normal 13 29 3 6 2 2 2 2" xfId="40754" xr:uid="{00000000-0005-0000-0000-000089520000}"/>
    <cellStyle name="Normal 13 29 3 6 2 2 3" xfId="27531" xr:uid="{00000000-0005-0000-0000-00008A520000}"/>
    <cellStyle name="Normal 13 29 3 6 2 3" xfId="20583" xr:uid="{00000000-0005-0000-0000-00008B520000}"/>
    <cellStyle name="Normal 13 29 3 6 2 3 2" xfId="36682" xr:uid="{00000000-0005-0000-0000-00008C520000}"/>
    <cellStyle name="Normal 13 29 3 6 2 4" xfId="30932" xr:uid="{00000000-0005-0000-0000-00008D520000}"/>
    <cellStyle name="Normal 13 29 3 6 3" xfId="8565" xr:uid="{00000000-0005-0000-0000-00008E520000}"/>
    <cellStyle name="Normal 13 29 3 6 3 2" xfId="24383" xr:uid="{00000000-0005-0000-0000-00008F520000}"/>
    <cellStyle name="Normal 13 29 3 6 3 2 2" xfId="40427" xr:uid="{00000000-0005-0000-0000-000090520000}"/>
    <cellStyle name="Normal 13 29 3 6 3 3" xfId="29233" xr:uid="{00000000-0005-0000-0000-000091520000}"/>
    <cellStyle name="Normal 13 29 3 6 4" xfId="19760" xr:uid="{00000000-0005-0000-0000-000092520000}"/>
    <cellStyle name="Normal 13 29 3 6 4 2" xfId="35874" xr:uid="{00000000-0005-0000-0000-000093520000}"/>
    <cellStyle name="Normal 13 29 3 6 5" xfId="32624" xr:uid="{00000000-0005-0000-0000-000094520000}"/>
    <cellStyle name="Normal 13 29 3 7" xfId="5322" xr:uid="{00000000-0005-0000-0000-000095520000}"/>
    <cellStyle name="Normal 13 29 3 7 2" xfId="8737" xr:uid="{00000000-0005-0000-0000-000096520000}"/>
    <cellStyle name="Normal 13 29 3 7 2 2" xfId="23402" xr:uid="{00000000-0005-0000-0000-000097520000}"/>
    <cellStyle name="Normal 13 29 3 7 2 2 2" xfId="39458" xr:uid="{00000000-0005-0000-0000-000098520000}"/>
    <cellStyle name="Normal 13 29 3 7 2 3" xfId="29061" xr:uid="{00000000-0005-0000-0000-000099520000}"/>
    <cellStyle name="Normal 13 29 3 7 3" xfId="10739" xr:uid="{00000000-0005-0000-0000-00009A520000}"/>
    <cellStyle name="Normal 13 29 3 7 3 2" xfId="34582" xr:uid="{00000000-0005-0000-0000-00009B520000}"/>
    <cellStyle name="Normal 13 29 3 7 4" xfId="32452" xr:uid="{00000000-0005-0000-0000-00009C520000}"/>
    <cellStyle name="Normal 13 29 3 8" xfId="7055" xr:uid="{00000000-0005-0000-0000-00009D520000}"/>
    <cellStyle name="Normal 13 29 3 8 2" xfId="23139" xr:uid="{00000000-0005-0000-0000-00009E520000}"/>
    <cellStyle name="Normal 13 29 3 8 2 2" xfId="39208" xr:uid="{00000000-0005-0000-0000-00009F520000}"/>
    <cellStyle name="Normal 13 29 3 8 3" xfId="30743" xr:uid="{00000000-0005-0000-0000-0000A0520000}"/>
    <cellStyle name="Normal 13 29 3 9" xfId="11915" xr:uid="{00000000-0005-0000-0000-0000A1520000}"/>
    <cellStyle name="Normal 13 29 4" xfId="3509" xr:uid="{00000000-0005-0000-0000-0000A2520000}"/>
    <cellStyle name="Normal 13 29 4 10" xfId="47124" xr:uid="{00000000-0005-0000-0000-0000A3520000}"/>
    <cellStyle name="Normal 13 29 4 2" xfId="3944" xr:uid="{00000000-0005-0000-0000-0000A4520000}"/>
    <cellStyle name="Normal 13 29 4 2 2" xfId="5832" xr:uid="{00000000-0005-0000-0000-0000A5520000}"/>
    <cellStyle name="Normal 13 29 4 2 2 2" xfId="9247" xr:uid="{00000000-0005-0000-0000-0000A6520000}"/>
    <cellStyle name="Normal 13 29 4 2 2 2 2" xfId="21330" xr:uid="{00000000-0005-0000-0000-0000A7520000}"/>
    <cellStyle name="Normal 13 29 4 2 2 2 2 2" xfId="37410" xr:uid="{00000000-0005-0000-0000-0000A8520000}"/>
    <cellStyle name="Normal 13 29 4 2 2 2 3" xfId="28551" xr:uid="{00000000-0005-0000-0000-0000A9520000}"/>
    <cellStyle name="Normal 13 29 4 2 2 3" xfId="23927" xr:uid="{00000000-0005-0000-0000-0000AA520000}"/>
    <cellStyle name="Normal 13 29 4 2 2 3 2" xfId="39981" xr:uid="{00000000-0005-0000-0000-0000AB520000}"/>
    <cellStyle name="Normal 13 29 4 2 2 4" xfId="31942" xr:uid="{00000000-0005-0000-0000-0000AC520000}"/>
    <cellStyle name="Normal 13 29 4 2 3" xfId="7550" xr:uid="{00000000-0005-0000-0000-0000AD520000}"/>
    <cellStyle name="Normal 13 29 4 2 3 2" xfId="22207" xr:uid="{00000000-0005-0000-0000-0000AE520000}"/>
    <cellStyle name="Normal 13 29 4 2 3 2 2" xfId="38281" xr:uid="{00000000-0005-0000-0000-0000AF520000}"/>
    <cellStyle name="Normal 13 29 4 2 3 3" xfId="30248" xr:uid="{00000000-0005-0000-0000-0000B0520000}"/>
    <cellStyle name="Normal 13 29 4 2 4" xfId="18142" xr:uid="{00000000-0005-0000-0000-0000B1520000}"/>
    <cellStyle name="Normal 13 29 4 2 5" xfId="19562" xr:uid="{00000000-0005-0000-0000-0000B2520000}"/>
    <cellStyle name="Normal 13 29 4 2 5 2" xfId="35676" xr:uid="{00000000-0005-0000-0000-0000B3520000}"/>
    <cellStyle name="Normal 13 29 4 2 6" xfId="33635" xr:uid="{00000000-0005-0000-0000-0000B4520000}"/>
    <cellStyle name="Normal 13 29 4 3" xfId="4884" xr:uid="{00000000-0005-0000-0000-0000B5520000}"/>
    <cellStyle name="Normal 13 29 4 3 10" xfId="47314" xr:uid="{00000000-0005-0000-0000-0000B6520000}"/>
    <cellStyle name="Normal 13 29 4 3 2" xfId="6603" xr:uid="{00000000-0005-0000-0000-0000B7520000}"/>
    <cellStyle name="Normal 13 29 4 3 2 2" xfId="10009" xr:uid="{00000000-0005-0000-0000-0000B8520000}"/>
    <cellStyle name="Normal 13 29 4 3 2 2 2" xfId="21570" xr:uid="{00000000-0005-0000-0000-0000B9520000}"/>
    <cellStyle name="Normal 13 29 4 3 2 2 2 2" xfId="37650" xr:uid="{00000000-0005-0000-0000-0000BA520000}"/>
    <cellStyle name="Normal 13 29 4 3 2 2 3" xfId="27790" xr:uid="{00000000-0005-0000-0000-0000BB520000}"/>
    <cellStyle name="Normal 13 29 4 3 2 3" xfId="20515" xr:uid="{00000000-0005-0000-0000-0000BC520000}"/>
    <cellStyle name="Normal 13 29 4 3 2 3 2" xfId="36614" xr:uid="{00000000-0005-0000-0000-0000BD520000}"/>
    <cellStyle name="Normal 13 29 4 3 2 4" xfId="31191" xr:uid="{00000000-0005-0000-0000-0000BE520000}"/>
    <cellStyle name="Normal 13 29 4 3 2 5" xfId="42933" xr:uid="{00000000-0005-0000-0000-0000BF520000}"/>
    <cellStyle name="Normal 13 29 4 3 2 6" xfId="43307" xr:uid="{00000000-0005-0000-0000-0000C0520000}"/>
    <cellStyle name="Normal 13 29 4 3 2 7" xfId="46155" xr:uid="{00000000-0005-0000-0000-0000C1520000}"/>
    <cellStyle name="Normal 13 29 4 3 2 8" xfId="46927" xr:uid="{00000000-0005-0000-0000-0000C2520000}"/>
    <cellStyle name="Normal 13 29 4 3 2 9" xfId="47510" xr:uid="{00000000-0005-0000-0000-0000C3520000}"/>
    <cellStyle name="Normal 13 29 4 3 3" xfId="8306" xr:uid="{00000000-0005-0000-0000-0000C4520000}"/>
    <cellStyle name="Normal 13 29 4 3 3 2" xfId="21056" xr:uid="{00000000-0005-0000-0000-0000C5520000}"/>
    <cellStyle name="Normal 13 29 4 3 3 2 2" xfId="37145" xr:uid="{00000000-0005-0000-0000-0000C6520000}"/>
    <cellStyle name="Normal 13 29 4 3 3 3" xfId="29491" xr:uid="{00000000-0005-0000-0000-0000C7520000}"/>
    <cellStyle name="Normal 13 29 4 3 3 4" xfId="44051" xr:uid="{00000000-0005-0000-0000-0000C8520000}"/>
    <cellStyle name="Normal 13 29 4 3 4" xfId="16378" xr:uid="{00000000-0005-0000-0000-0000C9520000}"/>
    <cellStyle name="Normal 13 29 4 3 4 2" xfId="35402" xr:uid="{00000000-0005-0000-0000-0000CA520000}"/>
    <cellStyle name="Normal 13 29 4 3 5" xfId="25062" xr:uid="{00000000-0005-0000-0000-0000CB520000}"/>
    <cellStyle name="Normal 13 29 4 3 6" xfId="25412" xr:uid="{00000000-0005-0000-0000-0000CC520000}"/>
    <cellStyle name="Normal 13 29 4 3 7" xfId="32883" xr:uid="{00000000-0005-0000-0000-0000CD520000}"/>
    <cellStyle name="Normal 13 29 4 3 8" xfId="43767" xr:uid="{00000000-0005-0000-0000-0000CE520000}"/>
    <cellStyle name="Normal 13 29 4 3 9" xfId="46693" xr:uid="{00000000-0005-0000-0000-0000CF520000}"/>
    <cellStyle name="Normal 13 29 4 4" xfId="5438" xr:uid="{00000000-0005-0000-0000-0000D0520000}"/>
    <cellStyle name="Normal 13 29 4 4 2" xfId="8853" xr:uid="{00000000-0005-0000-0000-0000D1520000}"/>
    <cellStyle name="Normal 13 29 4 4 2 2" xfId="23419" xr:uid="{00000000-0005-0000-0000-0000D2520000}"/>
    <cellStyle name="Normal 13 29 4 4 2 2 2" xfId="39475" xr:uid="{00000000-0005-0000-0000-0000D3520000}"/>
    <cellStyle name="Normal 13 29 4 4 2 3" xfId="28945" xr:uid="{00000000-0005-0000-0000-0000D4520000}"/>
    <cellStyle name="Normal 13 29 4 4 3" xfId="10704" xr:uid="{00000000-0005-0000-0000-0000D5520000}"/>
    <cellStyle name="Normal 13 29 4 4 3 2" xfId="34552" xr:uid="{00000000-0005-0000-0000-0000D6520000}"/>
    <cellStyle name="Normal 13 29 4 4 4" xfId="32336" xr:uid="{00000000-0005-0000-0000-0000D7520000}"/>
    <cellStyle name="Normal 13 29 4 5" xfId="7156" xr:uid="{00000000-0005-0000-0000-0000D8520000}"/>
    <cellStyle name="Normal 13 29 4 5 2" xfId="24158" xr:uid="{00000000-0005-0000-0000-0000D9520000}"/>
    <cellStyle name="Normal 13 29 4 5 2 2" xfId="40211" xr:uid="{00000000-0005-0000-0000-0000DA520000}"/>
    <cellStyle name="Normal 13 29 4 5 3" xfId="30642" xr:uid="{00000000-0005-0000-0000-0000DB520000}"/>
    <cellStyle name="Normal 13 29 4 6" xfId="11917" xr:uid="{00000000-0005-0000-0000-0000DC520000}"/>
    <cellStyle name="Normal 13 29 4 7" xfId="34029" xr:uid="{00000000-0005-0000-0000-0000DD520000}"/>
    <cellStyle name="Normal 13 29 4 8" xfId="43559" xr:uid="{00000000-0005-0000-0000-0000DE520000}"/>
    <cellStyle name="Normal 13 29 4 9" xfId="46465" xr:uid="{00000000-0005-0000-0000-0000DF520000}"/>
    <cellStyle name="Normal 13 29 4_Avviksanalyse løpende RNB15 (1)" xfId="16734" xr:uid="{00000000-0005-0000-0000-0000E0520000}"/>
    <cellStyle name="Normal 13 29 5" xfId="3765" xr:uid="{00000000-0005-0000-0000-0000E1520000}"/>
    <cellStyle name="Normal 13 29 5 2" xfId="5653" xr:uid="{00000000-0005-0000-0000-0000E2520000}"/>
    <cellStyle name="Normal 13 29 5 2 2" xfId="9068" xr:uid="{00000000-0005-0000-0000-0000E3520000}"/>
    <cellStyle name="Normal 13 29 5 2 2 2" xfId="22749" xr:uid="{00000000-0005-0000-0000-0000E4520000}"/>
    <cellStyle name="Normal 13 29 5 2 2 2 2" xfId="38818" xr:uid="{00000000-0005-0000-0000-0000E5520000}"/>
    <cellStyle name="Normal 13 29 5 2 2 3" xfId="28730" xr:uid="{00000000-0005-0000-0000-0000E6520000}"/>
    <cellStyle name="Normal 13 29 5 2 3" xfId="11988" xr:uid="{00000000-0005-0000-0000-0000E7520000}"/>
    <cellStyle name="Normal 13 29 5 2 3 2" xfId="35010" xr:uid="{00000000-0005-0000-0000-0000E8520000}"/>
    <cellStyle name="Normal 13 29 5 2 4" xfId="32121" xr:uid="{00000000-0005-0000-0000-0000E9520000}"/>
    <cellStyle name="Normal 13 29 5 3" xfId="7371" xr:uid="{00000000-0005-0000-0000-0000EA520000}"/>
    <cellStyle name="Normal 13 29 5 3 2" xfId="20758" xr:uid="{00000000-0005-0000-0000-0000EB520000}"/>
    <cellStyle name="Normal 13 29 5 3 2 2" xfId="36857" xr:uid="{00000000-0005-0000-0000-0000EC520000}"/>
    <cellStyle name="Normal 13 29 5 3 3" xfId="30427" xr:uid="{00000000-0005-0000-0000-0000ED520000}"/>
    <cellStyle name="Normal 13 29 5 4" xfId="19927" xr:uid="{00000000-0005-0000-0000-0000EE520000}"/>
    <cellStyle name="Normal 13 29 5 4 2" xfId="36031" xr:uid="{00000000-0005-0000-0000-0000EF520000}"/>
    <cellStyle name="Normal 13 29 5 5" xfId="33814" xr:uid="{00000000-0005-0000-0000-0000F0520000}"/>
    <cellStyle name="Normal 13 29 6" xfId="4220" xr:uid="{00000000-0005-0000-0000-0000F1520000}"/>
    <cellStyle name="Normal 13 29 6 2" xfId="6057" xr:uid="{00000000-0005-0000-0000-0000F2520000}"/>
    <cellStyle name="Normal 13 29 6 2 2" xfId="9472" xr:uid="{00000000-0005-0000-0000-0000F3520000}"/>
    <cellStyle name="Normal 13 29 6 2 2 2" xfId="21393" xr:uid="{00000000-0005-0000-0000-0000F4520000}"/>
    <cellStyle name="Normal 13 29 6 2 2 2 2" xfId="37473" xr:uid="{00000000-0005-0000-0000-0000F5520000}"/>
    <cellStyle name="Normal 13 29 6 2 2 3" xfId="28326" xr:uid="{00000000-0005-0000-0000-0000F6520000}"/>
    <cellStyle name="Normal 13 29 6 2 3" xfId="23970" xr:uid="{00000000-0005-0000-0000-0000F7520000}"/>
    <cellStyle name="Normal 13 29 6 2 3 2" xfId="40024" xr:uid="{00000000-0005-0000-0000-0000F8520000}"/>
    <cellStyle name="Normal 13 29 6 2 4" xfId="31721" xr:uid="{00000000-0005-0000-0000-0000F9520000}"/>
    <cellStyle name="Normal 13 29 6 3" xfId="7790" xr:uid="{00000000-0005-0000-0000-0000FA520000}"/>
    <cellStyle name="Normal 13 29 6 3 2" xfId="20902" xr:uid="{00000000-0005-0000-0000-0000FB520000}"/>
    <cellStyle name="Normal 13 29 6 3 2 2" xfId="37001" xr:uid="{00000000-0005-0000-0000-0000FC520000}"/>
    <cellStyle name="Normal 13 29 6 3 3" xfId="30009" xr:uid="{00000000-0005-0000-0000-0000FD520000}"/>
    <cellStyle name="Normal 13 29 6 4" xfId="19985" xr:uid="{00000000-0005-0000-0000-0000FE520000}"/>
    <cellStyle name="Normal 13 29 6 4 2" xfId="36089" xr:uid="{00000000-0005-0000-0000-0000FF520000}"/>
    <cellStyle name="Normal 13 29 6 5" xfId="33397" xr:uid="{00000000-0005-0000-0000-000000530000}"/>
    <cellStyle name="Normal 13 29 7" xfId="4700" xr:uid="{00000000-0005-0000-0000-000001530000}"/>
    <cellStyle name="Normal 13 29 7 2" xfId="6420" xr:uid="{00000000-0005-0000-0000-000002530000}"/>
    <cellStyle name="Normal 13 29 7 2 2" xfId="9830" xr:uid="{00000000-0005-0000-0000-000003530000}"/>
    <cellStyle name="Normal 13 29 7 2 2 2" xfId="24571" xr:uid="{00000000-0005-0000-0000-000004530000}"/>
    <cellStyle name="Normal 13 29 7 2 2 2 2" xfId="40615" xr:uid="{00000000-0005-0000-0000-000005530000}"/>
    <cellStyle name="Normal 13 29 7 2 2 3" xfId="27969" xr:uid="{00000000-0005-0000-0000-000006530000}"/>
    <cellStyle name="Normal 13 29 7 2 3" xfId="22353" xr:uid="{00000000-0005-0000-0000-000007530000}"/>
    <cellStyle name="Normal 13 29 7 2 3 2" xfId="38425" xr:uid="{00000000-0005-0000-0000-000008530000}"/>
    <cellStyle name="Normal 13 29 7 2 4" xfId="31370" xr:uid="{00000000-0005-0000-0000-000009530000}"/>
    <cellStyle name="Normal 13 29 7 3" xfId="8126" xr:uid="{00000000-0005-0000-0000-00000A530000}"/>
    <cellStyle name="Normal 13 29 7 3 2" xfId="22508" xr:uid="{00000000-0005-0000-0000-00000B530000}"/>
    <cellStyle name="Normal 13 29 7 3 2 2" xfId="38578" xr:uid="{00000000-0005-0000-0000-00000C530000}"/>
    <cellStyle name="Normal 13 29 7 3 3" xfId="29672" xr:uid="{00000000-0005-0000-0000-00000D530000}"/>
    <cellStyle name="Normal 13 29 7 4" xfId="19691" xr:uid="{00000000-0005-0000-0000-00000E530000}"/>
    <cellStyle name="Normal 13 29 7 4 2" xfId="35805" xr:uid="{00000000-0005-0000-0000-00000F530000}"/>
    <cellStyle name="Normal 13 29 7 5" xfId="33063" xr:uid="{00000000-0005-0000-0000-000010530000}"/>
    <cellStyle name="Normal 13 29 8" xfId="5064" xr:uid="{00000000-0005-0000-0000-000011530000}"/>
    <cellStyle name="Normal 13 29 8 2" xfId="6783" xr:uid="{00000000-0005-0000-0000-000012530000}"/>
    <cellStyle name="Normal 13 29 8 2 2" xfId="10189" xr:uid="{00000000-0005-0000-0000-000013530000}"/>
    <cellStyle name="Normal 13 29 8 2 2 2" xfId="21642" xr:uid="{00000000-0005-0000-0000-000014530000}"/>
    <cellStyle name="Normal 13 29 8 2 2 2 2" xfId="37722" xr:uid="{00000000-0005-0000-0000-000015530000}"/>
    <cellStyle name="Normal 13 29 8 2 2 3" xfId="27610" xr:uid="{00000000-0005-0000-0000-000016530000}"/>
    <cellStyle name="Normal 13 29 8 2 3" xfId="20565" xr:uid="{00000000-0005-0000-0000-000017530000}"/>
    <cellStyle name="Normal 13 29 8 2 3 2" xfId="36664" xr:uid="{00000000-0005-0000-0000-000018530000}"/>
    <cellStyle name="Normal 13 29 8 2 4" xfId="31011" xr:uid="{00000000-0005-0000-0000-000019530000}"/>
    <cellStyle name="Normal 13 29 8 3" xfId="8486" xr:uid="{00000000-0005-0000-0000-00001A530000}"/>
    <cellStyle name="Normal 13 29 8 3 2" xfId="21108" xr:uid="{00000000-0005-0000-0000-00001B530000}"/>
    <cellStyle name="Normal 13 29 8 3 2 2" xfId="37191" xr:uid="{00000000-0005-0000-0000-00001C530000}"/>
    <cellStyle name="Normal 13 29 8 3 3" xfId="29312" xr:uid="{00000000-0005-0000-0000-00001D530000}"/>
    <cellStyle name="Normal 13 29 8 4" xfId="10836" xr:uid="{00000000-0005-0000-0000-00001E530000}"/>
    <cellStyle name="Normal 13 29 8 4 2" xfId="34634" xr:uid="{00000000-0005-0000-0000-00001F530000}"/>
    <cellStyle name="Normal 13 29 8 5" xfId="32703" xr:uid="{00000000-0005-0000-0000-000020530000}"/>
    <cellStyle name="Normal 13 29 9" xfId="5210" xr:uid="{00000000-0005-0000-0000-000021530000}"/>
    <cellStyle name="Normal 13 29 9 2" xfId="8629" xr:uid="{00000000-0005-0000-0000-000022530000}"/>
    <cellStyle name="Normal 13 29 9 2 2" xfId="24390" xr:uid="{00000000-0005-0000-0000-000023530000}"/>
    <cellStyle name="Normal 13 29 9 2 2 2" xfId="40434" xr:uid="{00000000-0005-0000-0000-000024530000}"/>
    <cellStyle name="Normal 13 29 9 2 3" xfId="29169" xr:uid="{00000000-0005-0000-0000-000025530000}"/>
    <cellStyle name="Normal 13 29 9 3" xfId="19774" xr:uid="{00000000-0005-0000-0000-000026530000}"/>
    <cellStyle name="Normal 13 29 9 3 2" xfId="35888" xr:uid="{00000000-0005-0000-0000-000027530000}"/>
    <cellStyle name="Normal 13 29 9 4" xfId="32560" xr:uid="{00000000-0005-0000-0000-000028530000}"/>
    <cellStyle name="Normal 13 3" xfId="1398" xr:uid="{00000000-0005-0000-0000-000029530000}"/>
    <cellStyle name="Normal 13 3 2" xfId="1399" xr:uid="{00000000-0005-0000-0000-00002A530000}"/>
    <cellStyle name="Normal 13 30" xfId="1400" xr:uid="{00000000-0005-0000-0000-00002B530000}"/>
    <cellStyle name="Normal 13 30 10" xfId="11920" xr:uid="{00000000-0005-0000-0000-00002C530000}"/>
    <cellStyle name="Normal 13 30 11" xfId="34212" xr:uid="{00000000-0005-0000-0000-00002D530000}"/>
    <cellStyle name="Normal 13 30 2" xfId="3368" xr:uid="{00000000-0005-0000-0000-00002E530000}"/>
    <cellStyle name="Normal 13 30 2 10" xfId="34129" xr:uid="{00000000-0005-0000-0000-00002F530000}"/>
    <cellStyle name="Normal 13 30 2 2" xfId="3594" xr:uid="{00000000-0005-0000-0000-000030530000}"/>
    <cellStyle name="Normal 13 30 2 2 10" xfId="47193" xr:uid="{00000000-0005-0000-0000-000031530000}"/>
    <cellStyle name="Normal 13 30 2 2 2" xfId="4024" xr:uid="{00000000-0005-0000-0000-000032530000}"/>
    <cellStyle name="Normal 13 30 2 2 2 2" xfId="5912" xr:uid="{00000000-0005-0000-0000-000033530000}"/>
    <cellStyle name="Normal 13 30 2 2 2 2 2" xfId="9327" xr:uid="{00000000-0005-0000-0000-000034530000}"/>
    <cellStyle name="Normal 13 30 2 2 2 2 2 2" xfId="21350" xr:uid="{00000000-0005-0000-0000-000035530000}"/>
    <cellStyle name="Normal 13 30 2 2 2 2 2 2 2" xfId="37430" xr:uid="{00000000-0005-0000-0000-000036530000}"/>
    <cellStyle name="Normal 13 30 2 2 2 2 2 3" xfId="28471" xr:uid="{00000000-0005-0000-0000-000037530000}"/>
    <cellStyle name="Normal 13 30 2 2 2 2 3" xfId="22292" xr:uid="{00000000-0005-0000-0000-000038530000}"/>
    <cellStyle name="Normal 13 30 2 2 2 2 3 2" xfId="38364" xr:uid="{00000000-0005-0000-0000-000039530000}"/>
    <cellStyle name="Normal 13 30 2 2 2 2 4" xfId="31864" xr:uid="{00000000-0005-0000-0000-00003A530000}"/>
    <cellStyle name="Normal 13 30 2 2 2 3" xfId="7630" xr:uid="{00000000-0005-0000-0000-00003B530000}"/>
    <cellStyle name="Normal 13 30 2 2 2 3 2" xfId="24239" xr:uid="{00000000-0005-0000-0000-00003C530000}"/>
    <cellStyle name="Normal 13 30 2 2 2 3 2 2" xfId="40292" xr:uid="{00000000-0005-0000-0000-00003D530000}"/>
    <cellStyle name="Normal 13 30 2 2 2 3 3" xfId="30168" xr:uid="{00000000-0005-0000-0000-00003E530000}"/>
    <cellStyle name="Normal 13 30 2 2 2 4" xfId="18143" xr:uid="{00000000-0005-0000-0000-00003F530000}"/>
    <cellStyle name="Normal 13 30 2 2 2 5" xfId="11036" xr:uid="{00000000-0005-0000-0000-000040530000}"/>
    <cellStyle name="Normal 13 30 2 2 2 5 2" xfId="34744" xr:uid="{00000000-0005-0000-0000-000041530000}"/>
    <cellStyle name="Normal 13 30 2 2 2 6" xfId="33555" xr:uid="{00000000-0005-0000-0000-000042530000}"/>
    <cellStyle name="Normal 13 30 2 2 3" xfId="4964" xr:uid="{00000000-0005-0000-0000-000043530000}"/>
    <cellStyle name="Normal 13 30 2 2 3 10" xfId="47383" xr:uid="{00000000-0005-0000-0000-000044530000}"/>
    <cellStyle name="Normal 13 30 2 2 3 2" xfId="6683" xr:uid="{00000000-0005-0000-0000-000045530000}"/>
    <cellStyle name="Normal 13 30 2 2 3 2 2" xfId="10089" xr:uid="{00000000-0005-0000-0000-000046530000}"/>
    <cellStyle name="Normal 13 30 2 2 3 2 2 2" xfId="21602" xr:uid="{00000000-0005-0000-0000-000047530000}"/>
    <cellStyle name="Normal 13 30 2 2 3 2 2 2 2" xfId="37682" xr:uid="{00000000-0005-0000-0000-000048530000}"/>
    <cellStyle name="Normal 13 30 2 2 3 2 2 3" xfId="27710" xr:uid="{00000000-0005-0000-0000-000049530000}"/>
    <cellStyle name="Normal 13 30 2 2 3 2 3" xfId="20540" xr:uid="{00000000-0005-0000-0000-00004A530000}"/>
    <cellStyle name="Normal 13 30 2 2 3 2 3 2" xfId="36639" xr:uid="{00000000-0005-0000-0000-00004B530000}"/>
    <cellStyle name="Normal 13 30 2 2 3 2 4" xfId="31111" xr:uid="{00000000-0005-0000-0000-00004C530000}"/>
    <cellStyle name="Normal 13 30 2 2 3 2 5" xfId="43080" xr:uid="{00000000-0005-0000-0000-00004D530000}"/>
    <cellStyle name="Normal 13 30 2 2 3 2 6" xfId="43374" xr:uid="{00000000-0005-0000-0000-00004E530000}"/>
    <cellStyle name="Normal 13 30 2 2 3 2 7" xfId="46222" xr:uid="{00000000-0005-0000-0000-00004F530000}"/>
    <cellStyle name="Normal 13 30 2 2 3 2 8" xfId="46994" xr:uid="{00000000-0005-0000-0000-000050530000}"/>
    <cellStyle name="Normal 13 30 2 2 3 2 9" xfId="47579" xr:uid="{00000000-0005-0000-0000-000051530000}"/>
    <cellStyle name="Normal 13 30 2 2 3 3" xfId="8386" xr:uid="{00000000-0005-0000-0000-000052530000}"/>
    <cellStyle name="Normal 13 30 2 2 3 3 2" xfId="19491" xr:uid="{00000000-0005-0000-0000-000053530000}"/>
    <cellStyle name="Normal 13 30 2 2 3 3 2 2" xfId="35605" xr:uid="{00000000-0005-0000-0000-000054530000}"/>
    <cellStyle name="Normal 13 30 2 2 3 3 3" xfId="29412" xr:uid="{00000000-0005-0000-0000-000055530000}"/>
    <cellStyle name="Normal 13 30 2 2 3 3 4" xfId="44052" xr:uid="{00000000-0005-0000-0000-000056530000}"/>
    <cellStyle name="Normal 13 30 2 2 3 4" xfId="16525" xr:uid="{00000000-0005-0000-0000-000057530000}"/>
    <cellStyle name="Normal 13 30 2 2 3 4 2" xfId="35469" xr:uid="{00000000-0005-0000-0000-000058530000}"/>
    <cellStyle name="Normal 13 30 2 2 3 5" xfId="25131" xr:uid="{00000000-0005-0000-0000-000059530000}"/>
    <cellStyle name="Normal 13 30 2 2 3 6" xfId="25413" xr:uid="{00000000-0005-0000-0000-00005A530000}"/>
    <cellStyle name="Normal 13 30 2 2 3 7" xfId="32803" xr:uid="{00000000-0005-0000-0000-00005B530000}"/>
    <cellStyle name="Normal 13 30 2 2 3 8" xfId="43835" xr:uid="{00000000-0005-0000-0000-00005C530000}"/>
    <cellStyle name="Normal 13 30 2 2 3 9" xfId="46760" xr:uid="{00000000-0005-0000-0000-00005D530000}"/>
    <cellStyle name="Normal 13 30 2 2 4" xfId="5518" xr:uid="{00000000-0005-0000-0000-00005E530000}"/>
    <cellStyle name="Normal 13 30 2 2 4 2" xfId="8933" xr:uid="{00000000-0005-0000-0000-00005F530000}"/>
    <cellStyle name="Normal 13 30 2 2 4 2 2" xfId="21898" xr:uid="{00000000-0005-0000-0000-000060530000}"/>
    <cellStyle name="Normal 13 30 2 2 4 2 2 2" xfId="37973" xr:uid="{00000000-0005-0000-0000-000061530000}"/>
    <cellStyle name="Normal 13 30 2 2 4 2 3" xfId="28865" xr:uid="{00000000-0005-0000-0000-000062530000}"/>
    <cellStyle name="Normal 13 30 2 2 4 3" xfId="22865" xr:uid="{00000000-0005-0000-0000-000063530000}"/>
    <cellStyle name="Normal 13 30 2 2 4 3 2" xfId="38934" xr:uid="{00000000-0005-0000-0000-000064530000}"/>
    <cellStyle name="Normal 13 30 2 2 4 4" xfId="32256" xr:uid="{00000000-0005-0000-0000-000065530000}"/>
    <cellStyle name="Normal 13 30 2 2 5" xfId="7236" xr:uid="{00000000-0005-0000-0000-000066530000}"/>
    <cellStyle name="Normal 13 30 2 2 5 2" xfId="24168" xr:uid="{00000000-0005-0000-0000-000067530000}"/>
    <cellStyle name="Normal 13 30 2 2 5 2 2" xfId="40221" xr:uid="{00000000-0005-0000-0000-000068530000}"/>
    <cellStyle name="Normal 13 30 2 2 5 3" xfId="30562" xr:uid="{00000000-0005-0000-0000-000069530000}"/>
    <cellStyle name="Normal 13 30 2 2 6" xfId="11922" xr:uid="{00000000-0005-0000-0000-00006A530000}"/>
    <cellStyle name="Normal 13 30 2 2 7" xfId="33949" xr:uid="{00000000-0005-0000-0000-00006B530000}"/>
    <cellStyle name="Normal 13 30 2 2 8" xfId="43626" xr:uid="{00000000-0005-0000-0000-00006C530000}"/>
    <cellStyle name="Normal 13 30 2 2 9" xfId="46532" xr:uid="{00000000-0005-0000-0000-00006D530000}"/>
    <cellStyle name="Normal 13 30 2 2_Avviksanalyse løpende RNB15 (1)" xfId="16735" xr:uid="{00000000-0005-0000-0000-00006E530000}"/>
    <cellStyle name="Normal 13 30 2 3" xfId="3844" xr:uid="{00000000-0005-0000-0000-00006F530000}"/>
    <cellStyle name="Normal 13 30 2 3 2" xfId="5732" xr:uid="{00000000-0005-0000-0000-000070530000}"/>
    <cellStyle name="Normal 13 30 2 3 2 2" xfId="9147" xr:uid="{00000000-0005-0000-0000-000071530000}"/>
    <cellStyle name="Normal 13 30 2 3 2 2 2" xfId="21292" xr:uid="{00000000-0005-0000-0000-000072530000}"/>
    <cellStyle name="Normal 13 30 2 3 2 2 2 2" xfId="37372" xr:uid="{00000000-0005-0000-0000-000073530000}"/>
    <cellStyle name="Normal 13 30 2 3 2 2 3" xfId="28651" xr:uid="{00000000-0005-0000-0000-000074530000}"/>
    <cellStyle name="Normal 13 30 2 3 2 3" xfId="10684" xr:uid="{00000000-0005-0000-0000-000075530000}"/>
    <cellStyle name="Normal 13 30 2 3 2 3 2" xfId="34532" xr:uid="{00000000-0005-0000-0000-000076530000}"/>
    <cellStyle name="Normal 13 30 2 3 2 4" xfId="32042" xr:uid="{00000000-0005-0000-0000-000077530000}"/>
    <cellStyle name="Normal 13 30 2 3 3" xfId="7450" xr:uid="{00000000-0005-0000-0000-000078530000}"/>
    <cellStyle name="Normal 13 30 2 3 3 2" xfId="22196" xr:uid="{00000000-0005-0000-0000-000079530000}"/>
    <cellStyle name="Normal 13 30 2 3 3 2 2" xfId="38270" xr:uid="{00000000-0005-0000-0000-00007A530000}"/>
    <cellStyle name="Normal 13 30 2 3 3 3" xfId="30348" xr:uid="{00000000-0005-0000-0000-00007B530000}"/>
    <cellStyle name="Normal 13 30 2 3 4" xfId="22784" xr:uid="{00000000-0005-0000-0000-00007C530000}"/>
    <cellStyle name="Normal 13 30 2 3 4 2" xfId="38853" xr:uid="{00000000-0005-0000-0000-00007D530000}"/>
    <cellStyle name="Normal 13 30 2 3 5" xfId="33735" xr:uid="{00000000-0005-0000-0000-00007E530000}"/>
    <cellStyle name="Normal 13 30 2 4" xfId="4329" xr:uid="{00000000-0005-0000-0000-00007F530000}"/>
    <cellStyle name="Normal 13 30 2 4 2" xfId="6158" xr:uid="{00000000-0005-0000-0000-000080530000}"/>
    <cellStyle name="Normal 13 30 2 4 2 2" xfId="9572" xr:uid="{00000000-0005-0000-0000-000081530000}"/>
    <cellStyle name="Normal 13 30 2 4 2 2 2" xfId="21421" xr:uid="{00000000-0005-0000-0000-000082530000}"/>
    <cellStyle name="Normal 13 30 2 4 2 2 2 2" xfId="37501" xr:uid="{00000000-0005-0000-0000-000083530000}"/>
    <cellStyle name="Normal 13 30 2 4 2 2 3" xfId="28226" xr:uid="{00000000-0005-0000-0000-000084530000}"/>
    <cellStyle name="Normal 13 30 2 4 2 3" xfId="23989" xr:uid="{00000000-0005-0000-0000-000085530000}"/>
    <cellStyle name="Normal 13 30 2 4 2 3 2" xfId="40042" xr:uid="{00000000-0005-0000-0000-000086530000}"/>
    <cellStyle name="Normal 13 30 2 4 2 4" xfId="31623" xr:uid="{00000000-0005-0000-0000-000087530000}"/>
    <cellStyle name="Normal 13 30 2 4 3" xfId="7891" xr:uid="{00000000-0005-0000-0000-000088530000}"/>
    <cellStyle name="Normal 13 30 2 4 3 2" xfId="11911" xr:uid="{00000000-0005-0000-0000-000089530000}"/>
    <cellStyle name="Normal 13 30 2 4 3 2 2" xfId="34947" xr:uid="{00000000-0005-0000-0000-00008A530000}"/>
    <cellStyle name="Normal 13 30 2 4 3 3" xfId="29908" xr:uid="{00000000-0005-0000-0000-00008B530000}"/>
    <cellStyle name="Normal 13 30 2 4 4" xfId="23705" xr:uid="{00000000-0005-0000-0000-00008C530000}"/>
    <cellStyle name="Normal 13 30 2 4 4 2" xfId="39761" xr:uid="{00000000-0005-0000-0000-00008D530000}"/>
    <cellStyle name="Normal 13 30 2 4 5" xfId="33296" xr:uid="{00000000-0005-0000-0000-00008E530000}"/>
    <cellStyle name="Normal 13 30 2 5" xfId="4784" xr:uid="{00000000-0005-0000-0000-00008F530000}"/>
    <cellStyle name="Normal 13 30 2 5 2" xfId="6504" xr:uid="{00000000-0005-0000-0000-000090530000}"/>
    <cellStyle name="Normal 13 30 2 5 2 2" xfId="9910" xr:uid="{00000000-0005-0000-0000-000091530000}"/>
    <cellStyle name="Normal 13 30 2 5 2 2 2" xfId="21805" xr:uid="{00000000-0005-0000-0000-000092530000}"/>
    <cellStyle name="Normal 13 30 2 5 2 2 2 2" xfId="37881" xr:uid="{00000000-0005-0000-0000-000093530000}"/>
    <cellStyle name="Normal 13 30 2 5 2 2 3" xfId="27889" xr:uid="{00000000-0005-0000-0000-000094530000}"/>
    <cellStyle name="Normal 13 30 2 5 2 3" xfId="24054" xr:uid="{00000000-0005-0000-0000-000095530000}"/>
    <cellStyle name="Normal 13 30 2 5 2 3 2" xfId="40107" xr:uid="{00000000-0005-0000-0000-000096530000}"/>
    <cellStyle name="Normal 13 30 2 5 2 4" xfId="31290" xr:uid="{00000000-0005-0000-0000-000097530000}"/>
    <cellStyle name="Normal 13 30 2 5 3" xfId="8206" xr:uid="{00000000-0005-0000-0000-000098530000}"/>
    <cellStyle name="Normal 13 30 2 5 3 2" xfId="11882" xr:uid="{00000000-0005-0000-0000-000099530000}"/>
    <cellStyle name="Normal 13 30 2 5 3 2 2" xfId="34919" xr:uid="{00000000-0005-0000-0000-00009A530000}"/>
    <cellStyle name="Normal 13 30 2 5 3 3" xfId="29591" xr:uid="{00000000-0005-0000-0000-00009B530000}"/>
    <cellStyle name="Normal 13 30 2 5 4" xfId="22832" xr:uid="{00000000-0005-0000-0000-00009C530000}"/>
    <cellStyle name="Normal 13 30 2 5 4 2" xfId="38901" xr:uid="{00000000-0005-0000-0000-00009D530000}"/>
    <cellStyle name="Normal 13 30 2 5 5" xfId="32983" xr:uid="{00000000-0005-0000-0000-00009E530000}"/>
    <cellStyle name="Normal 13 30 2 6" xfId="5144" xr:uid="{00000000-0005-0000-0000-00009F530000}"/>
    <cellStyle name="Normal 13 30 2 6 2" xfId="6863" xr:uid="{00000000-0005-0000-0000-0000A0530000}"/>
    <cellStyle name="Normal 13 30 2 6 2 2" xfId="10269" xr:uid="{00000000-0005-0000-0000-0000A1530000}"/>
    <cellStyle name="Normal 13 30 2 6 2 2 2" xfId="24712" xr:uid="{00000000-0005-0000-0000-0000A2530000}"/>
    <cellStyle name="Normal 13 30 2 6 2 2 2 2" xfId="40755" xr:uid="{00000000-0005-0000-0000-0000A3530000}"/>
    <cellStyle name="Normal 13 30 2 6 2 2 3" xfId="27530" xr:uid="{00000000-0005-0000-0000-0000A4530000}"/>
    <cellStyle name="Normal 13 30 2 6 2 3" xfId="20584" xr:uid="{00000000-0005-0000-0000-0000A5530000}"/>
    <cellStyle name="Normal 13 30 2 6 2 3 2" xfId="36683" xr:uid="{00000000-0005-0000-0000-0000A6530000}"/>
    <cellStyle name="Normal 13 30 2 6 2 4" xfId="30931" xr:uid="{00000000-0005-0000-0000-0000A7530000}"/>
    <cellStyle name="Normal 13 30 2 6 3" xfId="8566" xr:uid="{00000000-0005-0000-0000-0000A8530000}"/>
    <cellStyle name="Normal 13 30 2 6 3 2" xfId="21778" xr:uid="{00000000-0005-0000-0000-0000A9530000}"/>
    <cellStyle name="Normal 13 30 2 6 3 2 2" xfId="37854" xr:uid="{00000000-0005-0000-0000-0000AA530000}"/>
    <cellStyle name="Normal 13 30 2 6 3 3" xfId="29232" xr:uid="{00000000-0005-0000-0000-0000AB530000}"/>
    <cellStyle name="Normal 13 30 2 6 4" xfId="12156" xr:uid="{00000000-0005-0000-0000-0000AC530000}"/>
    <cellStyle name="Normal 13 30 2 6 4 2" xfId="35098" xr:uid="{00000000-0005-0000-0000-0000AD530000}"/>
    <cellStyle name="Normal 13 30 2 6 5" xfId="32623" xr:uid="{00000000-0005-0000-0000-0000AE530000}"/>
    <cellStyle name="Normal 13 30 2 7" xfId="5323" xr:uid="{00000000-0005-0000-0000-0000AF530000}"/>
    <cellStyle name="Normal 13 30 2 7 2" xfId="8738" xr:uid="{00000000-0005-0000-0000-0000B0530000}"/>
    <cellStyle name="Normal 13 30 2 7 2 2" xfId="21174" xr:uid="{00000000-0005-0000-0000-0000B1530000}"/>
    <cellStyle name="Normal 13 30 2 7 2 2 2" xfId="37254" xr:uid="{00000000-0005-0000-0000-0000B2530000}"/>
    <cellStyle name="Normal 13 30 2 7 2 3" xfId="29060" xr:uid="{00000000-0005-0000-0000-0000B3530000}"/>
    <cellStyle name="Normal 13 30 2 7 3" xfId="19800" xr:uid="{00000000-0005-0000-0000-0000B4530000}"/>
    <cellStyle name="Normal 13 30 2 7 3 2" xfId="35913" xr:uid="{00000000-0005-0000-0000-0000B5530000}"/>
    <cellStyle name="Normal 13 30 2 7 4" xfId="32451" xr:uid="{00000000-0005-0000-0000-0000B6530000}"/>
    <cellStyle name="Normal 13 30 2 8" xfId="7056" xr:uid="{00000000-0005-0000-0000-0000B7530000}"/>
    <cellStyle name="Normal 13 30 2 8 2" xfId="20649" xr:uid="{00000000-0005-0000-0000-0000B8530000}"/>
    <cellStyle name="Normal 13 30 2 8 2 2" xfId="36748" xr:uid="{00000000-0005-0000-0000-0000B9530000}"/>
    <cellStyle name="Normal 13 30 2 8 3" xfId="30742" xr:uid="{00000000-0005-0000-0000-0000BA530000}"/>
    <cellStyle name="Normal 13 30 2 9" xfId="11921" xr:uid="{00000000-0005-0000-0000-0000BB530000}"/>
    <cellStyle name="Normal 13 30 3" xfId="3510" xr:uid="{00000000-0005-0000-0000-0000BC530000}"/>
    <cellStyle name="Normal 13 30 3 10" xfId="47125" xr:uid="{00000000-0005-0000-0000-0000BD530000}"/>
    <cellStyle name="Normal 13 30 3 2" xfId="3945" xr:uid="{00000000-0005-0000-0000-0000BE530000}"/>
    <cellStyle name="Normal 13 30 3 2 2" xfId="5833" xr:uid="{00000000-0005-0000-0000-0000BF530000}"/>
    <cellStyle name="Normal 13 30 3 2 2 2" xfId="9248" xr:uid="{00000000-0005-0000-0000-0000C0530000}"/>
    <cellStyle name="Normal 13 30 3 2 2 2 2" xfId="24486" xr:uid="{00000000-0005-0000-0000-0000C1530000}"/>
    <cellStyle name="Normal 13 30 3 2 2 2 2 2" xfId="40530" xr:uid="{00000000-0005-0000-0000-0000C2530000}"/>
    <cellStyle name="Normal 13 30 3 2 2 2 3" xfId="28550" xr:uid="{00000000-0005-0000-0000-0000C3530000}"/>
    <cellStyle name="Normal 13 30 3 2 2 3" xfId="22285" xr:uid="{00000000-0005-0000-0000-0000C4530000}"/>
    <cellStyle name="Normal 13 30 3 2 2 3 2" xfId="38357" xr:uid="{00000000-0005-0000-0000-0000C5530000}"/>
    <cellStyle name="Normal 13 30 3 2 2 4" xfId="31941" xr:uid="{00000000-0005-0000-0000-0000C6530000}"/>
    <cellStyle name="Normal 13 30 3 2 3" xfId="7551" xr:uid="{00000000-0005-0000-0000-0000C7530000}"/>
    <cellStyle name="Normal 13 30 3 2 3 2" xfId="23222" xr:uid="{00000000-0005-0000-0000-0000C8530000}"/>
    <cellStyle name="Normal 13 30 3 2 3 2 2" xfId="39291" xr:uid="{00000000-0005-0000-0000-0000C9530000}"/>
    <cellStyle name="Normal 13 30 3 2 3 3" xfId="30247" xr:uid="{00000000-0005-0000-0000-0000CA530000}"/>
    <cellStyle name="Normal 13 30 3 2 4" xfId="18144" xr:uid="{00000000-0005-0000-0000-0000CB530000}"/>
    <cellStyle name="Normal 13 30 3 2 5" xfId="12480" xr:uid="{00000000-0005-0000-0000-0000CC530000}"/>
    <cellStyle name="Normal 13 30 3 2 5 2" xfId="35250" xr:uid="{00000000-0005-0000-0000-0000CD530000}"/>
    <cellStyle name="Normal 13 30 3 2 6" xfId="33634" xr:uid="{00000000-0005-0000-0000-0000CE530000}"/>
    <cellStyle name="Normal 13 30 3 3" xfId="4885" xr:uid="{00000000-0005-0000-0000-0000CF530000}"/>
    <cellStyle name="Normal 13 30 3 3 10" xfId="47315" xr:uid="{00000000-0005-0000-0000-0000D0530000}"/>
    <cellStyle name="Normal 13 30 3 3 2" xfId="6604" xr:uid="{00000000-0005-0000-0000-0000D1530000}"/>
    <cellStyle name="Normal 13 30 3 3 2 2" xfId="10010" xr:uid="{00000000-0005-0000-0000-0000D2530000}"/>
    <cellStyle name="Normal 13 30 3 3 2 2 2" xfId="24606" xr:uid="{00000000-0005-0000-0000-0000D3530000}"/>
    <cellStyle name="Normal 13 30 3 3 2 2 2 2" xfId="40650" xr:uid="{00000000-0005-0000-0000-0000D4530000}"/>
    <cellStyle name="Normal 13 30 3 3 2 2 3" xfId="27789" xr:uid="{00000000-0005-0000-0000-0000D5530000}"/>
    <cellStyle name="Normal 13 30 3 3 2 3" xfId="24073" xr:uid="{00000000-0005-0000-0000-0000D6530000}"/>
    <cellStyle name="Normal 13 30 3 3 2 3 2" xfId="40126" xr:uid="{00000000-0005-0000-0000-0000D7530000}"/>
    <cellStyle name="Normal 13 30 3 3 2 4" xfId="31190" xr:uid="{00000000-0005-0000-0000-0000D8530000}"/>
    <cellStyle name="Normal 13 30 3 3 2 5" xfId="42934" xr:uid="{00000000-0005-0000-0000-0000D9530000}"/>
    <cellStyle name="Normal 13 30 3 3 2 6" xfId="43308" xr:uid="{00000000-0005-0000-0000-0000DA530000}"/>
    <cellStyle name="Normal 13 30 3 3 2 7" xfId="46156" xr:uid="{00000000-0005-0000-0000-0000DB530000}"/>
    <cellStyle name="Normal 13 30 3 3 2 8" xfId="46928" xr:uid="{00000000-0005-0000-0000-0000DC530000}"/>
    <cellStyle name="Normal 13 30 3 3 2 9" xfId="47511" xr:uid="{00000000-0005-0000-0000-0000DD530000}"/>
    <cellStyle name="Normal 13 30 3 3 3" xfId="8307" xr:uid="{00000000-0005-0000-0000-0000DE530000}"/>
    <cellStyle name="Normal 13 30 3 3 3 2" xfId="21057" xr:uid="{00000000-0005-0000-0000-0000DF530000}"/>
    <cellStyle name="Normal 13 30 3 3 3 2 2" xfId="37146" xr:uid="{00000000-0005-0000-0000-0000E0530000}"/>
    <cellStyle name="Normal 13 30 3 3 3 3" xfId="29490" xr:uid="{00000000-0005-0000-0000-0000E1530000}"/>
    <cellStyle name="Normal 13 30 3 3 3 4" xfId="44053" xr:uid="{00000000-0005-0000-0000-0000E2530000}"/>
    <cellStyle name="Normal 13 30 3 3 4" xfId="16379" xr:uid="{00000000-0005-0000-0000-0000E3530000}"/>
    <cellStyle name="Normal 13 30 3 3 4 2" xfId="35403" xr:uid="{00000000-0005-0000-0000-0000E4530000}"/>
    <cellStyle name="Normal 13 30 3 3 5" xfId="25063" xr:uid="{00000000-0005-0000-0000-0000E5530000}"/>
    <cellStyle name="Normal 13 30 3 3 6" xfId="25414" xr:uid="{00000000-0005-0000-0000-0000E6530000}"/>
    <cellStyle name="Normal 13 30 3 3 7" xfId="32882" xr:uid="{00000000-0005-0000-0000-0000E7530000}"/>
    <cellStyle name="Normal 13 30 3 3 8" xfId="43768" xr:uid="{00000000-0005-0000-0000-0000E8530000}"/>
    <cellStyle name="Normal 13 30 3 3 9" xfId="46694" xr:uid="{00000000-0005-0000-0000-0000E9530000}"/>
    <cellStyle name="Normal 13 30 3 4" xfId="5439" xr:uid="{00000000-0005-0000-0000-0000EA530000}"/>
    <cellStyle name="Normal 13 30 3 4 2" xfId="8854" xr:uid="{00000000-0005-0000-0000-0000EB530000}"/>
    <cellStyle name="Normal 13 30 3 4 2 2" xfId="21203" xr:uid="{00000000-0005-0000-0000-0000EC530000}"/>
    <cellStyle name="Normal 13 30 3 4 2 2 2" xfId="37283" xr:uid="{00000000-0005-0000-0000-0000ED530000}"/>
    <cellStyle name="Normal 13 30 3 4 2 3" xfId="28944" xr:uid="{00000000-0005-0000-0000-0000EE530000}"/>
    <cellStyle name="Normal 13 30 3 4 3" xfId="19830" xr:uid="{00000000-0005-0000-0000-0000EF530000}"/>
    <cellStyle name="Normal 13 30 3 4 3 2" xfId="35943" xr:uid="{00000000-0005-0000-0000-0000F0530000}"/>
    <cellStyle name="Normal 13 30 3 4 4" xfId="32335" xr:uid="{00000000-0005-0000-0000-0000F1530000}"/>
    <cellStyle name="Normal 13 30 3 5" xfId="7157" xr:uid="{00000000-0005-0000-0000-0000F2530000}"/>
    <cellStyle name="Normal 13 30 3 5 2" xfId="22426" xr:uid="{00000000-0005-0000-0000-0000F3530000}"/>
    <cellStyle name="Normal 13 30 3 5 2 2" xfId="38498" xr:uid="{00000000-0005-0000-0000-0000F4530000}"/>
    <cellStyle name="Normal 13 30 3 5 3" xfId="30641" xr:uid="{00000000-0005-0000-0000-0000F5530000}"/>
    <cellStyle name="Normal 13 30 3 6" xfId="11923" xr:uid="{00000000-0005-0000-0000-0000F6530000}"/>
    <cellStyle name="Normal 13 30 3 7" xfId="34028" xr:uid="{00000000-0005-0000-0000-0000F7530000}"/>
    <cellStyle name="Normal 13 30 3 8" xfId="43560" xr:uid="{00000000-0005-0000-0000-0000F8530000}"/>
    <cellStyle name="Normal 13 30 3 9" xfId="46466" xr:uid="{00000000-0005-0000-0000-0000F9530000}"/>
    <cellStyle name="Normal 13 30 3_Avviksanalyse løpende RNB15 (1)" xfId="16736" xr:uid="{00000000-0005-0000-0000-0000FA530000}"/>
    <cellStyle name="Normal 13 30 4" xfId="3766" xr:uid="{00000000-0005-0000-0000-0000FB530000}"/>
    <cellStyle name="Normal 13 30 4 2" xfId="5654" xr:uid="{00000000-0005-0000-0000-0000FC530000}"/>
    <cellStyle name="Normal 13 30 4 2 2" xfId="9069" xr:uid="{00000000-0005-0000-0000-0000FD530000}"/>
    <cellStyle name="Normal 13 30 4 2 2 2" xfId="22709" xr:uid="{00000000-0005-0000-0000-0000FE530000}"/>
    <cellStyle name="Normal 13 30 4 2 2 2 2" xfId="38778" xr:uid="{00000000-0005-0000-0000-0000FF530000}"/>
    <cellStyle name="Normal 13 30 4 2 2 3" xfId="28729" xr:uid="{00000000-0005-0000-0000-000000540000}"/>
    <cellStyle name="Normal 13 30 4 2 3" xfId="22082" xr:uid="{00000000-0005-0000-0000-000001540000}"/>
    <cellStyle name="Normal 13 30 4 2 3 2" xfId="38156" xr:uid="{00000000-0005-0000-0000-000002540000}"/>
    <cellStyle name="Normal 13 30 4 2 4" xfId="32120" xr:uid="{00000000-0005-0000-0000-000003540000}"/>
    <cellStyle name="Normal 13 30 4 3" xfId="7372" xr:uid="{00000000-0005-0000-0000-000004540000}"/>
    <cellStyle name="Normal 13 30 4 3 2" xfId="20759" xr:uid="{00000000-0005-0000-0000-000005540000}"/>
    <cellStyle name="Normal 13 30 4 3 2 2" xfId="36858" xr:uid="{00000000-0005-0000-0000-000006540000}"/>
    <cellStyle name="Normal 13 30 4 3 3" xfId="30426" xr:uid="{00000000-0005-0000-0000-000007540000}"/>
    <cellStyle name="Normal 13 30 4 4" xfId="19928" xr:uid="{00000000-0005-0000-0000-000008540000}"/>
    <cellStyle name="Normal 13 30 4 4 2" xfId="36032" xr:uid="{00000000-0005-0000-0000-000009540000}"/>
    <cellStyle name="Normal 13 30 4 5" xfId="33813" xr:uid="{00000000-0005-0000-0000-00000A540000}"/>
    <cellStyle name="Normal 13 30 5" xfId="4260" xr:uid="{00000000-0005-0000-0000-00000B540000}"/>
    <cellStyle name="Normal 13 30 5 2" xfId="6092" xr:uid="{00000000-0005-0000-0000-00000C540000}"/>
    <cellStyle name="Normal 13 30 5 2 2" xfId="9507" xr:uid="{00000000-0005-0000-0000-00000D540000}"/>
    <cellStyle name="Normal 13 30 5 2 2 2" xfId="21407" xr:uid="{00000000-0005-0000-0000-00000E540000}"/>
    <cellStyle name="Normal 13 30 5 2 2 2 2" xfId="37487" xr:uid="{00000000-0005-0000-0000-00000F540000}"/>
    <cellStyle name="Normal 13 30 5 2 2 3" xfId="28291" xr:uid="{00000000-0005-0000-0000-000010540000}"/>
    <cellStyle name="Normal 13 30 5 2 3" xfId="22973" xr:uid="{00000000-0005-0000-0000-000011540000}"/>
    <cellStyle name="Normal 13 30 5 2 3 2" xfId="39042" xr:uid="{00000000-0005-0000-0000-000012540000}"/>
    <cellStyle name="Normal 13 30 5 2 4" xfId="31686" xr:uid="{00000000-0005-0000-0000-000013540000}"/>
    <cellStyle name="Normal 13 30 5 3" xfId="7826" xr:uid="{00000000-0005-0000-0000-000014540000}"/>
    <cellStyle name="Normal 13 30 5 3 2" xfId="20916" xr:uid="{00000000-0005-0000-0000-000015540000}"/>
    <cellStyle name="Normal 13 30 5 3 2 2" xfId="37015" xr:uid="{00000000-0005-0000-0000-000016540000}"/>
    <cellStyle name="Normal 13 30 5 3 3" xfId="29973" xr:uid="{00000000-0005-0000-0000-000017540000}"/>
    <cellStyle name="Normal 13 30 5 4" xfId="21839" xr:uid="{00000000-0005-0000-0000-000018540000}"/>
    <cellStyle name="Normal 13 30 5 4 2" xfId="37915" xr:uid="{00000000-0005-0000-0000-000019540000}"/>
    <cellStyle name="Normal 13 30 5 5" xfId="33361" xr:uid="{00000000-0005-0000-0000-00001A540000}"/>
    <cellStyle name="Normal 13 30 6" xfId="4701" xr:uid="{00000000-0005-0000-0000-00001B540000}"/>
    <cellStyle name="Normal 13 30 6 2" xfId="6421" xr:uid="{00000000-0005-0000-0000-00001C540000}"/>
    <cellStyle name="Normal 13 30 6 2 2" xfId="9831" xr:uid="{00000000-0005-0000-0000-00001D540000}"/>
    <cellStyle name="Normal 13 30 6 2 2 2" xfId="21986" xr:uid="{00000000-0005-0000-0000-00001E540000}"/>
    <cellStyle name="Normal 13 30 6 2 2 2 2" xfId="38061" xr:uid="{00000000-0005-0000-0000-00001F540000}"/>
    <cellStyle name="Normal 13 30 6 2 2 3" xfId="27968" xr:uid="{00000000-0005-0000-0000-000020540000}"/>
    <cellStyle name="Normal 13 30 6 2 3" xfId="23036" xr:uid="{00000000-0005-0000-0000-000021540000}"/>
    <cellStyle name="Normal 13 30 6 2 3 2" xfId="39105" xr:uid="{00000000-0005-0000-0000-000022540000}"/>
    <cellStyle name="Normal 13 30 6 2 4" xfId="31369" xr:uid="{00000000-0005-0000-0000-000023540000}"/>
    <cellStyle name="Normal 13 30 6 3" xfId="8127" xr:uid="{00000000-0005-0000-0000-000024540000}"/>
    <cellStyle name="Normal 13 30 6 3 2" xfId="23317" xr:uid="{00000000-0005-0000-0000-000025540000}"/>
    <cellStyle name="Normal 13 30 6 3 2 2" xfId="39383" xr:uid="{00000000-0005-0000-0000-000026540000}"/>
    <cellStyle name="Normal 13 30 6 3 3" xfId="29671" xr:uid="{00000000-0005-0000-0000-000027540000}"/>
    <cellStyle name="Normal 13 30 6 4" xfId="12279" xr:uid="{00000000-0005-0000-0000-000028540000}"/>
    <cellStyle name="Normal 13 30 6 4 2" xfId="35155" xr:uid="{00000000-0005-0000-0000-000029540000}"/>
    <cellStyle name="Normal 13 30 6 5" xfId="33062" xr:uid="{00000000-0005-0000-0000-00002A540000}"/>
    <cellStyle name="Normal 13 30 7" xfId="5065" xr:uid="{00000000-0005-0000-0000-00002B540000}"/>
    <cellStyle name="Normal 13 30 7 2" xfId="6784" xr:uid="{00000000-0005-0000-0000-00002C540000}"/>
    <cellStyle name="Normal 13 30 7 2 2" xfId="10190" xr:uid="{00000000-0005-0000-0000-00002D540000}"/>
    <cellStyle name="Normal 13 30 7 2 2 2" xfId="24642" xr:uid="{00000000-0005-0000-0000-00002E540000}"/>
    <cellStyle name="Normal 13 30 7 2 2 2 2" xfId="40686" xr:uid="{00000000-0005-0000-0000-00002F540000}"/>
    <cellStyle name="Normal 13 30 7 2 2 3" xfId="27609" xr:uid="{00000000-0005-0000-0000-000030540000}"/>
    <cellStyle name="Normal 13 30 7 2 3" xfId="20566" xr:uid="{00000000-0005-0000-0000-000031540000}"/>
    <cellStyle name="Normal 13 30 7 2 3 2" xfId="36665" xr:uid="{00000000-0005-0000-0000-000032540000}"/>
    <cellStyle name="Normal 13 30 7 2 4" xfId="31010" xr:uid="{00000000-0005-0000-0000-000033540000}"/>
    <cellStyle name="Normal 13 30 7 3" xfId="8487" xr:uid="{00000000-0005-0000-0000-000034540000}"/>
    <cellStyle name="Normal 13 30 7 3 2" xfId="24372" xr:uid="{00000000-0005-0000-0000-000035540000}"/>
    <cellStyle name="Normal 13 30 7 3 2 2" xfId="40418" xr:uid="{00000000-0005-0000-0000-000036540000}"/>
    <cellStyle name="Normal 13 30 7 3 3" xfId="29311" xr:uid="{00000000-0005-0000-0000-000037540000}"/>
    <cellStyle name="Normal 13 30 7 4" xfId="19752" xr:uid="{00000000-0005-0000-0000-000038540000}"/>
    <cellStyle name="Normal 13 30 7 4 2" xfId="35866" xr:uid="{00000000-0005-0000-0000-000039540000}"/>
    <cellStyle name="Normal 13 30 7 5" xfId="32702" xr:uid="{00000000-0005-0000-0000-00003A540000}"/>
    <cellStyle name="Normal 13 30 8" xfId="5260" xr:uid="{00000000-0005-0000-0000-00003B540000}"/>
    <cellStyle name="Normal 13 30 8 2" xfId="8675" xr:uid="{00000000-0005-0000-0000-00003C540000}"/>
    <cellStyle name="Normal 13 30 8 2 2" xfId="10498" xr:uid="{00000000-0005-0000-0000-00003D540000}"/>
    <cellStyle name="Normal 13 30 8 2 2 2" xfId="34394" xr:uid="{00000000-0005-0000-0000-00003E540000}"/>
    <cellStyle name="Normal 13 30 8 2 3" xfId="29123" xr:uid="{00000000-0005-0000-0000-00003F540000}"/>
    <cellStyle name="Normal 13 30 8 3" xfId="19788" xr:uid="{00000000-0005-0000-0000-000040540000}"/>
    <cellStyle name="Normal 13 30 8 3 2" xfId="35902" xr:uid="{00000000-0005-0000-0000-000041540000}"/>
    <cellStyle name="Normal 13 30 8 4" xfId="32514" xr:uid="{00000000-0005-0000-0000-000042540000}"/>
    <cellStyle name="Normal 13 30 9" xfId="6974" xr:uid="{00000000-0005-0000-0000-000043540000}"/>
    <cellStyle name="Normal 13 30 9 2" xfId="23123" xr:uid="{00000000-0005-0000-0000-000044540000}"/>
    <cellStyle name="Normal 13 30 9 2 2" xfId="39192" xr:uid="{00000000-0005-0000-0000-000045540000}"/>
    <cellStyle name="Normal 13 30 9 3" xfId="30824" xr:uid="{00000000-0005-0000-0000-000046540000}"/>
    <cellStyle name="Normal 13 31" xfId="1401" xr:uid="{00000000-0005-0000-0000-000047540000}"/>
    <cellStyle name="Normal 13 31 10" xfId="11924" xr:uid="{00000000-0005-0000-0000-000048540000}"/>
    <cellStyle name="Normal 13 31 11" xfId="34211" xr:uid="{00000000-0005-0000-0000-000049540000}"/>
    <cellStyle name="Normal 13 31 2" xfId="3369" xr:uid="{00000000-0005-0000-0000-00004A540000}"/>
    <cellStyle name="Normal 13 31 2 10" xfId="34128" xr:uid="{00000000-0005-0000-0000-00004B540000}"/>
    <cellStyle name="Normal 13 31 2 2" xfId="3595" xr:uid="{00000000-0005-0000-0000-00004C540000}"/>
    <cellStyle name="Normal 13 31 2 2 10" xfId="47194" xr:uid="{00000000-0005-0000-0000-00004D540000}"/>
    <cellStyle name="Normal 13 31 2 2 2" xfId="4025" xr:uid="{00000000-0005-0000-0000-00004E540000}"/>
    <cellStyle name="Normal 13 31 2 2 2 2" xfId="5913" xr:uid="{00000000-0005-0000-0000-00004F540000}"/>
    <cellStyle name="Normal 13 31 2 2 2 2 2" xfId="9328" xr:uid="{00000000-0005-0000-0000-000050540000}"/>
    <cellStyle name="Normal 13 31 2 2 2 2 2 2" xfId="24496" xr:uid="{00000000-0005-0000-0000-000051540000}"/>
    <cellStyle name="Normal 13 31 2 2 2 2 2 2 2" xfId="40540" xr:uid="{00000000-0005-0000-0000-000052540000}"/>
    <cellStyle name="Normal 13 31 2 2 2 2 2 3" xfId="28470" xr:uid="{00000000-0005-0000-0000-000053540000}"/>
    <cellStyle name="Normal 13 31 2 2 2 2 3" xfId="22937" xr:uid="{00000000-0005-0000-0000-000054540000}"/>
    <cellStyle name="Normal 13 31 2 2 2 2 3 2" xfId="39006" xr:uid="{00000000-0005-0000-0000-000055540000}"/>
    <cellStyle name="Normal 13 31 2 2 2 2 4" xfId="31863" xr:uid="{00000000-0005-0000-0000-000056540000}"/>
    <cellStyle name="Normal 13 31 2 2 2 3" xfId="7631" xr:uid="{00000000-0005-0000-0000-000057540000}"/>
    <cellStyle name="Normal 13 31 2 2 2 3 2" xfId="22474" xr:uid="{00000000-0005-0000-0000-000058540000}"/>
    <cellStyle name="Normal 13 31 2 2 2 3 2 2" xfId="38546" xr:uid="{00000000-0005-0000-0000-000059540000}"/>
    <cellStyle name="Normal 13 31 2 2 2 3 3" xfId="30167" xr:uid="{00000000-0005-0000-0000-00005A540000}"/>
    <cellStyle name="Normal 13 31 2 2 2 4" xfId="18145" xr:uid="{00000000-0005-0000-0000-00005B540000}"/>
    <cellStyle name="Normal 13 31 2 2 2 5" xfId="22759" xr:uid="{00000000-0005-0000-0000-00005C540000}"/>
    <cellStyle name="Normal 13 31 2 2 2 5 2" xfId="38828" xr:uid="{00000000-0005-0000-0000-00005D540000}"/>
    <cellStyle name="Normal 13 31 2 2 2 6" xfId="33554" xr:uid="{00000000-0005-0000-0000-00005E540000}"/>
    <cellStyle name="Normal 13 31 2 2 3" xfId="4965" xr:uid="{00000000-0005-0000-0000-00005F540000}"/>
    <cellStyle name="Normal 13 31 2 2 3 10" xfId="47384" xr:uid="{00000000-0005-0000-0000-000060540000}"/>
    <cellStyle name="Normal 13 31 2 2 3 2" xfId="6684" xr:uid="{00000000-0005-0000-0000-000061540000}"/>
    <cellStyle name="Normal 13 31 2 2 3 2 2" xfId="10090" xr:uid="{00000000-0005-0000-0000-000062540000}"/>
    <cellStyle name="Normal 13 31 2 2 3 2 2 2" xfId="24622" xr:uid="{00000000-0005-0000-0000-000063540000}"/>
    <cellStyle name="Normal 13 31 2 2 3 2 2 2 2" xfId="40666" xr:uid="{00000000-0005-0000-0000-000064540000}"/>
    <cellStyle name="Normal 13 31 2 2 3 2 2 3" xfId="27709" xr:uid="{00000000-0005-0000-0000-000065540000}"/>
    <cellStyle name="Normal 13 31 2 2 3 2 3" xfId="20541" xr:uid="{00000000-0005-0000-0000-000066540000}"/>
    <cellStyle name="Normal 13 31 2 2 3 2 3 2" xfId="36640" xr:uid="{00000000-0005-0000-0000-000067540000}"/>
    <cellStyle name="Normal 13 31 2 2 3 2 4" xfId="31110" xr:uid="{00000000-0005-0000-0000-000068540000}"/>
    <cellStyle name="Normal 13 31 2 2 3 2 5" xfId="43081" xr:uid="{00000000-0005-0000-0000-000069540000}"/>
    <cellStyle name="Normal 13 31 2 2 3 2 6" xfId="43375" xr:uid="{00000000-0005-0000-0000-00006A540000}"/>
    <cellStyle name="Normal 13 31 2 2 3 2 7" xfId="46223" xr:uid="{00000000-0005-0000-0000-00006B540000}"/>
    <cellStyle name="Normal 13 31 2 2 3 2 8" xfId="46995" xr:uid="{00000000-0005-0000-0000-00006C540000}"/>
    <cellStyle name="Normal 13 31 2 2 3 2 9" xfId="47580" xr:uid="{00000000-0005-0000-0000-00006D540000}"/>
    <cellStyle name="Normal 13 31 2 2 3 3" xfId="8387" xr:uid="{00000000-0005-0000-0000-00006E540000}"/>
    <cellStyle name="Normal 13 31 2 2 3 3 2" xfId="22532" xr:uid="{00000000-0005-0000-0000-00006F540000}"/>
    <cellStyle name="Normal 13 31 2 2 3 3 2 2" xfId="38602" xr:uid="{00000000-0005-0000-0000-000070540000}"/>
    <cellStyle name="Normal 13 31 2 2 3 3 3" xfId="29411" xr:uid="{00000000-0005-0000-0000-000071540000}"/>
    <cellStyle name="Normal 13 31 2 2 3 3 4" xfId="44054" xr:uid="{00000000-0005-0000-0000-000072540000}"/>
    <cellStyle name="Normal 13 31 2 2 3 4" xfId="16526" xr:uid="{00000000-0005-0000-0000-000073540000}"/>
    <cellStyle name="Normal 13 31 2 2 3 4 2" xfId="35470" xr:uid="{00000000-0005-0000-0000-000074540000}"/>
    <cellStyle name="Normal 13 31 2 2 3 5" xfId="25132" xr:uid="{00000000-0005-0000-0000-000075540000}"/>
    <cellStyle name="Normal 13 31 2 2 3 6" xfId="25415" xr:uid="{00000000-0005-0000-0000-000076540000}"/>
    <cellStyle name="Normal 13 31 2 2 3 7" xfId="32802" xr:uid="{00000000-0005-0000-0000-000077540000}"/>
    <cellStyle name="Normal 13 31 2 2 3 8" xfId="43836" xr:uid="{00000000-0005-0000-0000-000078540000}"/>
    <cellStyle name="Normal 13 31 2 2 3 9" xfId="46761" xr:uid="{00000000-0005-0000-0000-000079540000}"/>
    <cellStyle name="Normal 13 31 2 2 4" xfId="5519" xr:uid="{00000000-0005-0000-0000-00007A540000}"/>
    <cellStyle name="Normal 13 31 2 2 4 2" xfId="8934" xr:uid="{00000000-0005-0000-0000-00007B540000}"/>
    <cellStyle name="Normal 13 31 2 2 4 2 2" xfId="23427" xr:uid="{00000000-0005-0000-0000-00007C540000}"/>
    <cellStyle name="Normal 13 31 2 2 4 2 2 2" xfId="39483" xr:uid="{00000000-0005-0000-0000-00007D540000}"/>
    <cellStyle name="Normal 13 31 2 2 4 2 3" xfId="28864" xr:uid="{00000000-0005-0000-0000-00007E540000}"/>
    <cellStyle name="Normal 13 31 2 2 4 3" xfId="20104" xr:uid="{00000000-0005-0000-0000-00007F540000}"/>
    <cellStyle name="Normal 13 31 2 2 4 3 2" xfId="36208" xr:uid="{00000000-0005-0000-0000-000080540000}"/>
    <cellStyle name="Normal 13 31 2 2 4 4" xfId="32255" xr:uid="{00000000-0005-0000-0000-000081540000}"/>
    <cellStyle name="Normal 13 31 2 2 5" xfId="7237" xr:uid="{00000000-0005-0000-0000-000082540000}"/>
    <cellStyle name="Normal 13 31 2 2 5 2" xfId="22430" xr:uid="{00000000-0005-0000-0000-000083540000}"/>
    <cellStyle name="Normal 13 31 2 2 5 2 2" xfId="38502" xr:uid="{00000000-0005-0000-0000-000084540000}"/>
    <cellStyle name="Normal 13 31 2 2 5 3" xfId="30561" xr:uid="{00000000-0005-0000-0000-000085540000}"/>
    <cellStyle name="Normal 13 31 2 2 6" xfId="11926" xr:uid="{00000000-0005-0000-0000-000086540000}"/>
    <cellStyle name="Normal 13 31 2 2 7" xfId="33948" xr:uid="{00000000-0005-0000-0000-000087540000}"/>
    <cellStyle name="Normal 13 31 2 2 8" xfId="43627" xr:uid="{00000000-0005-0000-0000-000088540000}"/>
    <cellStyle name="Normal 13 31 2 2 9" xfId="46533" xr:uid="{00000000-0005-0000-0000-000089540000}"/>
    <cellStyle name="Normal 13 31 2 2_Avviksanalyse løpende RNB15 (1)" xfId="16737" xr:uid="{00000000-0005-0000-0000-00008A540000}"/>
    <cellStyle name="Normal 13 31 2 3" xfId="3845" xr:uid="{00000000-0005-0000-0000-00008B540000}"/>
    <cellStyle name="Normal 13 31 2 3 2" xfId="5733" xr:uid="{00000000-0005-0000-0000-00008C540000}"/>
    <cellStyle name="Normal 13 31 2 3 2 2" xfId="9148" xr:uid="{00000000-0005-0000-0000-00008D540000}"/>
    <cellStyle name="Normal 13 31 2 3 2 2 2" xfId="24467" xr:uid="{00000000-0005-0000-0000-00008E540000}"/>
    <cellStyle name="Normal 13 31 2 3 2 2 2 2" xfId="40511" xr:uid="{00000000-0005-0000-0000-00008F540000}"/>
    <cellStyle name="Normal 13 31 2 3 2 2 3" xfId="28650" xr:uid="{00000000-0005-0000-0000-000090540000}"/>
    <cellStyle name="Normal 13 31 2 3 2 3" xfId="19426" xr:uid="{00000000-0005-0000-0000-000091540000}"/>
    <cellStyle name="Normal 13 31 2 3 2 3 2" xfId="35540" xr:uid="{00000000-0005-0000-0000-000092540000}"/>
    <cellStyle name="Normal 13 31 2 3 2 4" xfId="32041" xr:uid="{00000000-0005-0000-0000-000093540000}"/>
    <cellStyle name="Normal 13 31 2 3 3" xfId="7451" xr:uid="{00000000-0005-0000-0000-000094540000}"/>
    <cellStyle name="Normal 13 31 2 3 3 2" xfId="23209" xr:uid="{00000000-0005-0000-0000-000095540000}"/>
    <cellStyle name="Normal 13 31 2 3 3 2 2" xfId="39278" xr:uid="{00000000-0005-0000-0000-000096540000}"/>
    <cellStyle name="Normal 13 31 2 3 3 3" xfId="30347" xr:uid="{00000000-0005-0000-0000-000097540000}"/>
    <cellStyle name="Normal 13 31 2 3 4" xfId="11063" xr:uid="{00000000-0005-0000-0000-000098540000}"/>
    <cellStyle name="Normal 13 31 2 3 4 2" xfId="34770" xr:uid="{00000000-0005-0000-0000-000099540000}"/>
    <cellStyle name="Normal 13 31 2 3 5" xfId="33734" xr:uid="{00000000-0005-0000-0000-00009A540000}"/>
    <cellStyle name="Normal 13 31 2 4" xfId="4330" xr:uid="{00000000-0005-0000-0000-00009B540000}"/>
    <cellStyle name="Normal 13 31 2 4 2" xfId="6159" xr:uid="{00000000-0005-0000-0000-00009C540000}"/>
    <cellStyle name="Normal 13 31 2 4 2 2" xfId="9573" xr:uid="{00000000-0005-0000-0000-00009D540000}"/>
    <cellStyle name="Normal 13 31 2 4 2 2 2" xfId="21422" xr:uid="{00000000-0005-0000-0000-00009E540000}"/>
    <cellStyle name="Normal 13 31 2 4 2 2 2 2" xfId="37502" xr:uid="{00000000-0005-0000-0000-00009F540000}"/>
    <cellStyle name="Normal 13 31 2 4 2 2 3" xfId="28225" xr:uid="{00000000-0005-0000-0000-0000A0540000}"/>
    <cellStyle name="Normal 13 31 2 4 2 3" xfId="22114" xr:uid="{00000000-0005-0000-0000-0000A1540000}"/>
    <cellStyle name="Normal 13 31 2 4 2 3 2" xfId="38188" xr:uid="{00000000-0005-0000-0000-0000A2540000}"/>
    <cellStyle name="Normal 13 31 2 4 2 4" xfId="31622" xr:uid="{00000000-0005-0000-0000-0000A3540000}"/>
    <cellStyle name="Normal 13 31 2 4 3" xfId="7892" xr:uid="{00000000-0005-0000-0000-0000A4540000}"/>
    <cellStyle name="Normal 13 31 2 4 3 2" xfId="24286" xr:uid="{00000000-0005-0000-0000-0000A5540000}"/>
    <cellStyle name="Normal 13 31 2 4 3 2 2" xfId="40338" xr:uid="{00000000-0005-0000-0000-0000A6540000}"/>
    <cellStyle name="Normal 13 31 2 4 3 3" xfId="29907" xr:uid="{00000000-0005-0000-0000-0000A7540000}"/>
    <cellStyle name="Normal 13 31 2 4 4" xfId="19633" xr:uid="{00000000-0005-0000-0000-0000A8540000}"/>
    <cellStyle name="Normal 13 31 2 4 4 2" xfId="35747" xr:uid="{00000000-0005-0000-0000-0000A9540000}"/>
    <cellStyle name="Normal 13 31 2 4 5" xfId="33295" xr:uid="{00000000-0005-0000-0000-0000AA540000}"/>
    <cellStyle name="Normal 13 31 2 5" xfId="4785" xr:uid="{00000000-0005-0000-0000-0000AB540000}"/>
    <cellStyle name="Normal 13 31 2 5 2" xfId="6505" xr:uid="{00000000-0005-0000-0000-0000AC540000}"/>
    <cellStyle name="Normal 13 31 2 5 2 2" xfId="9911" xr:uid="{00000000-0005-0000-0000-0000AD540000}"/>
    <cellStyle name="Normal 13 31 2 5 2 2 2" xfId="23581" xr:uid="{00000000-0005-0000-0000-0000AE540000}"/>
    <cellStyle name="Normal 13 31 2 5 2 2 2 2" xfId="39637" xr:uid="{00000000-0005-0000-0000-0000AF540000}"/>
    <cellStyle name="Normal 13 31 2 5 2 2 3" xfId="27888" xr:uid="{00000000-0005-0000-0000-0000B0540000}"/>
    <cellStyle name="Normal 13 31 2 5 2 3" xfId="22359" xr:uid="{00000000-0005-0000-0000-0000B1540000}"/>
    <cellStyle name="Normal 13 31 2 5 2 3 2" xfId="38431" xr:uid="{00000000-0005-0000-0000-0000B2540000}"/>
    <cellStyle name="Normal 13 31 2 5 2 4" xfId="31289" xr:uid="{00000000-0005-0000-0000-0000B3540000}"/>
    <cellStyle name="Normal 13 31 2 5 3" xfId="8207" xr:uid="{00000000-0005-0000-0000-0000B4540000}"/>
    <cellStyle name="Normal 13 31 2 5 3 2" xfId="24332" xr:uid="{00000000-0005-0000-0000-0000B5540000}"/>
    <cellStyle name="Normal 13 31 2 5 3 2 2" xfId="40382" xr:uid="{00000000-0005-0000-0000-0000B6540000}"/>
    <cellStyle name="Normal 13 31 2 5 3 3" xfId="29590" xr:uid="{00000000-0005-0000-0000-0000B7540000}"/>
    <cellStyle name="Normal 13 31 2 5 4" xfId="10899" xr:uid="{00000000-0005-0000-0000-0000B8540000}"/>
    <cellStyle name="Normal 13 31 2 5 4 2" xfId="34671" xr:uid="{00000000-0005-0000-0000-0000B9540000}"/>
    <cellStyle name="Normal 13 31 2 5 5" xfId="32982" xr:uid="{00000000-0005-0000-0000-0000BA540000}"/>
    <cellStyle name="Normal 13 31 2 6" xfId="5145" xr:uid="{00000000-0005-0000-0000-0000BB540000}"/>
    <cellStyle name="Normal 13 31 2 6 2" xfId="6864" xr:uid="{00000000-0005-0000-0000-0000BC540000}"/>
    <cellStyle name="Normal 13 31 2 6 2 2" xfId="10270" xr:uid="{00000000-0005-0000-0000-0000BD540000}"/>
    <cellStyle name="Normal 13 31 2 6 2 2 2" xfId="24713" xr:uid="{00000000-0005-0000-0000-0000BE540000}"/>
    <cellStyle name="Normal 13 31 2 6 2 2 2 2" xfId="40756" xr:uid="{00000000-0005-0000-0000-0000BF540000}"/>
    <cellStyle name="Normal 13 31 2 6 2 2 3" xfId="27529" xr:uid="{00000000-0005-0000-0000-0000C0540000}"/>
    <cellStyle name="Normal 13 31 2 6 2 3" xfId="24108" xr:uid="{00000000-0005-0000-0000-0000C1540000}"/>
    <cellStyle name="Normal 13 31 2 6 2 3 2" xfId="40161" xr:uid="{00000000-0005-0000-0000-0000C2540000}"/>
    <cellStyle name="Normal 13 31 2 6 2 4" xfId="30930" xr:uid="{00000000-0005-0000-0000-0000C3540000}"/>
    <cellStyle name="Normal 13 31 2 6 3" xfId="8567" xr:uid="{00000000-0005-0000-0000-0000C4540000}"/>
    <cellStyle name="Normal 13 31 2 6 3 2" xfId="23380" xr:uid="{00000000-0005-0000-0000-0000C5540000}"/>
    <cellStyle name="Normal 13 31 2 6 3 2 2" xfId="39436" xr:uid="{00000000-0005-0000-0000-0000C6540000}"/>
    <cellStyle name="Normal 13 31 2 6 3 3" xfId="29231" xr:uid="{00000000-0005-0000-0000-0000C7540000}"/>
    <cellStyle name="Normal 13 31 2 6 4" xfId="10809" xr:uid="{00000000-0005-0000-0000-0000C8540000}"/>
    <cellStyle name="Normal 13 31 2 6 4 2" xfId="34627" xr:uid="{00000000-0005-0000-0000-0000C9540000}"/>
    <cellStyle name="Normal 13 31 2 6 5" xfId="32622" xr:uid="{00000000-0005-0000-0000-0000CA540000}"/>
    <cellStyle name="Normal 13 31 2 7" xfId="5324" xr:uid="{00000000-0005-0000-0000-0000CB540000}"/>
    <cellStyle name="Normal 13 31 2 7 2" xfId="8739" xr:uid="{00000000-0005-0000-0000-0000CC540000}"/>
    <cellStyle name="Normal 13 31 2 7 2 2" xfId="24406" xr:uid="{00000000-0005-0000-0000-0000CD540000}"/>
    <cellStyle name="Normal 13 31 2 7 2 2 2" xfId="40450" xr:uid="{00000000-0005-0000-0000-0000CE540000}"/>
    <cellStyle name="Normal 13 31 2 7 2 3" xfId="29059" xr:uid="{00000000-0005-0000-0000-0000CF540000}"/>
    <cellStyle name="Normal 13 31 2 7 3" xfId="12071" xr:uid="{00000000-0005-0000-0000-0000D0540000}"/>
    <cellStyle name="Normal 13 31 2 7 3 2" xfId="35056" xr:uid="{00000000-0005-0000-0000-0000D1540000}"/>
    <cellStyle name="Normal 13 31 2 7 4" xfId="32450" xr:uid="{00000000-0005-0000-0000-0000D2540000}"/>
    <cellStyle name="Normal 13 31 2 8" xfId="7057" xr:uid="{00000000-0005-0000-0000-0000D3540000}"/>
    <cellStyle name="Normal 13 31 2 8 2" xfId="24141" xr:uid="{00000000-0005-0000-0000-0000D4540000}"/>
    <cellStyle name="Normal 13 31 2 8 2 2" xfId="40194" xr:uid="{00000000-0005-0000-0000-0000D5540000}"/>
    <cellStyle name="Normal 13 31 2 8 3" xfId="30741" xr:uid="{00000000-0005-0000-0000-0000D6540000}"/>
    <cellStyle name="Normal 13 31 2 9" xfId="11925" xr:uid="{00000000-0005-0000-0000-0000D7540000}"/>
    <cellStyle name="Normal 13 31 3" xfId="3511" xr:uid="{00000000-0005-0000-0000-0000D8540000}"/>
    <cellStyle name="Normal 13 31 3 10" xfId="47126" xr:uid="{00000000-0005-0000-0000-0000D9540000}"/>
    <cellStyle name="Normal 13 31 3 2" xfId="3946" xr:uid="{00000000-0005-0000-0000-0000DA540000}"/>
    <cellStyle name="Normal 13 31 3 2 2" xfId="5834" xr:uid="{00000000-0005-0000-0000-0000DB540000}"/>
    <cellStyle name="Normal 13 31 3 2 2 2" xfId="9249" xr:uid="{00000000-0005-0000-0000-0000DC540000}"/>
    <cellStyle name="Normal 13 31 3 2 2 2 2" xfId="21932" xr:uid="{00000000-0005-0000-0000-0000DD540000}"/>
    <cellStyle name="Normal 13 31 3 2 2 2 2 2" xfId="38007" xr:uid="{00000000-0005-0000-0000-0000DE540000}"/>
    <cellStyle name="Normal 13 31 3 2 2 2 3" xfId="28549" xr:uid="{00000000-0005-0000-0000-0000DF540000}"/>
    <cellStyle name="Normal 13 31 3 2 2 3" xfId="22924" xr:uid="{00000000-0005-0000-0000-0000E0540000}"/>
    <cellStyle name="Normal 13 31 3 2 2 3 2" xfId="38993" xr:uid="{00000000-0005-0000-0000-0000E1540000}"/>
    <cellStyle name="Normal 13 31 3 2 2 4" xfId="31940" xr:uid="{00000000-0005-0000-0000-0000E2540000}"/>
    <cellStyle name="Normal 13 31 3 2 3" xfId="7552" xr:uid="{00000000-0005-0000-0000-0000E3540000}"/>
    <cellStyle name="Normal 13 31 3 2 3 2" xfId="20816" xr:uid="{00000000-0005-0000-0000-0000E4540000}"/>
    <cellStyle name="Normal 13 31 3 2 3 2 2" xfId="36915" xr:uid="{00000000-0005-0000-0000-0000E5540000}"/>
    <cellStyle name="Normal 13 31 3 2 3 3" xfId="30246" xr:uid="{00000000-0005-0000-0000-0000E6540000}"/>
    <cellStyle name="Normal 13 31 3 2 4" xfId="18146" xr:uid="{00000000-0005-0000-0000-0000E7540000}"/>
    <cellStyle name="Normal 13 31 3 2 5" xfId="19952" xr:uid="{00000000-0005-0000-0000-0000E8540000}"/>
    <cellStyle name="Normal 13 31 3 2 5 2" xfId="36056" xr:uid="{00000000-0005-0000-0000-0000E9540000}"/>
    <cellStyle name="Normal 13 31 3 2 6" xfId="33633" xr:uid="{00000000-0005-0000-0000-0000EA540000}"/>
    <cellStyle name="Normal 13 31 3 3" xfId="4886" xr:uid="{00000000-0005-0000-0000-0000EB540000}"/>
    <cellStyle name="Normal 13 31 3 3 10" xfId="47316" xr:uid="{00000000-0005-0000-0000-0000EC540000}"/>
    <cellStyle name="Normal 13 31 3 3 2" xfId="6605" xr:uid="{00000000-0005-0000-0000-0000ED540000}"/>
    <cellStyle name="Normal 13 31 3 3 2 2" xfId="10011" xr:uid="{00000000-0005-0000-0000-0000EE540000}"/>
    <cellStyle name="Normal 13 31 3 3 2 2 2" xfId="22011" xr:uid="{00000000-0005-0000-0000-0000EF540000}"/>
    <cellStyle name="Normal 13 31 3 3 2 2 2 2" xfId="38086" xr:uid="{00000000-0005-0000-0000-0000F0540000}"/>
    <cellStyle name="Normal 13 31 3 3 2 2 3" xfId="27788" xr:uid="{00000000-0005-0000-0000-0000F1540000}"/>
    <cellStyle name="Normal 13 31 3 3 2 3" xfId="22369" xr:uid="{00000000-0005-0000-0000-0000F2540000}"/>
    <cellStyle name="Normal 13 31 3 3 2 3 2" xfId="38441" xr:uid="{00000000-0005-0000-0000-0000F3540000}"/>
    <cellStyle name="Normal 13 31 3 3 2 4" xfId="31189" xr:uid="{00000000-0005-0000-0000-0000F4540000}"/>
    <cellStyle name="Normal 13 31 3 3 2 5" xfId="42935" xr:uid="{00000000-0005-0000-0000-0000F5540000}"/>
    <cellStyle name="Normal 13 31 3 3 2 6" xfId="43309" xr:uid="{00000000-0005-0000-0000-0000F6540000}"/>
    <cellStyle name="Normal 13 31 3 3 2 7" xfId="46157" xr:uid="{00000000-0005-0000-0000-0000F7540000}"/>
    <cellStyle name="Normal 13 31 3 3 2 8" xfId="46929" xr:uid="{00000000-0005-0000-0000-0000F8540000}"/>
    <cellStyle name="Normal 13 31 3 3 2 9" xfId="47512" xr:uid="{00000000-0005-0000-0000-0000F9540000}"/>
    <cellStyle name="Normal 13 31 3 3 3" xfId="8308" xr:uid="{00000000-0005-0000-0000-0000FA540000}"/>
    <cellStyle name="Normal 13 31 3 3 3 2" xfId="24346" xr:uid="{00000000-0005-0000-0000-0000FB540000}"/>
    <cellStyle name="Normal 13 31 3 3 3 2 2" xfId="40395" xr:uid="{00000000-0005-0000-0000-0000FC540000}"/>
    <cellStyle name="Normal 13 31 3 3 3 3" xfId="29489" xr:uid="{00000000-0005-0000-0000-0000FD540000}"/>
    <cellStyle name="Normal 13 31 3 3 3 4" xfId="44055" xr:uid="{00000000-0005-0000-0000-0000FE540000}"/>
    <cellStyle name="Normal 13 31 3 3 4" xfId="16380" xr:uid="{00000000-0005-0000-0000-0000FF540000}"/>
    <cellStyle name="Normal 13 31 3 3 4 2" xfId="35404" xr:uid="{00000000-0005-0000-0000-000000550000}"/>
    <cellStyle name="Normal 13 31 3 3 5" xfId="25064" xr:uid="{00000000-0005-0000-0000-000001550000}"/>
    <cellStyle name="Normal 13 31 3 3 6" xfId="25416" xr:uid="{00000000-0005-0000-0000-000002550000}"/>
    <cellStyle name="Normal 13 31 3 3 7" xfId="32881" xr:uid="{00000000-0005-0000-0000-000003550000}"/>
    <cellStyle name="Normal 13 31 3 3 8" xfId="43769" xr:uid="{00000000-0005-0000-0000-000004550000}"/>
    <cellStyle name="Normal 13 31 3 3 9" xfId="46695" xr:uid="{00000000-0005-0000-0000-000005550000}"/>
    <cellStyle name="Normal 13 31 3 4" xfId="5440" xr:uid="{00000000-0005-0000-0000-000006550000}"/>
    <cellStyle name="Normal 13 31 3 4 2" xfId="8855" xr:uid="{00000000-0005-0000-0000-000007550000}"/>
    <cellStyle name="Normal 13 31 3 4 2 2" xfId="24424" xr:uid="{00000000-0005-0000-0000-000008550000}"/>
    <cellStyle name="Normal 13 31 3 4 2 2 2" xfId="40468" xr:uid="{00000000-0005-0000-0000-000009550000}"/>
    <cellStyle name="Normal 13 31 3 4 2 3" xfId="28943" xr:uid="{00000000-0005-0000-0000-00000A550000}"/>
    <cellStyle name="Normal 13 31 3 4 3" xfId="12009" xr:uid="{00000000-0005-0000-0000-00000B550000}"/>
    <cellStyle name="Normal 13 31 3 4 3 2" xfId="35028" xr:uid="{00000000-0005-0000-0000-00000C550000}"/>
    <cellStyle name="Normal 13 31 3 4 4" xfId="32334" xr:uid="{00000000-0005-0000-0000-00000D550000}"/>
    <cellStyle name="Normal 13 31 3 5" xfId="7158" xr:uid="{00000000-0005-0000-0000-00000E550000}"/>
    <cellStyle name="Normal 13 31 3 5 2" xfId="23157" xr:uid="{00000000-0005-0000-0000-00000F550000}"/>
    <cellStyle name="Normal 13 31 3 5 2 2" xfId="39226" xr:uid="{00000000-0005-0000-0000-000010550000}"/>
    <cellStyle name="Normal 13 31 3 5 3" xfId="30640" xr:uid="{00000000-0005-0000-0000-000011550000}"/>
    <cellStyle name="Normal 13 31 3 6" xfId="11927" xr:uid="{00000000-0005-0000-0000-000012550000}"/>
    <cellStyle name="Normal 13 31 3 7" xfId="34027" xr:uid="{00000000-0005-0000-0000-000013550000}"/>
    <cellStyle name="Normal 13 31 3 8" xfId="43561" xr:uid="{00000000-0005-0000-0000-000014550000}"/>
    <cellStyle name="Normal 13 31 3 9" xfId="46467" xr:uid="{00000000-0005-0000-0000-000015550000}"/>
    <cellStyle name="Normal 13 31 3_Avviksanalyse løpende RNB15 (1)" xfId="16738" xr:uid="{00000000-0005-0000-0000-000016550000}"/>
    <cellStyle name="Normal 13 31 4" xfId="3767" xr:uid="{00000000-0005-0000-0000-000017550000}"/>
    <cellStyle name="Normal 13 31 4 2" xfId="5655" xr:uid="{00000000-0005-0000-0000-000018550000}"/>
    <cellStyle name="Normal 13 31 4 2 2" xfId="9070" xr:uid="{00000000-0005-0000-0000-000019550000}"/>
    <cellStyle name="Normal 13 31 4 2 2 2" xfId="22483" xr:uid="{00000000-0005-0000-0000-00001A550000}"/>
    <cellStyle name="Normal 13 31 4 2 2 2 2" xfId="38555" xr:uid="{00000000-0005-0000-0000-00001B550000}"/>
    <cellStyle name="Normal 13 31 4 2 2 3" xfId="28728" xr:uid="{00000000-0005-0000-0000-00001C550000}"/>
    <cellStyle name="Normal 13 31 4 2 3" xfId="22891" xr:uid="{00000000-0005-0000-0000-00001D550000}"/>
    <cellStyle name="Normal 13 31 4 2 3 2" xfId="38960" xr:uid="{00000000-0005-0000-0000-00001E550000}"/>
    <cellStyle name="Normal 13 31 4 2 4" xfId="32119" xr:uid="{00000000-0005-0000-0000-00001F550000}"/>
    <cellStyle name="Normal 13 31 4 3" xfId="7373" xr:uid="{00000000-0005-0000-0000-000020550000}"/>
    <cellStyle name="Normal 13 31 4 3 2" xfId="20760" xr:uid="{00000000-0005-0000-0000-000021550000}"/>
    <cellStyle name="Normal 13 31 4 3 2 2" xfId="36859" xr:uid="{00000000-0005-0000-0000-000022550000}"/>
    <cellStyle name="Normal 13 31 4 3 3" xfId="30425" xr:uid="{00000000-0005-0000-0000-000023550000}"/>
    <cellStyle name="Normal 13 31 4 4" xfId="21654" xr:uid="{00000000-0005-0000-0000-000024550000}"/>
    <cellStyle name="Normal 13 31 4 4 2" xfId="37734" xr:uid="{00000000-0005-0000-0000-000025550000}"/>
    <cellStyle name="Normal 13 31 4 5" xfId="33812" xr:uid="{00000000-0005-0000-0000-000026550000}"/>
    <cellStyle name="Normal 13 31 5" xfId="4261" xr:uid="{00000000-0005-0000-0000-000027550000}"/>
    <cellStyle name="Normal 13 31 5 2" xfId="6093" xr:uid="{00000000-0005-0000-0000-000028550000}"/>
    <cellStyle name="Normal 13 31 5 2 2" xfId="9508" xr:uid="{00000000-0005-0000-0000-000029550000}"/>
    <cellStyle name="Normal 13 31 5 2 2 2" xfId="21408" xr:uid="{00000000-0005-0000-0000-00002A550000}"/>
    <cellStyle name="Normal 13 31 5 2 2 2 2" xfId="37488" xr:uid="{00000000-0005-0000-0000-00002B550000}"/>
    <cellStyle name="Normal 13 31 5 2 2 3" xfId="28290" xr:uid="{00000000-0005-0000-0000-00002C550000}"/>
    <cellStyle name="Normal 13 31 5 2 3" xfId="20320" xr:uid="{00000000-0005-0000-0000-00002D550000}"/>
    <cellStyle name="Normal 13 31 5 2 3 2" xfId="36419" xr:uid="{00000000-0005-0000-0000-00002E550000}"/>
    <cellStyle name="Normal 13 31 5 2 4" xfId="31685" xr:uid="{00000000-0005-0000-0000-00002F550000}"/>
    <cellStyle name="Normal 13 31 5 3" xfId="7827" xr:uid="{00000000-0005-0000-0000-000030550000}"/>
    <cellStyle name="Normal 13 31 5 3 2" xfId="20917" xr:uid="{00000000-0005-0000-0000-000031550000}"/>
    <cellStyle name="Normal 13 31 5 3 2 2" xfId="37016" xr:uid="{00000000-0005-0000-0000-000032550000}"/>
    <cellStyle name="Normal 13 31 5 3 3" xfId="29972" xr:uid="{00000000-0005-0000-0000-000033550000}"/>
    <cellStyle name="Normal 13 31 5 4" xfId="19854" xr:uid="{00000000-0005-0000-0000-000034550000}"/>
    <cellStyle name="Normal 13 31 5 4 2" xfId="35967" xr:uid="{00000000-0005-0000-0000-000035550000}"/>
    <cellStyle name="Normal 13 31 5 5" xfId="33360" xr:uid="{00000000-0005-0000-0000-000036550000}"/>
    <cellStyle name="Normal 13 31 6" xfId="4702" xr:uid="{00000000-0005-0000-0000-000037550000}"/>
    <cellStyle name="Normal 13 31 6 2" xfId="6422" xr:uid="{00000000-0005-0000-0000-000038550000}"/>
    <cellStyle name="Normal 13 31 6 2 2" xfId="9832" xr:uid="{00000000-0005-0000-0000-000039550000}"/>
    <cellStyle name="Normal 13 31 6 2 2 2" xfId="23566" xr:uid="{00000000-0005-0000-0000-00003A550000}"/>
    <cellStyle name="Normal 13 31 6 2 2 2 2" xfId="39622" xr:uid="{00000000-0005-0000-0000-00003B550000}"/>
    <cellStyle name="Normal 13 31 6 2 2 3" xfId="27967" xr:uid="{00000000-0005-0000-0000-00003C550000}"/>
    <cellStyle name="Normal 13 31 6 2 3" xfId="20446" xr:uid="{00000000-0005-0000-0000-00003D550000}"/>
    <cellStyle name="Normal 13 31 6 2 3 2" xfId="36545" xr:uid="{00000000-0005-0000-0000-00003E550000}"/>
    <cellStyle name="Normal 13 31 6 2 4" xfId="31368" xr:uid="{00000000-0005-0000-0000-00003F550000}"/>
    <cellStyle name="Normal 13 31 6 3" xfId="8128" xr:uid="{00000000-0005-0000-0000-000040550000}"/>
    <cellStyle name="Normal 13 31 6 3 2" xfId="10603" xr:uid="{00000000-0005-0000-0000-000041550000}"/>
    <cellStyle name="Normal 13 31 6 3 2 2" xfId="34451" xr:uid="{00000000-0005-0000-0000-000042550000}"/>
    <cellStyle name="Normal 13 31 6 3 3" xfId="29670" xr:uid="{00000000-0005-0000-0000-000043550000}"/>
    <cellStyle name="Normal 13 31 6 4" xfId="23708" xr:uid="{00000000-0005-0000-0000-000044550000}"/>
    <cellStyle name="Normal 13 31 6 4 2" xfId="39764" xr:uid="{00000000-0005-0000-0000-000045550000}"/>
    <cellStyle name="Normal 13 31 6 5" xfId="33061" xr:uid="{00000000-0005-0000-0000-000046550000}"/>
    <cellStyle name="Normal 13 31 7" xfId="5066" xr:uid="{00000000-0005-0000-0000-000047550000}"/>
    <cellStyle name="Normal 13 31 7 2" xfId="6785" xr:uid="{00000000-0005-0000-0000-000048550000}"/>
    <cellStyle name="Normal 13 31 7 2 2" xfId="10191" xr:uid="{00000000-0005-0000-0000-000049550000}"/>
    <cellStyle name="Normal 13 31 7 2 2 2" xfId="22035" xr:uid="{00000000-0005-0000-0000-00004A550000}"/>
    <cellStyle name="Normal 13 31 7 2 2 2 2" xfId="38110" xr:uid="{00000000-0005-0000-0000-00004B550000}"/>
    <cellStyle name="Normal 13 31 7 2 2 3" xfId="27608" xr:uid="{00000000-0005-0000-0000-00004C550000}"/>
    <cellStyle name="Normal 13 31 7 2 3" xfId="20567" xr:uid="{00000000-0005-0000-0000-00004D550000}"/>
    <cellStyle name="Normal 13 31 7 2 3 2" xfId="36666" xr:uid="{00000000-0005-0000-0000-00004E550000}"/>
    <cellStyle name="Normal 13 31 7 2 4" xfId="31009" xr:uid="{00000000-0005-0000-0000-00004F550000}"/>
    <cellStyle name="Normal 13 31 7 3" xfId="8488" xr:uid="{00000000-0005-0000-0000-000050550000}"/>
    <cellStyle name="Normal 13 31 7 3 2" xfId="21777" xr:uid="{00000000-0005-0000-0000-000051550000}"/>
    <cellStyle name="Normal 13 31 7 3 2 2" xfId="37853" xr:uid="{00000000-0005-0000-0000-000052550000}"/>
    <cellStyle name="Normal 13 31 7 3 3" xfId="29310" xr:uid="{00000000-0005-0000-0000-000053550000}"/>
    <cellStyle name="Normal 13 31 7 4" xfId="12170" xr:uid="{00000000-0005-0000-0000-000054550000}"/>
    <cellStyle name="Normal 13 31 7 4 2" xfId="35105" xr:uid="{00000000-0005-0000-0000-000055550000}"/>
    <cellStyle name="Normal 13 31 7 5" xfId="32701" xr:uid="{00000000-0005-0000-0000-000056550000}"/>
    <cellStyle name="Normal 13 31 8" xfId="5261" xr:uid="{00000000-0005-0000-0000-000057550000}"/>
    <cellStyle name="Normal 13 31 8 2" xfId="8676" xr:uid="{00000000-0005-0000-0000-000058550000}"/>
    <cellStyle name="Normal 13 31 8 2 2" xfId="23723" xr:uid="{00000000-0005-0000-0000-000059550000}"/>
    <cellStyle name="Normal 13 31 8 2 2 2" xfId="39779" xr:uid="{00000000-0005-0000-0000-00005A550000}"/>
    <cellStyle name="Normal 13 31 8 2 3" xfId="29122" xr:uid="{00000000-0005-0000-0000-00005B550000}"/>
    <cellStyle name="Normal 13 31 8 3" xfId="12099" xr:uid="{00000000-0005-0000-0000-00005C550000}"/>
    <cellStyle name="Normal 13 31 8 3 2" xfId="35070" xr:uid="{00000000-0005-0000-0000-00005D550000}"/>
    <cellStyle name="Normal 13 31 8 4" xfId="32513" xr:uid="{00000000-0005-0000-0000-00005E550000}"/>
    <cellStyle name="Normal 13 31 9" xfId="6975" xr:uid="{00000000-0005-0000-0000-00005F550000}"/>
    <cellStyle name="Normal 13 31 9 2" xfId="20616" xr:uid="{00000000-0005-0000-0000-000060550000}"/>
    <cellStyle name="Normal 13 31 9 2 2" xfId="36715" xr:uid="{00000000-0005-0000-0000-000061550000}"/>
    <cellStyle name="Normal 13 31 9 3" xfId="30823" xr:uid="{00000000-0005-0000-0000-000062550000}"/>
    <cellStyle name="Normal 13 32" xfId="3411" xr:uid="{00000000-0005-0000-0000-000063550000}"/>
    <cellStyle name="Normal 13 32 2" xfId="3624" xr:uid="{00000000-0005-0000-0000-000064550000}"/>
    <cellStyle name="Normal 13 32 2 2" xfId="4052" xr:uid="{00000000-0005-0000-0000-000065550000}"/>
    <cellStyle name="Normal 13 32 2 2 2" xfId="5940" xr:uid="{00000000-0005-0000-0000-000066550000}"/>
    <cellStyle name="Normal 13 32 2 2 2 2" xfId="9355" xr:uid="{00000000-0005-0000-0000-000067550000}"/>
    <cellStyle name="Normal 13 32 2 2 2 2 2" xfId="11687" xr:uid="{00000000-0005-0000-0000-000068550000}"/>
    <cellStyle name="Normal 13 32 2 2 2 2 2 2" xfId="34836" xr:uid="{00000000-0005-0000-0000-000069550000}"/>
    <cellStyle name="Normal 13 32 2 2 2 2 3" xfId="28443" xr:uid="{00000000-0005-0000-0000-00006A550000}"/>
    <cellStyle name="Normal 13 32 2 2 2 3" xfId="22295" xr:uid="{00000000-0005-0000-0000-00006B550000}"/>
    <cellStyle name="Normal 13 32 2 2 2 3 2" xfId="38367" xr:uid="{00000000-0005-0000-0000-00006C550000}"/>
    <cellStyle name="Normal 13 32 2 2 2 4" xfId="34314" xr:uid="{00000000-0005-0000-0000-00006D550000}"/>
    <cellStyle name="Normal 13 32 2 2 3" xfId="7658" xr:uid="{00000000-0005-0000-0000-00006E550000}"/>
    <cellStyle name="Normal 13 32 2 2 3 2" xfId="20855" xr:uid="{00000000-0005-0000-0000-00006F550000}"/>
    <cellStyle name="Normal 13 32 2 2 3 2 2" xfId="36954" xr:uid="{00000000-0005-0000-0000-000070550000}"/>
    <cellStyle name="Normal 13 32 2 2 3 3" xfId="30140" xr:uid="{00000000-0005-0000-0000-000071550000}"/>
    <cellStyle name="Normal 13 32 2 2 4" xfId="11029" xr:uid="{00000000-0005-0000-0000-000072550000}"/>
    <cellStyle name="Normal 13 32 2 2 4 2" xfId="34738" xr:uid="{00000000-0005-0000-0000-000073550000}"/>
    <cellStyle name="Normal 13 32 2 2 5" xfId="33527" xr:uid="{00000000-0005-0000-0000-000074550000}"/>
    <cellStyle name="Normal 13 32 2 3" xfId="4992" xr:uid="{00000000-0005-0000-0000-000075550000}"/>
    <cellStyle name="Normal 13 32 2 3 2" xfId="6711" xr:uid="{00000000-0005-0000-0000-000076550000}"/>
    <cellStyle name="Normal 13 32 2 3 2 2" xfId="10117" xr:uid="{00000000-0005-0000-0000-000077550000}"/>
    <cellStyle name="Normal 13 32 2 3 2 2 2" xfId="23622" xr:uid="{00000000-0005-0000-0000-000078550000}"/>
    <cellStyle name="Normal 13 32 2 3 2 2 2 2" xfId="39678" xr:uid="{00000000-0005-0000-0000-000079550000}"/>
    <cellStyle name="Normal 13 32 2 3 2 2 3" xfId="27682" xr:uid="{00000000-0005-0000-0000-00007A550000}"/>
    <cellStyle name="Normal 13 32 2 3 2 3" xfId="20547" xr:uid="{00000000-0005-0000-0000-00007B550000}"/>
    <cellStyle name="Normal 13 32 2 3 2 3 2" xfId="36646" xr:uid="{00000000-0005-0000-0000-00007C550000}"/>
    <cellStyle name="Normal 13 32 2 3 2 4" xfId="31083" xr:uid="{00000000-0005-0000-0000-00007D550000}"/>
    <cellStyle name="Normal 13 32 2 3 3" xfId="8414" xr:uid="{00000000-0005-0000-0000-00007E550000}"/>
    <cellStyle name="Normal 13 32 2 3 3 2" xfId="19493" xr:uid="{00000000-0005-0000-0000-00007F550000}"/>
    <cellStyle name="Normal 13 32 2 3 3 2 2" xfId="35607" xr:uid="{00000000-0005-0000-0000-000080550000}"/>
    <cellStyle name="Normal 13 32 2 3 3 3" xfId="29384" xr:uid="{00000000-0005-0000-0000-000081550000}"/>
    <cellStyle name="Normal 13 32 2 3 4" xfId="10863" xr:uid="{00000000-0005-0000-0000-000082550000}"/>
    <cellStyle name="Normal 13 32 2 3 4 2" xfId="34661" xr:uid="{00000000-0005-0000-0000-000083550000}"/>
    <cellStyle name="Normal 13 32 2 3 5" xfId="32775" xr:uid="{00000000-0005-0000-0000-000084550000}"/>
    <cellStyle name="Normal 13 32 2 4" xfId="5546" xr:uid="{00000000-0005-0000-0000-000085550000}"/>
    <cellStyle name="Normal 13 32 2 4 2" xfId="8961" xr:uid="{00000000-0005-0000-0000-000086550000}"/>
    <cellStyle name="Normal 13 32 2 4 2 2" xfId="21233" xr:uid="{00000000-0005-0000-0000-000087550000}"/>
    <cellStyle name="Normal 13 32 2 4 2 2 2" xfId="37313" xr:uid="{00000000-0005-0000-0000-000088550000}"/>
    <cellStyle name="Normal 13 32 2 4 2 3" xfId="28837" xr:uid="{00000000-0005-0000-0000-000089550000}"/>
    <cellStyle name="Normal 13 32 2 4 3" xfId="20115" xr:uid="{00000000-0005-0000-0000-00008A550000}"/>
    <cellStyle name="Normal 13 32 2 4 3 2" xfId="36218" xr:uid="{00000000-0005-0000-0000-00008B550000}"/>
    <cellStyle name="Normal 13 32 2 4 4" xfId="32228" xr:uid="{00000000-0005-0000-0000-00008C550000}"/>
    <cellStyle name="Normal 13 32 2 5" xfId="7264" xr:uid="{00000000-0005-0000-0000-00008D550000}"/>
    <cellStyle name="Normal 13 32 2 5 2" xfId="20717" xr:uid="{00000000-0005-0000-0000-00008E550000}"/>
    <cellStyle name="Normal 13 32 2 5 2 2" xfId="36816" xr:uid="{00000000-0005-0000-0000-00008F550000}"/>
    <cellStyle name="Normal 13 32 2 5 3" xfId="30534" xr:uid="{00000000-0005-0000-0000-000090550000}"/>
    <cellStyle name="Normal 13 32 2 6" xfId="23764" xr:uid="{00000000-0005-0000-0000-000091550000}"/>
    <cellStyle name="Normal 13 32 2 6 2" xfId="39820" xr:uid="{00000000-0005-0000-0000-000092550000}"/>
    <cellStyle name="Normal 13 32 2 7" xfId="33921" xr:uid="{00000000-0005-0000-0000-000093550000}"/>
    <cellStyle name="Normal 13 32 3" xfId="3872" xr:uid="{00000000-0005-0000-0000-000094550000}"/>
    <cellStyle name="Normal 13 32 3 2" xfId="5760" xr:uid="{00000000-0005-0000-0000-000095550000}"/>
    <cellStyle name="Normal 13 32 3 2 2" xfId="9175" xr:uid="{00000000-0005-0000-0000-000096550000}"/>
    <cellStyle name="Normal 13 32 3 2 2 2" xfId="21923" xr:uid="{00000000-0005-0000-0000-000097550000}"/>
    <cellStyle name="Normal 13 32 3 2 2 2 2" xfId="37998" xr:uid="{00000000-0005-0000-0000-000098550000}"/>
    <cellStyle name="Normal 13 32 3 2 2 3" xfId="28623" xr:uid="{00000000-0005-0000-0000-000099550000}"/>
    <cellStyle name="Normal 13 32 3 2 3" xfId="10682" xr:uid="{00000000-0005-0000-0000-00009A550000}"/>
    <cellStyle name="Normal 13 32 3 2 3 2" xfId="34530" xr:uid="{00000000-0005-0000-0000-00009B550000}"/>
    <cellStyle name="Normal 13 32 3 2 4" xfId="32014" xr:uid="{00000000-0005-0000-0000-00009C550000}"/>
    <cellStyle name="Normal 13 32 3 3" xfId="7478" xr:uid="{00000000-0005-0000-0000-00009D550000}"/>
    <cellStyle name="Normal 13 32 3 3 2" xfId="20798" xr:uid="{00000000-0005-0000-0000-00009E550000}"/>
    <cellStyle name="Normal 13 32 3 3 2 2" xfId="36897" xr:uid="{00000000-0005-0000-0000-00009F550000}"/>
    <cellStyle name="Normal 13 32 3 3 3" xfId="30320" xr:uid="{00000000-0005-0000-0000-0000A0550000}"/>
    <cellStyle name="Normal 13 32 3 4" xfId="22786" xr:uid="{00000000-0005-0000-0000-0000A1550000}"/>
    <cellStyle name="Normal 13 32 3 4 2" xfId="38855" xr:uid="{00000000-0005-0000-0000-0000A2550000}"/>
    <cellStyle name="Normal 13 32 3 5" xfId="33707" xr:uid="{00000000-0005-0000-0000-0000A3550000}"/>
    <cellStyle name="Normal 13 32 4" xfId="4812" xr:uid="{00000000-0005-0000-0000-0000A4550000}"/>
    <cellStyle name="Normal 13 32 4 2" xfId="6531" xr:uid="{00000000-0005-0000-0000-0000A5550000}"/>
    <cellStyle name="Normal 13 32 4 2 2" xfId="9937" xr:uid="{00000000-0005-0000-0000-0000A6550000}"/>
    <cellStyle name="Normal 13 32 4 2 2 2" xfId="23586" xr:uid="{00000000-0005-0000-0000-0000A7550000}"/>
    <cellStyle name="Normal 13 32 4 2 2 2 2" xfId="39642" xr:uid="{00000000-0005-0000-0000-0000A8550000}"/>
    <cellStyle name="Normal 13 32 4 2 2 3" xfId="27862" xr:uid="{00000000-0005-0000-0000-0000A9550000}"/>
    <cellStyle name="Normal 13 32 4 2 3" xfId="23056" xr:uid="{00000000-0005-0000-0000-0000AA550000}"/>
    <cellStyle name="Normal 13 32 4 2 3 2" xfId="39125" xr:uid="{00000000-0005-0000-0000-0000AB550000}"/>
    <cellStyle name="Normal 13 32 4 2 4" xfId="31263" xr:uid="{00000000-0005-0000-0000-0000AC550000}"/>
    <cellStyle name="Normal 13 32 4 3" xfId="8234" xr:uid="{00000000-0005-0000-0000-0000AD550000}"/>
    <cellStyle name="Normal 13 32 4 3 2" xfId="21038" xr:uid="{00000000-0005-0000-0000-0000AE550000}"/>
    <cellStyle name="Normal 13 32 4 3 2 2" xfId="37129" xr:uid="{00000000-0005-0000-0000-0000AF550000}"/>
    <cellStyle name="Normal 13 32 4 3 3" xfId="29563" xr:uid="{00000000-0005-0000-0000-0000B0550000}"/>
    <cellStyle name="Normal 13 32 4 4" xfId="23664" xr:uid="{00000000-0005-0000-0000-0000B1550000}"/>
    <cellStyle name="Normal 13 32 4 4 2" xfId="39720" xr:uid="{00000000-0005-0000-0000-0000B2550000}"/>
    <cellStyle name="Normal 13 32 4 5" xfId="32955" xr:uid="{00000000-0005-0000-0000-0000B3550000}"/>
    <cellStyle name="Normal 13 32 5" xfId="5376" xr:uid="{00000000-0005-0000-0000-0000B4550000}"/>
    <cellStyle name="Normal 13 32 5 2" xfId="8791" xr:uid="{00000000-0005-0000-0000-0000B5550000}"/>
    <cellStyle name="Normal 13 32 5 2 2" xfId="24415" xr:uid="{00000000-0005-0000-0000-0000B6550000}"/>
    <cellStyle name="Normal 13 32 5 2 2 2" xfId="40459" xr:uid="{00000000-0005-0000-0000-0000B7550000}"/>
    <cellStyle name="Normal 13 32 5 2 3" xfId="29007" xr:uid="{00000000-0005-0000-0000-0000B8550000}"/>
    <cellStyle name="Normal 13 32 5 3" xfId="10722" xr:uid="{00000000-0005-0000-0000-0000B9550000}"/>
    <cellStyle name="Normal 13 32 5 3 2" xfId="34570" xr:uid="{00000000-0005-0000-0000-0000BA550000}"/>
    <cellStyle name="Normal 13 32 5 4" xfId="32398" xr:uid="{00000000-0005-0000-0000-0000BB550000}"/>
    <cellStyle name="Normal 13 32 6" xfId="7084" xr:uid="{00000000-0005-0000-0000-0000BC550000}"/>
    <cellStyle name="Normal 13 32 6 2" xfId="24146" xr:uid="{00000000-0005-0000-0000-0000BD550000}"/>
    <cellStyle name="Normal 13 32 6 2 2" xfId="40199" xr:uid="{00000000-0005-0000-0000-0000BE550000}"/>
    <cellStyle name="Normal 13 32 6 3" xfId="30714" xr:uid="{00000000-0005-0000-0000-0000BF550000}"/>
    <cellStyle name="Normal 13 32 7" xfId="11928" xr:uid="{00000000-0005-0000-0000-0000C0550000}"/>
    <cellStyle name="Normal 13 32 8" xfId="23746" xr:uid="{00000000-0005-0000-0000-0000C1550000}"/>
    <cellStyle name="Normal 13 32 8 2" xfId="39802" xr:uid="{00000000-0005-0000-0000-0000C2550000}"/>
    <cellStyle name="Normal 13 32 9" xfId="34101" xr:uid="{00000000-0005-0000-0000-0000C3550000}"/>
    <cellStyle name="Normal 13 33" xfId="3660" xr:uid="{00000000-0005-0000-0000-0000C4550000}"/>
    <cellStyle name="Normal 13 33 2" xfId="5574" xr:uid="{00000000-0005-0000-0000-0000C5550000}"/>
    <cellStyle name="Normal 13 33 2 2" xfId="8989" xr:uid="{00000000-0005-0000-0000-0000C6550000}"/>
    <cellStyle name="Normal 13 33 2 2 2" xfId="23437" xr:uid="{00000000-0005-0000-0000-0000C7550000}"/>
    <cellStyle name="Normal 13 33 2 2 2 2" xfId="39493" xr:uid="{00000000-0005-0000-0000-0000C8550000}"/>
    <cellStyle name="Normal 13 33 2 2 3" xfId="28809" xr:uid="{00000000-0005-0000-0000-0000C9550000}"/>
    <cellStyle name="Normal 13 33 2 3" xfId="22256" xr:uid="{00000000-0005-0000-0000-0000CA550000}"/>
    <cellStyle name="Normal 13 33 2 3 2" xfId="38330" xr:uid="{00000000-0005-0000-0000-0000CB550000}"/>
    <cellStyle name="Normal 13 33 2 4" xfId="32200" xr:uid="{00000000-0005-0000-0000-0000CC550000}"/>
    <cellStyle name="Normal 13 33 3" xfId="7292" xr:uid="{00000000-0005-0000-0000-0000CD550000}"/>
    <cellStyle name="Normal 13 33 3 2" xfId="20727" xr:uid="{00000000-0005-0000-0000-0000CE550000}"/>
    <cellStyle name="Normal 13 33 3 2 2" xfId="36826" xr:uid="{00000000-0005-0000-0000-0000CF550000}"/>
    <cellStyle name="Normal 13 33 3 3" xfId="30506" xr:uid="{00000000-0005-0000-0000-0000D0550000}"/>
    <cellStyle name="Normal 13 33 4" xfId="18135" xr:uid="{00000000-0005-0000-0000-0000D1550000}"/>
    <cellStyle name="Normal 13 33 5" xfId="11085" xr:uid="{00000000-0005-0000-0000-0000D2550000}"/>
    <cellStyle name="Normal 13 33 5 2" xfId="34788" xr:uid="{00000000-0005-0000-0000-0000D3550000}"/>
    <cellStyle name="Normal 13 33 6" xfId="33893" xr:uid="{00000000-0005-0000-0000-0000D4550000}"/>
    <cellStyle name="Normal 13 34" xfId="3698" xr:uid="{00000000-0005-0000-0000-0000D5550000}"/>
    <cellStyle name="Normal 13 34 2" xfId="5586" xr:uid="{00000000-0005-0000-0000-0000D6550000}"/>
    <cellStyle name="Normal 13 34 2 2" xfId="9001" xr:uid="{00000000-0005-0000-0000-0000D7550000}"/>
    <cellStyle name="Normal 13 34 2 2 2" xfId="21246" xr:uid="{00000000-0005-0000-0000-0000D8550000}"/>
    <cellStyle name="Normal 13 34 2 2 2 2" xfId="37326" xr:uid="{00000000-0005-0000-0000-0000D9550000}"/>
    <cellStyle name="Normal 13 34 2 2 3" xfId="28797" xr:uid="{00000000-0005-0000-0000-0000DA550000}"/>
    <cellStyle name="Normal 13 34 2 3" xfId="20131" xr:uid="{00000000-0005-0000-0000-0000DB550000}"/>
    <cellStyle name="Normal 13 34 2 3 2" xfId="36234" xr:uid="{00000000-0005-0000-0000-0000DC550000}"/>
    <cellStyle name="Normal 13 34 2 4" xfId="32188" xr:uid="{00000000-0005-0000-0000-0000DD550000}"/>
    <cellStyle name="Normal 13 34 3" xfId="7304" xr:uid="{00000000-0005-0000-0000-0000DE550000}"/>
    <cellStyle name="Normal 13 34 3 2" xfId="24182" xr:uid="{00000000-0005-0000-0000-0000DF550000}"/>
    <cellStyle name="Normal 13 34 3 2 2" xfId="40235" xr:uid="{00000000-0005-0000-0000-0000E0550000}"/>
    <cellStyle name="Normal 13 34 3 3" xfId="30494" xr:uid="{00000000-0005-0000-0000-0000E1550000}"/>
    <cellStyle name="Normal 13 34 4" xfId="18165" xr:uid="{00000000-0005-0000-0000-0000E2550000}"/>
    <cellStyle name="Normal 13 34 5" xfId="21712" xr:uid="{00000000-0005-0000-0000-0000E3550000}"/>
    <cellStyle name="Normal 13 34 5 2" xfId="37790" xr:uid="{00000000-0005-0000-0000-0000E4550000}"/>
    <cellStyle name="Normal 13 34 6" xfId="33881" xr:uid="{00000000-0005-0000-0000-0000E5550000}"/>
    <cellStyle name="Normal 13 35" xfId="3704" xr:uid="{00000000-0005-0000-0000-0000E6550000}"/>
    <cellStyle name="Normal 13 35 2" xfId="5592" xr:uid="{00000000-0005-0000-0000-0000E7550000}"/>
    <cellStyle name="Normal 13 35 2 2" xfId="9007" xr:uid="{00000000-0005-0000-0000-0000E8550000}"/>
    <cellStyle name="Normal 13 35 2 2 2" xfId="24445" xr:uid="{00000000-0005-0000-0000-0000E9550000}"/>
    <cellStyle name="Normal 13 35 2 2 2 2" xfId="40489" xr:uid="{00000000-0005-0000-0000-0000EA550000}"/>
    <cellStyle name="Normal 13 35 2 2 3" xfId="28791" xr:uid="{00000000-0005-0000-0000-0000EB550000}"/>
    <cellStyle name="Normal 13 35 2 3" xfId="22075" xr:uid="{00000000-0005-0000-0000-0000EC550000}"/>
    <cellStyle name="Normal 13 35 2 3 2" xfId="38149" xr:uid="{00000000-0005-0000-0000-0000ED550000}"/>
    <cellStyle name="Normal 13 35 2 4" xfId="32182" xr:uid="{00000000-0005-0000-0000-0000EE550000}"/>
    <cellStyle name="Normal 13 35 3" xfId="7310" xr:uid="{00000000-0005-0000-0000-0000EF550000}"/>
    <cellStyle name="Normal 13 35 3 2" xfId="24183" xr:uid="{00000000-0005-0000-0000-0000F0550000}"/>
    <cellStyle name="Normal 13 35 3 2 2" xfId="40236" xr:uid="{00000000-0005-0000-0000-0000F1550000}"/>
    <cellStyle name="Normal 13 35 3 3" xfId="30488" xr:uid="{00000000-0005-0000-0000-0000F2550000}"/>
    <cellStyle name="Normal 13 35 4" xfId="17988" xr:uid="{00000000-0005-0000-0000-0000F3550000}"/>
    <cellStyle name="Normal 13 35 5" xfId="19538" xr:uid="{00000000-0005-0000-0000-0000F4550000}"/>
    <cellStyle name="Normal 13 35 5 2" xfId="35652" xr:uid="{00000000-0005-0000-0000-0000F5550000}"/>
    <cellStyle name="Normal 13 35 6" xfId="33875" xr:uid="{00000000-0005-0000-0000-0000F6550000}"/>
    <cellStyle name="Normal 13 36" xfId="3650" xr:uid="{00000000-0005-0000-0000-0000F7550000}"/>
    <cellStyle name="Normal 13 36 2" xfId="5569" xr:uid="{00000000-0005-0000-0000-0000F8550000}"/>
    <cellStyle name="Normal 13 36 2 2" xfId="8984" xr:uid="{00000000-0005-0000-0000-0000F9550000}"/>
    <cellStyle name="Normal 13 36 2 2 2" xfId="23436" xr:uid="{00000000-0005-0000-0000-0000FA550000}"/>
    <cellStyle name="Normal 13 36 2 2 2 2" xfId="39492" xr:uid="{00000000-0005-0000-0000-0000FB550000}"/>
    <cellStyle name="Normal 13 36 2 2 3" xfId="28814" xr:uid="{00000000-0005-0000-0000-0000FC550000}"/>
    <cellStyle name="Normal 13 36 2 3" xfId="22875" xr:uid="{00000000-0005-0000-0000-0000FD550000}"/>
    <cellStyle name="Normal 13 36 2 3 2" xfId="38944" xr:uid="{00000000-0005-0000-0000-0000FE550000}"/>
    <cellStyle name="Normal 13 36 2 4" xfId="32205" xr:uid="{00000000-0005-0000-0000-0000FF550000}"/>
    <cellStyle name="Normal 13 36 3" xfId="7287" xr:uid="{00000000-0005-0000-0000-000000560000}"/>
    <cellStyle name="Normal 13 36 3 2" xfId="24179" xr:uid="{00000000-0005-0000-0000-000001560000}"/>
    <cellStyle name="Normal 13 36 3 2 2" xfId="40232" xr:uid="{00000000-0005-0000-0000-000002560000}"/>
    <cellStyle name="Normal 13 36 3 3" xfId="30511" xr:uid="{00000000-0005-0000-0000-000003560000}"/>
    <cellStyle name="Normal 13 36 4" xfId="18166" xr:uid="{00000000-0005-0000-0000-000004560000}"/>
    <cellStyle name="Normal 13 36 5" xfId="11086" xr:uid="{00000000-0005-0000-0000-000005560000}"/>
    <cellStyle name="Normal 13 36 5 2" xfId="34789" xr:uid="{00000000-0005-0000-0000-000006560000}"/>
    <cellStyle name="Normal 13 36 6" xfId="33898" xr:uid="{00000000-0005-0000-0000-000007560000}"/>
    <cellStyle name="Normal 13 37" xfId="3703" xr:uid="{00000000-0005-0000-0000-000008560000}"/>
    <cellStyle name="Normal 13 37 2" xfId="5591" xr:uid="{00000000-0005-0000-0000-000009560000}"/>
    <cellStyle name="Normal 13 37 2 2" xfId="9006" xr:uid="{00000000-0005-0000-0000-00000A560000}"/>
    <cellStyle name="Normal 13 37 2 2 2" xfId="21248" xr:uid="{00000000-0005-0000-0000-00000B560000}"/>
    <cellStyle name="Normal 13 37 2 2 2 2" xfId="37328" xr:uid="{00000000-0005-0000-0000-00000C560000}"/>
    <cellStyle name="Normal 13 37 2 2 3" xfId="28792" xr:uid="{00000000-0005-0000-0000-00000D560000}"/>
    <cellStyle name="Normal 13 37 2 3" xfId="23883" xr:uid="{00000000-0005-0000-0000-00000E560000}"/>
    <cellStyle name="Normal 13 37 2 3 2" xfId="39939" xr:uid="{00000000-0005-0000-0000-00000F560000}"/>
    <cellStyle name="Normal 13 37 2 4" xfId="32183" xr:uid="{00000000-0005-0000-0000-000010560000}"/>
    <cellStyle name="Normal 13 37 3" xfId="7309" xr:uid="{00000000-0005-0000-0000-000011560000}"/>
    <cellStyle name="Normal 13 37 3 2" xfId="20735" xr:uid="{00000000-0005-0000-0000-000012560000}"/>
    <cellStyle name="Normal 13 37 3 2 2" xfId="36834" xr:uid="{00000000-0005-0000-0000-000013560000}"/>
    <cellStyle name="Normal 13 37 3 3" xfId="30489" xr:uid="{00000000-0005-0000-0000-000014560000}"/>
    <cellStyle name="Normal 13 37 4" xfId="17987" xr:uid="{00000000-0005-0000-0000-000015560000}"/>
    <cellStyle name="Normal 13 37 5" xfId="11079" xr:uid="{00000000-0005-0000-0000-000016560000}"/>
    <cellStyle name="Normal 13 37 5 2" xfId="34782" xr:uid="{00000000-0005-0000-0000-000017560000}"/>
    <cellStyle name="Normal 13 37 6" xfId="33876" xr:uid="{00000000-0005-0000-0000-000018560000}"/>
    <cellStyle name="Normal 13 38" xfId="3659" xr:uid="{00000000-0005-0000-0000-000019560000}"/>
    <cellStyle name="Normal 13 38 2" xfId="5573" xr:uid="{00000000-0005-0000-0000-00001A560000}"/>
    <cellStyle name="Normal 13 38 2 2" xfId="8988" xr:uid="{00000000-0005-0000-0000-00001B560000}"/>
    <cellStyle name="Normal 13 38 2 2 2" xfId="21904" xr:uid="{00000000-0005-0000-0000-00001C560000}"/>
    <cellStyle name="Normal 13 38 2 2 2 2" xfId="37979" xr:uid="{00000000-0005-0000-0000-00001D560000}"/>
    <cellStyle name="Normal 13 38 2 2 3" xfId="28810" xr:uid="{00000000-0005-0000-0000-00001E560000}"/>
    <cellStyle name="Normal 13 38 2 3" xfId="23879" xr:uid="{00000000-0005-0000-0000-00001F560000}"/>
    <cellStyle name="Normal 13 38 2 3 2" xfId="39935" xr:uid="{00000000-0005-0000-0000-000020560000}"/>
    <cellStyle name="Normal 13 38 2 4" xfId="32201" xr:uid="{00000000-0005-0000-0000-000021560000}"/>
    <cellStyle name="Normal 13 38 3" xfId="7291" xr:uid="{00000000-0005-0000-0000-000022560000}"/>
    <cellStyle name="Normal 13 38 3 2" xfId="20726" xr:uid="{00000000-0005-0000-0000-000023560000}"/>
    <cellStyle name="Normal 13 38 3 2 2" xfId="36825" xr:uid="{00000000-0005-0000-0000-000024560000}"/>
    <cellStyle name="Normal 13 38 3 3" xfId="30507" xr:uid="{00000000-0005-0000-0000-000025560000}"/>
    <cellStyle name="Normal 13 38 4" xfId="18167" xr:uid="{00000000-0005-0000-0000-000026560000}"/>
    <cellStyle name="Normal 13 38 5" xfId="23767" xr:uid="{00000000-0005-0000-0000-000027560000}"/>
    <cellStyle name="Normal 13 38 5 2" xfId="39823" xr:uid="{00000000-0005-0000-0000-000028560000}"/>
    <cellStyle name="Normal 13 38 6" xfId="33894" xr:uid="{00000000-0005-0000-0000-000029560000}"/>
    <cellStyle name="Normal 13 39" xfId="4116" xr:uid="{00000000-0005-0000-0000-00002A560000}"/>
    <cellStyle name="Normal 13 39 2" xfId="5969" xr:uid="{00000000-0005-0000-0000-00002B560000}"/>
    <cellStyle name="Normal 13 39 2 2" xfId="9384" xr:uid="{00000000-0005-0000-0000-00002C560000}"/>
    <cellStyle name="Normal 13 39 2 2 2" xfId="24506" xr:uid="{00000000-0005-0000-0000-00002D560000}"/>
    <cellStyle name="Normal 13 39 2 2 2 2" xfId="40550" xr:uid="{00000000-0005-0000-0000-00002E560000}"/>
    <cellStyle name="Normal 13 39 2 2 3" xfId="28414" xr:uid="{00000000-0005-0000-0000-00002F560000}"/>
    <cellStyle name="Normal 13 39 2 3" xfId="23952" xr:uid="{00000000-0005-0000-0000-000030560000}"/>
    <cellStyle name="Normal 13 39 2 3 2" xfId="40006" xr:uid="{00000000-0005-0000-0000-000031560000}"/>
    <cellStyle name="Normal 13 39 2 4" xfId="31809" xr:uid="{00000000-0005-0000-0000-000032560000}"/>
    <cellStyle name="Normal 13 39 3" xfId="7699" xr:uid="{00000000-0005-0000-0000-000033560000}"/>
    <cellStyle name="Normal 13 39 3 2" xfId="21848" xr:uid="{00000000-0005-0000-0000-000034560000}"/>
    <cellStyle name="Normal 13 39 3 2 2" xfId="37924" xr:uid="{00000000-0005-0000-0000-000035560000}"/>
    <cellStyle name="Normal 13 39 3 3" xfId="30100" xr:uid="{00000000-0005-0000-0000-000036560000}"/>
    <cellStyle name="Normal 13 39 4" xfId="17986" xr:uid="{00000000-0005-0000-0000-000037560000}"/>
    <cellStyle name="Normal 13 39 5" xfId="22801" xr:uid="{00000000-0005-0000-0000-000038560000}"/>
    <cellStyle name="Normal 13 39 5 2" xfId="38870" xr:uid="{00000000-0005-0000-0000-000039560000}"/>
    <cellStyle name="Normal 13 39 6" xfId="33486" xr:uid="{00000000-0005-0000-0000-00003A560000}"/>
    <cellStyle name="Normal 13 4" xfId="1402" xr:uid="{00000000-0005-0000-0000-00003B560000}"/>
    <cellStyle name="Normal 13 4 2" xfId="1403" xr:uid="{00000000-0005-0000-0000-00003C560000}"/>
    <cellStyle name="Normal 13 40" xfId="4131" xr:uid="{00000000-0005-0000-0000-00003D560000}"/>
    <cellStyle name="Normal 13 40 2" xfId="5984" xr:uid="{00000000-0005-0000-0000-00003E560000}"/>
    <cellStyle name="Normal 13 40 2 2" xfId="9399" xr:uid="{00000000-0005-0000-0000-00003F560000}"/>
    <cellStyle name="Normal 13 40 2 2 2" xfId="24509" xr:uid="{00000000-0005-0000-0000-000040560000}"/>
    <cellStyle name="Normal 13 40 2 2 2 2" xfId="40553" xr:uid="{00000000-0005-0000-0000-000041560000}"/>
    <cellStyle name="Normal 13 40 2 2 3" xfId="28399" xr:uid="{00000000-0005-0000-0000-000042560000}"/>
    <cellStyle name="Normal 13 40 2 3" xfId="22100" xr:uid="{00000000-0005-0000-0000-000043560000}"/>
    <cellStyle name="Normal 13 40 2 3 2" xfId="38174" xr:uid="{00000000-0005-0000-0000-000044560000}"/>
    <cellStyle name="Normal 13 40 2 4" xfId="31794" xr:uid="{00000000-0005-0000-0000-000045560000}"/>
    <cellStyle name="Normal 13 40 3" xfId="7714" xr:uid="{00000000-0005-0000-0000-000046560000}"/>
    <cellStyle name="Normal 13 40 3 2" xfId="21851" xr:uid="{00000000-0005-0000-0000-000047560000}"/>
    <cellStyle name="Normal 13 40 3 2 2" xfId="37927" xr:uid="{00000000-0005-0000-0000-000048560000}"/>
    <cellStyle name="Normal 13 40 3 3" xfId="30085" xr:uid="{00000000-0005-0000-0000-000049560000}"/>
    <cellStyle name="Normal 13 40 4" xfId="18168" xr:uid="{00000000-0005-0000-0000-00004A560000}"/>
    <cellStyle name="Normal 13 40 5" xfId="19974" xr:uid="{00000000-0005-0000-0000-00004B560000}"/>
    <cellStyle name="Normal 13 40 5 2" xfId="36078" xr:uid="{00000000-0005-0000-0000-00004C560000}"/>
    <cellStyle name="Normal 13 40 6" xfId="33471" xr:uid="{00000000-0005-0000-0000-00004D560000}"/>
    <cellStyle name="Normal 13 41" xfId="4130" xr:uid="{00000000-0005-0000-0000-00004E560000}"/>
    <cellStyle name="Normal 13 41 2" xfId="5983" xr:uid="{00000000-0005-0000-0000-00004F560000}"/>
    <cellStyle name="Normal 13 41 2 2" xfId="9398" xr:uid="{00000000-0005-0000-0000-000050560000}"/>
    <cellStyle name="Normal 13 41 2 2 2" xfId="21376" xr:uid="{00000000-0005-0000-0000-000051560000}"/>
    <cellStyle name="Normal 13 41 2 2 2 2" xfId="37456" xr:uid="{00000000-0005-0000-0000-000052560000}"/>
    <cellStyle name="Normal 13 41 2 2 3" xfId="28400" xr:uid="{00000000-0005-0000-0000-000053560000}"/>
    <cellStyle name="Normal 13 41 2 3" xfId="23955" xr:uid="{00000000-0005-0000-0000-000054560000}"/>
    <cellStyle name="Normal 13 41 2 3 2" xfId="40009" xr:uid="{00000000-0005-0000-0000-000055560000}"/>
    <cellStyle name="Normal 13 41 2 4" xfId="31795" xr:uid="{00000000-0005-0000-0000-000056560000}"/>
    <cellStyle name="Normal 13 41 3" xfId="7713" xr:uid="{00000000-0005-0000-0000-000057560000}"/>
    <cellStyle name="Normal 13 41 3 2" xfId="24256" xr:uid="{00000000-0005-0000-0000-000058560000}"/>
    <cellStyle name="Normal 13 41 3 2 2" xfId="40309" xr:uid="{00000000-0005-0000-0000-000059560000}"/>
    <cellStyle name="Normal 13 41 3 3" xfId="30086" xr:uid="{00000000-0005-0000-0000-00005A560000}"/>
    <cellStyle name="Normal 13 41 4" xfId="17985" xr:uid="{00000000-0005-0000-0000-00005B560000}"/>
    <cellStyle name="Normal 13 41 5" xfId="22802" xr:uid="{00000000-0005-0000-0000-00005C560000}"/>
    <cellStyle name="Normal 13 41 5 2" xfId="38871" xr:uid="{00000000-0005-0000-0000-00005D560000}"/>
    <cellStyle name="Normal 13 41 6" xfId="33472" xr:uid="{00000000-0005-0000-0000-00005E560000}"/>
    <cellStyle name="Normal 13 42" xfId="4112" xr:uid="{00000000-0005-0000-0000-00005F560000}"/>
    <cellStyle name="Normal 13 42 2" xfId="5965" xr:uid="{00000000-0005-0000-0000-000060560000}"/>
    <cellStyle name="Normal 13 42 2 2" xfId="9380" xr:uid="{00000000-0005-0000-0000-000061560000}"/>
    <cellStyle name="Normal 13 42 2 2 2" xfId="21946" xr:uid="{00000000-0005-0000-0000-000062560000}"/>
    <cellStyle name="Normal 13 42 2 2 2 2" xfId="38021" xr:uid="{00000000-0005-0000-0000-000063560000}"/>
    <cellStyle name="Normal 13 42 2 2 3" xfId="28418" xr:uid="{00000000-0005-0000-0000-000064560000}"/>
    <cellStyle name="Normal 13 42 2 3" xfId="23951" xr:uid="{00000000-0005-0000-0000-000065560000}"/>
    <cellStyle name="Normal 13 42 2 3 2" xfId="40005" xr:uid="{00000000-0005-0000-0000-000066560000}"/>
    <cellStyle name="Normal 13 42 2 4" xfId="31813" xr:uid="{00000000-0005-0000-0000-000067560000}"/>
    <cellStyle name="Normal 13 42 3" xfId="7695" xr:uid="{00000000-0005-0000-0000-000068560000}"/>
    <cellStyle name="Normal 13 42 3 2" xfId="23250" xr:uid="{00000000-0005-0000-0000-000069560000}"/>
    <cellStyle name="Normal 13 42 3 2 2" xfId="39318" xr:uid="{00000000-0005-0000-0000-00006A560000}"/>
    <cellStyle name="Normal 13 42 3 3" xfId="30104" xr:uid="{00000000-0005-0000-0000-00006B560000}"/>
    <cellStyle name="Normal 13 42 4" xfId="18169" xr:uid="{00000000-0005-0000-0000-00006C560000}"/>
    <cellStyle name="Normal 13 42 5" xfId="11023" xr:uid="{00000000-0005-0000-0000-00006D560000}"/>
    <cellStyle name="Normal 13 42 5 2" xfId="34736" xr:uid="{00000000-0005-0000-0000-00006E560000}"/>
    <cellStyle name="Normal 13 42 6" xfId="33490" xr:uid="{00000000-0005-0000-0000-00006F560000}"/>
    <cellStyle name="Normal 13 43" xfId="4122" xr:uid="{00000000-0005-0000-0000-000070560000}"/>
    <cellStyle name="Normal 13 43 10" xfId="47226" xr:uid="{00000000-0005-0000-0000-000071560000}"/>
    <cellStyle name="Normal 13 43 2" xfId="5975" xr:uid="{00000000-0005-0000-0000-000072560000}"/>
    <cellStyle name="Normal 13 43 2 2" xfId="9390" xr:uid="{00000000-0005-0000-0000-000073560000}"/>
    <cellStyle name="Normal 13 43 2 2 2" xfId="21796" xr:uid="{00000000-0005-0000-0000-000074560000}"/>
    <cellStyle name="Normal 13 43 2 2 2 2" xfId="37872" xr:uid="{00000000-0005-0000-0000-000075560000}"/>
    <cellStyle name="Normal 13 43 2 2 3" xfId="28408" xr:uid="{00000000-0005-0000-0000-000076560000}"/>
    <cellStyle name="Normal 13 43 2 3" xfId="23953" xr:uid="{00000000-0005-0000-0000-000077560000}"/>
    <cellStyle name="Normal 13 43 2 3 2" xfId="40007" xr:uid="{00000000-0005-0000-0000-000078560000}"/>
    <cellStyle name="Normal 13 43 2 4" xfId="31803" xr:uid="{00000000-0005-0000-0000-000079560000}"/>
    <cellStyle name="Normal 13 43 2 5" xfId="41689" xr:uid="{00000000-0005-0000-0000-00007A560000}"/>
    <cellStyle name="Normal 13 43 2 6" xfId="43229" xr:uid="{00000000-0005-0000-0000-00007B560000}"/>
    <cellStyle name="Normal 13 43 2 7" xfId="46069" xr:uid="{00000000-0005-0000-0000-00007C560000}"/>
    <cellStyle name="Normal 13 43 2 8" xfId="46832" xr:uid="{00000000-0005-0000-0000-00007D560000}"/>
    <cellStyle name="Normal 13 43 2 9" xfId="47420" xr:uid="{00000000-0005-0000-0000-00007E560000}"/>
    <cellStyle name="Normal 13 43 3" xfId="7705" xr:uid="{00000000-0005-0000-0000-00007F560000}"/>
    <cellStyle name="Normal 13 43 3 2" xfId="23252" xr:uid="{00000000-0005-0000-0000-000080560000}"/>
    <cellStyle name="Normal 13 43 3 2 2" xfId="39320" xr:uid="{00000000-0005-0000-0000-000081560000}"/>
    <cellStyle name="Normal 13 43 3 3" xfId="30094" xr:uid="{00000000-0005-0000-0000-000082560000}"/>
    <cellStyle name="Normal 13 43 3 4" xfId="44056" xr:uid="{00000000-0005-0000-0000-000083560000}"/>
    <cellStyle name="Normal 13 43 4" xfId="15132" xr:uid="{00000000-0005-0000-0000-000084560000}"/>
    <cellStyle name="Normal 13 43 4 2" xfId="35323" xr:uid="{00000000-0005-0000-0000-000085560000}"/>
    <cellStyle name="Normal 13 43 5" xfId="24953" xr:uid="{00000000-0005-0000-0000-000086560000}"/>
    <cellStyle name="Normal 13 43 6" xfId="25417" xr:uid="{00000000-0005-0000-0000-000087560000}"/>
    <cellStyle name="Normal 13 43 7" xfId="33480" xr:uid="{00000000-0005-0000-0000-000088560000}"/>
    <cellStyle name="Normal 13 43 8" xfId="43681" xr:uid="{00000000-0005-0000-0000-000089560000}"/>
    <cellStyle name="Normal 13 43 9" xfId="46591" xr:uid="{00000000-0005-0000-0000-00008A560000}"/>
    <cellStyle name="Normal 13 44" xfId="4119" xr:uid="{00000000-0005-0000-0000-00008B560000}"/>
    <cellStyle name="Normal 13 44 10" xfId="47238" xr:uid="{00000000-0005-0000-0000-00008C560000}"/>
    <cellStyle name="Normal 13 44 2" xfId="5972" xr:uid="{00000000-0005-0000-0000-00008D560000}"/>
    <cellStyle name="Normal 13 44 2 2" xfId="9387" xr:uid="{00000000-0005-0000-0000-00008E560000}"/>
    <cellStyle name="Normal 13 44 2 2 2" xfId="21371" xr:uid="{00000000-0005-0000-0000-00008F560000}"/>
    <cellStyle name="Normal 13 44 2 2 2 2" xfId="37451" xr:uid="{00000000-0005-0000-0000-000090560000}"/>
    <cellStyle name="Normal 13 44 2 2 3" xfId="28411" xr:uid="{00000000-0005-0000-0000-000091560000}"/>
    <cellStyle name="Normal 13 44 2 3" xfId="20271" xr:uid="{00000000-0005-0000-0000-000092560000}"/>
    <cellStyle name="Normal 13 44 2 3 2" xfId="36370" xr:uid="{00000000-0005-0000-0000-000093560000}"/>
    <cellStyle name="Normal 13 44 2 4" xfId="31806" xr:uid="{00000000-0005-0000-0000-000094560000}"/>
    <cellStyle name="Normal 13 44 2 5" xfId="41996" xr:uid="{00000000-0005-0000-0000-000095560000}"/>
    <cellStyle name="Normal 13 44 2 6" xfId="43237" xr:uid="{00000000-0005-0000-0000-000096560000}"/>
    <cellStyle name="Normal 13 44 2 7" xfId="46083" xr:uid="{00000000-0005-0000-0000-000097560000}"/>
    <cellStyle name="Normal 13 44 2 8" xfId="46850" xr:uid="{00000000-0005-0000-0000-000098560000}"/>
    <cellStyle name="Normal 13 44 2 9" xfId="47434" xr:uid="{00000000-0005-0000-0000-000099560000}"/>
    <cellStyle name="Normal 13 44 3" xfId="7702" xr:uid="{00000000-0005-0000-0000-00009A560000}"/>
    <cellStyle name="Normal 13 44 3 2" xfId="20872" xr:uid="{00000000-0005-0000-0000-00009B560000}"/>
    <cellStyle name="Normal 13 44 3 2 2" xfId="36971" xr:uid="{00000000-0005-0000-0000-00009C560000}"/>
    <cellStyle name="Normal 13 44 3 3" xfId="30097" xr:uid="{00000000-0005-0000-0000-00009D560000}"/>
    <cellStyle name="Normal 13 44 3 4" xfId="44057" xr:uid="{00000000-0005-0000-0000-00009E560000}"/>
    <cellStyle name="Normal 13 44 4" xfId="15440" xr:uid="{00000000-0005-0000-0000-00009F560000}"/>
    <cellStyle name="Normal 13 44 4 2" xfId="35332" xr:uid="{00000000-0005-0000-0000-0000A0560000}"/>
    <cellStyle name="Normal 13 44 5" xfId="24973" xr:uid="{00000000-0005-0000-0000-0000A1560000}"/>
    <cellStyle name="Normal 13 44 6" xfId="25418" xr:uid="{00000000-0005-0000-0000-0000A2560000}"/>
    <cellStyle name="Normal 13 44 7" xfId="33483" xr:uid="{00000000-0005-0000-0000-0000A3560000}"/>
    <cellStyle name="Normal 13 44 8" xfId="43693" xr:uid="{00000000-0005-0000-0000-0000A4560000}"/>
    <cellStyle name="Normal 13 44 9" xfId="46611" xr:uid="{00000000-0005-0000-0000-0000A5560000}"/>
    <cellStyle name="Normal 13 45" xfId="4117" xr:uid="{00000000-0005-0000-0000-0000A6560000}"/>
    <cellStyle name="Normal 13 45 10" xfId="47411" xr:uid="{00000000-0005-0000-0000-0000A7560000}"/>
    <cellStyle name="Normal 13 45 2" xfId="5970" xr:uid="{00000000-0005-0000-0000-0000A8560000}"/>
    <cellStyle name="Normal 13 45 2 2" xfId="9385" xr:uid="{00000000-0005-0000-0000-0000A9560000}"/>
    <cellStyle name="Normal 13 45 2 2 2" xfId="21795" xr:uid="{00000000-0005-0000-0000-0000AA560000}"/>
    <cellStyle name="Normal 13 45 2 2 2 2" xfId="37871" xr:uid="{00000000-0005-0000-0000-0000AB560000}"/>
    <cellStyle name="Normal 13 45 2 2 3" xfId="28413" xr:uid="{00000000-0005-0000-0000-0000AC560000}"/>
    <cellStyle name="Normal 13 45 2 3" xfId="22299" xr:uid="{00000000-0005-0000-0000-0000AD560000}"/>
    <cellStyle name="Normal 13 45 2 3 2" xfId="38371" xr:uid="{00000000-0005-0000-0000-0000AE560000}"/>
    <cellStyle name="Normal 13 45 2 4" xfId="31808" xr:uid="{00000000-0005-0000-0000-0000AF560000}"/>
    <cellStyle name="Normal 13 45 2 5" xfId="43129" xr:uid="{00000000-0005-0000-0000-0000B0560000}"/>
    <cellStyle name="Normal 13 45 2 6" xfId="43401" xr:uid="{00000000-0005-0000-0000-0000B1560000}"/>
    <cellStyle name="Normal 13 45 2 7" xfId="46250" xr:uid="{00000000-0005-0000-0000-0000B2560000}"/>
    <cellStyle name="Normal 13 45 2 8" xfId="47021" xr:uid="{00000000-0005-0000-0000-0000B3560000}"/>
    <cellStyle name="Normal 13 45 2 9" xfId="47607" xr:uid="{00000000-0005-0000-0000-0000B4560000}"/>
    <cellStyle name="Normal 13 45 3" xfId="7700" xr:uid="{00000000-0005-0000-0000-0000B5560000}"/>
    <cellStyle name="Normal 13 45 3 2" xfId="23251" xr:uid="{00000000-0005-0000-0000-0000B6560000}"/>
    <cellStyle name="Normal 13 45 3 2 2" xfId="39319" xr:uid="{00000000-0005-0000-0000-0000B7560000}"/>
    <cellStyle name="Normal 13 45 3 3" xfId="30099" xr:uid="{00000000-0005-0000-0000-0000B8560000}"/>
    <cellStyle name="Normal 13 45 3 4" xfId="44058" xr:uid="{00000000-0005-0000-0000-0000B9560000}"/>
    <cellStyle name="Normal 13 45 4" xfId="19374" xr:uid="{00000000-0005-0000-0000-0000BA560000}"/>
    <cellStyle name="Normal 13 45 4 2" xfId="35496" xr:uid="{00000000-0005-0000-0000-0000BB560000}"/>
    <cellStyle name="Normal 13 45 5" xfId="25222" xr:uid="{00000000-0005-0000-0000-0000BC560000}"/>
    <cellStyle name="Normal 13 45 6" xfId="25419" xr:uid="{00000000-0005-0000-0000-0000BD560000}"/>
    <cellStyle name="Normal 13 45 7" xfId="33485" xr:uid="{00000000-0005-0000-0000-0000BE560000}"/>
    <cellStyle name="Normal 13 45 8" xfId="43862" xr:uid="{00000000-0005-0000-0000-0000BF560000}"/>
    <cellStyle name="Normal 13 45 9" xfId="46789" xr:uid="{00000000-0005-0000-0000-0000C0560000}"/>
    <cellStyle name="Normal 13 46" xfId="4156" xr:uid="{00000000-0005-0000-0000-0000C1560000}"/>
    <cellStyle name="Normal 13 46 10" xfId="47228" xr:uid="{00000000-0005-0000-0000-0000C2560000}"/>
    <cellStyle name="Normal 13 46 2" xfId="6007" xr:uid="{00000000-0005-0000-0000-0000C3560000}"/>
    <cellStyle name="Normal 13 46 2 2" xfId="9422" xr:uid="{00000000-0005-0000-0000-0000C4560000}"/>
    <cellStyle name="Normal 13 46 2 2 2" xfId="22610" xr:uid="{00000000-0005-0000-0000-0000C5560000}"/>
    <cellStyle name="Normal 13 46 2 2 2 2" xfId="38679" xr:uid="{00000000-0005-0000-0000-0000C6560000}"/>
    <cellStyle name="Normal 13 46 2 2 3" xfId="28376" xr:uid="{00000000-0005-0000-0000-0000C7560000}"/>
    <cellStyle name="Normal 13 46 2 3" xfId="22956" xr:uid="{00000000-0005-0000-0000-0000C8560000}"/>
    <cellStyle name="Normal 13 46 2 3 2" xfId="39025" xr:uid="{00000000-0005-0000-0000-0000C9560000}"/>
    <cellStyle name="Normal 13 46 2 4" xfId="31771" xr:uid="{00000000-0005-0000-0000-0000CA560000}"/>
    <cellStyle name="Normal 13 46 2 5" xfId="41696" xr:uid="{00000000-0005-0000-0000-0000CB560000}"/>
    <cellStyle name="Normal 13 46 2 6" xfId="43230" xr:uid="{00000000-0005-0000-0000-0000CC560000}"/>
    <cellStyle name="Normal 13 46 2 7" xfId="46070" xr:uid="{00000000-0005-0000-0000-0000CD560000}"/>
    <cellStyle name="Normal 13 46 2 8" xfId="46833" xr:uid="{00000000-0005-0000-0000-0000CE560000}"/>
    <cellStyle name="Normal 13 46 2 9" xfId="47422" xr:uid="{00000000-0005-0000-0000-0000CF560000}"/>
    <cellStyle name="Normal 13 46 3" xfId="7737" xr:uid="{00000000-0005-0000-0000-0000D0560000}"/>
    <cellStyle name="Normal 13 46 3 2" xfId="20886" xr:uid="{00000000-0005-0000-0000-0000D1560000}"/>
    <cellStyle name="Normal 13 46 3 2 2" xfId="36985" xr:uid="{00000000-0005-0000-0000-0000D2560000}"/>
    <cellStyle name="Normal 13 46 3 3" xfId="30062" xr:uid="{00000000-0005-0000-0000-0000D3560000}"/>
    <cellStyle name="Normal 13 46 3 4" xfId="44059" xr:uid="{00000000-0005-0000-0000-0000D4560000}"/>
    <cellStyle name="Normal 13 46 4" xfId="15139" xr:uid="{00000000-0005-0000-0000-0000D5560000}"/>
    <cellStyle name="Normal 13 46 4 2" xfId="35324" xr:uid="{00000000-0005-0000-0000-0000D6560000}"/>
    <cellStyle name="Normal 13 46 5" xfId="24954" xr:uid="{00000000-0005-0000-0000-0000D7560000}"/>
    <cellStyle name="Normal 13 46 6" xfId="25420" xr:uid="{00000000-0005-0000-0000-0000D8560000}"/>
    <cellStyle name="Normal 13 46 7" xfId="33449" xr:uid="{00000000-0005-0000-0000-0000D9560000}"/>
    <cellStyle name="Normal 13 46 8" xfId="43682" xr:uid="{00000000-0005-0000-0000-0000DA560000}"/>
    <cellStyle name="Normal 13 46 9" xfId="46593" xr:uid="{00000000-0005-0000-0000-0000DB560000}"/>
    <cellStyle name="Normal 13 47" xfId="4195" xr:uid="{00000000-0005-0000-0000-0000DC560000}"/>
    <cellStyle name="Normal 13 47 2" xfId="6034" xr:uid="{00000000-0005-0000-0000-0000DD560000}"/>
    <cellStyle name="Normal 13 47 2 2" xfId="9449" xr:uid="{00000000-0005-0000-0000-0000DE560000}"/>
    <cellStyle name="Normal 13 47 2 2 2" xfId="19406" xr:uid="{00000000-0005-0000-0000-0000DF560000}"/>
    <cellStyle name="Normal 13 47 2 2 2 2" xfId="35520" xr:uid="{00000000-0005-0000-0000-0000E0560000}"/>
    <cellStyle name="Normal 13 47 2 2 3" xfId="28349" xr:uid="{00000000-0005-0000-0000-0000E1560000}"/>
    <cellStyle name="Normal 13 47 2 3" xfId="22962" xr:uid="{00000000-0005-0000-0000-0000E2560000}"/>
    <cellStyle name="Normal 13 47 2 3 2" xfId="39031" xr:uid="{00000000-0005-0000-0000-0000E3560000}"/>
    <cellStyle name="Normal 13 47 2 4" xfId="31744" xr:uid="{00000000-0005-0000-0000-0000E4560000}"/>
    <cellStyle name="Normal 13 47 3" xfId="7767" xr:uid="{00000000-0005-0000-0000-0000E5560000}"/>
    <cellStyle name="Normal 13 47 3 2" xfId="24659" xr:uid="{00000000-0005-0000-0000-0000E6560000}"/>
    <cellStyle name="Normal 13 47 3 2 2" xfId="40702" xr:uid="{00000000-0005-0000-0000-0000E7560000}"/>
    <cellStyle name="Normal 13 47 3 3" xfId="30032" xr:uid="{00000000-0005-0000-0000-0000E8560000}"/>
    <cellStyle name="Normal 13 47 4" xfId="19981" xr:uid="{00000000-0005-0000-0000-0000E9560000}"/>
    <cellStyle name="Normal 13 47 4 2" xfId="36085" xr:uid="{00000000-0005-0000-0000-0000EA560000}"/>
    <cellStyle name="Normal 13 47 5" xfId="25421" xr:uid="{00000000-0005-0000-0000-0000EB560000}"/>
    <cellStyle name="Normal 13 47 6" xfId="33420" xr:uid="{00000000-0005-0000-0000-0000EC560000}"/>
    <cellStyle name="Normal 13 48" xfId="4192" xr:uid="{00000000-0005-0000-0000-0000ED560000}"/>
    <cellStyle name="Normal 13 48 2" xfId="6031" xr:uid="{00000000-0005-0000-0000-0000EE560000}"/>
    <cellStyle name="Normal 13 48 2 2" xfId="9446" xr:uid="{00000000-0005-0000-0000-0000EF560000}"/>
    <cellStyle name="Normal 13 48 2 2 2" xfId="23690" xr:uid="{00000000-0005-0000-0000-0000F0560000}"/>
    <cellStyle name="Normal 13 48 2 2 2 2" xfId="39746" xr:uid="{00000000-0005-0000-0000-0000F1560000}"/>
    <cellStyle name="Normal 13 48 2 2 3" xfId="28352" xr:uid="{00000000-0005-0000-0000-0000F2560000}"/>
    <cellStyle name="Normal 13 48 2 3" xfId="20294" xr:uid="{00000000-0005-0000-0000-0000F3560000}"/>
    <cellStyle name="Normal 13 48 2 3 2" xfId="36393" xr:uid="{00000000-0005-0000-0000-0000F4560000}"/>
    <cellStyle name="Normal 13 48 2 4" xfId="31747" xr:uid="{00000000-0005-0000-0000-0000F5560000}"/>
    <cellStyle name="Normal 13 48 3" xfId="7764" xr:uid="{00000000-0005-0000-0000-0000F6560000}"/>
    <cellStyle name="Normal 13 48 3 2" xfId="23264" xr:uid="{00000000-0005-0000-0000-0000F7560000}"/>
    <cellStyle name="Normal 13 48 3 2 2" xfId="39332" xr:uid="{00000000-0005-0000-0000-0000F8560000}"/>
    <cellStyle name="Normal 13 48 3 3" xfId="30035" xr:uid="{00000000-0005-0000-0000-0000F9560000}"/>
    <cellStyle name="Normal 13 48 4" xfId="12411" xr:uid="{00000000-0005-0000-0000-0000FA560000}"/>
    <cellStyle name="Normal 13 48 4 2" xfId="35224" xr:uid="{00000000-0005-0000-0000-0000FB560000}"/>
    <cellStyle name="Normal 13 48 5" xfId="25422" xr:uid="{00000000-0005-0000-0000-0000FC560000}"/>
    <cellStyle name="Normal 13 48 6" xfId="33423" xr:uid="{00000000-0005-0000-0000-0000FD560000}"/>
    <cellStyle name="Normal 13 49" xfId="4355" xr:uid="{00000000-0005-0000-0000-0000FE560000}"/>
    <cellStyle name="Normal 13 49 2" xfId="6184" xr:uid="{00000000-0005-0000-0000-0000FF560000}"/>
    <cellStyle name="Normal 13 49 2 2" xfId="9598" xr:uid="{00000000-0005-0000-0000-000000570000}"/>
    <cellStyle name="Normal 13 49 2 2 2" xfId="21432" xr:uid="{00000000-0005-0000-0000-000001570000}"/>
    <cellStyle name="Normal 13 49 2 2 2 2" xfId="37512" xr:uid="{00000000-0005-0000-0000-000002570000}"/>
    <cellStyle name="Normal 13 49 2 2 3" xfId="28200" xr:uid="{00000000-0005-0000-0000-000003570000}"/>
    <cellStyle name="Normal 13 49 2 3" xfId="22991" xr:uid="{00000000-0005-0000-0000-000004570000}"/>
    <cellStyle name="Normal 13 49 2 3 2" xfId="39060" xr:uid="{00000000-0005-0000-0000-000005570000}"/>
    <cellStyle name="Normal 13 49 2 4" xfId="31598" xr:uid="{00000000-0005-0000-0000-000006570000}"/>
    <cellStyle name="Normal 13 49 3" xfId="7917" xr:uid="{00000000-0005-0000-0000-000007570000}"/>
    <cellStyle name="Normal 13 49 3 2" xfId="20943" xr:uid="{00000000-0005-0000-0000-000008570000}"/>
    <cellStyle name="Normal 13 49 3 2 2" xfId="37039" xr:uid="{00000000-0005-0000-0000-000009570000}"/>
    <cellStyle name="Normal 13 49 3 3" xfId="29882" xr:uid="{00000000-0005-0000-0000-00000A570000}"/>
    <cellStyle name="Normal 13 49 4" xfId="19645" xr:uid="{00000000-0005-0000-0000-00000B570000}"/>
    <cellStyle name="Normal 13 49 4 2" xfId="35759" xr:uid="{00000000-0005-0000-0000-00000C570000}"/>
    <cellStyle name="Normal 13 49 5" xfId="25423" xr:uid="{00000000-0005-0000-0000-00000D570000}"/>
    <cellStyle name="Normal 13 49 6" xfId="33270" xr:uid="{00000000-0005-0000-0000-00000E570000}"/>
    <cellStyle name="Normal 13 5" xfId="1404" xr:uid="{00000000-0005-0000-0000-00000F570000}"/>
    <cellStyle name="Normal 13 5 2" xfId="1405" xr:uid="{00000000-0005-0000-0000-000010570000}"/>
    <cellStyle name="Normal 13 50" xfId="4193" xr:uid="{00000000-0005-0000-0000-000011570000}"/>
    <cellStyle name="Normal 13 50 2" xfId="6032" xr:uid="{00000000-0005-0000-0000-000012570000}"/>
    <cellStyle name="Normal 13 50 2 2" xfId="9447" xr:uid="{00000000-0005-0000-0000-000013570000}"/>
    <cellStyle name="Normal 13 50 2 2 2" xfId="22612" xr:uid="{00000000-0005-0000-0000-000014570000}"/>
    <cellStyle name="Normal 13 50 2 2 2 2" xfId="38681" xr:uid="{00000000-0005-0000-0000-000015570000}"/>
    <cellStyle name="Normal 13 50 2 2 3" xfId="28351" xr:uid="{00000000-0005-0000-0000-000016570000}"/>
    <cellStyle name="Normal 13 50 2 3" xfId="23965" xr:uid="{00000000-0005-0000-0000-000017570000}"/>
    <cellStyle name="Normal 13 50 2 3 2" xfId="40019" xr:uid="{00000000-0005-0000-0000-000018570000}"/>
    <cellStyle name="Normal 13 50 2 4" xfId="31746" xr:uid="{00000000-0005-0000-0000-000019570000}"/>
    <cellStyle name="Normal 13 50 3" xfId="7765" xr:uid="{00000000-0005-0000-0000-00001A570000}"/>
    <cellStyle name="Normal 13 50 3 2" xfId="21671" xr:uid="{00000000-0005-0000-0000-00001B570000}"/>
    <cellStyle name="Normal 13 50 3 2 2" xfId="37751" xr:uid="{00000000-0005-0000-0000-00001C570000}"/>
    <cellStyle name="Normal 13 50 3 3" xfId="30034" xr:uid="{00000000-0005-0000-0000-00001D570000}"/>
    <cellStyle name="Normal 13 50 4" xfId="21834" xr:uid="{00000000-0005-0000-0000-00001E570000}"/>
    <cellStyle name="Normal 13 50 4 2" xfId="37910" xr:uid="{00000000-0005-0000-0000-00001F570000}"/>
    <cellStyle name="Normal 13 50 5" xfId="25424" xr:uid="{00000000-0005-0000-0000-000020570000}"/>
    <cellStyle name="Normal 13 50 6" xfId="33422" xr:uid="{00000000-0005-0000-0000-000021570000}"/>
    <cellStyle name="Normal 13 51" xfId="4228" xr:uid="{00000000-0005-0000-0000-000022570000}"/>
    <cellStyle name="Normal 13 51 2" xfId="6061" xr:uid="{00000000-0005-0000-0000-000023570000}"/>
    <cellStyle name="Normal 13 51 2 2" xfId="9476" xr:uid="{00000000-0005-0000-0000-000024570000}"/>
    <cellStyle name="Normal 13 51 2 2 2" xfId="22614" xr:uid="{00000000-0005-0000-0000-000025570000}"/>
    <cellStyle name="Normal 13 51 2 2 2 2" xfId="38683" xr:uid="{00000000-0005-0000-0000-000026570000}"/>
    <cellStyle name="Normal 13 51 2 2 3" xfId="28322" xr:uid="{00000000-0005-0000-0000-000027570000}"/>
    <cellStyle name="Normal 13 51 2 3" xfId="20306" xr:uid="{00000000-0005-0000-0000-000028570000}"/>
    <cellStyle name="Normal 13 51 2 3 2" xfId="36405" xr:uid="{00000000-0005-0000-0000-000029570000}"/>
    <cellStyle name="Normal 13 51 2 4" xfId="31717" xr:uid="{00000000-0005-0000-0000-00002A570000}"/>
    <cellStyle name="Normal 13 51 3" xfId="7795" xr:uid="{00000000-0005-0000-0000-00002B570000}"/>
    <cellStyle name="Normal 13 51 3 2" xfId="22570" xr:uid="{00000000-0005-0000-0000-00002C570000}"/>
    <cellStyle name="Normal 13 51 3 2 2" xfId="38639" xr:uid="{00000000-0005-0000-0000-00002D570000}"/>
    <cellStyle name="Normal 13 51 3 3" xfId="30004" xr:uid="{00000000-0005-0000-0000-00002E570000}"/>
    <cellStyle name="Normal 13 51 4" xfId="19987" xr:uid="{00000000-0005-0000-0000-00002F570000}"/>
    <cellStyle name="Normal 13 51 4 2" xfId="36091" xr:uid="{00000000-0005-0000-0000-000030570000}"/>
    <cellStyle name="Normal 13 51 5" xfId="25425" xr:uid="{00000000-0005-0000-0000-000031570000}"/>
    <cellStyle name="Normal 13 51 6" xfId="33392" xr:uid="{00000000-0005-0000-0000-000032570000}"/>
    <cellStyle name="Normal 13 52" xfId="4132" xr:uid="{00000000-0005-0000-0000-000033570000}"/>
    <cellStyle name="Normal 13 52 2" xfId="5985" xr:uid="{00000000-0005-0000-0000-000034570000}"/>
    <cellStyle name="Normal 13 52 2 2" xfId="9400" xr:uid="{00000000-0005-0000-0000-000035570000}"/>
    <cellStyle name="Normal 13 52 2 2 2" xfId="21947" xr:uid="{00000000-0005-0000-0000-000036570000}"/>
    <cellStyle name="Normal 13 52 2 2 2 2" xfId="38022" xr:uid="{00000000-0005-0000-0000-000037570000}"/>
    <cellStyle name="Normal 13 52 2 2 3" xfId="28398" xr:uid="{00000000-0005-0000-0000-000038570000}"/>
    <cellStyle name="Normal 13 52 2 3" xfId="22952" xr:uid="{00000000-0005-0000-0000-000039570000}"/>
    <cellStyle name="Normal 13 52 2 3 2" xfId="39021" xr:uid="{00000000-0005-0000-0000-00003A570000}"/>
    <cellStyle name="Normal 13 52 2 4" xfId="31793" xr:uid="{00000000-0005-0000-0000-00003B570000}"/>
    <cellStyle name="Normal 13 52 3" xfId="7715" xr:uid="{00000000-0005-0000-0000-00003C570000}"/>
    <cellStyle name="Normal 13 52 3 2" xfId="23254" xr:uid="{00000000-0005-0000-0000-00003D570000}"/>
    <cellStyle name="Normal 13 52 3 2 2" xfId="39322" xr:uid="{00000000-0005-0000-0000-00003E570000}"/>
    <cellStyle name="Normal 13 52 3 3" xfId="30084" xr:uid="{00000000-0005-0000-0000-00003F570000}"/>
    <cellStyle name="Normal 13 52 4" xfId="11004" xr:uid="{00000000-0005-0000-0000-000040570000}"/>
    <cellStyle name="Normal 13 52 4 2" xfId="34733" xr:uid="{00000000-0005-0000-0000-000041570000}"/>
    <cellStyle name="Normal 13 52 5" xfId="25426" xr:uid="{00000000-0005-0000-0000-000042570000}"/>
    <cellStyle name="Normal 13 52 6" xfId="33470" xr:uid="{00000000-0005-0000-0000-000043570000}"/>
    <cellStyle name="Normal 13 53" xfId="4148" xr:uid="{00000000-0005-0000-0000-000044570000}"/>
    <cellStyle name="Normal 13 53 2" xfId="5999" xr:uid="{00000000-0005-0000-0000-000045570000}"/>
    <cellStyle name="Normal 13 53 2 2" xfId="9414" xr:uid="{00000000-0005-0000-0000-000046570000}"/>
    <cellStyle name="Normal 13 53 2 2 2" xfId="11675" xr:uid="{00000000-0005-0000-0000-000047570000}"/>
    <cellStyle name="Normal 13 53 2 2 2 2" xfId="34834" xr:uid="{00000000-0005-0000-0000-000048570000}"/>
    <cellStyle name="Normal 13 53 2 2 3" xfId="28384" xr:uid="{00000000-0005-0000-0000-000049570000}"/>
    <cellStyle name="Normal 13 53 2 3" xfId="23958" xr:uid="{00000000-0005-0000-0000-00004A570000}"/>
    <cellStyle name="Normal 13 53 2 3 2" xfId="40012" xr:uid="{00000000-0005-0000-0000-00004B570000}"/>
    <cellStyle name="Normal 13 53 2 4" xfId="31779" xr:uid="{00000000-0005-0000-0000-00004C570000}"/>
    <cellStyle name="Normal 13 53 3" xfId="7729" xr:uid="{00000000-0005-0000-0000-00004D570000}"/>
    <cellStyle name="Normal 13 53 3 2" xfId="23257" xr:uid="{00000000-0005-0000-0000-00004E570000}"/>
    <cellStyle name="Normal 13 53 3 2 2" xfId="39325" xr:uid="{00000000-0005-0000-0000-00004F570000}"/>
    <cellStyle name="Normal 13 53 3 3" xfId="30070" xr:uid="{00000000-0005-0000-0000-000050570000}"/>
    <cellStyle name="Normal 13 53 4" xfId="12416" xr:uid="{00000000-0005-0000-0000-000051570000}"/>
    <cellStyle name="Normal 13 53 4 2" xfId="35226" xr:uid="{00000000-0005-0000-0000-000052570000}"/>
    <cellStyle name="Normal 13 53 5" xfId="25427" xr:uid="{00000000-0005-0000-0000-000053570000}"/>
    <cellStyle name="Normal 13 53 6" xfId="33457" xr:uid="{00000000-0005-0000-0000-000054570000}"/>
    <cellStyle name="Normal 13 54" xfId="4186" xr:uid="{00000000-0005-0000-0000-000055570000}"/>
    <cellStyle name="Normal 13 54 2" xfId="6233" xr:uid="{00000000-0005-0000-0000-000056570000}"/>
    <cellStyle name="Normal 13 54 2 2" xfId="9643" xr:uid="{00000000-0005-0000-0000-000057570000}"/>
    <cellStyle name="Normal 13 54 2 2 2" xfId="21967" xr:uid="{00000000-0005-0000-0000-000058570000}"/>
    <cellStyle name="Normal 13 54 2 2 2 2" xfId="38042" xr:uid="{00000000-0005-0000-0000-000059570000}"/>
    <cellStyle name="Normal 13 54 2 2 3" xfId="28156" xr:uid="{00000000-0005-0000-0000-00005A570000}"/>
    <cellStyle name="Normal 13 54 2 3" xfId="20374" xr:uid="{00000000-0005-0000-0000-00005B570000}"/>
    <cellStyle name="Normal 13 54 2 3 2" xfId="36473" xr:uid="{00000000-0005-0000-0000-00005C570000}"/>
    <cellStyle name="Normal 13 54 2 4" xfId="31557" xr:uid="{00000000-0005-0000-0000-00005D570000}"/>
    <cellStyle name="Normal 13 54 3" xfId="7759" xr:uid="{00000000-0005-0000-0000-00005E570000}"/>
    <cellStyle name="Normal 13 54 3 2" xfId="23263" xr:uid="{00000000-0005-0000-0000-00005F570000}"/>
    <cellStyle name="Normal 13 54 3 2 2" xfId="39331" xr:uid="{00000000-0005-0000-0000-000060570000}"/>
    <cellStyle name="Normal 13 54 3 3" xfId="30040" xr:uid="{00000000-0005-0000-0000-000061570000}"/>
    <cellStyle name="Normal 13 54 4" xfId="10992" xr:uid="{00000000-0005-0000-0000-000062570000}"/>
    <cellStyle name="Normal 13 54 4 2" xfId="34726" xr:uid="{00000000-0005-0000-0000-000063570000}"/>
    <cellStyle name="Normal 13 54 5" xfId="25428" xr:uid="{00000000-0005-0000-0000-000064570000}"/>
    <cellStyle name="Normal 13 54 6" xfId="33427" xr:uid="{00000000-0005-0000-0000-000065570000}"/>
    <cellStyle name="Normal 13 55" xfId="4222" xr:uid="{00000000-0005-0000-0000-000066570000}"/>
    <cellStyle name="Normal 13 55 2" xfId="6234" xr:uid="{00000000-0005-0000-0000-000067570000}"/>
    <cellStyle name="Normal 13 55 2 2" xfId="9644" xr:uid="{00000000-0005-0000-0000-000068570000}"/>
    <cellStyle name="Normal 13 55 2 2 2" xfId="23537" xr:uid="{00000000-0005-0000-0000-000069570000}"/>
    <cellStyle name="Normal 13 55 2 2 2 2" xfId="39593" xr:uid="{00000000-0005-0000-0000-00006A570000}"/>
    <cellStyle name="Normal 13 55 2 2 3" xfId="28155" xr:uid="{00000000-0005-0000-0000-00006B570000}"/>
    <cellStyle name="Normal 13 55 2 3" xfId="24002" xr:uid="{00000000-0005-0000-0000-00006C570000}"/>
    <cellStyle name="Normal 13 55 2 3 2" xfId="40055" xr:uid="{00000000-0005-0000-0000-00006D570000}"/>
    <cellStyle name="Normal 13 55 2 4" xfId="31556" xr:uid="{00000000-0005-0000-0000-00006E570000}"/>
    <cellStyle name="Normal 13 55 3" xfId="7792" xr:uid="{00000000-0005-0000-0000-00006F570000}"/>
    <cellStyle name="Normal 13 55 3 2" xfId="20904" xr:uid="{00000000-0005-0000-0000-000070570000}"/>
    <cellStyle name="Normal 13 55 3 2 2" xfId="37003" xr:uid="{00000000-0005-0000-0000-000071570000}"/>
    <cellStyle name="Normal 13 55 3 3" xfId="30007" xr:uid="{00000000-0005-0000-0000-000072570000}"/>
    <cellStyle name="Normal 13 55 4" xfId="23808" xr:uid="{00000000-0005-0000-0000-000073570000}"/>
    <cellStyle name="Normal 13 55 4 2" xfId="39864" xr:uid="{00000000-0005-0000-0000-000074570000}"/>
    <cellStyle name="Normal 13 55 5" xfId="25429" xr:uid="{00000000-0005-0000-0000-000075570000}"/>
    <cellStyle name="Normal 13 55 6" xfId="33395" xr:uid="{00000000-0005-0000-0000-000076570000}"/>
    <cellStyle name="Normal 13 56" xfId="4460" xr:uid="{00000000-0005-0000-0000-000077570000}"/>
    <cellStyle name="Normal 13 56 2" xfId="6257" xr:uid="{00000000-0005-0000-0000-000078570000}"/>
    <cellStyle name="Normal 13 56 2 2" xfId="9667" xr:uid="{00000000-0005-0000-0000-000079570000}"/>
    <cellStyle name="Normal 13 56 2 2 2" xfId="21447" xr:uid="{00000000-0005-0000-0000-00007A570000}"/>
    <cellStyle name="Normal 13 56 2 2 2 2" xfId="37527" xr:uid="{00000000-0005-0000-0000-00007B570000}"/>
    <cellStyle name="Normal 13 56 2 2 3" xfId="28132" xr:uid="{00000000-0005-0000-0000-00007C570000}"/>
    <cellStyle name="Normal 13 56 2 3" xfId="20383" xr:uid="{00000000-0005-0000-0000-00007D570000}"/>
    <cellStyle name="Normal 13 56 2 3 2" xfId="36482" xr:uid="{00000000-0005-0000-0000-00007E570000}"/>
    <cellStyle name="Normal 13 56 2 4" xfId="31533" xr:uid="{00000000-0005-0000-0000-00007F570000}"/>
    <cellStyle name="Normal 13 56 3" xfId="7963" xr:uid="{00000000-0005-0000-0000-000080570000}"/>
    <cellStyle name="Normal 13 56 3 2" xfId="24298" xr:uid="{00000000-0005-0000-0000-000081570000}"/>
    <cellStyle name="Normal 13 56 3 2 2" xfId="40350" xr:uid="{00000000-0005-0000-0000-000082570000}"/>
    <cellStyle name="Normal 13 56 3 3" xfId="29836" xr:uid="{00000000-0005-0000-0000-000083570000}"/>
    <cellStyle name="Normal 13 56 4" xfId="23822" xr:uid="{00000000-0005-0000-0000-000084570000}"/>
    <cellStyle name="Normal 13 56 4 2" xfId="39878" xr:uid="{00000000-0005-0000-0000-000085570000}"/>
    <cellStyle name="Normal 13 56 5" xfId="25430" xr:uid="{00000000-0005-0000-0000-000086570000}"/>
    <cellStyle name="Normal 13 56 6" xfId="33226" xr:uid="{00000000-0005-0000-0000-000087570000}"/>
    <cellStyle name="Normal 13 57" xfId="4459" xr:uid="{00000000-0005-0000-0000-000088570000}"/>
    <cellStyle name="Normal 13 57 2" xfId="6256" xr:uid="{00000000-0005-0000-0000-000089570000}"/>
    <cellStyle name="Normal 13 57 2 2" xfId="9666" xr:uid="{00000000-0005-0000-0000-00008A570000}"/>
    <cellStyle name="Normal 13 57 2 2 2" xfId="23539" xr:uid="{00000000-0005-0000-0000-00008B570000}"/>
    <cellStyle name="Normal 13 57 2 2 2 2" xfId="39595" xr:uid="{00000000-0005-0000-0000-00008C570000}"/>
    <cellStyle name="Normal 13 57 2 2 3" xfId="28133" xr:uid="{00000000-0005-0000-0000-00008D570000}"/>
    <cellStyle name="Normal 13 57 2 3" xfId="20382" xr:uid="{00000000-0005-0000-0000-00008E570000}"/>
    <cellStyle name="Normal 13 57 2 3 2" xfId="36481" xr:uid="{00000000-0005-0000-0000-00008F570000}"/>
    <cellStyle name="Normal 13 57 2 4" xfId="31534" xr:uid="{00000000-0005-0000-0000-000090570000}"/>
    <cellStyle name="Normal 13 57 3" xfId="7962" xr:uid="{00000000-0005-0000-0000-000091570000}"/>
    <cellStyle name="Normal 13 57 3 2" xfId="20961" xr:uid="{00000000-0005-0000-0000-000092570000}"/>
    <cellStyle name="Normal 13 57 3 2 2" xfId="37057" xr:uid="{00000000-0005-0000-0000-000093570000}"/>
    <cellStyle name="Normal 13 57 3 3" xfId="29837" xr:uid="{00000000-0005-0000-0000-000094570000}"/>
    <cellStyle name="Normal 13 57 4" xfId="12337" xr:uid="{00000000-0005-0000-0000-000095570000}"/>
    <cellStyle name="Normal 13 57 4 2" xfId="35198" xr:uid="{00000000-0005-0000-0000-000096570000}"/>
    <cellStyle name="Normal 13 57 5" xfId="25431" xr:uid="{00000000-0005-0000-0000-000097570000}"/>
    <cellStyle name="Normal 13 57 6" xfId="33227" xr:uid="{00000000-0005-0000-0000-000098570000}"/>
    <cellStyle name="Normal 13 58" xfId="4475" xr:uid="{00000000-0005-0000-0000-000099570000}"/>
    <cellStyle name="Normal 13 58 2" xfId="6272" xr:uid="{00000000-0005-0000-0000-00009A570000}"/>
    <cellStyle name="Normal 13 58 2 2" xfId="9682" xr:uid="{00000000-0005-0000-0000-00009B570000}"/>
    <cellStyle name="Normal 13 58 2 2 2" xfId="23542" xr:uid="{00000000-0005-0000-0000-00009C570000}"/>
    <cellStyle name="Normal 13 58 2 2 2 2" xfId="39598" xr:uid="{00000000-0005-0000-0000-00009D570000}"/>
    <cellStyle name="Normal 13 58 2 2 3" xfId="28117" xr:uid="{00000000-0005-0000-0000-00009E570000}"/>
    <cellStyle name="Normal 13 58 2 3" xfId="24010" xr:uid="{00000000-0005-0000-0000-00009F570000}"/>
    <cellStyle name="Normal 13 58 2 3 2" xfId="40063" xr:uid="{00000000-0005-0000-0000-0000A0570000}"/>
    <cellStyle name="Normal 13 58 2 4" xfId="31518" xr:uid="{00000000-0005-0000-0000-0000A1570000}"/>
    <cellStyle name="Normal 13 58 3" xfId="7978" xr:uid="{00000000-0005-0000-0000-0000A2570000}"/>
    <cellStyle name="Normal 13 58 3 2" xfId="11901" xr:uid="{00000000-0005-0000-0000-0000A3570000}"/>
    <cellStyle name="Normal 13 58 3 2 2" xfId="34937" xr:uid="{00000000-0005-0000-0000-0000A4570000}"/>
    <cellStyle name="Normal 13 58 3 3" xfId="29821" xr:uid="{00000000-0005-0000-0000-0000A5570000}"/>
    <cellStyle name="Normal 13 58 4" xfId="23823" xr:uid="{00000000-0005-0000-0000-0000A6570000}"/>
    <cellStyle name="Normal 13 58 4 2" xfId="39879" xr:uid="{00000000-0005-0000-0000-0000A7570000}"/>
    <cellStyle name="Normal 13 58 5" xfId="25432" xr:uid="{00000000-0005-0000-0000-0000A8570000}"/>
    <cellStyle name="Normal 13 58 6" xfId="33211" xr:uid="{00000000-0005-0000-0000-0000A9570000}"/>
    <cellStyle name="Normal 13 59" xfId="3176" xr:uid="{00000000-0005-0000-0000-0000AA570000}"/>
    <cellStyle name="Normal 13 59 2" xfId="6225" xr:uid="{00000000-0005-0000-0000-0000AB570000}"/>
    <cellStyle name="Normal 13 59 2 2" xfId="9639" xr:uid="{00000000-0005-0000-0000-0000AC570000}"/>
    <cellStyle name="Normal 13 59 2 2 2" xfId="24542" xr:uid="{00000000-0005-0000-0000-0000AD570000}"/>
    <cellStyle name="Normal 13 59 2 2 2 2" xfId="40586" xr:uid="{00000000-0005-0000-0000-0000AE570000}"/>
    <cellStyle name="Normal 13 59 2 2 3" xfId="28160" xr:uid="{00000000-0005-0000-0000-0000AF570000}"/>
    <cellStyle name="Normal 13 59 2 3" xfId="22329" xr:uid="{00000000-0005-0000-0000-0000B0570000}"/>
    <cellStyle name="Normal 13 59 2 3 2" xfId="38401" xr:uid="{00000000-0005-0000-0000-0000B1570000}"/>
    <cellStyle name="Normal 13 59 2 4" xfId="31561" xr:uid="{00000000-0005-0000-0000-0000B2570000}"/>
    <cellStyle name="Normal 13 59 3" xfId="7001" xr:uid="{00000000-0005-0000-0000-0000B3570000}"/>
    <cellStyle name="Normal 13 59 3 2" xfId="23128" xr:uid="{00000000-0005-0000-0000-0000B4570000}"/>
    <cellStyle name="Normal 13 59 3 2 2" xfId="39197" xr:uid="{00000000-0005-0000-0000-0000B5570000}"/>
    <cellStyle name="Normal 13 59 3 3" xfId="30797" xr:uid="{00000000-0005-0000-0000-0000B6570000}"/>
    <cellStyle name="Normal 13 59 4" xfId="22518" xr:uid="{00000000-0005-0000-0000-0000B7570000}"/>
    <cellStyle name="Normal 13 59 4 2" xfId="38588" xr:uid="{00000000-0005-0000-0000-0000B8570000}"/>
    <cellStyle name="Normal 13 59 5" xfId="25433" xr:uid="{00000000-0005-0000-0000-0000B9570000}"/>
    <cellStyle name="Normal 13 59 6" xfId="34185" xr:uid="{00000000-0005-0000-0000-0000BA570000}"/>
    <cellStyle name="Normal 13 6" xfId="1406" xr:uid="{00000000-0005-0000-0000-0000BB570000}"/>
    <cellStyle name="Normal 13 6 2" xfId="1407" xr:uid="{00000000-0005-0000-0000-0000BC570000}"/>
    <cellStyle name="Normal 13 60" xfId="4476" xr:uid="{00000000-0005-0000-0000-0000BD570000}"/>
    <cellStyle name="Normal 13 60 2" xfId="6273" xr:uid="{00000000-0005-0000-0000-0000BE570000}"/>
    <cellStyle name="Normal 13 60 2 2" xfId="9683" xr:uid="{00000000-0005-0000-0000-0000BF570000}"/>
    <cellStyle name="Normal 13 60 2 2 2" xfId="21454" xr:uid="{00000000-0005-0000-0000-0000C0570000}"/>
    <cellStyle name="Normal 13 60 2 2 2 2" xfId="37534" xr:uid="{00000000-0005-0000-0000-0000C1570000}"/>
    <cellStyle name="Normal 13 60 2 2 3" xfId="28116" xr:uid="{00000000-0005-0000-0000-0000C2570000}"/>
    <cellStyle name="Normal 13 60 2 3" xfId="22121" xr:uid="{00000000-0005-0000-0000-0000C3570000}"/>
    <cellStyle name="Normal 13 60 2 3 2" xfId="38195" xr:uid="{00000000-0005-0000-0000-0000C4570000}"/>
    <cellStyle name="Normal 13 60 2 4" xfId="31517" xr:uid="{00000000-0005-0000-0000-0000C5570000}"/>
    <cellStyle name="Normal 13 60 3" xfId="7979" xr:uid="{00000000-0005-0000-0000-0000C6570000}"/>
    <cellStyle name="Normal 13 60 3 2" xfId="10614" xr:uid="{00000000-0005-0000-0000-0000C7570000}"/>
    <cellStyle name="Normal 13 60 3 2 2" xfId="34462" xr:uid="{00000000-0005-0000-0000-0000C8570000}"/>
    <cellStyle name="Normal 13 60 3 3" xfId="29820" xr:uid="{00000000-0005-0000-0000-0000C9570000}"/>
    <cellStyle name="Normal 13 60 4" xfId="22054" xr:uid="{00000000-0005-0000-0000-0000CA570000}"/>
    <cellStyle name="Normal 13 60 4 2" xfId="38128" xr:uid="{00000000-0005-0000-0000-0000CB570000}"/>
    <cellStyle name="Normal 13 60 5" xfId="33210" xr:uid="{00000000-0005-0000-0000-0000CC570000}"/>
    <cellStyle name="Normal 13 60 6" xfId="44049" xr:uid="{00000000-0005-0000-0000-0000CD570000}"/>
    <cellStyle name="Normal 13 61" xfId="4494" xr:uid="{00000000-0005-0000-0000-0000CE570000}"/>
    <cellStyle name="Normal 13 61 2" xfId="6287" xr:uid="{00000000-0005-0000-0000-0000CF570000}"/>
    <cellStyle name="Normal 13 61 2 2" xfId="9697" xr:uid="{00000000-0005-0000-0000-0000D0570000}"/>
    <cellStyle name="Normal 13 61 2 2 2" xfId="21459" xr:uid="{00000000-0005-0000-0000-0000D1570000}"/>
    <cellStyle name="Normal 13 61 2 2 2 2" xfId="37539" xr:uid="{00000000-0005-0000-0000-0000D2570000}"/>
    <cellStyle name="Normal 13 61 2 2 3" xfId="28102" xr:uid="{00000000-0005-0000-0000-0000D3570000}"/>
    <cellStyle name="Normal 13 61 2 3" xfId="24013" xr:uid="{00000000-0005-0000-0000-0000D4570000}"/>
    <cellStyle name="Normal 13 61 2 3 2" xfId="40066" xr:uid="{00000000-0005-0000-0000-0000D5570000}"/>
    <cellStyle name="Normal 13 61 2 4" xfId="31503" xr:uid="{00000000-0005-0000-0000-0000D6570000}"/>
    <cellStyle name="Normal 13 61 3" xfId="7993" xr:uid="{00000000-0005-0000-0000-0000D7570000}"/>
    <cellStyle name="Normal 13 61 3 2" xfId="20967" xr:uid="{00000000-0005-0000-0000-0000D8570000}"/>
    <cellStyle name="Normal 13 61 3 2 2" xfId="37063" xr:uid="{00000000-0005-0000-0000-0000D9570000}"/>
    <cellStyle name="Normal 13 61 3 3" xfId="29805" xr:uid="{00000000-0005-0000-0000-0000DA570000}"/>
    <cellStyle name="Normal 13 61 4" xfId="19660" xr:uid="{00000000-0005-0000-0000-0000DB570000}"/>
    <cellStyle name="Normal 13 61 4 2" xfId="35774" xr:uid="{00000000-0005-0000-0000-0000DC570000}"/>
    <cellStyle name="Normal 13 61 5" xfId="33196" xr:uid="{00000000-0005-0000-0000-0000DD570000}"/>
    <cellStyle name="Normal 13 61 6" xfId="45345" xr:uid="{00000000-0005-0000-0000-0000DE570000}"/>
    <cellStyle name="Normal 13 62" xfId="793" xr:uid="{00000000-0005-0000-0000-0000DF570000}"/>
    <cellStyle name="Normal 13 62 2" xfId="6215" xr:uid="{00000000-0005-0000-0000-0000E0570000}"/>
    <cellStyle name="Normal 13 62 2 2" xfId="9629" xr:uid="{00000000-0005-0000-0000-0000E1570000}"/>
    <cellStyle name="Normal 13 62 2 2 2" xfId="24541" xr:uid="{00000000-0005-0000-0000-0000E2570000}"/>
    <cellStyle name="Normal 13 62 2 2 2 2" xfId="40585" xr:uid="{00000000-0005-0000-0000-0000E3570000}"/>
    <cellStyle name="Normal 13 62 2 2 3" xfId="28170" xr:uid="{00000000-0005-0000-0000-0000E4570000}"/>
    <cellStyle name="Normal 13 62 2 3" xfId="20366" xr:uid="{00000000-0005-0000-0000-0000E5570000}"/>
    <cellStyle name="Normal 13 62 2 3 2" xfId="36465" xr:uid="{00000000-0005-0000-0000-0000E6570000}"/>
    <cellStyle name="Normal 13 62 2 4" xfId="31571" xr:uid="{00000000-0005-0000-0000-0000E7570000}"/>
    <cellStyle name="Normal 13 62 3" xfId="6937" xr:uid="{00000000-0005-0000-0000-0000E8570000}"/>
    <cellStyle name="Normal 13 62 3 2" xfId="20604" xr:uid="{00000000-0005-0000-0000-0000E9570000}"/>
    <cellStyle name="Normal 13 62 3 2 2" xfId="36703" xr:uid="{00000000-0005-0000-0000-0000EA570000}"/>
    <cellStyle name="Normal 13 62 3 3" xfId="30861" xr:uid="{00000000-0005-0000-0000-0000EB570000}"/>
    <cellStyle name="Normal 13 62 4" xfId="19620" xr:uid="{00000000-0005-0000-0000-0000EC570000}"/>
    <cellStyle name="Normal 13 62 4 2" xfId="35734" xr:uid="{00000000-0005-0000-0000-0000ED570000}"/>
    <cellStyle name="Normal 13 62 5" xfId="34249" xr:uid="{00000000-0005-0000-0000-0000EE570000}"/>
    <cellStyle name="Normal 13 62 6" xfId="46268" xr:uid="{00000000-0005-0000-0000-0000EF570000}"/>
    <cellStyle name="Normal 13 63" xfId="949" xr:uid="{00000000-0005-0000-0000-0000F0570000}"/>
    <cellStyle name="Normal 13 63 2" xfId="6218" xr:uid="{00000000-0005-0000-0000-0000F1570000}"/>
    <cellStyle name="Normal 13 63 2 2" xfId="9632" xr:uid="{00000000-0005-0000-0000-0000F2570000}"/>
    <cellStyle name="Normal 13 63 2 2 2" xfId="11642" xr:uid="{00000000-0005-0000-0000-0000F3570000}"/>
    <cellStyle name="Normal 13 63 2 2 2 2" xfId="34817" xr:uid="{00000000-0005-0000-0000-0000F4570000}"/>
    <cellStyle name="Normal 13 63 2 2 3" xfId="28167" xr:uid="{00000000-0005-0000-0000-0000F5570000}"/>
    <cellStyle name="Normal 13 63 2 3" xfId="24000" xr:uid="{00000000-0005-0000-0000-0000F6570000}"/>
    <cellStyle name="Normal 13 63 2 3 2" xfId="40053" xr:uid="{00000000-0005-0000-0000-0000F7570000}"/>
    <cellStyle name="Normal 13 63 2 4" xfId="31568" xr:uid="{00000000-0005-0000-0000-0000F8570000}"/>
    <cellStyle name="Normal 13 63 3" xfId="6955" xr:uid="{00000000-0005-0000-0000-0000F9570000}"/>
    <cellStyle name="Normal 13 63 3 2" xfId="20608" xr:uid="{00000000-0005-0000-0000-0000FA570000}"/>
    <cellStyle name="Normal 13 63 3 2 2" xfId="36707" xr:uid="{00000000-0005-0000-0000-0000FB570000}"/>
    <cellStyle name="Normal 13 63 3 3" xfId="30843" xr:uid="{00000000-0005-0000-0000-0000FC570000}"/>
    <cellStyle name="Normal 13 63 4" xfId="19909" xr:uid="{00000000-0005-0000-0000-0000FD570000}"/>
    <cellStyle name="Normal 13 63 4 2" xfId="36014" xr:uid="{00000000-0005-0000-0000-0000FE570000}"/>
    <cellStyle name="Normal 13 63 5" xfId="34231" xr:uid="{00000000-0005-0000-0000-0000FF570000}"/>
    <cellStyle name="Normal 13 63 6" xfId="45961" xr:uid="{00000000-0005-0000-0000-000000580000}"/>
    <cellStyle name="Normal 13 64" xfId="4500" xr:uid="{00000000-0005-0000-0000-000001580000}"/>
    <cellStyle name="Normal 13 64 2" xfId="6292" xr:uid="{00000000-0005-0000-0000-000002580000}"/>
    <cellStyle name="Normal 13 64 2 2" xfId="9702" xr:uid="{00000000-0005-0000-0000-000003580000}"/>
    <cellStyle name="Normal 13 64 2 2 2" xfId="21461" xr:uid="{00000000-0005-0000-0000-000004580000}"/>
    <cellStyle name="Normal 13 64 2 2 2 2" xfId="37541" xr:uid="{00000000-0005-0000-0000-000005580000}"/>
    <cellStyle name="Normal 13 64 2 2 3" xfId="28097" xr:uid="{00000000-0005-0000-0000-000006580000}"/>
    <cellStyle name="Normal 13 64 2 3" xfId="20397" xr:uid="{00000000-0005-0000-0000-000007580000}"/>
    <cellStyle name="Normal 13 64 2 3 2" xfId="36496" xr:uid="{00000000-0005-0000-0000-000008580000}"/>
    <cellStyle name="Normal 13 64 2 4" xfId="31498" xr:uid="{00000000-0005-0000-0000-000009580000}"/>
    <cellStyle name="Normal 13 64 3" xfId="7998" xr:uid="{00000000-0005-0000-0000-00000A580000}"/>
    <cellStyle name="Normal 13 64 3 2" xfId="24301" xr:uid="{00000000-0005-0000-0000-00000B580000}"/>
    <cellStyle name="Normal 13 64 3 2 2" xfId="40353" xr:uid="{00000000-0005-0000-0000-00000C580000}"/>
    <cellStyle name="Normal 13 64 3 3" xfId="29800" xr:uid="{00000000-0005-0000-0000-00000D580000}"/>
    <cellStyle name="Normal 13 64 4" xfId="20020" xr:uid="{00000000-0005-0000-0000-00000E580000}"/>
    <cellStyle name="Normal 13 64 4 2" xfId="36124" xr:uid="{00000000-0005-0000-0000-00000F580000}"/>
    <cellStyle name="Normal 13 64 5" xfId="33191" xr:uid="{00000000-0005-0000-0000-000010580000}"/>
    <cellStyle name="Normal 13 64 6" xfId="43931" xr:uid="{00000000-0005-0000-0000-000011580000}"/>
    <cellStyle name="Normal 13 65" xfId="479" xr:uid="{00000000-0005-0000-0000-000012580000}"/>
    <cellStyle name="Normal 13 65 2" xfId="6211" xr:uid="{00000000-0005-0000-0000-000013580000}"/>
    <cellStyle name="Normal 13 65 2 2" xfId="9625" xr:uid="{00000000-0005-0000-0000-000014580000}"/>
    <cellStyle name="Normal 13 65 2 2 2" xfId="21441" xr:uid="{00000000-0005-0000-0000-000015580000}"/>
    <cellStyle name="Normal 13 65 2 2 2 2" xfId="37521" xr:uid="{00000000-0005-0000-0000-000016580000}"/>
    <cellStyle name="Normal 13 65 2 2 3" xfId="28174" xr:uid="{00000000-0005-0000-0000-000017580000}"/>
    <cellStyle name="Normal 13 65 2 3" xfId="20365" xr:uid="{00000000-0005-0000-0000-000018580000}"/>
    <cellStyle name="Normal 13 65 2 3 2" xfId="36464" xr:uid="{00000000-0005-0000-0000-000019580000}"/>
    <cellStyle name="Normal 13 65 2 4" xfId="31575" xr:uid="{00000000-0005-0000-0000-00001A580000}"/>
    <cellStyle name="Normal 13 65 3" xfId="6918" xr:uid="{00000000-0005-0000-0000-00001B580000}"/>
    <cellStyle name="Normal 13 65 3 2" xfId="10646" xr:uid="{00000000-0005-0000-0000-00001C580000}"/>
    <cellStyle name="Normal 13 65 3 2 2" xfId="34494" xr:uid="{00000000-0005-0000-0000-00001D580000}"/>
    <cellStyle name="Normal 13 65 3 3" xfId="30880" xr:uid="{00000000-0005-0000-0000-00001E580000}"/>
    <cellStyle name="Normal 13 65 4" xfId="13048" xr:uid="{00000000-0005-0000-0000-00001F580000}"/>
    <cellStyle name="Normal 13 65 4 2" xfId="35302" xr:uid="{00000000-0005-0000-0000-000020580000}"/>
    <cellStyle name="Normal 13 65 5" xfId="34268" xr:uid="{00000000-0005-0000-0000-000021580000}"/>
    <cellStyle name="Normal 13 65 6" xfId="46270" xr:uid="{00000000-0005-0000-0000-000022580000}"/>
    <cellStyle name="Normal 13 66" xfId="4501" xr:uid="{00000000-0005-0000-0000-000023580000}"/>
    <cellStyle name="Normal 13 66 2" xfId="6293" xr:uid="{00000000-0005-0000-0000-000024580000}"/>
    <cellStyle name="Normal 13 66 2 2" xfId="9703" xr:uid="{00000000-0005-0000-0000-000025580000}"/>
    <cellStyle name="Normal 13 66 2 2 2" xfId="21462" xr:uid="{00000000-0005-0000-0000-000026580000}"/>
    <cellStyle name="Normal 13 66 2 2 2 2" xfId="37542" xr:uid="{00000000-0005-0000-0000-000027580000}"/>
    <cellStyle name="Normal 13 66 2 2 3" xfId="28096" xr:uid="{00000000-0005-0000-0000-000028580000}"/>
    <cellStyle name="Normal 13 66 2 3" xfId="24014" xr:uid="{00000000-0005-0000-0000-000029580000}"/>
    <cellStyle name="Normal 13 66 2 3 2" xfId="40067" xr:uid="{00000000-0005-0000-0000-00002A580000}"/>
    <cellStyle name="Normal 13 66 2 4" xfId="31497" xr:uid="{00000000-0005-0000-0000-00002B580000}"/>
    <cellStyle name="Normal 13 66 3" xfId="7999" xr:uid="{00000000-0005-0000-0000-00002C580000}"/>
    <cellStyle name="Normal 13 66 3 2" xfId="10610" xr:uid="{00000000-0005-0000-0000-00002D580000}"/>
    <cellStyle name="Normal 13 66 3 2 2" xfId="34458" xr:uid="{00000000-0005-0000-0000-00002E580000}"/>
    <cellStyle name="Normal 13 66 3 3" xfId="29799" xr:uid="{00000000-0005-0000-0000-00002F580000}"/>
    <cellStyle name="Normal 13 66 4" xfId="10967" xr:uid="{00000000-0005-0000-0000-000030580000}"/>
    <cellStyle name="Normal 13 66 4 2" xfId="34704" xr:uid="{00000000-0005-0000-0000-000031580000}"/>
    <cellStyle name="Normal 13 66 5" xfId="33190" xr:uid="{00000000-0005-0000-0000-000032580000}"/>
    <cellStyle name="Normal 13 66 6" xfId="46263" xr:uid="{00000000-0005-0000-0000-000033580000}"/>
    <cellStyle name="Normal 13 67" xfId="4529" xr:uid="{00000000-0005-0000-0000-000034580000}"/>
    <cellStyle name="Normal 13 67 2" xfId="6321" xr:uid="{00000000-0005-0000-0000-000035580000}"/>
    <cellStyle name="Normal 13 67 2 2" xfId="9731" xr:uid="{00000000-0005-0000-0000-000036580000}"/>
    <cellStyle name="Normal 13 67 2 2 2" xfId="10390" xr:uid="{00000000-0005-0000-0000-000037580000}"/>
    <cellStyle name="Normal 13 67 2 2 2 2" xfId="34340" xr:uid="{00000000-0005-0000-0000-000038580000}"/>
    <cellStyle name="Normal 13 67 2 2 3" xfId="28068" xr:uid="{00000000-0005-0000-0000-000039580000}"/>
    <cellStyle name="Normal 13 67 2 3" xfId="23016" xr:uid="{00000000-0005-0000-0000-00003A580000}"/>
    <cellStyle name="Normal 13 67 2 3 2" xfId="39085" xr:uid="{00000000-0005-0000-0000-00003B580000}"/>
    <cellStyle name="Normal 13 67 2 4" xfId="31469" xr:uid="{00000000-0005-0000-0000-00003C580000}"/>
    <cellStyle name="Normal 13 67 3" xfId="8027" xr:uid="{00000000-0005-0000-0000-00003D580000}"/>
    <cellStyle name="Normal 13 67 3 2" xfId="20977" xr:uid="{00000000-0005-0000-0000-00003E580000}"/>
    <cellStyle name="Normal 13 67 3 2 2" xfId="37073" xr:uid="{00000000-0005-0000-0000-00003F580000}"/>
    <cellStyle name="Normal 13 67 3 3" xfId="29771" xr:uid="{00000000-0005-0000-0000-000040580000}"/>
    <cellStyle name="Normal 13 67 4" xfId="10955" xr:uid="{00000000-0005-0000-0000-000041580000}"/>
    <cellStyle name="Normal 13 67 4 2" xfId="34697" xr:uid="{00000000-0005-0000-0000-000042580000}"/>
    <cellStyle name="Normal 13 67 5" xfId="33162" xr:uid="{00000000-0005-0000-0000-000043580000}"/>
    <cellStyle name="Normal 13 67 6" xfId="45295" xr:uid="{00000000-0005-0000-0000-000044580000}"/>
    <cellStyle name="Normal 13 68" xfId="4544" xr:uid="{00000000-0005-0000-0000-000045580000}"/>
    <cellStyle name="Normal 13 68 2" xfId="6336" xr:uid="{00000000-0005-0000-0000-000046580000}"/>
    <cellStyle name="Normal 13 68 2 2" xfId="9746" xr:uid="{00000000-0005-0000-0000-000047580000}"/>
    <cellStyle name="Normal 13 68 2 2 2" xfId="21472" xr:uid="{00000000-0005-0000-0000-000048580000}"/>
    <cellStyle name="Normal 13 68 2 2 2 2" xfId="37552" xr:uid="{00000000-0005-0000-0000-000049580000}"/>
    <cellStyle name="Normal 13 68 2 2 3" xfId="28053" xr:uid="{00000000-0005-0000-0000-00004A580000}"/>
    <cellStyle name="Normal 13 68 2 3" xfId="22341" xr:uid="{00000000-0005-0000-0000-00004B580000}"/>
    <cellStyle name="Normal 13 68 2 3 2" xfId="38413" xr:uid="{00000000-0005-0000-0000-00004C580000}"/>
    <cellStyle name="Normal 13 68 2 4" xfId="31454" xr:uid="{00000000-0005-0000-0000-00004D580000}"/>
    <cellStyle name="Normal 13 68 3" xfId="8042" xr:uid="{00000000-0005-0000-0000-00004E580000}"/>
    <cellStyle name="Normal 13 68 3 2" xfId="24307" xr:uid="{00000000-0005-0000-0000-00004F580000}"/>
    <cellStyle name="Normal 13 68 3 2 2" xfId="40358" xr:uid="{00000000-0005-0000-0000-000050580000}"/>
    <cellStyle name="Normal 13 68 3 3" xfId="29756" xr:uid="{00000000-0005-0000-0000-000051580000}"/>
    <cellStyle name="Normal 13 68 4" xfId="10951" xr:uid="{00000000-0005-0000-0000-000052580000}"/>
    <cellStyle name="Normal 13 68 4 2" xfId="34693" xr:uid="{00000000-0005-0000-0000-000053580000}"/>
    <cellStyle name="Normal 13 68 5" xfId="33147" xr:uid="{00000000-0005-0000-0000-000054580000}"/>
    <cellStyle name="Normal 13 68 6" xfId="43866" xr:uid="{00000000-0005-0000-0000-000055580000}"/>
    <cellStyle name="Normal 13 69" xfId="4506" xr:uid="{00000000-0005-0000-0000-000056580000}"/>
    <cellStyle name="Normal 13 69 2" xfId="6298" xr:uid="{00000000-0005-0000-0000-000057580000}"/>
    <cellStyle name="Normal 13 69 2 2" xfId="9708" xr:uid="{00000000-0005-0000-0000-000058580000}"/>
    <cellStyle name="Normal 13 69 2 2 2" xfId="21464" xr:uid="{00000000-0005-0000-0000-000059580000}"/>
    <cellStyle name="Normal 13 69 2 2 2 2" xfId="37544" xr:uid="{00000000-0005-0000-0000-00005A580000}"/>
    <cellStyle name="Normal 13 69 2 2 3" xfId="28091" xr:uid="{00000000-0005-0000-0000-00005B580000}"/>
    <cellStyle name="Normal 13 69 2 3" xfId="20400" xr:uid="{00000000-0005-0000-0000-00005C580000}"/>
    <cellStyle name="Normal 13 69 2 3 2" xfId="36499" xr:uid="{00000000-0005-0000-0000-00005D580000}"/>
    <cellStyle name="Normal 13 69 2 4" xfId="31492" xr:uid="{00000000-0005-0000-0000-00005E580000}"/>
    <cellStyle name="Normal 13 69 3" xfId="8004" xr:uid="{00000000-0005-0000-0000-00005F580000}"/>
    <cellStyle name="Normal 13 69 3 2" xfId="19859" xr:uid="{00000000-0005-0000-0000-000060580000}"/>
    <cellStyle name="Normal 13 69 3 2 2" xfId="35972" xr:uid="{00000000-0005-0000-0000-000061580000}"/>
    <cellStyle name="Normal 13 69 3 3" xfId="29794" xr:uid="{00000000-0005-0000-0000-000062580000}"/>
    <cellStyle name="Normal 13 69 4" xfId="23825" xr:uid="{00000000-0005-0000-0000-000063580000}"/>
    <cellStyle name="Normal 13 69 4 2" xfId="39881" xr:uid="{00000000-0005-0000-0000-000064580000}"/>
    <cellStyle name="Normal 13 69 5" xfId="33185" xr:uid="{00000000-0005-0000-0000-000065580000}"/>
    <cellStyle name="Normal 13 69 6" xfId="44913" xr:uid="{00000000-0005-0000-0000-000066580000}"/>
    <cellStyle name="Normal 13 7" xfId="1408" xr:uid="{00000000-0005-0000-0000-000067580000}"/>
    <cellStyle name="Normal 13 7 2" xfId="1409" xr:uid="{00000000-0005-0000-0000-000068580000}"/>
    <cellStyle name="Normal 13 70" xfId="4554" xr:uid="{00000000-0005-0000-0000-000069580000}"/>
    <cellStyle name="Normal 13 70 2" xfId="6345" xr:uid="{00000000-0005-0000-0000-00006A580000}"/>
    <cellStyle name="Normal 13 70 2 2" xfId="9755" xr:uid="{00000000-0005-0000-0000-00006B580000}"/>
    <cellStyle name="Normal 13 70 2 2 2" xfId="23552" xr:uid="{00000000-0005-0000-0000-00006C580000}"/>
    <cellStyle name="Normal 13 70 2 2 2 2" xfId="39608" xr:uid="{00000000-0005-0000-0000-00006D580000}"/>
    <cellStyle name="Normal 13 70 2 2 3" xfId="28044" xr:uid="{00000000-0005-0000-0000-00006E580000}"/>
    <cellStyle name="Normal 13 70 2 3" xfId="24023" xr:uid="{00000000-0005-0000-0000-00006F580000}"/>
    <cellStyle name="Normal 13 70 2 3 2" xfId="40076" xr:uid="{00000000-0005-0000-0000-000070580000}"/>
    <cellStyle name="Normal 13 70 2 4" xfId="31445" xr:uid="{00000000-0005-0000-0000-000071580000}"/>
    <cellStyle name="Normal 13 70 3" xfId="8051" xr:uid="{00000000-0005-0000-0000-000072580000}"/>
    <cellStyle name="Normal 13 70 3 2" xfId="23306" xr:uid="{00000000-0005-0000-0000-000073580000}"/>
    <cellStyle name="Normal 13 70 3 2 2" xfId="39373" xr:uid="{00000000-0005-0000-0000-000074580000}"/>
    <cellStyle name="Normal 13 70 3 3" xfId="29747" xr:uid="{00000000-0005-0000-0000-000075580000}"/>
    <cellStyle name="Normal 13 70 4" xfId="12301" xr:uid="{00000000-0005-0000-0000-000076580000}"/>
    <cellStyle name="Normal 13 70 4 2" xfId="35177" xr:uid="{00000000-0005-0000-0000-000077580000}"/>
    <cellStyle name="Normal 13 70 5" xfId="33138" xr:uid="{00000000-0005-0000-0000-000078580000}"/>
    <cellStyle name="Normal 13 70 6" xfId="45541" xr:uid="{00000000-0005-0000-0000-000079580000}"/>
    <cellStyle name="Normal 13 71" xfId="4559" xr:uid="{00000000-0005-0000-0000-00007A580000}"/>
    <cellStyle name="Normal 13 71 2" xfId="6350" xr:uid="{00000000-0005-0000-0000-00007B580000}"/>
    <cellStyle name="Normal 13 71 2 2" xfId="9760" xr:uid="{00000000-0005-0000-0000-00007C580000}"/>
    <cellStyle name="Normal 13 71 2 2 2" xfId="21474" xr:uid="{00000000-0005-0000-0000-00007D580000}"/>
    <cellStyle name="Normal 13 71 2 2 2 2" xfId="37554" xr:uid="{00000000-0005-0000-0000-00007E580000}"/>
    <cellStyle name="Normal 13 71 2 2 3" xfId="28039" xr:uid="{00000000-0005-0000-0000-00007F580000}"/>
    <cellStyle name="Normal 13 71 2 3" xfId="22342" xr:uid="{00000000-0005-0000-0000-000080580000}"/>
    <cellStyle name="Normal 13 71 2 3 2" xfId="38414" xr:uid="{00000000-0005-0000-0000-000081580000}"/>
    <cellStyle name="Normal 13 71 2 4" xfId="31440" xr:uid="{00000000-0005-0000-0000-000082580000}"/>
    <cellStyle name="Normal 13 71 3" xfId="8056" xr:uid="{00000000-0005-0000-0000-000083580000}"/>
    <cellStyle name="Normal 13 71 3 2" xfId="24309" xr:uid="{00000000-0005-0000-0000-000084580000}"/>
    <cellStyle name="Normal 13 71 3 2 2" xfId="40360" xr:uid="{00000000-0005-0000-0000-000085580000}"/>
    <cellStyle name="Normal 13 71 3 3" xfId="29742" xr:uid="{00000000-0005-0000-0000-000086580000}"/>
    <cellStyle name="Normal 13 71 4" xfId="23757" xr:uid="{00000000-0005-0000-0000-000087580000}"/>
    <cellStyle name="Normal 13 71 4 2" xfId="39813" xr:uid="{00000000-0005-0000-0000-000088580000}"/>
    <cellStyle name="Normal 13 71 5" xfId="33133" xr:uid="{00000000-0005-0000-0000-000089580000}"/>
    <cellStyle name="Normal 13 71 6" xfId="46254" xr:uid="{00000000-0005-0000-0000-00008A580000}"/>
    <cellStyle name="Normal 13 72" xfId="4533" xr:uid="{00000000-0005-0000-0000-00008B580000}"/>
    <cellStyle name="Normal 13 72 2" xfId="6325" xr:uid="{00000000-0005-0000-0000-00008C580000}"/>
    <cellStyle name="Normal 13 72 2 2" xfId="9735" xr:uid="{00000000-0005-0000-0000-00008D580000}"/>
    <cellStyle name="Normal 13 72 2 2 2" xfId="21470" xr:uid="{00000000-0005-0000-0000-00008E580000}"/>
    <cellStyle name="Normal 13 72 2 2 2 2" xfId="37550" xr:uid="{00000000-0005-0000-0000-00008F580000}"/>
    <cellStyle name="Normal 13 72 2 2 3" xfId="28064" xr:uid="{00000000-0005-0000-0000-000090580000}"/>
    <cellStyle name="Normal 13 72 2 3" xfId="23017" xr:uid="{00000000-0005-0000-0000-000091580000}"/>
    <cellStyle name="Normal 13 72 2 3 2" xfId="39086" xr:uid="{00000000-0005-0000-0000-000092580000}"/>
    <cellStyle name="Normal 13 72 2 4" xfId="31465" xr:uid="{00000000-0005-0000-0000-000093580000}"/>
    <cellStyle name="Normal 13 72 3" xfId="8031" xr:uid="{00000000-0005-0000-0000-000094580000}"/>
    <cellStyle name="Normal 13 72 3 2" xfId="10609" xr:uid="{00000000-0005-0000-0000-000095580000}"/>
    <cellStyle name="Normal 13 72 3 2 2" xfId="34457" xr:uid="{00000000-0005-0000-0000-000096580000}"/>
    <cellStyle name="Normal 13 72 3 3" xfId="29767" xr:uid="{00000000-0005-0000-0000-000097580000}"/>
    <cellStyle name="Normal 13 72 4" xfId="10950" xr:uid="{00000000-0005-0000-0000-000098580000}"/>
    <cellStyle name="Normal 13 72 4 2" xfId="34692" xr:uid="{00000000-0005-0000-0000-000099580000}"/>
    <cellStyle name="Normal 13 72 5" xfId="33158" xr:uid="{00000000-0005-0000-0000-00009A580000}"/>
    <cellStyle name="Normal 13 72 6" xfId="45669" xr:uid="{00000000-0005-0000-0000-00009B580000}"/>
    <cellStyle name="Normal 13 73" xfId="4532" xr:uid="{00000000-0005-0000-0000-00009C580000}"/>
    <cellStyle name="Normal 13 73 2" xfId="6324" xr:uid="{00000000-0005-0000-0000-00009D580000}"/>
    <cellStyle name="Normal 13 73 2 2" xfId="9734" xr:uid="{00000000-0005-0000-0000-00009E580000}"/>
    <cellStyle name="Normal 13 73 2 2 2" xfId="21469" xr:uid="{00000000-0005-0000-0000-00009F580000}"/>
    <cellStyle name="Normal 13 73 2 2 2 2" xfId="37549" xr:uid="{00000000-0005-0000-0000-0000A0580000}"/>
    <cellStyle name="Normal 13 73 2 2 3" xfId="28065" xr:uid="{00000000-0005-0000-0000-0000A1580000}"/>
    <cellStyle name="Normal 13 73 2 3" xfId="22125" xr:uid="{00000000-0005-0000-0000-0000A2580000}"/>
    <cellStyle name="Normal 13 73 2 3 2" xfId="38199" xr:uid="{00000000-0005-0000-0000-0000A3580000}"/>
    <cellStyle name="Normal 13 73 2 4" xfId="31466" xr:uid="{00000000-0005-0000-0000-0000A4580000}"/>
    <cellStyle name="Normal 13 73 3" xfId="8030" xr:uid="{00000000-0005-0000-0000-0000A5580000}"/>
    <cellStyle name="Normal 13 73 3 2" xfId="22499" xr:uid="{00000000-0005-0000-0000-0000A6580000}"/>
    <cellStyle name="Normal 13 73 3 2 2" xfId="38571" xr:uid="{00000000-0005-0000-0000-0000A7580000}"/>
    <cellStyle name="Normal 13 73 3 3" xfId="29768" xr:uid="{00000000-0005-0000-0000-0000A8580000}"/>
    <cellStyle name="Normal 13 73 4" xfId="23826" xr:uid="{00000000-0005-0000-0000-0000A9580000}"/>
    <cellStyle name="Normal 13 73 4 2" xfId="39882" xr:uid="{00000000-0005-0000-0000-0000AA580000}"/>
    <cellStyle name="Normal 13 73 5" xfId="33159" xr:uid="{00000000-0005-0000-0000-0000AB580000}"/>
    <cellStyle name="Normal 13 73 6" xfId="46256" xr:uid="{00000000-0005-0000-0000-0000AC580000}"/>
    <cellStyle name="Normal 13 74" xfId="4553" xr:uid="{00000000-0005-0000-0000-0000AD580000}"/>
    <cellStyle name="Normal 13 74 2" xfId="6344" xr:uid="{00000000-0005-0000-0000-0000AE580000}"/>
    <cellStyle name="Normal 13 74 2 2" xfId="9754" xr:uid="{00000000-0005-0000-0000-0000AF580000}"/>
    <cellStyle name="Normal 13 74 2 2 2" xfId="21978" xr:uid="{00000000-0005-0000-0000-0000B0580000}"/>
    <cellStyle name="Normal 13 74 2 2 2 2" xfId="38053" xr:uid="{00000000-0005-0000-0000-0000B1580000}"/>
    <cellStyle name="Normal 13 74 2 2 3" xfId="28045" xr:uid="{00000000-0005-0000-0000-0000B2580000}"/>
    <cellStyle name="Normal 13 74 2 3" xfId="20416" xr:uid="{00000000-0005-0000-0000-0000B3580000}"/>
    <cellStyle name="Normal 13 74 2 3 2" xfId="36515" xr:uid="{00000000-0005-0000-0000-0000B4580000}"/>
    <cellStyle name="Normal 13 74 2 4" xfId="31446" xr:uid="{00000000-0005-0000-0000-0000B5580000}"/>
    <cellStyle name="Normal 13 74 3" xfId="8050" xr:uid="{00000000-0005-0000-0000-0000B6580000}"/>
    <cellStyle name="Normal 13 74 3 2" xfId="21766" xr:uid="{00000000-0005-0000-0000-0000B7580000}"/>
    <cellStyle name="Normal 13 74 3 2 2" xfId="37843" xr:uid="{00000000-0005-0000-0000-0000B8580000}"/>
    <cellStyle name="Normal 13 74 3 3" xfId="29748" xr:uid="{00000000-0005-0000-0000-0000B9580000}"/>
    <cellStyle name="Normal 13 74 4" xfId="22671" xr:uid="{00000000-0005-0000-0000-0000BA580000}"/>
    <cellStyle name="Normal 13 74 4 2" xfId="38740" xr:uid="{00000000-0005-0000-0000-0000BB580000}"/>
    <cellStyle name="Normal 13 74 5" xfId="33139" xr:uid="{00000000-0005-0000-0000-0000BC580000}"/>
    <cellStyle name="Normal 13 75" xfId="4558" xr:uid="{00000000-0005-0000-0000-0000BD580000}"/>
    <cellStyle name="Normal 13 75 2" xfId="6349" xr:uid="{00000000-0005-0000-0000-0000BE580000}"/>
    <cellStyle name="Normal 13 75 2 2" xfId="9759" xr:uid="{00000000-0005-0000-0000-0000BF580000}"/>
    <cellStyle name="Normal 13 75 2 2 2" xfId="11611" xr:uid="{00000000-0005-0000-0000-0000C0580000}"/>
    <cellStyle name="Normal 13 75 2 2 2 2" xfId="34802" xr:uid="{00000000-0005-0000-0000-0000C1580000}"/>
    <cellStyle name="Normal 13 75 2 2 3" xfId="28040" xr:uid="{00000000-0005-0000-0000-0000C2580000}"/>
    <cellStyle name="Normal 13 75 2 3" xfId="24024" xr:uid="{00000000-0005-0000-0000-0000C3580000}"/>
    <cellStyle name="Normal 13 75 2 3 2" xfId="40077" xr:uid="{00000000-0005-0000-0000-0000C4580000}"/>
    <cellStyle name="Normal 13 75 2 4" xfId="31441" xr:uid="{00000000-0005-0000-0000-0000C5580000}"/>
    <cellStyle name="Normal 13 75 3" xfId="8055" xr:uid="{00000000-0005-0000-0000-0000C6580000}"/>
    <cellStyle name="Normal 13 75 3 2" xfId="20988" xr:uid="{00000000-0005-0000-0000-0000C7580000}"/>
    <cellStyle name="Normal 13 75 3 2 2" xfId="37084" xr:uid="{00000000-0005-0000-0000-0000C8580000}"/>
    <cellStyle name="Normal 13 75 3 3" xfId="29743" xr:uid="{00000000-0005-0000-0000-0000C9580000}"/>
    <cellStyle name="Normal 13 75 4" xfId="10948" xr:uid="{00000000-0005-0000-0000-0000CA580000}"/>
    <cellStyle name="Normal 13 75 4 2" xfId="34690" xr:uid="{00000000-0005-0000-0000-0000CB580000}"/>
    <cellStyle name="Normal 13 75 5" xfId="33134" xr:uid="{00000000-0005-0000-0000-0000CC580000}"/>
    <cellStyle name="Normal 13 76" xfId="4541" xr:uid="{00000000-0005-0000-0000-0000CD580000}"/>
    <cellStyle name="Normal 13 76 2" xfId="6333" xr:uid="{00000000-0005-0000-0000-0000CE580000}"/>
    <cellStyle name="Normal 13 76 2 2" xfId="9743" xr:uid="{00000000-0005-0000-0000-0000CF580000}"/>
    <cellStyle name="Normal 13 76 2 2 2" xfId="11618" xr:uid="{00000000-0005-0000-0000-0000D0580000}"/>
    <cellStyle name="Normal 13 76 2 2 2 2" xfId="34805" xr:uid="{00000000-0005-0000-0000-0000D1580000}"/>
    <cellStyle name="Normal 13 76 2 2 3" xfId="28056" xr:uid="{00000000-0005-0000-0000-0000D2580000}"/>
    <cellStyle name="Normal 13 76 2 3" xfId="20411" xr:uid="{00000000-0005-0000-0000-0000D3580000}"/>
    <cellStyle name="Normal 13 76 2 3 2" xfId="36510" xr:uid="{00000000-0005-0000-0000-0000D4580000}"/>
    <cellStyle name="Normal 13 76 2 4" xfId="31457" xr:uid="{00000000-0005-0000-0000-0000D5580000}"/>
    <cellStyle name="Normal 13 76 3" xfId="8039" xr:uid="{00000000-0005-0000-0000-0000D6580000}"/>
    <cellStyle name="Normal 13 76 3 2" xfId="20981" xr:uid="{00000000-0005-0000-0000-0000D7580000}"/>
    <cellStyle name="Normal 13 76 3 2 2" xfId="37077" xr:uid="{00000000-0005-0000-0000-0000D8580000}"/>
    <cellStyle name="Normal 13 76 3 3" xfId="29759" xr:uid="{00000000-0005-0000-0000-0000D9580000}"/>
    <cellStyle name="Normal 13 76 4" xfId="12305" xr:uid="{00000000-0005-0000-0000-0000DA580000}"/>
    <cellStyle name="Normal 13 76 4 2" xfId="35181" xr:uid="{00000000-0005-0000-0000-0000DB580000}"/>
    <cellStyle name="Normal 13 76 5" xfId="33150" xr:uid="{00000000-0005-0000-0000-0000DC580000}"/>
    <cellStyle name="Normal 13 77" xfId="4528" xr:uid="{00000000-0005-0000-0000-0000DD580000}"/>
    <cellStyle name="Normal 13 77 2" xfId="6320" xr:uid="{00000000-0005-0000-0000-0000DE580000}"/>
    <cellStyle name="Normal 13 77 2 2" xfId="9730" xr:uid="{00000000-0005-0000-0000-0000DF580000}"/>
    <cellStyle name="Normal 13 77 2 2 2" xfId="23550" xr:uid="{00000000-0005-0000-0000-0000E0580000}"/>
    <cellStyle name="Normal 13 77 2 2 2 2" xfId="39606" xr:uid="{00000000-0005-0000-0000-0000E1580000}"/>
    <cellStyle name="Normal 13 77 2 2 3" xfId="28069" xr:uid="{00000000-0005-0000-0000-0000E2580000}"/>
    <cellStyle name="Normal 13 77 2 3" xfId="22338" xr:uid="{00000000-0005-0000-0000-0000E3580000}"/>
    <cellStyle name="Normal 13 77 2 3 2" xfId="38410" xr:uid="{00000000-0005-0000-0000-0000E4580000}"/>
    <cellStyle name="Normal 13 77 2 4" xfId="31470" xr:uid="{00000000-0005-0000-0000-0000E5580000}"/>
    <cellStyle name="Normal 13 77 3" xfId="8026" xr:uid="{00000000-0005-0000-0000-0000E6580000}"/>
    <cellStyle name="Normal 13 77 3 2" xfId="20976" xr:uid="{00000000-0005-0000-0000-0000E7580000}"/>
    <cellStyle name="Normal 13 77 3 2 2" xfId="37072" xr:uid="{00000000-0005-0000-0000-0000E8580000}"/>
    <cellStyle name="Normal 13 77 3 3" xfId="29772" xr:uid="{00000000-0005-0000-0000-0000E9580000}"/>
    <cellStyle name="Normal 13 77 4" xfId="20024" xr:uid="{00000000-0005-0000-0000-0000EA580000}"/>
    <cellStyle name="Normal 13 77 4 2" xfId="36128" xr:uid="{00000000-0005-0000-0000-0000EB580000}"/>
    <cellStyle name="Normal 13 77 5" xfId="33163" xr:uid="{00000000-0005-0000-0000-0000EC580000}"/>
    <cellStyle name="Normal 13 78" xfId="4556" xr:uid="{00000000-0005-0000-0000-0000ED580000}"/>
    <cellStyle name="Normal 13 78 2" xfId="6347" xr:uid="{00000000-0005-0000-0000-0000EE580000}"/>
    <cellStyle name="Normal 13 78 2 2" xfId="9757" xr:uid="{00000000-0005-0000-0000-0000EF580000}"/>
    <cellStyle name="Normal 13 78 2 2 2" xfId="10381" xr:uid="{00000000-0005-0000-0000-0000F0580000}"/>
    <cellStyle name="Normal 13 78 2 2 2 2" xfId="34335" xr:uid="{00000000-0005-0000-0000-0000F1580000}"/>
    <cellStyle name="Normal 13 78 2 2 3" xfId="28042" xr:uid="{00000000-0005-0000-0000-0000F2580000}"/>
    <cellStyle name="Normal 13 78 2 3" xfId="23021" xr:uid="{00000000-0005-0000-0000-0000F3580000}"/>
    <cellStyle name="Normal 13 78 2 3 2" xfId="39090" xr:uid="{00000000-0005-0000-0000-0000F4580000}"/>
    <cellStyle name="Normal 13 78 2 4" xfId="31443" xr:uid="{00000000-0005-0000-0000-0000F5580000}"/>
    <cellStyle name="Normal 13 78 3" xfId="8053" xr:uid="{00000000-0005-0000-0000-0000F6580000}"/>
    <cellStyle name="Normal 13 78 3 2" xfId="20986" xr:uid="{00000000-0005-0000-0000-0000F7580000}"/>
    <cellStyle name="Normal 13 78 3 2 2" xfId="37082" xr:uid="{00000000-0005-0000-0000-0000F8580000}"/>
    <cellStyle name="Normal 13 78 3 3" xfId="29745" xr:uid="{00000000-0005-0000-0000-0000F9580000}"/>
    <cellStyle name="Normal 13 78 4" xfId="23827" xr:uid="{00000000-0005-0000-0000-0000FA580000}"/>
    <cellStyle name="Normal 13 78 4 2" xfId="39883" xr:uid="{00000000-0005-0000-0000-0000FB580000}"/>
    <cellStyle name="Normal 13 78 5" xfId="33136" xr:uid="{00000000-0005-0000-0000-0000FC580000}"/>
    <cellStyle name="Normal 13 79" xfId="4504" xr:uid="{00000000-0005-0000-0000-0000FD580000}"/>
    <cellStyle name="Normal 13 79 2" xfId="6296" xr:uid="{00000000-0005-0000-0000-0000FE580000}"/>
    <cellStyle name="Normal 13 79 2 2" xfId="9706" xr:uid="{00000000-0005-0000-0000-0000FF580000}"/>
    <cellStyle name="Normal 13 79 2 2 2" xfId="23547" xr:uid="{00000000-0005-0000-0000-000000590000}"/>
    <cellStyle name="Normal 13 79 2 2 2 2" xfId="39603" xr:uid="{00000000-0005-0000-0000-000001590000}"/>
    <cellStyle name="Normal 13 79 2 2 3" xfId="28093" xr:uid="{00000000-0005-0000-0000-000002590000}"/>
    <cellStyle name="Normal 13 79 2 3" xfId="20398" xr:uid="{00000000-0005-0000-0000-000003590000}"/>
    <cellStyle name="Normal 13 79 2 3 2" xfId="36497" xr:uid="{00000000-0005-0000-0000-000004590000}"/>
    <cellStyle name="Normal 13 79 2 4" xfId="31494" xr:uid="{00000000-0005-0000-0000-000005590000}"/>
    <cellStyle name="Normal 13 79 3" xfId="8002" xr:uid="{00000000-0005-0000-0000-000006590000}"/>
    <cellStyle name="Normal 13 79 3 2" xfId="22572" xr:uid="{00000000-0005-0000-0000-000007590000}"/>
    <cellStyle name="Normal 13 79 3 2 2" xfId="38641" xr:uid="{00000000-0005-0000-0000-000008590000}"/>
    <cellStyle name="Normal 13 79 3 3" xfId="29796" xr:uid="{00000000-0005-0000-0000-000009590000}"/>
    <cellStyle name="Normal 13 79 4" xfId="20021" xr:uid="{00000000-0005-0000-0000-00000A590000}"/>
    <cellStyle name="Normal 13 79 4 2" xfId="36125" xr:uid="{00000000-0005-0000-0000-00000B590000}"/>
    <cellStyle name="Normal 13 79 5" xfId="33187" xr:uid="{00000000-0005-0000-0000-00000C590000}"/>
    <cellStyle name="Normal 13 8" xfId="1410" xr:uid="{00000000-0005-0000-0000-00000D590000}"/>
    <cellStyle name="Normal 13 8 2" xfId="1411" xr:uid="{00000000-0005-0000-0000-00000E590000}"/>
    <cellStyle name="Normal 13 80" xfId="4563" xr:uid="{00000000-0005-0000-0000-00000F590000}"/>
    <cellStyle name="Normal 13 80 2" xfId="6354" xr:uid="{00000000-0005-0000-0000-000010590000}"/>
    <cellStyle name="Normal 13 80 2 2" xfId="9764" xr:uid="{00000000-0005-0000-0000-000011590000}"/>
    <cellStyle name="Normal 13 80 2 2 2" xfId="24558" xr:uid="{00000000-0005-0000-0000-000012590000}"/>
    <cellStyle name="Normal 13 80 2 2 2 2" xfId="40602" xr:uid="{00000000-0005-0000-0000-000013590000}"/>
    <cellStyle name="Normal 13 80 2 2 3" xfId="28035" xr:uid="{00000000-0005-0000-0000-000014590000}"/>
    <cellStyle name="Normal 13 80 2 3" xfId="22127" xr:uid="{00000000-0005-0000-0000-000015590000}"/>
    <cellStyle name="Normal 13 80 2 3 2" xfId="38201" xr:uid="{00000000-0005-0000-0000-000016590000}"/>
    <cellStyle name="Normal 13 80 2 4" xfId="31436" xr:uid="{00000000-0005-0000-0000-000017590000}"/>
    <cellStyle name="Normal 13 80 3" xfId="8060" xr:uid="{00000000-0005-0000-0000-000018590000}"/>
    <cellStyle name="Normal 13 80 3 2" xfId="24310" xr:uid="{00000000-0005-0000-0000-000019590000}"/>
    <cellStyle name="Normal 13 80 3 2 2" xfId="40361" xr:uid="{00000000-0005-0000-0000-00001A590000}"/>
    <cellStyle name="Normal 13 80 3 3" xfId="29738" xr:uid="{00000000-0005-0000-0000-00001B590000}"/>
    <cellStyle name="Normal 13 80 4" xfId="22216" xr:uid="{00000000-0005-0000-0000-00001C590000}"/>
    <cellStyle name="Normal 13 80 4 2" xfId="38290" xr:uid="{00000000-0005-0000-0000-00001D590000}"/>
    <cellStyle name="Normal 13 80 5" xfId="33129" xr:uid="{00000000-0005-0000-0000-00001E590000}"/>
    <cellStyle name="Normal 13 81" xfId="4561" xr:uid="{00000000-0005-0000-0000-00001F590000}"/>
    <cellStyle name="Normal 13 81 2" xfId="6352" xr:uid="{00000000-0005-0000-0000-000020590000}"/>
    <cellStyle name="Normal 13 81 2 2" xfId="9762" xr:uid="{00000000-0005-0000-0000-000021590000}"/>
    <cellStyle name="Normal 13 81 2 2 2" xfId="19422" xr:uid="{00000000-0005-0000-0000-000022590000}"/>
    <cellStyle name="Normal 13 81 2 2 2 2" xfId="35536" xr:uid="{00000000-0005-0000-0000-000023590000}"/>
    <cellStyle name="Normal 13 81 2 2 3" xfId="28037" xr:uid="{00000000-0005-0000-0000-000024590000}"/>
    <cellStyle name="Normal 13 81 2 3" xfId="20418" xr:uid="{00000000-0005-0000-0000-000025590000}"/>
    <cellStyle name="Normal 13 81 2 3 2" xfId="36517" xr:uid="{00000000-0005-0000-0000-000026590000}"/>
    <cellStyle name="Normal 13 81 2 4" xfId="31438" xr:uid="{00000000-0005-0000-0000-000027590000}"/>
    <cellStyle name="Normal 13 81 3" xfId="8058" xr:uid="{00000000-0005-0000-0000-000028590000}"/>
    <cellStyle name="Normal 13 81 3 2" xfId="23307" xr:uid="{00000000-0005-0000-0000-000029590000}"/>
    <cellStyle name="Normal 13 81 3 2 2" xfId="39374" xr:uid="{00000000-0005-0000-0000-00002A590000}"/>
    <cellStyle name="Normal 13 81 3 3" xfId="29740" xr:uid="{00000000-0005-0000-0000-00002B590000}"/>
    <cellStyle name="Normal 13 81 4" xfId="22823" xr:uid="{00000000-0005-0000-0000-00002C590000}"/>
    <cellStyle name="Normal 13 81 4 2" xfId="38892" xr:uid="{00000000-0005-0000-0000-00002D590000}"/>
    <cellStyle name="Normal 13 81 5" xfId="33131" xr:uid="{00000000-0005-0000-0000-00002E590000}"/>
    <cellStyle name="Normal 13 82" xfId="11865" xr:uid="{00000000-0005-0000-0000-00002F590000}"/>
    <cellStyle name="Normal 13 83" xfId="10595" xr:uid="{00000000-0005-0000-0000-000030590000}"/>
    <cellStyle name="Normal 13 84" xfId="23231" xr:uid="{00000000-0005-0000-0000-000031590000}"/>
    <cellStyle name="Normal 13 85" xfId="24837" xr:uid="{00000000-0005-0000-0000-000032590000}"/>
    <cellStyle name="Normal 13 86" xfId="25207" xr:uid="{00000000-0005-0000-0000-000033590000}"/>
    <cellStyle name="Normal 13 87" xfId="25189" xr:uid="{00000000-0005-0000-0000-000034590000}"/>
    <cellStyle name="Normal 13 88" xfId="24972" xr:uid="{00000000-0005-0000-0000-000035590000}"/>
    <cellStyle name="Normal 13 89" xfId="25198" xr:uid="{00000000-0005-0000-0000-000036590000}"/>
    <cellStyle name="Normal 13 9" xfId="1412" xr:uid="{00000000-0005-0000-0000-000037590000}"/>
    <cellStyle name="Normal 13 9 2" xfId="1413" xr:uid="{00000000-0005-0000-0000-000038590000}"/>
    <cellStyle name="Normal 13 90" xfId="24832" xr:uid="{00000000-0005-0000-0000-000039590000}"/>
    <cellStyle name="Normal 13 91" xfId="24915" xr:uid="{00000000-0005-0000-0000-00003A590000}"/>
    <cellStyle name="Normal 13 92" xfId="25220" xr:uid="{00000000-0005-0000-0000-00003B590000}"/>
    <cellStyle name="Normal 13 93" xfId="25192" xr:uid="{00000000-0005-0000-0000-00003C590000}"/>
    <cellStyle name="Normal 13 94" xfId="25167" xr:uid="{00000000-0005-0000-0000-00003D590000}"/>
    <cellStyle name="Normal 13 95" xfId="24895" xr:uid="{00000000-0005-0000-0000-00003E590000}"/>
    <cellStyle name="Normal 13 96" xfId="24856" xr:uid="{00000000-0005-0000-0000-00003F590000}"/>
    <cellStyle name="Normal 13 97" xfId="24927" xr:uid="{00000000-0005-0000-0000-000040590000}"/>
    <cellStyle name="Normal 13 98" xfId="24852" xr:uid="{00000000-0005-0000-0000-000041590000}"/>
    <cellStyle name="Normal 13 99" xfId="24806" xr:uid="{00000000-0005-0000-0000-000042590000}"/>
    <cellStyle name="Normal 13_Ark1" xfId="11941" xr:uid="{00000000-0005-0000-0000-000043590000}"/>
    <cellStyle name="Normal 14" xfId="1414" xr:uid="{00000000-0005-0000-0000-000044590000}"/>
    <cellStyle name="Normal 14 10" xfId="1415" xr:uid="{00000000-0005-0000-0000-000045590000}"/>
    <cellStyle name="Normal 14 10 2" xfId="1416" xr:uid="{00000000-0005-0000-0000-000046590000}"/>
    <cellStyle name="Normal 14 11" xfId="1417" xr:uid="{00000000-0005-0000-0000-000047590000}"/>
    <cellStyle name="Normal 14 11 2" xfId="1418" xr:uid="{00000000-0005-0000-0000-000048590000}"/>
    <cellStyle name="Normal 14 12" xfId="1419" xr:uid="{00000000-0005-0000-0000-000049590000}"/>
    <cellStyle name="Normal 14 12 2" xfId="1420" xr:uid="{00000000-0005-0000-0000-00004A590000}"/>
    <cellStyle name="Normal 14 13" xfId="1421" xr:uid="{00000000-0005-0000-0000-00004B590000}"/>
    <cellStyle name="Normal 14 13 2" xfId="1422" xr:uid="{00000000-0005-0000-0000-00004C590000}"/>
    <cellStyle name="Normal 14 14" xfId="1423" xr:uid="{00000000-0005-0000-0000-00004D590000}"/>
    <cellStyle name="Normal 14 14 2" xfId="1424" xr:uid="{00000000-0005-0000-0000-00004E590000}"/>
    <cellStyle name="Normal 14 15" xfId="1425" xr:uid="{00000000-0005-0000-0000-00004F590000}"/>
    <cellStyle name="Normal 14 15 2" xfId="1426" xr:uid="{00000000-0005-0000-0000-000050590000}"/>
    <cellStyle name="Normal 14 16" xfId="1427" xr:uid="{00000000-0005-0000-0000-000051590000}"/>
    <cellStyle name="Normal 14 16 2" xfId="1428" xr:uid="{00000000-0005-0000-0000-000052590000}"/>
    <cellStyle name="Normal 14 17" xfId="1429" xr:uid="{00000000-0005-0000-0000-000053590000}"/>
    <cellStyle name="Normal 14 17 2" xfId="1430" xr:uid="{00000000-0005-0000-0000-000054590000}"/>
    <cellStyle name="Normal 14 18" xfId="1431" xr:uid="{00000000-0005-0000-0000-000055590000}"/>
    <cellStyle name="Normal 14 18 2" xfId="1432" xr:uid="{00000000-0005-0000-0000-000056590000}"/>
    <cellStyle name="Normal 14 19" xfId="1433" xr:uid="{00000000-0005-0000-0000-000057590000}"/>
    <cellStyle name="Normal 14 19 2" xfId="1434" xr:uid="{00000000-0005-0000-0000-000058590000}"/>
    <cellStyle name="Normal 14 2" xfId="1435" xr:uid="{00000000-0005-0000-0000-000059590000}"/>
    <cellStyle name="Normal 14 2 2" xfId="1436" xr:uid="{00000000-0005-0000-0000-00005A590000}"/>
    <cellStyle name="Normal 14 20" xfId="1437" xr:uid="{00000000-0005-0000-0000-00005B590000}"/>
    <cellStyle name="Normal 14 20 2" xfId="1438" xr:uid="{00000000-0005-0000-0000-00005C590000}"/>
    <cellStyle name="Normal 14 21" xfId="1439" xr:uid="{00000000-0005-0000-0000-00005D590000}"/>
    <cellStyle name="Normal 14 21 2" xfId="1440" xr:uid="{00000000-0005-0000-0000-00005E590000}"/>
    <cellStyle name="Normal 14 22" xfId="1441" xr:uid="{00000000-0005-0000-0000-00005F590000}"/>
    <cellStyle name="Normal 14 22 2" xfId="1442" xr:uid="{00000000-0005-0000-0000-000060590000}"/>
    <cellStyle name="Normal 14 23" xfId="1443" xr:uid="{00000000-0005-0000-0000-000061590000}"/>
    <cellStyle name="Normal 14 23 2" xfId="1444" xr:uid="{00000000-0005-0000-0000-000062590000}"/>
    <cellStyle name="Normal 14 23 2 2" xfId="1445" xr:uid="{00000000-0005-0000-0000-000063590000}"/>
    <cellStyle name="Normal 14 23 3" xfId="1446" xr:uid="{00000000-0005-0000-0000-000064590000}"/>
    <cellStyle name="Normal 14 23 3 2" xfId="1447" xr:uid="{00000000-0005-0000-0000-000065590000}"/>
    <cellStyle name="Normal 14 23 4" xfId="1448" xr:uid="{00000000-0005-0000-0000-000066590000}"/>
    <cellStyle name="Normal 14 24" xfId="1449" xr:uid="{00000000-0005-0000-0000-000067590000}"/>
    <cellStyle name="Normal 14 24 2" xfId="1450" xr:uid="{00000000-0005-0000-0000-000068590000}"/>
    <cellStyle name="Normal 14 25" xfId="1451" xr:uid="{00000000-0005-0000-0000-000069590000}"/>
    <cellStyle name="Normal 14 25 2" xfId="1452" xr:uid="{00000000-0005-0000-0000-00006A590000}"/>
    <cellStyle name="Normal 14 26" xfId="1453" xr:uid="{00000000-0005-0000-0000-00006B590000}"/>
    <cellStyle name="Normal 14 26 2" xfId="1454" xr:uid="{00000000-0005-0000-0000-00006C590000}"/>
    <cellStyle name="Normal 14 27" xfId="1455" xr:uid="{00000000-0005-0000-0000-00006D590000}"/>
    <cellStyle name="Normal 14 27 2" xfId="1456" xr:uid="{00000000-0005-0000-0000-00006E590000}"/>
    <cellStyle name="Normal 14 28" xfId="1457" xr:uid="{00000000-0005-0000-0000-00006F590000}"/>
    <cellStyle name="Normal 14 29" xfId="1458" xr:uid="{00000000-0005-0000-0000-000070590000}"/>
    <cellStyle name="Normal 14 29 2" xfId="1459" xr:uid="{00000000-0005-0000-0000-000071590000}"/>
    <cellStyle name="Normal 14 3" xfId="1460" xr:uid="{00000000-0005-0000-0000-000072590000}"/>
    <cellStyle name="Normal 14 3 2" xfId="1461" xr:uid="{00000000-0005-0000-0000-000073590000}"/>
    <cellStyle name="Normal 14 30" xfId="11990" xr:uid="{00000000-0005-0000-0000-000074590000}"/>
    <cellStyle name="Normal 14 4" xfId="1462" xr:uid="{00000000-0005-0000-0000-000075590000}"/>
    <cellStyle name="Normal 14 4 2" xfId="1463" xr:uid="{00000000-0005-0000-0000-000076590000}"/>
    <cellStyle name="Normal 14 5" xfId="1464" xr:uid="{00000000-0005-0000-0000-000077590000}"/>
    <cellStyle name="Normal 14 5 2" xfId="1465" xr:uid="{00000000-0005-0000-0000-000078590000}"/>
    <cellStyle name="Normal 14 6" xfId="1466" xr:uid="{00000000-0005-0000-0000-000079590000}"/>
    <cellStyle name="Normal 14 6 2" xfId="1467" xr:uid="{00000000-0005-0000-0000-00007A590000}"/>
    <cellStyle name="Normal 14 7" xfId="1468" xr:uid="{00000000-0005-0000-0000-00007B590000}"/>
    <cellStyle name="Normal 14 7 2" xfId="1469" xr:uid="{00000000-0005-0000-0000-00007C590000}"/>
    <cellStyle name="Normal 14 8" xfId="1470" xr:uid="{00000000-0005-0000-0000-00007D590000}"/>
    <cellStyle name="Normal 14 8 2" xfId="1471" xr:uid="{00000000-0005-0000-0000-00007E590000}"/>
    <cellStyle name="Normal 14 9" xfId="1472" xr:uid="{00000000-0005-0000-0000-00007F590000}"/>
    <cellStyle name="Normal 14 9 2" xfId="1473" xr:uid="{00000000-0005-0000-0000-000080590000}"/>
    <cellStyle name="Normal 14_NGL-pris" xfId="1474" xr:uid="{00000000-0005-0000-0000-000081590000}"/>
    <cellStyle name="Normal 15" xfId="1475" xr:uid="{00000000-0005-0000-0000-000082590000}"/>
    <cellStyle name="Normal 15 2" xfId="1476" xr:uid="{00000000-0005-0000-0000-000083590000}"/>
    <cellStyle name="Normal 15 2 2" xfId="12006" xr:uid="{00000000-0005-0000-0000-000084590000}"/>
    <cellStyle name="Normal 15 3" xfId="12007" xr:uid="{00000000-0005-0000-0000-000085590000}"/>
    <cellStyle name="Normal 16" xfId="1477" xr:uid="{00000000-0005-0000-0000-000086590000}"/>
    <cellStyle name="Normal 16 2" xfId="1478" xr:uid="{00000000-0005-0000-0000-000087590000}"/>
    <cellStyle name="Normal 16 2 2" xfId="12010" xr:uid="{00000000-0005-0000-0000-000088590000}"/>
    <cellStyle name="Normal 16 3" xfId="12011" xr:uid="{00000000-0005-0000-0000-000089590000}"/>
    <cellStyle name="Normal 17" xfId="1479" xr:uid="{00000000-0005-0000-0000-00008A590000}"/>
    <cellStyle name="Normal 17 10" xfId="12012" xr:uid="{00000000-0005-0000-0000-00008B590000}"/>
    <cellStyle name="Normal 17 11" xfId="43450" xr:uid="{00000000-0005-0000-0000-00008C590000}"/>
    <cellStyle name="Normal 17 12" xfId="46334" xr:uid="{00000000-0005-0000-0000-00008D590000}"/>
    <cellStyle name="Normal 17 13" xfId="47047" xr:uid="{00000000-0005-0000-0000-00008E590000}"/>
    <cellStyle name="Normal 17 2" xfId="1480" xr:uid="{00000000-0005-0000-0000-00008F590000}"/>
    <cellStyle name="Normal 17 2 2" xfId="12014" xr:uid="{00000000-0005-0000-0000-000090590000}"/>
    <cellStyle name="Normal 17 3" xfId="1481" xr:uid="{00000000-0005-0000-0000-000091590000}"/>
    <cellStyle name="Normal 17 3 10" xfId="6976" xr:uid="{00000000-0005-0000-0000-000092590000}"/>
    <cellStyle name="Normal 17 3 10 2" xfId="20617" xr:uid="{00000000-0005-0000-0000-000093590000}"/>
    <cellStyle name="Normal 17 3 10 2 2" xfId="36716" xr:uid="{00000000-0005-0000-0000-000094590000}"/>
    <cellStyle name="Normal 17 3 10 3" xfId="30822" xr:uid="{00000000-0005-0000-0000-000095590000}"/>
    <cellStyle name="Normal 17 3 11" xfId="34210" xr:uid="{00000000-0005-0000-0000-000096590000}"/>
    <cellStyle name="Normal 17 3 2" xfId="1482" xr:uid="{00000000-0005-0000-0000-000097590000}"/>
    <cellStyle name="Normal 17 3 3" xfId="3370" xr:uid="{00000000-0005-0000-0000-000098590000}"/>
    <cellStyle name="Normal 17 3 3 10" xfId="34127" xr:uid="{00000000-0005-0000-0000-000099590000}"/>
    <cellStyle name="Normal 17 3 3 2" xfId="3596" xr:uid="{00000000-0005-0000-0000-00009A590000}"/>
    <cellStyle name="Normal 17 3 3 2 10" xfId="47195" xr:uid="{00000000-0005-0000-0000-00009B590000}"/>
    <cellStyle name="Normal 17 3 3 2 2" xfId="4026" xr:uid="{00000000-0005-0000-0000-00009C590000}"/>
    <cellStyle name="Normal 17 3 3 2 2 2" xfId="5914" xr:uid="{00000000-0005-0000-0000-00009D590000}"/>
    <cellStyle name="Normal 17 3 3 2 2 2 2" xfId="9329" xr:uid="{00000000-0005-0000-0000-00009E590000}"/>
    <cellStyle name="Normal 17 3 3 2 2 2 2 2" xfId="21938" xr:uid="{00000000-0005-0000-0000-00009F590000}"/>
    <cellStyle name="Normal 17 3 3 2 2 2 2 2 2" xfId="38013" xr:uid="{00000000-0005-0000-0000-0000A0590000}"/>
    <cellStyle name="Normal 17 3 3 2 2 2 2 3" xfId="28469" xr:uid="{00000000-0005-0000-0000-0000A1590000}"/>
    <cellStyle name="Normal 17 3 3 2 2 2 3" xfId="20249" xr:uid="{00000000-0005-0000-0000-0000A2590000}"/>
    <cellStyle name="Normal 17 3 3 2 2 2 3 2" xfId="36348" xr:uid="{00000000-0005-0000-0000-0000A3590000}"/>
    <cellStyle name="Normal 17 3 3 2 2 2 4" xfId="31862" xr:uid="{00000000-0005-0000-0000-0000A4590000}"/>
    <cellStyle name="Normal 17 3 3 2 2 3" xfId="7632" xr:uid="{00000000-0005-0000-0000-0000A5590000}"/>
    <cellStyle name="Normal 17 3 3 2 2 3 2" xfId="23237" xr:uid="{00000000-0005-0000-0000-0000A6590000}"/>
    <cellStyle name="Normal 17 3 3 2 2 3 2 2" xfId="39305" xr:uid="{00000000-0005-0000-0000-0000A7590000}"/>
    <cellStyle name="Normal 17 3 3 2 2 3 3" xfId="30166" xr:uid="{00000000-0005-0000-0000-0000A8590000}"/>
    <cellStyle name="Normal 17 3 3 2 2 4" xfId="18147" xr:uid="{00000000-0005-0000-0000-0000A9590000}"/>
    <cellStyle name="Normal 17 3 3 2 2 5" xfId="12435" xr:uid="{00000000-0005-0000-0000-0000AA590000}"/>
    <cellStyle name="Normal 17 3 3 2 2 5 2" xfId="35234" xr:uid="{00000000-0005-0000-0000-0000AB590000}"/>
    <cellStyle name="Normal 17 3 3 2 2 6" xfId="33553" xr:uid="{00000000-0005-0000-0000-0000AC590000}"/>
    <cellStyle name="Normal 17 3 3 2 3" xfId="4966" xr:uid="{00000000-0005-0000-0000-0000AD590000}"/>
    <cellStyle name="Normal 17 3 3 2 3 10" xfId="47385" xr:uid="{00000000-0005-0000-0000-0000AE590000}"/>
    <cellStyle name="Normal 17 3 3 2 3 2" xfId="6685" xr:uid="{00000000-0005-0000-0000-0000AF590000}"/>
    <cellStyle name="Normal 17 3 3 2 3 2 2" xfId="10091" xr:uid="{00000000-0005-0000-0000-0000B0590000}"/>
    <cellStyle name="Normal 17 3 3 2 3 2 2 2" xfId="22021" xr:uid="{00000000-0005-0000-0000-0000B1590000}"/>
    <cellStyle name="Normal 17 3 3 2 3 2 2 2 2" xfId="38096" xr:uid="{00000000-0005-0000-0000-0000B2590000}"/>
    <cellStyle name="Normal 17 3 3 2 3 2 2 3" xfId="27708" xr:uid="{00000000-0005-0000-0000-0000B3590000}"/>
    <cellStyle name="Normal 17 3 3 2 3 2 3" xfId="24086" xr:uid="{00000000-0005-0000-0000-0000B4590000}"/>
    <cellStyle name="Normal 17 3 3 2 3 2 3 2" xfId="40139" xr:uid="{00000000-0005-0000-0000-0000B5590000}"/>
    <cellStyle name="Normal 17 3 3 2 3 2 4" xfId="31109" xr:uid="{00000000-0005-0000-0000-0000B6590000}"/>
    <cellStyle name="Normal 17 3 3 2 3 2 5" xfId="43082" xr:uid="{00000000-0005-0000-0000-0000B7590000}"/>
    <cellStyle name="Normal 17 3 3 2 3 2 6" xfId="43376" xr:uid="{00000000-0005-0000-0000-0000B8590000}"/>
    <cellStyle name="Normal 17 3 3 2 3 2 7" xfId="46224" xr:uid="{00000000-0005-0000-0000-0000B9590000}"/>
    <cellStyle name="Normal 17 3 3 2 3 2 8" xfId="46996" xr:uid="{00000000-0005-0000-0000-0000BA590000}"/>
    <cellStyle name="Normal 17 3 3 2 3 2 9" xfId="47581" xr:uid="{00000000-0005-0000-0000-0000BB590000}"/>
    <cellStyle name="Normal 17 3 3 2 3 3" xfId="8388" xr:uid="{00000000-0005-0000-0000-0000BC590000}"/>
    <cellStyle name="Normal 17 3 3 2 3 3 2" xfId="21079" xr:uid="{00000000-0005-0000-0000-0000BD590000}"/>
    <cellStyle name="Normal 17 3 3 2 3 3 2 2" xfId="37164" xr:uid="{00000000-0005-0000-0000-0000BE590000}"/>
    <cellStyle name="Normal 17 3 3 2 3 3 3" xfId="29410" xr:uid="{00000000-0005-0000-0000-0000BF590000}"/>
    <cellStyle name="Normal 17 3 3 2 3 3 4" xfId="44060" xr:uid="{00000000-0005-0000-0000-0000C0590000}"/>
    <cellStyle name="Normal 17 3 3 2 3 4" xfId="16527" xr:uid="{00000000-0005-0000-0000-0000C1590000}"/>
    <cellStyle name="Normal 17 3 3 2 3 4 2" xfId="35471" xr:uid="{00000000-0005-0000-0000-0000C2590000}"/>
    <cellStyle name="Normal 17 3 3 2 3 5" xfId="25133" xr:uid="{00000000-0005-0000-0000-0000C3590000}"/>
    <cellStyle name="Normal 17 3 3 2 3 6" xfId="25434" xr:uid="{00000000-0005-0000-0000-0000C4590000}"/>
    <cellStyle name="Normal 17 3 3 2 3 7" xfId="32801" xr:uid="{00000000-0005-0000-0000-0000C5590000}"/>
    <cellStyle name="Normal 17 3 3 2 3 8" xfId="43837" xr:uid="{00000000-0005-0000-0000-0000C6590000}"/>
    <cellStyle name="Normal 17 3 3 2 3 9" xfId="46762" xr:uid="{00000000-0005-0000-0000-0000C7590000}"/>
    <cellStyle name="Normal 17 3 3 2 4" xfId="5520" xr:uid="{00000000-0005-0000-0000-0000C8590000}"/>
    <cellStyle name="Normal 17 3 3 2 4 2" xfId="8935" xr:uid="{00000000-0005-0000-0000-0000C9590000}"/>
    <cellStyle name="Normal 17 3 3 2 4 2 2" xfId="21222" xr:uid="{00000000-0005-0000-0000-0000CA590000}"/>
    <cellStyle name="Normal 17 3 3 2 4 2 2 2" xfId="37302" xr:uid="{00000000-0005-0000-0000-0000CB590000}"/>
    <cellStyle name="Normal 17 3 3 2 4 2 3" xfId="28863" xr:uid="{00000000-0005-0000-0000-0000CC590000}"/>
    <cellStyle name="Normal 17 3 3 2 4 3" xfId="20105" xr:uid="{00000000-0005-0000-0000-0000CD590000}"/>
    <cellStyle name="Normal 17 3 3 2 4 3 2" xfId="36209" xr:uid="{00000000-0005-0000-0000-0000CE590000}"/>
    <cellStyle name="Normal 17 3 3 2 4 4" xfId="32254" xr:uid="{00000000-0005-0000-0000-0000CF590000}"/>
    <cellStyle name="Normal 17 3 3 2 5" xfId="7238" xr:uid="{00000000-0005-0000-0000-0000D0590000}"/>
    <cellStyle name="Normal 17 3 3 2 5 2" xfId="23167" xr:uid="{00000000-0005-0000-0000-0000D1590000}"/>
    <cellStyle name="Normal 17 3 3 2 5 2 2" xfId="39236" xr:uid="{00000000-0005-0000-0000-0000D2590000}"/>
    <cellStyle name="Normal 17 3 3 2 5 3" xfId="30560" xr:uid="{00000000-0005-0000-0000-0000D3590000}"/>
    <cellStyle name="Normal 17 3 3 2 6" xfId="12018" xr:uid="{00000000-0005-0000-0000-0000D4590000}"/>
    <cellStyle name="Normal 17 3 3 2 7" xfId="33947" xr:uid="{00000000-0005-0000-0000-0000D5590000}"/>
    <cellStyle name="Normal 17 3 3 2 8" xfId="43628" xr:uid="{00000000-0005-0000-0000-0000D6590000}"/>
    <cellStyle name="Normal 17 3 3 2 9" xfId="46534" xr:uid="{00000000-0005-0000-0000-0000D7590000}"/>
    <cellStyle name="Normal 17 3 3 2_Avviksanalyse løpende RNB15 (1)" xfId="16739" xr:uid="{00000000-0005-0000-0000-0000D8590000}"/>
    <cellStyle name="Normal 17 3 3 3" xfId="3846" xr:uid="{00000000-0005-0000-0000-0000D9590000}"/>
    <cellStyle name="Normal 17 3 3 3 2" xfId="5734" xr:uid="{00000000-0005-0000-0000-0000DA590000}"/>
    <cellStyle name="Normal 17 3 3 3 2 2" xfId="9149" xr:uid="{00000000-0005-0000-0000-0000DB590000}"/>
    <cellStyle name="Normal 17 3 3 3 2 2 2" xfId="21919" xr:uid="{00000000-0005-0000-0000-0000DC590000}"/>
    <cellStyle name="Normal 17 3 3 3 2 2 2 2" xfId="37994" xr:uid="{00000000-0005-0000-0000-0000DD590000}"/>
    <cellStyle name="Normal 17 3 3 3 2 2 3" xfId="28649" xr:uid="{00000000-0005-0000-0000-0000DE590000}"/>
    <cellStyle name="Normal 17 3 3 3 2 3" xfId="11985" xr:uid="{00000000-0005-0000-0000-0000DF590000}"/>
    <cellStyle name="Normal 17 3 3 3 2 3 2" xfId="35007" xr:uid="{00000000-0005-0000-0000-0000E0590000}"/>
    <cellStyle name="Normal 17 3 3 3 2 4" xfId="32040" xr:uid="{00000000-0005-0000-0000-0000E1590000}"/>
    <cellStyle name="Normal 17 3 3 3 3" xfId="7452" xr:uid="{00000000-0005-0000-0000-0000E2590000}"/>
    <cellStyle name="Normal 17 3 3 3 3 2" xfId="20787" xr:uid="{00000000-0005-0000-0000-0000E3590000}"/>
    <cellStyle name="Normal 17 3 3 3 3 2 2" xfId="36886" xr:uid="{00000000-0005-0000-0000-0000E4590000}"/>
    <cellStyle name="Normal 17 3 3 3 3 3" xfId="30346" xr:uid="{00000000-0005-0000-0000-0000E5590000}"/>
    <cellStyle name="Normal 17 3 3 3 4" xfId="19617" xr:uid="{00000000-0005-0000-0000-0000E6590000}"/>
    <cellStyle name="Normal 17 3 3 3 4 2" xfId="35731" xr:uid="{00000000-0005-0000-0000-0000E7590000}"/>
    <cellStyle name="Normal 17 3 3 3 5" xfId="33733" xr:uid="{00000000-0005-0000-0000-0000E8590000}"/>
    <cellStyle name="Normal 17 3 3 4" xfId="4331" xr:uid="{00000000-0005-0000-0000-0000E9590000}"/>
    <cellStyle name="Normal 17 3 3 4 2" xfId="6160" xr:uid="{00000000-0005-0000-0000-0000EA590000}"/>
    <cellStyle name="Normal 17 3 3 4 2 2" xfId="9574" xr:uid="{00000000-0005-0000-0000-0000EB590000}"/>
    <cellStyle name="Normal 17 3 3 4 2 2 2" xfId="24532" xr:uid="{00000000-0005-0000-0000-0000EC590000}"/>
    <cellStyle name="Normal 17 3 3 4 2 2 2 2" xfId="40576" xr:uid="{00000000-0005-0000-0000-0000ED590000}"/>
    <cellStyle name="Normal 17 3 3 4 2 2 3" xfId="28224" xr:uid="{00000000-0005-0000-0000-0000EE590000}"/>
    <cellStyle name="Normal 17 3 3 4 2 3" xfId="22986" xr:uid="{00000000-0005-0000-0000-0000EF590000}"/>
    <cellStyle name="Normal 17 3 3 4 2 3 2" xfId="39055" xr:uid="{00000000-0005-0000-0000-0000F0590000}"/>
    <cellStyle name="Normal 17 3 3 4 2 4" xfId="31621" xr:uid="{00000000-0005-0000-0000-0000F1590000}"/>
    <cellStyle name="Normal 17 3 3 4 3" xfId="7893" xr:uid="{00000000-0005-0000-0000-0000F2590000}"/>
    <cellStyle name="Normal 17 3 3 4 3 2" xfId="21860" xr:uid="{00000000-0005-0000-0000-0000F3590000}"/>
    <cellStyle name="Normal 17 3 3 4 3 2 2" xfId="37936" xr:uid="{00000000-0005-0000-0000-0000F4590000}"/>
    <cellStyle name="Normal 17 3 3 4 3 3" xfId="29906" xr:uid="{00000000-0005-0000-0000-0000F5590000}"/>
    <cellStyle name="Normal 17 3 3 4 4" xfId="12372" xr:uid="{00000000-0005-0000-0000-0000F6590000}"/>
    <cellStyle name="Normal 17 3 3 4 4 2" xfId="35210" xr:uid="{00000000-0005-0000-0000-0000F7590000}"/>
    <cellStyle name="Normal 17 3 3 4 5" xfId="33294" xr:uid="{00000000-0005-0000-0000-0000F8590000}"/>
    <cellStyle name="Normal 17 3 3 5" xfId="4786" xr:uid="{00000000-0005-0000-0000-0000F9590000}"/>
    <cellStyle name="Normal 17 3 3 5 2" xfId="6506" xr:uid="{00000000-0005-0000-0000-0000FA590000}"/>
    <cellStyle name="Normal 17 3 3 5 2 2" xfId="9912" xr:uid="{00000000-0005-0000-0000-0000FB590000}"/>
    <cellStyle name="Normal 17 3 3 5 2 2 2" xfId="21531" xr:uid="{00000000-0005-0000-0000-0000FC590000}"/>
    <cellStyle name="Normal 17 3 3 5 2 2 2 2" xfId="37611" xr:uid="{00000000-0005-0000-0000-0000FD590000}"/>
    <cellStyle name="Normal 17 3 3 5 2 2 3" xfId="27887" xr:uid="{00000000-0005-0000-0000-0000FE590000}"/>
    <cellStyle name="Normal 17 3 3 5 2 3" xfId="10672" xr:uid="{00000000-0005-0000-0000-0000FF590000}"/>
    <cellStyle name="Normal 17 3 3 5 2 3 2" xfId="34520" xr:uid="{00000000-0005-0000-0000-0000005A0000}"/>
    <cellStyle name="Normal 17 3 3 5 2 4" xfId="31288" xr:uid="{00000000-0005-0000-0000-0000015A0000}"/>
    <cellStyle name="Normal 17 3 3 5 3" xfId="8208" xr:uid="{00000000-0005-0000-0000-0000025A0000}"/>
    <cellStyle name="Normal 17 3 3 5 3 2" xfId="21763" xr:uid="{00000000-0005-0000-0000-0000035A0000}"/>
    <cellStyle name="Normal 17 3 3 5 3 2 2" xfId="37840" xr:uid="{00000000-0005-0000-0000-0000045A0000}"/>
    <cellStyle name="Normal 17 3 3 5 3 3" xfId="29589" xr:uid="{00000000-0005-0000-0000-0000055A0000}"/>
    <cellStyle name="Normal 17 3 3 5 4" xfId="19705" xr:uid="{00000000-0005-0000-0000-0000065A0000}"/>
    <cellStyle name="Normal 17 3 3 5 4 2" xfId="35819" xr:uid="{00000000-0005-0000-0000-0000075A0000}"/>
    <cellStyle name="Normal 17 3 3 5 5" xfId="32981" xr:uid="{00000000-0005-0000-0000-0000085A0000}"/>
    <cellStyle name="Normal 17 3 3 6" xfId="5146" xr:uid="{00000000-0005-0000-0000-0000095A0000}"/>
    <cellStyle name="Normal 17 3 3 6 2" xfId="6865" xr:uid="{00000000-0005-0000-0000-00000A5A0000}"/>
    <cellStyle name="Normal 17 3 3 6 2 2" xfId="10271" xr:uid="{00000000-0005-0000-0000-00000B5A0000}"/>
    <cellStyle name="Normal 17 3 3 6 2 2 2" xfId="24714" xr:uid="{00000000-0005-0000-0000-00000C5A0000}"/>
    <cellStyle name="Normal 17 3 3 6 2 2 2 2" xfId="40757" xr:uid="{00000000-0005-0000-0000-00000D5A0000}"/>
    <cellStyle name="Normal 17 3 3 6 2 2 3" xfId="27528" xr:uid="{00000000-0005-0000-0000-00000E5A0000}"/>
    <cellStyle name="Normal 17 3 3 6 2 3" xfId="22157" xr:uid="{00000000-0005-0000-0000-00000F5A0000}"/>
    <cellStyle name="Normal 17 3 3 6 2 3 2" xfId="38231" xr:uid="{00000000-0005-0000-0000-0000105A0000}"/>
    <cellStyle name="Normal 17 3 3 6 2 4" xfId="30929" xr:uid="{00000000-0005-0000-0000-0000115A0000}"/>
    <cellStyle name="Normal 17 3 3 6 3" xfId="8568" xr:uid="{00000000-0005-0000-0000-0000125A0000}"/>
    <cellStyle name="Normal 17 3 3 6 3 2" xfId="21130" xr:uid="{00000000-0005-0000-0000-0000135A0000}"/>
    <cellStyle name="Normal 17 3 3 6 3 2 2" xfId="37210" xr:uid="{00000000-0005-0000-0000-0000145A0000}"/>
    <cellStyle name="Normal 17 3 3 6 3 3" xfId="29230" xr:uid="{00000000-0005-0000-0000-0000155A0000}"/>
    <cellStyle name="Normal 17 3 3 6 4" xfId="19759" xr:uid="{00000000-0005-0000-0000-0000165A0000}"/>
    <cellStyle name="Normal 17 3 3 6 4 2" xfId="35873" xr:uid="{00000000-0005-0000-0000-0000175A0000}"/>
    <cellStyle name="Normal 17 3 3 6 5" xfId="32621" xr:uid="{00000000-0005-0000-0000-0000185A0000}"/>
    <cellStyle name="Normal 17 3 3 7" xfId="5325" xr:uid="{00000000-0005-0000-0000-0000195A0000}"/>
    <cellStyle name="Normal 17 3 3 7 2" xfId="8740" xr:uid="{00000000-0005-0000-0000-00001A5A0000}"/>
    <cellStyle name="Normal 17 3 3 7 2 2" xfId="21782" xr:uid="{00000000-0005-0000-0000-00001B5A0000}"/>
    <cellStyle name="Normal 17 3 3 7 2 2 2" xfId="37858" xr:uid="{00000000-0005-0000-0000-00001C5A0000}"/>
    <cellStyle name="Normal 17 3 3 7 2 3" xfId="29058" xr:uid="{00000000-0005-0000-0000-00001D5A0000}"/>
    <cellStyle name="Normal 17 3 3 7 3" xfId="20081" xr:uid="{00000000-0005-0000-0000-00001E5A0000}"/>
    <cellStyle name="Normal 17 3 3 7 3 2" xfId="36185" xr:uid="{00000000-0005-0000-0000-00001F5A0000}"/>
    <cellStyle name="Normal 17 3 3 7 4" xfId="32449" xr:uid="{00000000-0005-0000-0000-0000205A0000}"/>
    <cellStyle name="Normal 17 3 3 8" xfId="7058" xr:uid="{00000000-0005-0000-0000-0000215A0000}"/>
    <cellStyle name="Normal 17 3 3 8 2" xfId="22413" xr:uid="{00000000-0005-0000-0000-0000225A0000}"/>
    <cellStyle name="Normal 17 3 3 8 2 2" xfId="38485" xr:uid="{00000000-0005-0000-0000-0000235A0000}"/>
    <cellStyle name="Normal 17 3 3 8 3" xfId="30740" xr:uid="{00000000-0005-0000-0000-0000245A0000}"/>
    <cellStyle name="Normal 17 3 3 9" xfId="12017" xr:uid="{00000000-0005-0000-0000-0000255A0000}"/>
    <cellStyle name="Normal 17 3 4" xfId="3512" xr:uid="{00000000-0005-0000-0000-0000265A0000}"/>
    <cellStyle name="Normal 17 3 4 2" xfId="3947" xr:uid="{00000000-0005-0000-0000-0000275A0000}"/>
    <cellStyle name="Normal 17 3 4 2 2" xfId="5835" xr:uid="{00000000-0005-0000-0000-0000285A0000}"/>
    <cellStyle name="Normal 17 3 4 2 2 2" xfId="9250" xr:uid="{00000000-0005-0000-0000-0000295A0000}"/>
    <cellStyle name="Normal 17 3 4 2 2 2 2" xfId="23739" xr:uid="{00000000-0005-0000-0000-00002A5A0000}"/>
    <cellStyle name="Normal 17 3 4 2 2 2 2 2" xfId="39795" xr:uid="{00000000-0005-0000-0000-00002B5A0000}"/>
    <cellStyle name="Normal 17 3 4 2 2 2 3" xfId="28548" xr:uid="{00000000-0005-0000-0000-00002C5A0000}"/>
    <cellStyle name="Normal 17 3 4 2 2 3" xfId="18148" xr:uid="{00000000-0005-0000-0000-00002D5A0000}"/>
    <cellStyle name="Normal 17 3 4 2 2 4" xfId="20221" xr:uid="{00000000-0005-0000-0000-00002E5A0000}"/>
    <cellStyle name="Normal 17 3 4 2 2 4 2" xfId="36320" xr:uid="{00000000-0005-0000-0000-00002F5A0000}"/>
    <cellStyle name="Normal 17 3 4 2 2 5" xfId="31939" xr:uid="{00000000-0005-0000-0000-0000305A0000}"/>
    <cellStyle name="Normal 17 3 4 2 3" xfId="7553" xr:uid="{00000000-0005-0000-0000-0000315A0000}"/>
    <cellStyle name="Normal 17 3 4 2 3 2" xfId="16381" xr:uid="{00000000-0005-0000-0000-0000325A0000}"/>
    <cellStyle name="Normal 17 3 4 2 3 2 2" xfId="35405" xr:uid="{00000000-0005-0000-0000-0000335A0000}"/>
    <cellStyle name="Normal 17 3 4 2 3 2 3" xfId="42936" xr:uid="{00000000-0005-0000-0000-0000345A0000}"/>
    <cellStyle name="Normal 17 3 4 2 3 2 4" xfId="43310" xr:uid="{00000000-0005-0000-0000-0000355A0000}"/>
    <cellStyle name="Normal 17 3 4 2 3 2 5" xfId="46158" xr:uid="{00000000-0005-0000-0000-0000365A0000}"/>
    <cellStyle name="Normal 17 3 4 2 3 2 6" xfId="46930" xr:uid="{00000000-0005-0000-0000-0000375A0000}"/>
    <cellStyle name="Normal 17 3 4 2 3 2 7" xfId="47513" xr:uid="{00000000-0005-0000-0000-0000385A0000}"/>
    <cellStyle name="Normal 17 3 4 2 3 3" xfId="25065" xr:uid="{00000000-0005-0000-0000-0000395A0000}"/>
    <cellStyle name="Normal 17 3 4 2 3 3 2" xfId="44061" xr:uid="{00000000-0005-0000-0000-00003A5A0000}"/>
    <cellStyle name="Normal 17 3 4 2 3 4" xfId="25435" xr:uid="{00000000-0005-0000-0000-00003B5A0000}"/>
    <cellStyle name="Normal 17 3 4 2 3 5" xfId="30245" xr:uid="{00000000-0005-0000-0000-00003C5A0000}"/>
    <cellStyle name="Normal 17 3 4 2 3 6" xfId="43770" xr:uid="{00000000-0005-0000-0000-00003D5A0000}"/>
    <cellStyle name="Normal 17 3 4 2 3 7" xfId="46696" xr:uid="{00000000-0005-0000-0000-00003E5A0000}"/>
    <cellStyle name="Normal 17 3 4 2 3 8" xfId="47317" xr:uid="{00000000-0005-0000-0000-00003F5A0000}"/>
    <cellStyle name="Normal 17 3 4 2 4" xfId="12020" xr:uid="{00000000-0005-0000-0000-0000405A0000}"/>
    <cellStyle name="Normal 17 3 4 2 5" xfId="33632" xr:uid="{00000000-0005-0000-0000-0000415A0000}"/>
    <cellStyle name="Normal 17 3 4 2 6" xfId="43562" xr:uid="{00000000-0005-0000-0000-0000425A0000}"/>
    <cellStyle name="Normal 17 3 4 2 7" xfId="46468" xr:uid="{00000000-0005-0000-0000-0000435A0000}"/>
    <cellStyle name="Normal 17 3 4 2 8" xfId="47127" xr:uid="{00000000-0005-0000-0000-0000445A0000}"/>
    <cellStyle name="Normal 17 3 4 2_Avviksanalyse løpende RNB15 (1)" xfId="16740" xr:uid="{00000000-0005-0000-0000-0000455A0000}"/>
    <cellStyle name="Normal 17 3 4 3" xfId="4887" xr:uid="{00000000-0005-0000-0000-0000465A0000}"/>
    <cellStyle name="Normal 17 3 4 3 2" xfId="6606" xr:uid="{00000000-0005-0000-0000-0000475A0000}"/>
    <cellStyle name="Normal 17 3 4 3 2 2" xfId="10012" xr:uid="{00000000-0005-0000-0000-0000485A0000}"/>
    <cellStyle name="Normal 17 3 4 3 2 2 2" xfId="23601" xr:uid="{00000000-0005-0000-0000-0000495A0000}"/>
    <cellStyle name="Normal 17 3 4 3 2 2 2 2" xfId="39657" xr:uid="{00000000-0005-0000-0000-00004A5A0000}"/>
    <cellStyle name="Normal 17 3 4 3 2 2 3" xfId="27787" xr:uid="{00000000-0005-0000-0000-00004B5A0000}"/>
    <cellStyle name="Normal 17 3 4 3 2 3" xfId="23071" xr:uid="{00000000-0005-0000-0000-00004C5A0000}"/>
    <cellStyle name="Normal 17 3 4 3 2 3 2" xfId="39140" xr:uid="{00000000-0005-0000-0000-00004D5A0000}"/>
    <cellStyle name="Normal 17 3 4 3 2 4" xfId="31188" xr:uid="{00000000-0005-0000-0000-00004E5A0000}"/>
    <cellStyle name="Normal 17 3 4 3 3" xfId="8309" xr:uid="{00000000-0005-0000-0000-00004F5A0000}"/>
    <cellStyle name="Normal 17 3 4 3 3 2" xfId="22576" xr:uid="{00000000-0005-0000-0000-0000505A0000}"/>
    <cellStyle name="Normal 17 3 4 3 3 2 2" xfId="38645" xr:uid="{00000000-0005-0000-0000-0000515A0000}"/>
    <cellStyle name="Normal 17 3 4 3 3 3" xfId="29488" xr:uid="{00000000-0005-0000-0000-0000525A0000}"/>
    <cellStyle name="Normal 17 3 4 3 4" xfId="22645" xr:uid="{00000000-0005-0000-0000-0000535A0000}"/>
    <cellStyle name="Normal 17 3 4 3 4 2" xfId="38714" xr:uid="{00000000-0005-0000-0000-0000545A0000}"/>
    <cellStyle name="Normal 17 3 4 3 5" xfId="32880" xr:uid="{00000000-0005-0000-0000-0000555A0000}"/>
    <cellStyle name="Normal 17 3 4 4" xfId="5441" xr:uid="{00000000-0005-0000-0000-0000565A0000}"/>
    <cellStyle name="Normal 17 3 4 4 2" xfId="8856" xr:uid="{00000000-0005-0000-0000-0000575A0000}"/>
    <cellStyle name="Normal 17 3 4 4 2 2" xfId="21744" xr:uid="{00000000-0005-0000-0000-0000585A0000}"/>
    <cellStyle name="Normal 17 3 4 4 2 2 2" xfId="37822" xr:uid="{00000000-0005-0000-0000-0000595A0000}"/>
    <cellStyle name="Normal 17 3 4 4 2 3" xfId="28942" xr:uid="{00000000-0005-0000-0000-00005A5A0000}"/>
    <cellStyle name="Normal 17 3 4 4 3" xfId="10705" xr:uid="{00000000-0005-0000-0000-00005B5A0000}"/>
    <cellStyle name="Normal 17 3 4 4 3 2" xfId="34553" xr:uid="{00000000-0005-0000-0000-00005C5A0000}"/>
    <cellStyle name="Normal 17 3 4 4 4" xfId="32333" xr:uid="{00000000-0005-0000-0000-00005D5A0000}"/>
    <cellStyle name="Normal 17 3 4 5" xfId="7159" xr:uid="{00000000-0005-0000-0000-00005E5A0000}"/>
    <cellStyle name="Normal 17 3 4 5 2" xfId="22698" xr:uid="{00000000-0005-0000-0000-00005F5A0000}"/>
    <cellStyle name="Normal 17 3 4 5 2 2" xfId="38767" xr:uid="{00000000-0005-0000-0000-0000605A0000}"/>
    <cellStyle name="Normal 17 3 4 5 3" xfId="30639" xr:uid="{00000000-0005-0000-0000-0000615A0000}"/>
    <cellStyle name="Normal 17 3 4 6" xfId="12019" xr:uid="{00000000-0005-0000-0000-0000625A0000}"/>
    <cellStyle name="Normal 17 3 4 7" xfId="34026" xr:uid="{00000000-0005-0000-0000-0000635A0000}"/>
    <cellStyle name="Normal 17 3 5" xfId="3768" xr:uid="{00000000-0005-0000-0000-0000645A0000}"/>
    <cellStyle name="Normal 17 3 5 2" xfId="5656" xr:uid="{00000000-0005-0000-0000-0000655A0000}"/>
    <cellStyle name="Normal 17 3 5 2 2" xfId="9071" xr:uid="{00000000-0005-0000-0000-0000665A0000}"/>
    <cellStyle name="Normal 17 3 5 2 2 2" xfId="23660" xr:uid="{00000000-0005-0000-0000-0000675A0000}"/>
    <cellStyle name="Normal 17 3 5 2 2 2 2" xfId="39716" xr:uid="{00000000-0005-0000-0000-0000685A0000}"/>
    <cellStyle name="Normal 17 3 5 2 2 3" xfId="28727" xr:uid="{00000000-0005-0000-0000-0000695A0000}"/>
    <cellStyle name="Normal 17 3 5 2 3" xfId="20157" xr:uid="{00000000-0005-0000-0000-00006A5A0000}"/>
    <cellStyle name="Normal 17 3 5 2 3 2" xfId="36258" xr:uid="{00000000-0005-0000-0000-00006B5A0000}"/>
    <cellStyle name="Normal 17 3 5 2 4" xfId="32118" xr:uid="{00000000-0005-0000-0000-00006C5A0000}"/>
    <cellStyle name="Normal 17 3 5 3" xfId="7374" xr:uid="{00000000-0005-0000-0000-00006D5A0000}"/>
    <cellStyle name="Normal 17 3 5 3 2" xfId="24196" xr:uid="{00000000-0005-0000-0000-00006E5A0000}"/>
    <cellStyle name="Normal 17 3 5 3 2 2" xfId="40249" xr:uid="{00000000-0005-0000-0000-00006F5A0000}"/>
    <cellStyle name="Normal 17 3 5 3 3" xfId="30424" xr:uid="{00000000-0005-0000-0000-0000705A0000}"/>
    <cellStyle name="Normal 17 3 5 4" xfId="19542" xr:uid="{00000000-0005-0000-0000-0000715A0000}"/>
    <cellStyle name="Normal 17 3 5 4 2" xfId="35656" xr:uid="{00000000-0005-0000-0000-0000725A0000}"/>
    <cellStyle name="Normal 17 3 5 5" xfId="33811" xr:uid="{00000000-0005-0000-0000-0000735A0000}"/>
    <cellStyle name="Normal 17 3 6" xfId="4221" xr:uid="{00000000-0005-0000-0000-0000745A0000}"/>
    <cellStyle name="Normal 17 3 6 2" xfId="6058" xr:uid="{00000000-0005-0000-0000-0000755A0000}"/>
    <cellStyle name="Normal 17 3 6 2 2" xfId="9473" xr:uid="{00000000-0005-0000-0000-0000765A0000}"/>
    <cellStyle name="Normal 17 3 6 2 2 2" xfId="21394" xr:uid="{00000000-0005-0000-0000-0000775A0000}"/>
    <cellStyle name="Normal 17 3 6 2 2 2 2" xfId="37474" xr:uid="{00000000-0005-0000-0000-0000785A0000}"/>
    <cellStyle name="Normal 17 3 6 2 2 3" xfId="28325" xr:uid="{00000000-0005-0000-0000-0000795A0000}"/>
    <cellStyle name="Normal 17 3 6 2 3" xfId="21752" xr:uid="{00000000-0005-0000-0000-00007A5A0000}"/>
    <cellStyle name="Normal 17 3 6 2 3 2" xfId="37830" xr:uid="{00000000-0005-0000-0000-00007B5A0000}"/>
    <cellStyle name="Normal 17 3 6 2 4" xfId="31720" xr:uid="{00000000-0005-0000-0000-00007C5A0000}"/>
    <cellStyle name="Normal 17 3 6 3" xfId="7791" xr:uid="{00000000-0005-0000-0000-00007D5A0000}"/>
    <cellStyle name="Normal 17 3 6 3 2" xfId="20903" xr:uid="{00000000-0005-0000-0000-00007E5A0000}"/>
    <cellStyle name="Normal 17 3 6 3 2 2" xfId="37002" xr:uid="{00000000-0005-0000-0000-00007F5A0000}"/>
    <cellStyle name="Normal 17 3 6 3 3" xfId="30008" xr:uid="{00000000-0005-0000-0000-0000805A0000}"/>
    <cellStyle name="Normal 17 3 6 4" xfId="19986" xr:uid="{00000000-0005-0000-0000-0000815A0000}"/>
    <cellStyle name="Normal 17 3 6 4 2" xfId="36090" xr:uid="{00000000-0005-0000-0000-0000825A0000}"/>
    <cellStyle name="Normal 17 3 6 5" xfId="33396" xr:uid="{00000000-0005-0000-0000-0000835A0000}"/>
    <cellStyle name="Normal 17 3 7" xfId="4703" xr:uid="{00000000-0005-0000-0000-0000845A0000}"/>
    <cellStyle name="Normal 17 3 7 2" xfId="6423" xr:uid="{00000000-0005-0000-0000-0000855A0000}"/>
    <cellStyle name="Normal 17 3 7 2 2" xfId="9833" xr:uid="{00000000-0005-0000-0000-0000865A0000}"/>
    <cellStyle name="Normal 17 3 7 2 2 2" xfId="21501" xr:uid="{00000000-0005-0000-0000-0000875A0000}"/>
    <cellStyle name="Normal 17 3 7 2 2 2 2" xfId="37581" xr:uid="{00000000-0005-0000-0000-0000885A0000}"/>
    <cellStyle name="Normal 17 3 7 2 2 3" xfId="27966" xr:uid="{00000000-0005-0000-0000-0000895A0000}"/>
    <cellStyle name="Normal 17 3 7 2 3" xfId="24039" xr:uid="{00000000-0005-0000-0000-00008A5A0000}"/>
    <cellStyle name="Normal 17 3 7 2 3 2" xfId="40092" xr:uid="{00000000-0005-0000-0000-00008B5A0000}"/>
    <cellStyle name="Normal 17 3 7 2 4" xfId="31367" xr:uid="{00000000-0005-0000-0000-00008C5A0000}"/>
    <cellStyle name="Normal 17 3 7 3" xfId="8129" xr:uid="{00000000-0005-0000-0000-00008D5A0000}"/>
    <cellStyle name="Normal 17 3 7 3 2" xfId="19467" xr:uid="{00000000-0005-0000-0000-00008E5A0000}"/>
    <cellStyle name="Normal 17 3 7 3 2 2" xfId="35581" xr:uid="{00000000-0005-0000-0000-00008F5A0000}"/>
    <cellStyle name="Normal 17 3 7 3 3" xfId="29669" xr:uid="{00000000-0005-0000-0000-0000905A0000}"/>
    <cellStyle name="Normal 17 3 7 4" xfId="19687" xr:uid="{00000000-0005-0000-0000-0000915A0000}"/>
    <cellStyle name="Normal 17 3 7 4 2" xfId="35801" xr:uid="{00000000-0005-0000-0000-0000925A0000}"/>
    <cellStyle name="Normal 17 3 7 5" xfId="33060" xr:uid="{00000000-0005-0000-0000-0000935A0000}"/>
    <cellStyle name="Normal 17 3 8" xfId="5067" xr:uid="{00000000-0005-0000-0000-0000945A0000}"/>
    <cellStyle name="Normal 17 3 8 2" xfId="6786" xr:uid="{00000000-0005-0000-0000-0000955A0000}"/>
    <cellStyle name="Normal 17 3 8 2 2" xfId="10192" xr:uid="{00000000-0005-0000-0000-0000965A0000}"/>
    <cellStyle name="Normal 17 3 8 2 2 2" xfId="23637" xr:uid="{00000000-0005-0000-0000-0000975A0000}"/>
    <cellStyle name="Normal 17 3 8 2 2 2 2" xfId="39693" xr:uid="{00000000-0005-0000-0000-0000985A0000}"/>
    <cellStyle name="Normal 17 3 8 2 2 3" xfId="27607" xr:uid="{00000000-0005-0000-0000-0000995A0000}"/>
    <cellStyle name="Normal 17 3 8 2 3" xfId="24099" xr:uid="{00000000-0005-0000-0000-00009A5A0000}"/>
    <cellStyle name="Normal 17 3 8 2 3 2" xfId="40152" xr:uid="{00000000-0005-0000-0000-00009B5A0000}"/>
    <cellStyle name="Normal 17 3 8 2 4" xfId="31008" xr:uid="{00000000-0005-0000-0000-00009C5A0000}"/>
    <cellStyle name="Normal 17 3 8 3" xfId="8489" xr:uid="{00000000-0005-0000-0000-00009D5A0000}"/>
    <cellStyle name="Normal 17 3 8 3 2" xfId="23369" xr:uid="{00000000-0005-0000-0000-00009E5A0000}"/>
    <cellStyle name="Normal 17 3 8 3 2 2" xfId="39427" xr:uid="{00000000-0005-0000-0000-00009F5A0000}"/>
    <cellStyle name="Normal 17 3 8 3 3" xfId="29309" xr:uid="{00000000-0005-0000-0000-0000A05A0000}"/>
    <cellStyle name="Normal 17 3 8 4" xfId="10846" xr:uid="{00000000-0005-0000-0000-0000A15A0000}"/>
    <cellStyle name="Normal 17 3 8 4 2" xfId="34644" xr:uid="{00000000-0005-0000-0000-0000A25A0000}"/>
    <cellStyle name="Normal 17 3 8 5" xfId="32700" xr:uid="{00000000-0005-0000-0000-0000A35A0000}"/>
    <cellStyle name="Normal 17 3 9" xfId="5211" xr:uid="{00000000-0005-0000-0000-0000A45A0000}"/>
    <cellStyle name="Normal 17 3 9 2" xfId="8630" xr:uid="{00000000-0005-0000-0000-0000A55A0000}"/>
    <cellStyle name="Normal 17 3 9 2 2" xfId="21883" xr:uid="{00000000-0005-0000-0000-0000A65A0000}"/>
    <cellStyle name="Normal 17 3 9 2 2 2" xfId="37958" xr:uid="{00000000-0005-0000-0000-0000A75A0000}"/>
    <cellStyle name="Normal 17 3 9 2 3" xfId="29168" xr:uid="{00000000-0005-0000-0000-0000A85A0000}"/>
    <cellStyle name="Normal 17 3 9 3" xfId="12126" xr:uid="{00000000-0005-0000-0000-0000A95A0000}"/>
    <cellStyle name="Normal 17 3 9 3 2" xfId="35084" xr:uid="{00000000-0005-0000-0000-0000AA5A0000}"/>
    <cellStyle name="Normal 17 3 9 4" xfId="32559" xr:uid="{00000000-0005-0000-0000-0000AB5A0000}"/>
    <cellStyle name="Normal 17 4" xfId="3412" xr:uid="{00000000-0005-0000-0000-0000AC5A0000}"/>
    <cellStyle name="Normal 17 4 2" xfId="3625" xr:uid="{00000000-0005-0000-0000-0000AD5A0000}"/>
    <cellStyle name="Normal 17 4 2 2" xfId="4053" xr:uid="{00000000-0005-0000-0000-0000AE5A0000}"/>
    <cellStyle name="Normal 17 4 2 2 2" xfId="5941" xr:uid="{00000000-0005-0000-0000-0000AF5A0000}"/>
    <cellStyle name="Normal 17 4 2 2 2 2" xfId="9356" xr:uid="{00000000-0005-0000-0000-0000B05A0000}"/>
    <cellStyle name="Normal 17 4 2 2 2 2 2" xfId="24501" xr:uid="{00000000-0005-0000-0000-0000B15A0000}"/>
    <cellStyle name="Normal 17 4 2 2 2 2 2 2" xfId="40545" xr:uid="{00000000-0005-0000-0000-0000B25A0000}"/>
    <cellStyle name="Normal 17 4 2 2 2 2 3" xfId="28442" xr:uid="{00000000-0005-0000-0000-0000B35A0000}"/>
    <cellStyle name="Normal 17 4 2 2 2 3" xfId="22943" xr:uid="{00000000-0005-0000-0000-0000B45A0000}"/>
    <cellStyle name="Normal 17 4 2 2 2 3 2" xfId="39012" xr:uid="{00000000-0005-0000-0000-0000B55A0000}"/>
    <cellStyle name="Normal 17 4 2 2 2 4" xfId="31837" xr:uid="{00000000-0005-0000-0000-0000B65A0000}"/>
    <cellStyle name="Normal 17 4 2 2 3" xfId="7659" xr:uid="{00000000-0005-0000-0000-0000B75A0000}"/>
    <cellStyle name="Normal 17 4 2 2 3 2" xfId="24245" xr:uid="{00000000-0005-0000-0000-0000B85A0000}"/>
    <cellStyle name="Normal 17 4 2 2 3 2 2" xfId="40298" xr:uid="{00000000-0005-0000-0000-0000B95A0000}"/>
    <cellStyle name="Normal 17 4 2 2 3 3" xfId="30139" xr:uid="{00000000-0005-0000-0000-0000BA5A0000}"/>
    <cellStyle name="Normal 17 4 2 2 4" xfId="19573" xr:uid="{00000000-0005-0000-0000-0000BB5A0000}"/>
    <cellStyle name="Normal 17 4 2 2 4 2" xfId="35687" xr:uid="{00000000-0005-0000-0000-0000BC5A0000}"/>
    <cellStyle name="Normal 17 4 2 2 5" xfId="33526" xr:uid="{00000000-0005-0000-0000-0000BD5A0000}"/>
    <cellStyle name="Normal 17 4 2 3" xfId="4993" xr:uid="{00000000-0005-0000-0000-0000BE5A0000}"/>
    <cellStyle name="Normal 17 4 2 3 2" xfId="6712" xr:uid="{00000000-0005-0000-0000-0000BF5A0000}"/>
    <cellStyle name="Normal 17 4 2 3 2 2" xfId="10118" xr:uid="{00000000-0005-0000-0000-0000C05A0000}"/>
    <cellStyle name="Normal 17 4 2 3 2 2 2" xfId="21613" xr:uid="{00000000-0005-0000-0000-0000C15A0000}"/>
    <cellStyle name="Normal 17 4 2 3 2 2 2 2" xfId="37693" xr:uid="{00000000-0005-0000-0000-0000C25A0000}"/>
    <cellStyle name="Normal 17 4 2 3 2 2 3" xfId="27681" xr:uid="{00000000-0005-0000-0000-0000C35A0000}"/>
    <cellStyle name="Normal 17 4 2 3 2 3" xfId="20548" xr:uid="{00000000-0005-0000-0000-0000C45A0000}"/>
    <cellStyle name="Normal 17 4 2 3 2 3 2" xfId="36647" xr:uid="{00000000-0005-0000-0000-0000C55A0000}"/>
    <cellStyle name="Normal 17 4 2 3 2 4" xfId="31082" xr:uid="{00000000-0005-0000-0000-0000C65A0000}"/>
    <cellStyle name="Normal 17 4 2 3 3" xfId="8415" xr:uid="{00000000-0005-0000-0000-0000C75A0000}"/>
    <cellStyle name="Normal 17 4 2 3 3 2" xfId="11866" xr:uid="{00000000-0005-0000-0000-0000C85A0000}"/>
    <cellStyle name="Normal 17 4 2 3 3 2 2" xfId="34903" xr:uid="{00000000-0005-0000-0000-0000C95A0000}"/>
    <cellStyle name="Normal 17 4 2 3 3 3" xfId="29383" xr:uid="{00000000-0005-0000-0000-0000CA5A0000}"/>
    <cellStyle name="Normal 17 4 2 3 4" xfId="19724" xr:uid="{00000000-0005-0000-0000-0000CB5A0000}"/>
    <cellStyle name="Normal 17 4 2 3 4 2" xfId="35838" xr:uid="{00000000-0005-0000-0000-0000CC5A0000}"/>
    <cellStyle name="Normal 17 4 2 3 5" xfId="32774" xr:uid="{00000000-0005-0000-0000-0000CD5A0000}"/>
    <cellStyle name="Normal 17 4 2 4" xfId="5547" xr:uid="{00000000-0005-0000-0000-0000CE5A0000}"/>
    <cellStyle name="Normal 17 4 2 4 2" xfId="8962" xr:uid="{00000000-0005-0000-0000-0000CF5A0000}"/>
    <cellStyle name="Normal 17 4 2 4 2 2" xfId="24437" xr:uid="{00000000-0005-0000-0000-0000D05A0000}"/>
    <cellStyle name="Normal 17 4 2 4 2 2 2" xfId="40481" xr:uid="{00000000-0005-0000-0000-0000D15A0000}"/>
    <cellStyle name="Normal 17 4 2 4 2 3" xfId="28836" xr:uid="{00000000-0005-0000-0000-0000D25A0000}"/>
    <cellStyle name="Normal 17 4 2 4 3" xfId="23874" xr:uid="{00000000-0005-0000-0000-0000D35A0000}"/>
    <cellStyle name="Normal 17 4 2 4 3 2" xfId="39930" xr:uid="{00000000-0005-0000-0000-0000D45A0000}"/>
    <cellStyle name="Normal 17 4 2 4 4" xfId="32227" xr:uid="{00000000-0005-0000-0000-0000D55A0000}"/>
    <cellStyle name="Normal 17 4 2 5" xfId="7265" xr:uid="{00000000-0005-0000-0000-0000D65A0000}"/>
    <cellStyle name="Normal 17 4 2 5 2" xfId="24174" xr:uid="{00000000-0005-0000-0000-0000D75A0000}"/>
    <cellStyle name="Normal 17 4 2 5 2 2" xfId="40227" xr:uid="{00000000-0005-0000-0000-0000D85A0000}"/>
    <cellStyle name="Normal 17 4 2 5 3" xfId="30533" xr:uid="{00000000-0005-0000-0000-0000D95A0000}"/>
    <cellStyle name="Normal 17 4 2 6" xfId="11090" xr:uid="{00000000-0005-0000-0000-0000DA5A0000}"/>
    <cellStyle name="Normal 17 4 2 6 2" xfId="34793" xr:uid="{00000000-0005-0000-0000-0000DB5A0000}"/>
    <cellStyle name="Normal 17 4 2 7" xfId="33920" xr:uid="{00000000-0005-0000-0000-0000DC5A0000}"/>
    <cellStyle name="Normal 17 4 3" xfId="3873" xr:uid="{00000000-0005-0000-0000-0000DD5A0000}"/>
    <cellStyle name="Normal 17 4 3 2" xfId="5761" xr:uid="{00000000-0005-0000-0000-0000DE5A0000}"/>
    <cellStyle name="Normal 17 4 3 2 2" xfId="9176" xr:uid="{00000000-0005-0000-0000-0000DF5A0000}"/>
    <cellStyle name="Normal 17 4 3 2 2 2" xfId="23468" xr:uid="{00000000-0005-0000-0000-0000E05A0000}"/>
    <cellStyle name="Normal 17 4 3 2 2 2 2" xfId="39524" xr:uid="{00000000-0005-0000-0000-0000E15A0000}"/>
    <cellStyle name="Normal 17 4 3 2 2 3" xfId="28622" xr:uid="{00000000-0005-0000-0000-0000E25A0000}"/>
    <cellStyle name="Normal 17 4 3 2 3" xfId="19428" xr:uid="{00000000-0005-0000-0000-0000E35A0000}"/>
    <cellStyle name="Normal 17 4 3 2 3 2" xfId="35542" xr:uid="{00000000-0005-0000-0000-0000E45A0000}"/>
    <cellStyle name="Normal 17 4 3 2 4" xfId="32013" xr:uid="{00000000-0005-0000-0000-0000E55A0000}"/>
    <cellStyle name="Normal 17 4 3 3" xfId="7479" xr:uid="{00000000-0005-0000-0000-0000E65A0000}"/>
    <cellStyle name="Normal 17 4 3 3 2" xfId="24216" xr:uid="{00000000-0005-0000-0000-0000E75A0000}"/>
    <cellStyle name="Normal 17 4 3 3 2 2" xfId="40269" xr:uid="{00000000-0005-0000-0000-0000E85A0000}"/>
    <cellStyle name="Normal 17 4 3 3 3" xfId="30319" xr:uid="{00000000-0005-0000-0000-0000E95A0000}"/>
    <cellStyle name="Normal 17 4 3 4" xfId="23698" xr:uid="{00000000-0005-0000-0000-0000EA5A0000}"/>
    <cellStyle name="Normal 17 4 3 4 2" xfId="39754" xr:uid="{00000000-0005-0000-0000-0000EB5A0000}"/>
    <cellStyle name="Normal 17 4 3 5" xfId="33706" xr:uid="{00000000-0005-0000-0000-0000EC5A0000}"/>
    <cellStyle name="Normal 17 4 4" xfId="4813" xr:uid="{00000000-0005-0000-0000-0000ED5A0000}"/>
    <cellStyle name="Normal 17 4 4 2" xfId="6532" xr:uid="{00000000-0005-0000-0000-0000EE5A0000}"/>
    <cellStyle name="Normal 17 4 4 2 2" xfId="9938" xr:uid="{00000000-0005-0000-0000-0000EF5A0000}"/>
    <cellStyle name="Normal 17 4 4 2 2 2" xfId="21541" xr:uid="{00000000-0005-0000-0000-0000F05A0000}"/>
    <cellStyle name="Normal 17 4 4 2 2 2 2" xfId="37621" xr:uid="{00000000-0005-0000-0000-0000F15A0000}"/>
    <cellStyle name="Normal 17 4 4 2 2 3" xfId="27861" xr:uid="{00000000-0005-0000-0000-0000F25A0000}"/>
    <cellStyle name="Normal 17 4 4 2 3" xfId="20486" xr:uid="{00000000-0005-0000-0000-0000F35A0000}"/>
    <cellStyle name="Normal 17 4 4 2 3 2" xfId="36585" xr:uid="{00000000-0005-0000-0000-0000F45A0000}"/>
    <cellStyle name="Normal 17 4 4 2 4" xfId="31262" xr:uid="{00000000-0005-0000-0000-0000F55A0000}"/>
    <cellStyle name="Normal 17 4 4 3" xfId="8235" xr:uid="{00000000-0005-0000-0000-0000F65A0000}"/>
    <cellStyle name="Normal 17 4 4 3 2" xfId="24336" xr:uid="{00000000-0005-0000-0000-0000F75A0000}"/>
    <cellStyle name="Normal 17 4 4 3 2 2" xfId="40386" xr:uid="{00000000-0005-0000-0000-0000F85A0000}"/>
    <cellStyle name="Normal 17 4 4 3 3" xfId="29562" xr:uid="{00000000-0005-0000-0000-0000F95A0000}"/>
    <cellStyle name="Normal 17 4 4 4" xfId="22735" xr:uid="{00000000-0005-0000-0000-0000FA5A0000}"/>
    <cellStyle name="Normal 17 4 4 4 2" xfId="38804" xr:uid="{00000000-0005-0000-0000-0000FB5A0000}"/>
    <cellStyle name="Normal 17 4 4 5" xfId="32954" xr:uid="{00000000-0005-0000-0000-0000FC5A0000}"/>
    <cellStyle name="Normal 17 4 5" xfId="5377" xr:uid="{00000000-0005-0000-0000-0000FD5A0000}"/>
    <cellStyle name="Normal 17 4 5 2" xfId="8792" xr:uid="{00000000-0005-0000-0000-0000FE5A0000}"/>
    <cellStyle name="Normal 17 4 5 2 2" xfId="22676" xr:uid="{00000000-0005-0000-0000-0000FF5A0000}"/>
    <cellStyle name="Normal 17 4 5 2 2 2" xfId="38745" xr:uid="{00000000-0005-0000-0000-0000005B0000}"/>
    <cellStyle name="Normal 17 4 5 2 3" xfId="29006" xr:uid="{00000000-0005-0000-0000-0000015B0000}"/>
    <cellStyle name="Normal 17 4 5 3" xfId="19812" xr:uid="{00000000-0005-0000-0000-0000025B0000}"/>
    <cellStyle name="Normal 17 4 5 3 2" xfId="35925" xr:uid="{00000000-0005-0000-0000-0000035B0000}"/>
    <cellStyle name="Normal 17 4 5 4" xfId="32397" xr:uid="{00000000-0005-0000-0000-0000045B0000}"/>
    <cellStyle name="Normal 17 4 6" xfId="7085" xr:uid="{00000000-0005-0000-0000-0000055B0000}"/>
    <cellStyle name="Normal 17 4 6 2" xfId="22418" xr:uid="{00000000-0005-0000-0000-0000065B0000}"/>
    <cellStyle name="Normal 17 4 6 2 2" xfId="38490" xr:uid="{00000000-0005-0000-0000-0000075B0000}"/>
    <cellStyle name="Normal 17 4 6 3" xfId="30713" xr:uid="{00000000-0005-0000-0000-0000085B0000}"/>
    <cellStyle name="Normal 17 4 7" xfId="12021" xr:uid="{00000000-0005-0000-0000-0000095B0000}"/>
    <cellStyle name="Normal 17 4 8" xfId="12634" xr:uid="{00000000-0005-0000-0000-00000A5B0000}"/>
    <cellStyle name="Normal 17 4 8 2" xfId="35297" xr:uid="{00000000-0005-0000-0000-00000B5B0000}"/>
    <cellStyle name="Normal 17 4 9" xfId="34100" xr:uid="{00000000-0005-0000-0000-00000C5B0000}"/>
    <cellStyle name="Normal 17 5" xfId="3661" xr:uid="{00000000-0005-0000-0000-00000D5B0000}"/>
    <cellStyle name="Normal 17 5 10" xfId="47230" xr:uid="{00000000-0005-0000-0000-00000E5B0000}"/>
    <cellStyle name="Normal 17 5 2" xfId="5575" xr:uid="{00000000-0005-0000-0000-00000F5B0000}"/>
    <cellStyle name="Normal 17 5 2 2" xfId="8990" xr:uid="{00000000-0005-0000-0000-0000105B0000}"/>
    <cellStyle name="Normal 17 5 2 2 2" xfId="21241" xr:uid="{00000000-0005-0000-0000-0000115B0000}"/>
    <cellStyle name="Normal 17 5 2 2 2 2" xfId="37321" xr:uid="{00000000-0005-0000-0000-0000125B0000}"/>
    <cellStyle name="Normal 17 5 2 2 3" xfId="28808" xr:uid="{00000000-0005-0000-0000-0000135B0000}"/>
    <cellStyle name="Normal 17 5 2 3" xfId="22876" xr:uid="{00000000-0005-0000-0000-0000145B0000}"/>
    <cellStyle name="Normal 17 5 2 3 2" xfId="38945" xr:uid="{00000000-0005-0000-0000-0000155B0000}"/>
    <cellStyle name="Normal 17 5 2 4" xfId="32199" xr:uid="{00000000-0005-0000-0000-0000165B0000}"/>
    <cellStyle name="Normal 17 5 2 5" xfId="41700" xr:uid="{00000000-0005-0000-0000-0000175B0000}"/>
    <cellStyle name="Normal 17 5 2 6" xfId="43232" xr:uid="{00000000-0005-0000-0000-0000185B0000}"/>
    <cellStyle name="Normal 17 5 2 7" xfId="46072" xr:uid="{00000000-0005-0000-0000-0000195B0000}"/>
    <cellStyle name="Normal 17 5 2 8" xfId="46835" xr:uid="{00000000-0005-0000-0000-00001A5B0000}"/>
    <cellStyle name="Normal 17 5 2 9" xfId="47425" xr:uid="{00000000-0005-0000-0000-00001B5B0000}"/>
    <cellStyle name="Normal 17 5 3" xfId="7293" xr:uid="{00000000-0005-0000-0000-00001C5B0000}"/>
    <cellStyle name="Normal 17 5 3 2" xfId="24180" xr:uid="{00000000-0005-0000-0000-00001D5B0000}"/>
    <cellStyle name="Normal 17 5 3 2 2" xfId="40233" xr:uid="{00000000-0005-0000-0000-00001E5B0000}"/>
    <cellStyle name="Normal 17 5 3 3" xfId="30505" xr:uid="{00000000-0005-0000-0000-00001F5B0000}"/>
    <cellStyle name="Normal 17 5 3 4" xfId="44062" xr:uid="{00000000-0005-0000-0000-0000205B0000}"/>
    <cellStyle name="Normal 17 5 4" xfId="15143" xr:uid="{00000000-0005-0000-0000-0000215B0000}"/>
    <cellStyle name="Normal 17 5 4 2" xfId="35326" xr:uid="{00000000-0005-0000-0000-0000225B0000}"/>
    <cellStyle name="Normal 17 5 5" xfId="24956" xr:uid="{00000000-0005-0000-0000-0000235B0000}"/>
    <cellStyle name="Normal 17 5 6" xfId="25436" xr:uid="{00000000-0005-0000-0000-0000245B0000}"/>
    <cellStyle name="Normal 17 5 7" xfId="33892" xr:uid="{00000000-0005-0000-0000-0000255B0000}"/>
    <cellStyle name="Normal 17 5 8" xfId="43684" xr:uid="{00000000-0005-0000-0000-0000265B0000}"/>
    <cellStyle name="Normal 17 5 9" xfId="46595" xr:uid="{00000000-0005-0000-0000-0000275B0000}"/>
    <cellStyle name="Normal 17 6" xfId="4125" xr:uid="{00000000-0005-0000-0000-0000285B0000}"/>
    <cellStyle name="Normal 17 6 2" xfId="5978" xr:uid="{00000000-0005-0000-0000-0000295B0000}"/>
    <cellStyle name="Normal 17 6 2 2" xfId="9393" xr:uid="{00000000-0005-0000-0000-00002A5B0000}"/>
    <cellStyle name="Normal 17 6 2 2 2" xfId="21374" xr:uid="{00000000-0005-0000-0000-00002B5B0000}"/>
    <cellStyle name="Normal 17 6 2 2 2 2" xfId="37454" xr:uid="{00000000-0005-0000-0000-00002C5B0000}"/>
    <cellStyle name="Normal 17 6 2 2 3" xfId="28405" xr:uid="{00000000-0005-0000-0000-00002D5B0000}"/>
    <cellStyle name="Normal 17 6 2 3" xfId="20274" xr:uid="{00000000-0005-0000-0000-00002E5B0000}"/>
    <cellStyle name="Normal 17 6 2 3 2" xfId="36373" xr:uid="{00000000-0005-0000-0000-00002F5B0000}"/>
    <cellStyle name="Normal 17 6 2 4" xfId="31800" xr:uid="{00000000-0005-0000-0000-0000305B0000}"/>
    <cellStyle name="Normal 17 6 3" xfId="7708" xr:uid="{00000000-0005-0000-0000-0000315B0000}"/>
    <cellStyle name="Normal 17 6 3 2" xfId="24255" xr:uid="{00000000-0005-0000-0000-0000325B0000}"/>
    <cellStyle name="Normal 17 6 3 2 2" xfId="40308" xr:uid="{00000000-0005-0000-0000-0000335B0000}"/>
    <cellStyle name="Normal 17 6 3 3" xfId="30091" xr:uid="{00000000-0005-0000-0000-0000345B0000}"/>
    <cellStyle name="Normal 17 6 4" xfId="23800" xr:uid="{00000000-0005-0000-0000-0000355B0000}"/>
    <cellStyle name="Normal 17 6 4 2" xfId="39856" xr:uid="{00000000-0005-0000-0000-0000365B0000}"/>
    <cellStyle name="Normal 17 6 5" xfId="33477" xr:uid="{00000000-0005-0000-0000-0000375B0000}"/>
    <cellStyle name="Normal 17 7" xfId="4462" xr:uid="{00000000-0005-0000-0000-0000385B0000}"/>
    <cellStyle name="Normal 17 7 2" xfId="6259" xr:uid="{00000000-0005-0000-0000-0000395B0000}"/>
    <cellStyle name="Normal 17 7 2 2" xfId="9669" xr:uid="{00000000-0005-0000-0000-00003A5B0000}"/>
    <cellStyle name="Normal 17 7 2 2 2" xfId="21449" xr:uid="{00000000-0005-0000-0000-00003B5B0000}"/>
    <cellStyle name="Normal 17 7 2 2 2 2" xfId="37529" xr:uid="{00000000-0005-0000-0000-00003C5B0000}"/>
    <cellStyle name="Normal 17 7 2 2 3" xfId="28130" xr:uid="{00000000-0005-0000-0000-00003D5B0000}"/>
    <cellStyle name="Normal 17 7 2 3" xfId="22335" xr:uid="{00000000-0005-0000-0000-00003E5B0000}"/>
    <cellStyle name="Normal 17 7 2 3 2" xfId="38407" xr:uid="{00000000-0005-0000-0000-00003F5B0000}"/>
    <cellStyle name="Normal 17 7 2 4" xfId="31531" xr:uid="{00000000-0005-0000-0000-0000405B0000}"/>
    <cellStyle name="Normal 17 7 3" xfId="7965" xr:uid="{00000000-0005-0000-0000-0000415B0000}"/>
    <cellStyle name="Normal 17 7 3 2" xfId="23296" xr:uid="{00000000-0005-0000-0000-0000425B0000}"/>
    <cellStyle name="Normal 17 7 3 2 2" xfId="39363" xr:uid="{00000000-0005-0000-0000-0000435B0000}"/>
    <cellStyle name="Normal 17 7 3 3" xfId="29834" xr:uid="{00000000-0005-0000-0000-0000445B0000}"/>
    <cellStyle name="Normal 17 7 4" xfId="19585" xr:uid="{00000000-0005-0000-0000-0000455B0000}"/>
    <cellStyle name="Normal 17 7 4 2" xfId="35699" xr:uid="{00000000-0005-0000-0000-0000465B0000}"/>
    <cellStyle name="Normal 17 7 5" xfId="33224" xr:uid="{00000000-0005-0000-0000-0000475B0000}"/>
    <cellStyle name="Normal 17 8" xfId="4488" xr:uid="{00000000-0005-0000-0000-0000485B0000}"/>
    <cellStyle name="Normal 17 8 2" xfId="6281" xr:uid="{00000000-0005-0000-0000-0000495B0000}"/>
    <cellStyle name="Normal 17 8 2 2" xfId="9691" xr:uid="{00000000-0005-0000-0000-00004A5B0000}"/>
    <cellStyle name="Normal 17 8 2 2 2" xfId="23544" xr:uid="{00000000-0005-0000-0000-00004B5B0000}"/>
    <cellStyle name="Normal 17 8 2 2 2 2" xfId="39600" xr:uid="{00000000-0005-0000-0000-00004C5B0000}"/>
    <cellStyle name="Normal 17 8 2 2 3" xfId="28108" xr:uid="{00000000-0005-0000-0000-00004D5B0000}"/>
    <cellStyle name="Normal 17 8 2 3" xfId="20392" xr:uid="{00000000-0005-0000-0000-00004E5B0000}"/>
    <cellStyle name="Normal 17 8 2 3 2" xfId="36491" xr:uid="{00000000-0005-0000-0000-00004F5B0000}"/>
    <cellStyle name="Normal 17 8 2 4" xfId="31509" xr:uid="{00000000-0005-0000-0000-0000505B0000}"/>
    <cellStyle name="Normal 17 8 3" xfId="7987" xr:uid="{00000000-0005-0000-0000-0000515B0000}"/>
    <cellStyle name="Normal 17 8 3 2" xfId="21702" xr:uid="{00000000-0005-0000-0000-0000525B0000}"/>
    <cellStyle name="Normal 17 8 3 2 2" xfId="37780" xr:uid="{00000000-0005-0000-0000-0000535B0000}"/>
    <cellStyle name="Normal 17 8 3 3" xfId="29811" xr:uid="{00000000-0005-0000-0000-0000545B0000}"/>
    <cellStyle name="Normal 17 8 4" xfId="10969" xr:uid="{00000000-0005-0000-0000-0000555B0000}"/>
    <cellStyle name="Normal 17 8 4 2" xfId="34706" xr:uid="{00000000-0005-0000-0000-0000565B0000}"/>
    <cellStyle name="Normal 17 8 5" xfId="33202" xr:uid="{00000000-0005-0000-0000-0000575B0000}"/>
    <cellStyle name="Normal 17 9" xfId="4539" xr:uid="{00000000-0005-0000-0000-0000585B0000}"/>
    <cellStyle name="Normal 17 9 2" xfId="6331" xr:uid="{00000000-0005-0000-0000-0000595B0000}"/>
    <cellStyle name="Normal 17 9 2 2" xfId="9741" xr:uid="{00000000-0005-0000-0000-00005A5B0000}"/>
    <cellStyle name="Normal 17 9 2 2 2" xfId="10386" xr:uid="{00000000-0005-0000-0000-00005B5B0000}"/>
    <cellStyle name="Normal 17 9 2 2 2 2" xfId="34338" xr:uid="{00000000-0005-0000-0000-00005C5B0000}"/>
    <cellStyle name="Normal 17 9 2 2 3" xfId="28058" xr:uid="{00000000-0005-0000-0000-00005D5B0000}"/>
    <cellStyle name="Normal 17 9 2 3" xfId="23018" xr:uid="{00000000-0005-0000-0000-00005E5B0000}"/>
    <cellStyle name="Normal 17 9 2 3 2" xfId="39087" xr:uid="{00000000-0005-0000-0000-00005F5B0000}"/>
    <cellStyle name="Normal 17 9 2 4" xfId="31459" xr:uid="{00000000-0005-0000-0000-0000605B0000}"/>
    <cellStyle name="Normal 17 9 3" xfId="8037" xr:uid="{00000000-0005-0000-0000-0000615B0000}"/>
    <cellStyle name="Normal 17 9 3 2" xfId="23304" xr:uid="{00000000-0005-0000-0000-0000625B0000}"/>
    <cellStyle name="Normal 17 9 3 2 2" xfId="39371" xr:uid="{00000000-0005-0000-0000-0000635B0000}"/>
    <cellStyle name="Normal 17 9 3 3" xfId="29761" xr:uid="{00000000-0005-0000-0000-0000645B0000}"/>
    <cellStyle name="Normal 17 9 4" xfId="10954" xr:uid="{00000000-0005-0000-0000-0000655B0000}"/>
    <cellStyle name="Normal 17 9 4 2" xfId="34696" xr:uid="{00000000-0005-0000-0000-0000665B0000}"/>
    <cellStyle name="Normal 17 9 5" xfId="33152" xr:uid="{00000000-0005-0000-0000-0000675B0000}"/>
    <cellStyle name="Normal 17_Ark1" xfId="12022" xr:uid="{00000000-0005-0000-0000-0000685B0000}"/>
    <cellStyle name="Normal 18" xfId="1483" xr:uid="{00000000-0005-0000-0000-0000695B0000}"/>
    <cellStyle name="Normal 18 2" xfId="1484" xr:uid="{00000000-0005-0000-0000-00006A5B0000}"/>
    <cellStyle name="Normal 18 2 2" xfId="12025" xr:uid="{00000000-0005-0000-0000-00006B5B0000}"/>
    <cellStyle name="Normal 18 3" xfId="12026" xr:uid="{00000000-0005-0000-0000-00006C5B0000}"/>
    <cellStyle name="Normal 19" xfId="1485" xr:uid="{00000000-0005-0000-0000-00006D5B0000}"/>
    <cellStyle name="Normal 19 2" xfId="1486" xr:uid="{00000000-0005-0000-0000-00006E5B0000}"/>
    <cellStyle name="Normal 19 2 2" xfId="12029" xr:uid="{00000000-0005-0000-0000-00006F5B0000}"/>
    <cellStyle name="Normal 19 3" xfId="12030" xr:uid="{00000000-0005-0000-0000-0000705B0000}"/>
    <cellStyle name="Normal 2" xfId="1487" xr:uid="{00000000-0005-0000-0000-0000715B0000}"/>
    <cellStyle name="Normal 2 10" xfId="1488" xr:uid="{00000000-0005-0000-0000-0000725B0000}"/>
    <cellStyle name="Normal 2 10 10" xfId="1489" xr:uid="{00000000-0005-0000-0000-0000735B0000}"/>
    <cellStyle name="Normal 2 10 10 2" xfId="12034" xr:uid="{00000000-0005-0000-0000-0000745B0000}"/>
    <cellStyle name="Normal 2 10 11" xfId="1490" xr:uid="{00000000-0005-0000-0000-0000755B0000}"/>
    <cellStyle name="Normal 2 10 11 2" xfId="12036" xr:uid="{00000000-0005-0000-0000-0000765B0000}"/>
    <cellStyle name="Normal 2 10 12" xfId="1491" xr:uid="{00000000-0005-0000-0000-0000775B0000}"/>
    <cellStyle name="Normal 2 10 12 2" xfId="12038" xr:uid="{00000000-0005-0000-0000-0000785B0000}"/>
    <cellStyle name="Normal 2 10 13" xfId="1492" xr:uid="{00000000-0005-0000-0000-0000795B0000}"/>
    <cellStyle name="Normal 2 10 13 2" xfId="12040" xr:uid="{00000000-0005-0000-0000-00007A5B0000}"/>
    <cellStyle name="Normal 2 10 14" xfId="1493" xr:uid="{00000000-0005-0000-0000-00007B5B0000}"/>
    <cellStyle name="Normal 2 10 14 2" xfId="12042" xr:uid="{00000000-0005-0000-0000-00007C5B0000}"/>
    <cellStyle name="Normal 2 10 15" xfId="1494" xr:uid="{00000000-0005-0000-0000-00007D5B0000}"/>
    <cellStyle name="Normal 2 10 15 2" xfId="12044" xr:uid="{00000000-0005-0000-0000-00007E5B0000}"/>
    <cellStyle name="Normal 2 10 16" xfId="1495" xr:uid="{00000000-0005-0000-0000-00007F5B0000}"/>
    <cellStyle name="Normal 2 10 16 2" xfId="12046" xr:uid="{00000000-0005-0000-0000-0000805B0000}"/>
    <cellStyle name="Normal 2 10 17" xfId="1496" xr:uid="{00000000-0005-0000-0000-0000815B0000}"/>
    <cellStyle name="Normal 2 10 17 2" xfId="12048" xr:uid="{00000000-0005-0000-0000-0000825B0000}"/>
    <cellStyle name="Normal 2 10 18" xfId="1497" xr:uid="{00000000-0005-0000-0000-0000835B0000}"/>
    <cellStyle name="Normal 2 10 18 2" xfId="12050" xr:uid="{00000000-0005-0000-0000-0000845B0000}"/>
    <cellStyle name="Normal 2 10 19" xfId="1498" xr:uid="{00000000-0005-0000-0000-0000855B0000}"/>
    <cellStyle name="Normal 2 10 19 2" xfId="12052" xr:uid="{00000000-0005-0000-0000-0000865B0000}"/>
    <cellStyle name="Normal 2 10 2" xfId="1499" xr:uid="{00000000-0005-0000-0000-0000875B0000}"/>
    <cellStyle name="Normal 2 10 2 2" xfId="12054" xr:uid="{00000000-0005-0000-0000-0000885B0000}"/>
    <cellStyle name="Normal 2 10 20" xfId="12055" xr:uid="{00000000-0005-0000-0000-0000895B0000}"/>
    <cellStyle name="Normal 2 10 3" xfId="1500" xr:uid="{00000000-0005-0000-0000-00008A5B0000}"/>
    <cellStyle name="Normal 2 10 3 2" xfId="12057" xr:uid="{00000000-0005-0000-0000-00008B5B0000}"/>
    <cellStyle name="Normal 2 10 4" xfId="1501" xr:uid="{00000000-0005-0000-0000-00008C5B0000}"/>
    <cellStyle name="Normal 2 10 4 2" xfId="12059" xr:uid="{00000000-0005-0000-0000-00008D5B0000}"/>
    <cellStyle name="Normal 2 10 5" xfId="1502" xr:uid="{00000000-0005-0000-0000-00008E5B0000}"/>
    <cellStyle name="Normal 2 10 5 2" xfId="12061" xr:uid="{00000000-0005-0000-0000-00008F5B0000}"/>
    <cellStyle name="Normal 2 10 6" xfId="1503" xr:uid="{00000000-0005-0000-0000-0000905B0000}"/>
    <cellStyle name="Normal 2 10 6 2" xfId="12063" xr:uid="{00000000-0005-0000-0000-0000915B0000}"/>
    <cellStyle name="Normal 2 10 7" xfId="1504" xr:uid="{00000000-0005-0000-0000-0000925B0000}"/>
    <cellStyle name="Normal 2 10 7 2" xfId="12065" xr:uid="{00000000-0005-0000-0000-0000935B0000}"/>
    <cellStyle name="Normal 2 10 8" xfId="1505" xr:uid="{00000000-0005-0000-0000-0000945B0000}"/>
    <cellStyle name="Normal 2 10 8 2" xfId="12067" xr:uid="{00000000-0005-0000-0000-0000955B0000}"/>
    <cellStyle name="Normal 2 10 9" xfId="1506" xr:uid="{00000000-0005-0000-0000-0000965B0000}"/>
    <cellStyle name="Normal 2 10 9 2" xfId="12069" xr:uid="{00000000-0005-0000-0000-0000975B0000}"/>
    <cellStyle name="Normal 2 100" xfId="4522" xr:uid="{00000000-0005-0000-0000-0000985B0000}"/>
    <cellStyle name="Normal 2 100 2" xfId="6314" xr:uid="{00000000-0005-0000-0000-0000995B0000}"/>
    <cellStyle name="Normal 2 100 2 2" xfId="9724" xr:uid="{00000000-0005-0000-0000-00009A5B0000}"/>
    <cellStyle name="Normal 2 100 2 2 2" xfId="21468" xr:uid="{00000000-0005-0000-0000-00009B5B0000}"/>
    <cellStyle name="Normal 2 100 2 2 2 2" xfId="37548" xr:uid="{00000000-0005-0000-0000-00009C5B0000}"/>
    <cellStyle name="Normal 2 100 2 2 3" xfId="28075" xr:uid="{00000000-0005-0000-0000-00009D5B0000}"/>
    <cellStyle name="Normal 2 100 2 3" xfId="20404" xr:uid="{00000000-0005-0000-0000-00009E5B0000}"/>
    <cellStyle name="Normal 2 100 2 3 2" xfId="36503" xr:uid="{00000000-0005-0000-0000-00009F5B0000}"/>
    <cellStyle name="Normal 2 100 2 4" xfId="31476" xr:uid="{00000000-0005-0000-0000-0000A05B0000}"/>
    <cellStyle name="Normal 2 100 3" xfId="8020" xr:uid="{00000000-0005-0000-0000-0000A15B0000}"/>
    <cellStyle name="Normal 2 100 3 2" xfId="21674" xr:uid="{00000000-0005-0000-0000-0000A25B0000}"/>
    <cellStyle name="Normal 2 100 3 2 2" xfId="37754" xr:uid="{00000000-0005-0000-0000-0000A35B0000}"/>
    <cellStyle name="Normal 2 100 3 3" xfId="29778" xr:uid="{00000000-0005-0000-0000-0000A45B0000}"/>
    <cellStyle name="Normal 2 100 4" xfId="19666" xr:uid="{00000000-0005-0000-0000-0000A55B0000}"/>
    <cellStyle name="Normal 2 100 4 2" xfId="35780" xr:uid="{00000000-0005-0000-0000-0000A65B0000}"/>
    <cellStyle name="Normal 2 100 5" xfId="33169" xr:uid="{00000000-0005-0000-0000-0000A75B0000}"/>
    <cellStyle name="Normal 2 100 6" xfId="44958" xr:uid="{00000000-0005-0000-0000-0000A85B0000}"/>
    <cellStyle name="Normal 2 101" xfId="12031" xr:uid="{00000000-0005-0000-0000-0000A95B0000}"/>
    <cellStyle name="Normal 2 102" xfId="43440" xr:uid="{00000000-0005-0000-0000-0000AA5B0000}"/>
    <cellStyle name="Normal 2 103" xfId="46328" xr:uid="{00000000-0005-0000-0000-0000AB5B0000}"/>
    <cellStyle name="Normal 2 104" xfId="47040" xr:uid="{00000000-0005-0000-0000-0000AC5B0000}"/>
    <cellStyle name="Normal 2 11" xfId="1507" xr:uid="{00000000-0005-0000-0000-0000AD5B0000}"/>
    <cellStyle name="Normal 2 11 2" xfId="1508" xr:uid="{00000000-0005-0000-0000-0000AE5B0000}"/>
    <cellStyle name="Normal 2 11 2 2" xfId="12072" xr:uid="{00000000-0005-0000-0000-0000AF5B0000}"/>
    <cellStyle name="Normal 2 11 3" xfId="12073" xr:uid="{00000000-0005-0000-0000-0000B05B0000}"/>
    <cellStyle name="Normal 2 12" xfId="1509" xr:uid="{00000000-0005-0000-0000-0000B15B0000}"/>
    <cellStyle name="Normal 2 12 2" xfId="1510" xr:uid="{00000000-0005-0000-0000-0000B25B0000}"/>
    <cellStyle name="Normal 2 12 2 2" xfId="12076" xr:uid="{00000000-0005-0000-0000-0000B35B0000}"/>
    <cellStyle name="Normal 2 12 3" xfId="12077" xr:uid="{00000000-0005-0000-0000-0000B45B0000}"/>
    <cellStyle name="Normal 2 13" xfId="1511" xr:uid="{00000000-0005-0000-0000-0000B55B0000}"/>
    <cellStyle name="Normal 2 13 2" xfId="1512" xr:uid="{00000000-0005-0000-0000-0000B65B0000}"/>
    <cellStyle name="Normal 2 13 2 2" xfId="12080" xr:uid="{00000000-0005-0000-0000-0000B75B0000}"/>
    <cellStyle name="Normal 2 13 3" xfId="12081" xr:uid="{00000000-0005-0000-0000-0000B85B0000}"/>
    <cellStyle name="Normal 2 14" xfId="1513" xr:uid="{00000000-0005-0000-0000-0000B95B0000}"/>
    <cellStyle name="Normal 2 14 2" xfId="1514" xr:uid="{00000000-0005-0000-0000-0000BA5B0000}"/>
    <cellStyle name="Normal 2 14 2 2" xfId="12084" xr:uid="{00000000-0005-0000-0000-0000BB5B0000}"/>
    <cellStyle name="Normal 2 14 3" xfId="12085" xr:uid="{00000000-0005-0000-0000-0000BC5B0000}"/>
    <cellStyle name="Normal 2 15" xfId="1515" xr:uid="{00000000-0005-0000-0000-0000BD5B0000}"/>
    <cellStyle name="Normal 2 15 2" xfId="1516" xr:uid="{00000000-0005-0000-0000-0000BE5B0000}"/>
    <cellStyle name="Normal 2 15 2 2" xfId="12088" xr:uid="{00000000-0005-0000-0000-0000BF5B0000}"/>
    <cellStyle name="Normal 2 15 3" xfId="12089" xr:uid="{00000000-0005-0000-0000-0000C05B0000}"/>
    <cellStyle name="Normal 2 16" xfId="1517" xr:uid="{00000000-0005-0000-0000-0000C15B0000}"/>
    <cellStyle name="Normal 2 16 2" xfId="1518" xr:uid="{00000000-0005-0000-0000-0000C25B0000}"/>
    <cellStyle name="Normal 2 16 2 2" xfId="12092" xr:uid="{00000000-0005-0000-0000-0000C35B0000}"/>
    <cellStyle name="Normal 2 16 3" xfId="12093" xr:uid="{00000000-0005-0000-0000-0000C45B0000}"/>
    <cellStyle name="Normal 2 17" xfId="1519" xr:uid="{00000000-0005-0000-0000-0000C55B0000}"/>
    <cellStyle name="Normal 2 17 2" xfId="1520" xr:uid="{00000000-0005-0000-0000-0000C65B0000}"/>
    <cellStyle name="Normal 2 17 2 2" xfId="12096" xr:uid="{00000000-0005-0000-0000-0000C75B0000}"/>
    <cellStyle name="Normal 2 17 3" xfId="12097" xr:uid="{00000000-0005-0000-0000-0000C85B0000}"/>
    <cellStyle name="Normal 2 18" xfId="1521" xr:uid="{00000000-0005-0000-0000-0000C95B0000}"/>
    <cellStyle name="Normal 2 18 2" xfId="1522" xr:uid="{00000000-0005-0000-0000-0000CA5B0000}"/>
    <cellStyle name="Normal 2 18 2 2" xfId="12100" xr:uid="{00000000-0005-0000-0000-0000CB5B0000}"/>
    <cellStyle name="Normal 2 18 3" xfId="12101" xr:uid="{00000000-0005-0000-0000-0000CC5B0000}"/>
    <cellStyle name="Normal 2 19" xfId="1523" xr:uid="{00000000-0005-0000-0000-0000CD5B0000}"/>
    <cellStyle name="Normal 2 19 2" xfId="1524" xr:uid="{00000000-0005-0000-0000-0000CE5B0000}"/>
    <cellStyle name="Normal 2 19 2 2" xfId="12104" xr:uid="{00000000-0005-0000-0000-0000CF5B0000}"/>
    <cellStyle name="Normal 2 19 3" xfId="12105" xr:uid="{00000000-0005-0000-0000-0000D05B0000}"/>
    <cellStyle name="Normal 2 2" xfId="1525" xr:uid="{00000000-0005-0000-0000-0000D15B0000}"/>
    <cellStyle name="Normal 2 2 2" xfId="1526" xr:uid="{00000000-0005-0000-0000-0000D25B0000}"/>
    <cellStyle name="Normal 2 2 2 2" xfId="1527" xr:uid="{00000000-0005-0000-0000-0000D35B0000}"/>
    <cellStyle name="Normal 2 2 2 2 2" xfId="1528" xr:uid="{00000000-0005-0000-0000-0000D45B0000}"/>
    <cellStyle name="Normal 2 2 2 2 3" xfId="12110" xr:uid="{00000000-0005-0000-0000-0000D55B0000}"/>
    <cellStyle name="Normal 2 2 2 3" xfId="12111" xr:uid="{00000000-0005-0000-0000-0000D65B0000}"/>
    <cellStyle name="Normal 2 2 2_NGL-pris" xfId="1529" xr:uid="{00000000-0005-0000-0000-0000D75B0000}"/>
    <cellStyle name="Normal 2 2 3" xfId="12113" xr:uid="{00000000-0005-0000-0000-0000D85B0000}"/>
    <cellStyle name="Normal 2 20" xfId="1530" xr:uid="{00000000-0005-0000-0000-0000D95B0000}"/>
    <cellStyle name="Normal 2 20 2" xfId="1531" xr:uid="{00000000-0005-0000-0000-0000DA5B0000}"/>
    <cellStyle name="Normal 2 20 2 2" xfId="12116" xr:uid="{00000000-0005-0000-0000-0000DB5B0000}"/>
    <cellStyle name="Normal 2 20 3" xfId="12117" xr:uid="{00000000-0005-0000-0000-0000DC5B0000}"/>
    <cellStyle name="Normal 2 21" xfId="1532" xr:uid="{00000000-0005-0000-0000-0000DD5B0000}"/>
    <cellStyle name="Normal 2 21 2" xfId="1533" xr:uid="{00000000-0005-0000-0000-0000DE5B0000}"/>
    <cellStyle name="Normal 2 21 2 2" xfId="12120" xr:uid="{00000000-0005-0000-0000-0000DF5B0000}"/>
    <cellStyle name="Normal 2 21 3" xfId="12121" xr:uid="{00000000-0005-0000-0000-0000E05B0000}"/>
    <cellStyle name="Normal 2 22" xfId="1534" xr:uid="{00000000-0005-0000-0000-0000E15B0000}"/>
    <cellStyle name="Normal 2 22 2" xfId="1535" xr:uid="{00000000-0005-0000-0000-0000E25B0000}"/>
    <cellStyle name="Normal 2 22 2 2" xfId="12123" xr:uid="{00000000-0005-0000-0000-0000E35B0000}"/>
    <cellStyle name="Normal 2 22 3" xfId="12124" xr:uid="{00000000-0005-0000-0000-0000E45B0000}"/>
    <cellStyle name="Normal 2 23" xfId="1536" xr:uid="{00000000-0005-0000-0000-0000E55B0000}"/>
    <cellStyle name="Normal 2 23 2" xfId="1537" xr:uid="{00000000-0005-0000-0000-0000E65B0000}"/>
    <cellStyle name="Normal 2 23 2 2" xfId="12127" xr:uid="{00000000-0005-0000-0000-0000E75B0000}"/>
    <cellStyle name="Normal 2 23 3" xfId="12128" xr:uid="{00000000-0005-0000-0000-0000E85B0000}"/>
    <cellStyle name="Normal 2 24" xfId="1538" xr:uid="{00000000-0005-0000-0000-0000E95B0000}"/>
    <cellStyle name="Normal 2 24 2" xfId="1539" xr:uid="{00000000-0005-0000-0000-0000EA5B0000}"/>
    <cellStyle name="Normal 2 24 2 2" xfId="12131" xr:uid="{00000000-0005-0000-0000-0000EB5B0000}"/>
    <cellStyle name="Normal 2 24 3" xfId="12132" xr:uid="{00000000-0005-0000-0000-0000EC5B0000}"/>
    <cellStyle name="Normal 2 25" xfId="1540" xr:uid="{00000000-0005-0000-0000-0000ED5B0000}"/>
    <cellStyle name="Normal 2 25 2" xfId="1541" xr:uid="{00000000-0005-0000-0000-0000EE5B0000}"/>
    <cellStyle name="Normal 2 25 2 2" xfId="12135" xr:uid="{00000000-0005-0000-0000-0000EF5B0000}"/>
    <cellStyle name="Normal 2 25 3" xfId="12136" xr:uid="{00000000-0005-0000-0000-0000F05B0000}"/>
    <cellStyle name="Normal 2 26" xfId="1542" xr:uid="{00000000-0005-0000-0000-0000F15B0000}"/>
    <cellStyle name="Normal 2 26 2" xfId="1543" xr:uid="{00000000-0005-0000-0000-0000F25B0000}"/>
    <cellStyle name="Normal 2 26 2 2" xfId="12139" xr:uid="{00000000-0005-0000-0000-0000F35B0000}"/>
    <cellStyle name="Normal 2 26 3" xfId="12140" xr:uid="{00000000-0005-0000-0000-0000F45B0000}"/>
    <cellStyle name="Normal 2 27" xfId="1544" xr:uid="{00000000-0005-0000-0000-0000F55B0000}"/>
    <cellStyle name="Normal 2 27 2" xfId="12142" xr:uid="{00000000-0005-0000-0000-0000F65B0000}"/>
    <cellStyle name="Normal 2 28" xfId="1545" xr:uid="{00000000-0005-0000-0000-0000F75B0000}"/>
    <cellStyle name="Normal 2 28 2" xfId="12144" xr:uid="{00000000-0005-0000-0000-0000F85B0000}"/>
    <cellStyle name="Normal 2 29" xfId="1546" xr:uid="{00000000-0005-0000-0000-0000F95B0000}"/>
    <cellStyle name="Normal 2 29 2" xfId="12146" xr:uid="{00000000-0005-0000-0000-0000FA5B0000}"/>
    <cellStyle name="Normal 2 3" xfId="1547" xr:uid="{00000000-0005-0000-0000-0000FB5B0000}"/>
    <cellStyle name="Normal 2 3 2" xfId="1548" xr:uid="{00000000-0005-0000-0000-0000FC5B0000}"/>
    <cellStyle name="Normal 2 3 2 2" xfId="12148" xr:uid="{00000000-0005-0000-0000-0000FD5B0000}"/>
    <cellStyle name="Normal 2 3 3" xfId="12149" xr:uid="{00000000-0005-0000-0000-0000FE5B0000}"/>
    <cellStyle name="Normal 2 30" xfId="1549" xr:uid="{00000000-0005-0000-0000-0000FF5B0000}"/>
    <cellStyle name="Normal 2 30 2" xfId="12151" xr:uid="{00000000-0005-0000-0000-0000005C0000}"/>
    <cellStyle name="Normal 2 31" xfId="1550" xr:uid="{00000000-0005-0000-0000-0000015C0000}"/>
    <cellStyle name="Normal 2 31 2" xfId="12153" xr:uid="{00000000-0005-0000-0000-0000025C0000}"/>
    <cellStyle name="Normal 2 32" xfId="1551" xr:uid="{00000000-0005-0000-0000-0000035C0000}"/>
    <cellStyle name="Normal 2 32 2" xfId="12155" xr:uid="{00000000-0005-0000-0000-0000045C0000}"/>
    <cellStyle name="Normal 2 33" xfId="1552" xr:uid="{00000000-0005-0000-0000-0000055C0000}"/>
    <cellStyle name="Normal 2 33 2" xfId="12157" xr:uid="{00000000-0005-0000-0000-0000065C0000}"/>
    <cellStyle name="Normal 2 34" xfId="1553" xr:uid="{00000000-0005-0000-0000-0000075C0000}"/>
    <cellStyle name="Normal 2 34 2" xfId="12159" xr:uid="{00000000-0005-0000-0000-0000085C0000}"/>
    <cellStyle name="Normal 2 35" xfId="1554" xr:uid="{00000000-0005-0000-0000-0000095C0000}"/>
    <cellStyle name="Normal 2 35 2" xfId="12161" xr:uid="{00000000-0005-0000-0000-00000A5C0000}"/>
    <cellStyle name="Normal 2 36" xfId="1555" xr:uid="{00000000-0005-0000-0000-00000B5C0000}"/>
    <cellStyle name="Normal 2 36 2" xfId="12163" xr:uid="{00000000-0005-0000-0000-00000C5C0000}"/>
    <cellStyle name="Normal 2 37" xfId="1556" xr:uid="{00000000-0005-0000-0000-00000D5C0000}"/>
    <cellStyle name="Normal 2 37 2" xfId="12165" xr:uid="{00000000-0005-0000-0000-00000E5C0000}"/>
    <cellStyle name="Normal 2 38" xfId="1557" xr:uid="{00000000-0005-0000-0000-00000F5C0000}"/>
    <cellStyle name="Normal 2 38 2" xfId="12167" xr:uid="{00000000-0005-0000-0000-0000105C0000}"/>
    <cellStyle name="Normal 2 39" xfId="1558" xr:uid="{00000000-0005-0000-0000-0000115C0000}"/>
    <cellStyle name="Normal 2 39 2" xfId="12169" xr:uid="{00000000-0005-0000-0000-0000125C0000}"/>
    <cellStyle name="Normal 2 4" xfId="1559" xr:uid="{00000000-0005-0000-0000-0000135C0000}"/>
    <cellStyle name="Normal 2 4 2" xfId="1560" xr:uid="{00000000-0005-0000-0000-0000145C0000}"/>
    <cellStyle name="Normal 2 4 2 2" xfId="1561" xr:uid="{00000000-0005-0000-0000-0000155C0000}"/>
    <cellStyle name="Normal 2 4 2 2 2" xfId="1562" xr:uid="{00000000-0005-0000-0000-0000165C0000}"/>
    <cellStyle name="Normal 2 4 2 2 3" xfId="12174" xr:uid="{00000000-0005-0000-0000-0000175C0000}"/>
    <cellStyle name="Normal 2 4 2 3" xfId="12175" xr:uid="{00000000-0005-0000-0000-0000185C0000}"/>
    <cellStyle name="Normal 2 4 2_NGL-pris" xfId="1563" xr:uid="{00000000-0005-0000-0000-0000195C0000}"/>
    <cellStyle name="Normal 2 4 3" xfId="1564" xr:uid="{00000000-0005-0000-0000-00001A5C0000}"/>
    <cellStyle name="Normal 2 4 4" xfId="1565" xr:uid="{00000000-0005-0000-0000-00001B5C0000}"/>
    <cellStyle name="Normal 2 4_NGL-pris" xfId="1566" xr:uid="{00000000-0005-0000-0000-00001C5C0000}"/>
    <cellStyle name="Normal 2 40" xfId="1567" xr:uid="{00000000-0005-0000-0000-00001D5C0000}"/>
    <cellStyle name="Normal 2 40 2" xfId="12181" xr:uid="{00000000-0005-0000-0000-00001E5C0000}"/>
    <cellStyle name="Normal 2 41" xfId="1568" xr:uid="{00000000-0005-0000-0000-00001F5C0000}"/>
    <cellStyle name="Normal 2 41 2" xfId="12183" xr:uid="{00000000-0005-0000-0000-0000205C0000}"/>
    <cellStyle name="Normal 2 42" xfId="1569" xr:uid="{00000000-0005-0000-0000-0000215C0000}"/>
    <cellStyle name="Normal 2 42 2" xfId="12185" xr:uid="{00000000-0005-0000-0000-0000225C0000}"/>
    <cellStyle name="Normal 2 43" xfId="1570" xr:uid="{00000000-0005-0000-0000-0000235C0000}"/>
    <cellStyle name="Normal 2 43 2" xfId="12187" xr:uid="{00000000-0005-0000-0000-0000245C0000}"/>
    <cellStyle name="Normal 2 44" xfId="1571" xr:uid="{00000000-0005-0000-0000-0000255C0000}"/>
    <cellStyle name="Normal 2 44 2" xfId="12189" xr:uid="{00000000-0005-0000-0000-0000265C0000}"/>
    <cellStyle name="Normal 2 45" xfId="1572" xr:uid="{00000000-0005-0000-0000-0000275C0000}"/>
    <cellStyle name="Normal 2 45 2" xfId="1573" xr:uid="{00000000-0005-0000-0000-0000285C0000}"/>
    <cellStyle name="Normal 2 45 2 2" xfId="1574" xr:uid="{00000000-0005-0000-0000-0000295C0000}"/>
    <cellStyle name="Normal 2 45 2 2 2" xfId="12193" xr:uid="{00000000-0005-0000-0000-00002A5C0000}"/>
    <cellStyle name="Normal 2 45 2 3" xfId="12194" xr:uid="{00000000-0005-0000-0000-00002B5C0000}"/>
    <cellStyle name="Normal 2 45 3" xfId="12195" xr:uid="{00000000-0005-0000-0000-00002C5C0000}"/>
    <cellStyle name="Normal 2 46" xfId="1575" xr:uid="{00000000-0005-0000-0000-00002D5C0000}"/>
    <cellStyle name="Normal 2 46 2" xfId="12197" xr:uid="{00000000-0005-0000-0000-00002E5C0000}"/>
    <cellStyle name="Normal 2 47" xfId="1576" xr:uid="{00000000-0005-0000-0000-00002F5C0000}"/>
    <cellStyle name="Normal 2 47 2" xfId="12199" xr:uid="{00000000-0005-0000-0000-0000305C0000}"/>
    <cellStyle name="Normal 2 48" xfId="1577" xr:uid="{00000000-0005-0000-0000-0000315C0000}"/>
    <cellStyle name="Normal 2 48 2" xfId="12201" xr:uid="{00000000-0005-0000-0000-0000325C0000}"/>
    <cellStyle name="Normal 2 49" xfId="1578" xr:uid="{00000000-0005-0000-0000-0000335C0000}"/>
    <cellStyle name="Normal 2 49 10" xfId="6977" xr:uid="{00000000-0005-0000-0000-0000345C0000}"/>
    <cellStyle name="Normal 2 49 10 2" xfId="24125" xr:uid="{00000000-0005-0000-0000-0000355C0000}"/>
    <cellStyle name="Normal 2 49 10 2 2" xfId="40178" xr:uid="{00000000-0005-0000-0000-0000365C0000}"/>
    <cellStyle name="Normal 2 49 10 3" xfId="30821" xr:uid="{00000000-0005-0000-0000-0000375C0000}"/>
    <cellStyle name="Normal 2 49 11" xfId="12202" xr:uid="{00000000-0005-0000-0000-0000385C0000}"/>
    <cellStyle name="Normal 2 49 12" xfId="34209" xr:uid="{00000000-0005-0000-0000-0000395C0000}"/>
    <cellStyle name="Normal 2 49 2" xfId="3371" xr:uid="{00000000-0005-0000-0000-00003A5C0000}"/>
    <cellStyle name="Normal 2 49 2 10" xfId="34126" xr:uid="{00000000-0005-0000-0000-00003B5C0000}"/>
    <cellStyle name="Normal 2 49 2 2" xfId="3597" xr:uid="{00000000-0005-0000-0000-00003C5C0000}"/>
    <cellStyle name="Normal 2 49 2 2 10" xfId="47196" xr:uid="{00000000-0005-0000-0000-00003D5C0000}"/>
    <cellStyle name="Normal 2 49 2 2 2" xfId="4027" xr:uid="{00000000-0005-0000-0000-00003E5C0000}"/>
    <cellStyle name="Normal 2 49 2 2 2 2" xfId="5915" xr:uid="{00000000-0005-0000-0000-00003F5C0000}"/>
    <cellStyle name="Normal 2 49 2 2 2 2 2" xfId="9330" xr:uid="{00000000-0005-0000-0000-0000405C0000}"/>
    <cellStyle name="Normal 2 49 2 2 2 2 2 2" xfId="23492" xr:uid="{00000000-0005-0000-0000-0000415C0000}"/>
    <cellStyle name="Normal 2 49 2 2 2 2 2 2 2" xfId="39548" xr:uid="{00000000-0005-0000-0000-0000425C0000}"/>
    <cellStyle name="Normal 2 49 2 2 2 2 2 3" xfId="28468" xr:uid="{00000000-0005-0000-0000-0000435C0000}"/>
    <cellStyle name="Normal 2 49 2 2 2 2 3" xfId="23941" xr:uid="{00000000-0005-0000-0000-0000445C0000}"/>
    <cellStyle name="Normal 2 49 2 2 2 2 3 2" xfId="39995" xr:uid="{00000000-0005-0000-0000-0000455C0000}"/>
    <cellStyle name="Normal 2 49 2 2 2 2 4" xfId="31861" xr:uid="{00000000-0005-0000-0000-0000465C0000}"/>
    <cellStyle name="Normal 2 49 2 2 2 3" xfId="7633" xr:uid="{00000000-0005-0000-0000-0000475C0000}"/>
    <cellStyle name="Normal 2 49 2 2 2 3 2" xfId="20845" xr:uid="{00000000-0005-0000-0000-0000485C0000}"/>
    <cellStyle name="Normal 2 49 2 2 2 3 2 2" xfId="36944" xr:uid="{00000000-0005-0000-0000-0000495C0000}"/>
    <cellStyle name="Normal 2 49 2 2 2 3 3" xfId="30165" xr:uid="{00000000-0005-0000-0000-00004A5C0000}"/>
    <cellStyle name="Normal 2 49 2 2 2 4" xfId="18150" xr:uid="{00000000-0005-0000-0000-00004B5C0000}"/>
    <cellStyle name="Normal 2 49 2 2 2 5" xfId="22486" xr:uid="{00000000-0005-0000-0000-00004C5C0000}"/>
    <cellStyle name="Normal 2 49 2 2 2 5 2" xfId="38558" xr:uid="{00000000-0005-0000-0000-00004D5C0000}"/>
    <cellStyle name="Normal 2 49 2 2 2 6" xfId="33552" xr:uid="{00000000-0005-0000-0000-00004E5C0000}"/>
    <cellStyle name="Normal 2 49 2 2 3" xfId="4967" xr:uid="{00000000-0005-0000-0000-00004F5C0000}"/>
    <cellStyle name="Normal 2 49 2 2 3 10" xfId="47386" xr:uid="{00000000-0005-0000-0000-0000505C0000}"/>
    <cellStyle name="Normal 2 49 2 2 3 2" xfId="6686" xr:uid="{00000000-0005-0000-0000-0000515C0000}"/>
    <cellStyle name="Normal 2 49 2 2 3 2 2" xfId="10092" xr:uid="{00000000-0005-0000-0000-0000525C0000}"/>
    <cellStyle name="Normal 2 49 2 2 3 2 2 2" xfId="23617" xr:uid="{00000000-0005-0000-0000-0000535C0000}"/>
    <cellStyle name="Normal 2 49 2 2 3 2 2 2 2" xfId="39673" xr:uid="{00000000-0005-0000-0000-0000545C0000}"/>
    <cellStyle name="Normal 2 49 2 2 3 2 2 3" xfId="27707" xr:uid="{00000000-0005-0000-0000-0000555C0000}"/>
    <cellStyle name="Normal 2 49 2 2 3 2 3" xfId="22152" xr:uid="{00000000-0005-0000-0000-0000565C0000}"/>
    <cellStyle name="Normal 2 49 2 2 3 2 3 2" xfId="38226" xr:uid="{00000000-0005-0000-0000-0000575C0000}"/>
    <cellStyle name="Normal 2 49 2 2 3 2 4" xfId="31108" xr:uid="{00000000-0005-0000-0000-0000585C0000}"/>
    <cellStyle name="Normal 2 49 2 2 3 2 5" xfId="43083" xr:uid="{00000000-0005-0000-0000-0000595C0000}"/>
    <cellStyle name="Normal 2 49 2 2 3 2 6" xfId="43377" xr:uid="{00000000-0005-0000-0000-00005A5C0000}"/>
    <cellStyle name="Normal 2 49 2 2 3 2 7" xfId="46225" xr:uid="{00000000-0005-0000-0000-00005B5C0000}"/>
    <cellStyle name="Normal 2 49 2 2 3 2 8" xfId="46997" xr:uid="{00000000-0005-0000-0000-00005C5C0000}"/>
    <cellStyle name="Normal 2 49 2 2 3 2 9" xfId="47582" xr:uid="{00000000-0005-0000-0000-00005D5C0000}"/>
    <cellStyle name="Normal 2 49 2 2 3 3" xfId="8389" xr:uid="{00000000-0005-0000-0000-00005E5C0000}"/>
    <cellStyle name="Normal 2 49 2 2 3 3 2" xfId="21080" xr:uid="{00000000-0005-0000-0000-00005F5C0000}"/>
    <cellStyle name="Normal 2 49 2 2 3 3 2 2" xfId="37165" xr:uid="{00000000-0005-0000-0000-0000605C0000}"/>
    <cellStyle name="Normal 2 49 2 2 3 3 3" xfId="29409" xr:uid="{00000000-0005-0000-0000-0000615C0000}"/>
    <cellStyle name="Normal 2 49 2 2 3 3 4" xfId="44064" xr:uid="{00000000-0005-0000-0000-0000625C0000}"/>
    <cellStyle name="Normal 2 49 2 2 3 4" xfId="16528" xr:uid="{00000000-0005-0000-0000-0000635C0000}"/>
    <cellStyle name="Normal 2 49 2 2 3 4 2" xfId="35472" xr:uid="{00000000-0005-0000-0000-0000645C0000}"/>
    <cellStyle name="Normal 2 49 2 2 3 5" xfId="25134" xr:uid="{00000000-0005-0000-0000-0000655C0000}"/>
    <cellStyle name="Normal 2 49 2 2 3 6" xfId="25437" xr:uid="{00000000-0005-0000-0000-0000665C0000}"/>
    <cellStyle name="Normal 2 49 2 2 3 7" xfId="32800" xr:uid="{00000000-0005-0000-0000-0000675C0000}"/>
    <cellStyle name="Normal 2 49 2 2 3 8" xfId="43838" xr:uid="{00000000-0005-0000-0000-0000685C0000}"/>
    <cellStyle name="Normal 2 49 2 2 3 9" xfId="46763" xr:uid="{00000000-0005-0000-0000-0000695C0000}"/>
    <cellStyle name="Normal 2 49 2 2 4" xfId="5521" xr:uid="{00000000-0005-0000-0000-00006A5C0000}"/>
    <cellStyle name="Normal 2 49 2 2 4 2" xfId="8936" xr:uid="{00000000-0005-0000-0000-00006B5C0000}"/>
    <cellStyle name="Normal 2 49 2 2 4 2 2" xfId="24432" xr:uid="{00000000-0005-0000-0000-00006C5C0000}"/>
    <cellStyle name="Normal 2 49 2 2 4 2 2 2" xfId="40476" xr:uid="{00000000-0005-0000-0000-00006D5C0000}"/>
    <cellStyle name="Normal 2 49 2 2 4 2 3" xfId="28862" xr:uid="{00000000-0005-0000-0000-00006E5C0000}"/>
    <cellStyle name="Normal 2 49 2 2 4 3" xfId="20106" xr:uid="{00000000-0005-0000-0000-00006F5C0000}"/>
    <cellStyle name="Normal 2 49 2 2 4 3 2" xfId="36210" xr:uid="{00000000-0005-0000-0000-0000705C0000}"/>
    <cellStyle name="Normal 2 49 2 2 4 4" xfId="32253" xr:uid="{00000000-0005-0000-0000-0000715C0000}"/>
    <cellStyle name="Normal 2 49 2 2 5" xfId="7239" xr:uid="{00000000-0005-0000-0000-0000725C0000}"/>
    <cellStyle name="Normal 2 49 2 2 5 2" xfId="20707" xr:uid="{00000000-0005-0000-0000-0000735C0000}"/>
    <cellStyle name="Normal 2 49 2 2 5 2 2" xfId="36806" xr:uid="{00000000-0005-0000-0000-0000745C0000}"/>
    <cellStyle name="Normal 2 49 2 2 5 3" xfId="30559" xr:uid="{00000000-0005-0000-0000-0000755C0000}"/>
    <cellStyle name="Normal 2 49 2 2 6" xfId="12204" xr:uid="{00000000-0005-0000-0000-0000765C0000}"/>
    <cellStyle name="Normal 2 49 2 2 7" xfId="33946" xr:uid="{00000000-0005-0000-0000-0000775C0000}"/>
    <cellStyle name="Normal 2 49 2 2 8" xfId="43629" xr:uid="{00000000-0005-0000-0000-0000785C0000}"/>
    <cellStyle name="Normal 2 49 2 2 9" xfId="46535" xr:uid="{00000000-0005-0000-0000-0000795C0000}"/>
    <cellStyle name="Normal 2 49 2 2_Avviksanalyse løpende RNB15 (1)" xfId="16741" xr:uid="{00000000-0005-0000-0000-00007A5C0000}"/>
    <cellStyle name="Normal 2 49 2 3" xfId="3847" xr:uid="{00000000-0005-0000-0000-00007B5C0000}"/>
    <cellStyle name="Normal 2 49 2 3 2" xfId="5735" xr:uid="{00000000-0005-0000-0000-00007C5C0000}"/>
    <cellStyle name="Normal 2 49 2 3 2 2" xfId="9150" xr:uid="{00000000-0005-0000-0000-00007D5C0000}"/>
    <cellStyle name="Normal 2 49 2 3 2 2 2" xfId="23463" xr:uid="{00000000-0005-0000-0000-00007E5C0000}"/>
    <cellStyle name="Normal 2 49 2 3 2 2 2 2" xfId="39519" xr:uid="{00000000-0005-0000-0000-00007F5C0000}"/>
    <cellStyle name="Normal 2 49 2 3 2 2 3" xfId="28648" xr:uid="{00000000-0005-0000-0000-0000805C0000}"/>
    <cellStyle name="Normal 2 49 2 3 2 3" xfId="20186" xr:uid="{00000000-0005-0000-0000-0000815C0000}"/>
    <cellStyle name="Normal 2 49 2 3 2 3 2" xfId="36286" xr:uid="{00000000-0005-0000-0000-0000825C0000}"/>
    <cellStyle name="Normal 2 49 2 3 2 4" xfId="32039" xr:uid="{00000000-0005-0000-0000-0000835C0000}"/>
    <cellStyle name="Normal 2 49 2 3 3" xfId="7453" xr:uid="{00000000-0005-0000-0000-0000845C0000}"/>
    <cellStyle name="Normal 2 49 2 3 3 2" xfId="20788" xr:uid="{00000000-0005-0000-0000-0000855C0000}"/>
    <cellStyle name="Normal 2 49 2 3 3 2 2" xfId="36887" xr:uid="{00000000-0005-0000-0000-0000865C0000}"/>
    <cellStyle name="Normal 2 49 2 3 3 3" xfId="30345" xr:uid="{00000000-0005-0000-0000-0000875C0000}"/>
    <cellStyle name="Normal 2 49 2 3 4" xfId="12520" xr:uid="{00000000-0005-0000-0000-0000885C0000}"/>
    <cellStyle name="Normal 2 49 2 3 4 2" xfId="35270" xr:uid="{00000000-0005-0000-0000-0000895C0000}"/>
    <cellStyle name="Normal 2 49 2 3 5" xfId="33732" xr:uid="{00000000-0005-0000-0000-00008A5C0000}"/>
    <cellStyle name="Normal 2 49 2 4" xfId="4332" xr:uid="{00000000-0005-0000-0000-00008B5C0000}"/>
    <cellStyle name="Normal 2 49 2 4 2" xfId="6161" xr:uid="{00000000-0005-0000-0000-00008C5C0000}"/>
    <cellStyle name="Normal 2 49 2 4 2 2" xfId="9575" xr:uid="{00000000-0005-0000-0000-00008D5C0000}"/>
    <cellStyle name="Normal 2 49 2 4 2 2 2" xfId="21963" xr:uid="{00000000-0005-0000-0000-00008E5C0000}"/>
    <cellStyle name="Normal 2 49 2 4 2 2 2 2" xfId="38038" xr:uid="{00000000-0005-0000-0000-00008F5C0000}"/>
    <cellStyle name="Normal 2 49 2 4 2 2 3" xfId="28223" xr:uid="{00000000-0005-0000-0000-0000905C0000}"/>
    <cellStyle name="Normal 2 49 2 4 2 3" xfId="20345" xr:uid="{00000000-0005-0000-0000-0000915C0000}"/>
    <cellStyle name="Normal 2 49 2 4 2 3 2" xfId="36444" xr:uid="{00000000-0005-0000-0000-0000925C0000}"/>
    <cellStyle name="Normal 2 49 2 4 2 4" xfId="31620" xr:uid="{00000000-0005-0000-0000-0000935C0000}"/>
    <cellStyle name="Normal 2 49 2 4 3" xfId="7894" xr:uid="{00000000-0005-0000-0000-0000945C0000}"/>
    <cellStyle name="Normal 2 49 2 4 3 2" xfId="10618" xr:uid="{00000000-0005-0000-0000-0000955C0000}"/>
    <cellStyle name="Normal 2 49 2 4 3 2 2" xfId="34466" xr:uid="{00000000-0005-0000-0000-0000965C0000}"/>
    <cellStyle name="Normal 2 49 2 4 3 3" xfId="29905" xr:uid="{00000000-0005-0000-0000-0000975C0000}"/>
    <cellStyle name="Normal 2 49 2 4 4" xfId="23817" xr:uid="{00000000-0005-0000-0000-0000985C0000}"/>
    <cellStyle name="Normal 2 49 2 4 4 2" xfId="39873" xr:uid="{00000000-0005-0000-0000-0000995C0000}"/>
    <cellStyle name="Normal 2 49 2 4 5" xfId="33293" xr:uid="{00000000-0005-0000-0000-00009A5C0000}"/>
    <cellStyle name="Normal 2 49 2 5" xfId="4787" xr:uid="{00000000-0005-0000-0000-00009B5C0000}"/>
    <cellStyle name="Normal 2 49 2 5 2" xfId="6507" xr:uid="{00000000-0005-0000-0000-00009C5C0000}"/>
    <cellStyle name="Normal 2 49 2 5 2 2" xfId="9913" xr:uid="{00000000-0005-0000-0000-00009D5C0000}"/>
    <cellStyle name="Normal 2 49 2 5 2 2 2" xfId="21532" xr:uid="{00000000-0005-0000-0000-00009E5C0000}"/>
    <cellStyle name="Normal 2 49 2 5 2 2 2 2" xfId="37612" xr:uid="{00000000-0005-0000-0000-00009F5C0000}"/>
    <cellStyle name="Normal 2 49 2 5 2 2 3" xfId="27886" xr:uid="{00000000-0005-0000-0000-0000A05C0000}"/>
    <cellStyle name="Normal 2 49 2 5 2 3" xfId="19587" xr:uid="{00000000-0005-0000-0000-0000A15C0000}"/>
    <cellStyle name="Normal 2 49 2 5 2 3 2" xfId="35701" xr:uid="{00000000-0005-0000-0000-0000A25C0000}"/>
    <cellStyle name="Normal 2 49 2 5 2 4" xfId="31287" xr:uid="{00000000-0005-0000-0000-0000A35C0000}"/>
    <cellStyle name="Normal 2 49 2 5 3" xfId="8209" xr:uid="{00000000-0005-0000-0000-0000A45C0000}"/>
    <cellStyle name="Normal 2 49 2 5 3 2" xfId="10594" xr:uid="{00000000-0005-0000-0000-0000A55C0000}"/>
    <cellStyle name="Normal 2 49 2 5 3 2 2" xfId="34443" xr:uid="{00000000-0005-0000-0000-0000A65C0000}"/>
    <cellStyle name="Normal 2 49 2 5 3 3" xfId="29588" xr:uid="{00000000-0005-0000-0000-0000A75C0000}"/>
    <cellStyle name="Normal 2 49 2 5 4" xfId="12265" xr:uid="{00000000-0005-0000-0000-0000A85C0000}"/>
    <cellStyle name="Normal 2 49 2 5 4 2" xfId="35141" xr:uid="{00000000-0005-0000-0000-0000A95C0000}"/>
    <cellStyle name="Normal 2 49 2 5 5" xfId="32980" xr:uid="{00000000-0005-0000-0000-0000AA5C0000}"/>
    <cellStyle name="Normal 2 49 2 6" xfId="5147" xr:uid="{00000000-0005-0000-0000-0000AB5C0000}"/>
    <cellStyle name="Normal 2 49 2 6 2" xfId="6866" xr:uid="{00000000-0005-0000-0000-0000AC5C0000}"/>
    <cellStyle name="Normal 2 49 2 6 2 2" xfId="10272" xr:uid="{00000000-0005-0000-0000-0000AD5C0000}"/>
    <cellStyle name="Normal 2 49 2 6 2 2 2" xfId="24715" xr:uid="{00000000-0005-0000-0000-0000AE5C0000}"/>
    <cellStyle name="Normal 2 49 2 6 2 2 2 2" xfId="40758" xr:uid="{00000000-0005-0000-0000-0000AF5C0000}"/>
    <cellStyle name="Normal 2 49 2 6 2 2 3" xfId="27527" xr:uid="{00000000-0005-0000-0000-0000B05C0000}"/>
    <cellStyle name="Normal 2 49 2 6 2 3" xfId="23106" xr:uid="{00000000-0005-0000-0000-0000B15C0000}"/>
    <cellStyle name="Normal 2 49 2 6 2 3 2" xfId="39175" xr:uid="{00000000-0005-0000-0000-0000B25C0000}"/>
    <cellStyle name="Normal 2 49 2 6 2 4" xfId="30928" xr:uid="{00000000-0005-0000-0000-0000B35C0000}"/>
    <cellStyle name="Normal 2 49 2 6 3" xfId="8569" xr:uid="{00000000-0005-0000-0000-0000B45C0000}"/>
    <cellStyle name="Normal 2 49 2 6 3 2" xfId="24384" xr:uid="{00000000-0005-0000-0000-0000B55C0000}"/>
    <cellStyle name="Normal 2 49 2 6 3 2 2" xfId="40428" xr:uid="{00000000-0005-0000-0000-0000B65C0000}"/>
    <cellStyle name="Normal 2 49 2 6 3 3" xfId="29229" xr:uid="{00000000-0005-0000-0000-0000B75C0000}"/>
    <cellStyle name="Normal 2 49 2 6 4" xfId="12158" xr:uid="{00000000-0005-0000-0000-0000B85C0000}"/>
    <cellStyle name="Normal 2 49 2 6 4 2" xfId="35099" xr:uid="{00000000-0005-0000-0000-0000B95C0000}"/>
    <cellStyle name="Normal 2 49 2 6 5" xfId="32620" xr:uid="{00000000-0005-0000-0000-0000BA5C0000}"/>
    <cellStyle name="Normal 2 49 2 7" xfId="5326" xr:uid="{00000000-0005-0000-0000-0000BB5C0000}"/>
    <cellStyle name="Normal 2 49 2 7 2" xfId="8741" xr:uid="{00000000-0005-0000-0000-0000BC5C0000}"/>
    <cellStyle name="Normal 2 49 2 7 2 2" xfId="23403" xr:uid="{00000000-0005-0000-0000-0000BD5C0000}"/>
    <cellStyle name="Normal 2 49 2 7 2 2 2" xfId="39459" xr:uid="{00000000-0005-0000-0000-0000BE5C0000}"/>
    <cellStyle name="Normal 2 49 2 7 2 3" xfId="29057" xr:uid="{00000000-0005-0000-0000-0000BF5C0000}"/>
    <cellStyle name="Normal 2 49 2 7 3" xfId="23856" xr:uid="{00000000-0005-0000-0000-0000C05C0000}"/>
    <cellStyle name="Normal 2 49 2 7 3 2" xfId="39912" xr:uid="{00000000-0005-0000-0000-0000C15C0000}"/>
    <cellStyle name="Normal 2 49 2 7 4" xfId="32448" xr:uid="{00000000-0005-0000-0000-0000C25C0000}"/>
    <cellStyle name="Normal 2 49 2 8" xfId="7059" xr:uid="{00000000-0005-0000-0000-0000C35C0000}"/>
    <cellStyle name="Normal 2 49 2 8 2" xfId="23140" xr:uid="{00000000-0005-0000-0000-0000C45C0000}"/>
    <cellStyle name="Normal 2 49 2 8 2 2" xfId="39209" xr:uid="{00000000-0005-0000-0000-0000C55C0000}"/>
    <cellStyle name="Normal 2 49 2 8 3" xfId="30739" xr:uid="{00000000-0005-0000-0000-0000C65C0000}"/>
    <cellStyle name="Normal 2 49 2 9" xfId="12203" xr:uid="{00000000-0005-0000-0000-0000C75C0000}"/>
    <cellStyle name="Normal 2 49 3" xfId="3513" xr:uid="{00000000-0005-0000-0000-0000C85C0000}"/>
    <cellStyle name="Normal 2 49 3 10" xfId="47067" xr:uid="{00000000-0005-0000-0000-0000C95C0000}"/>
    <cellStyle name="Normal 2 49 3 2" xfId="3948" xr:uid="{00000000-0005-0000-0000-0000CA5C0000}"/>
    <cellStyle name="Normal 2 49 3 2 2" xfId="5836" xr:uid="{00000000-0005-0000-0000-0000CB5C0000}"/>
    <cellStyle name="Normal 2 49 3 2 2 2" xfId="9251" xr:uid="{00000000-0005-0000-0000-0000CC5C0000}"/>
    <cellStyle name="Normal 2 49 3 2 2 2 2" xfId="23731" xr:uid="{00000000-0005-0000-0000-0000CD5C0000}"/>
    <cellStyle name="Normal 2 49 3 2 2 2 2 2" xfId="39787" xr:uid="{00000000-0005-0000-0000-0000CE5C0000}"/>
    <cellStyle name="Normal 2 49 3 2 2 2 3" xfId="28547" xr:uid="{00000000-0005-0000-0000-0000CF5C0000}"/>
    <cellStyle name="Normal 2 49 3 2 2 3" xfId="23928" xr:uid="{00000000-0005-0000-0000-0000D05C0000}"/>
    <cellStyle name="Normal 2 49 3 2 2 3 2" xfId="39982" xr:uid="{00000000-0005-0000-0000-0000D15C0000}"/>
    <cellStyle name="Normal 2 49 3 2 2 4" xfId="31938" xr:uid="{00000000-0005-0000-0000-0000D25C0000}"/>
    <cellStyle name="Normal 2 49 3 2 3" xfId="7554" xr:uid="{00000000-0005-0000-0000-0000D35C0000}"/>
    <cellStyle name="Normal 2 49 3 2 3 2" xfId="20817" xr:uid="{00000000-0005-0000-0000-0000D45C0000}"/>
    <cellStyle name="Normal 2 49 3 2 3 2 2" xfId="36916" xr:uid="{00000000-0005-0000-0000-0000D55C0000}"/>
    <cellStyle name="Normal 2 49 3 2 3 3" xfId="30244" xr:uid="{00000000-0005-0000-0000-0000D65C0000}"/>
    <cellStyle name="Normal 2 49 3 2 4" xfId="18151" xr:uid="{00000000-0005-0000-0000-0000D75C0000}"/>
    <cellStyle name="Normal 2 49 3 2 5" xfId="19561" xr:uid="{00000000-0005-0000-0000-0000D85C0000}"/>
    <cellStyle name="Normal 2 49 3 2 5 2" xfId="35675" xr:uid="{00000000-0005-0000-0000-0000D95C0000}"/>
    <cellStyle name="Normal 2 49 3 2 6" xfId="33631" xr:uid="{00000000-0005-0000-0000-0000DA5C0000}"/>
    <cellStyle name="Normal 2 49 3 3" xfId="4888" xr:uid="{00000000-0005-0000-0000-0000DB5C0000}"/>
    <cellStyle name="Normal 2 49 3 3 10" xfId="47257" xr:uid="{00000000-0005-0000-0000-0000DC5C0000}"/>
    <cellStyle name="Normal 2 49 3 3 2" xfId="6607" xr:uid="{00000000-0005-0000-0000-0000DD5C0000}"/>
    <cellStyle name="Normal 2 49 3 3 2 2" xfId="10013" xr:uid="{00000000-0005-0000-0000-0000DE5C0000}"/>
    <cellStyle name="Normal 2 49 3 3 2 2 2" xfId="21571" xr:uid="{00000000-0005-0000-0000-0000DF5C0000}"/>
    <cellStyle name="Normal 2 49 3 3 2 2 2 2" xfId="37651" xr:uid="{00000000-0005-0000-0000-0000E05C0000}"/>
    <cellStyle name="Normal 2 49 3 3 2 2 3" xfId="27786" xr:uid="{00000000-0005-0000-0000-0000E15C0000}"/>
    <cellStyle name="Normal 2 49 3 3 2 3" xfId="20516" xr:uid="{00000000-0005-0000-0000-0000E25C0000}"/>
    <cellStyle name="Normal 2 49 3 3 2 3 2" xfId="36615" xr:uid="{00000000-0005-0000-0000-0000E35C0000}"/>
    <cellStyle name="Normal 2 49 3 3 2 4" xfId="31187" xr:uid="{00000000-0005-0000-0000-0000E45C0000}"/>
    <cellStyle name="Normal 2 49 3 3 2 5" xfId="42500" xr:uid="{00000000-0005-0000-0000-0000E55C0000}"/>
    <cellStyle name="Normal 2 49 3 3 2 6" xfId="43251" xr:uid="{00000000-0005-0000-0000-0000E65C0000}"/>
    <cellStyle name="Normal 2 49 3 3 2 7" xfId="46098" xr:uid="{00000000-0005-0000-0000-0000E75C0000}"/>
    <cellStyle name="Normal 2 49 3 3 2 8" xfId="46867" xr:uid="{00000000-0005-0000-0000-0000E85C0000}"/>
    <cellStyle name="Normal 2 49 3 3 2 9" xfId="47453" xr:uid="{00000000-0005-0000-0000-0000E95C0000}"/>
    <cellStyle name="Normal 2 49 3 3 3" xfId="8310" xr:uid="{00000000-0005-0000-0000-0000EA5C0000}"/>
    <cellStyle name="Normal 2 49 3 3 3 2" xfId="23344" xr:uid="{00000000-0005-0000-0000-0000EB5C0000}"/>
    <cellStyle name="Normal 2 49 3 3 3 2 2" xfId="39405" xr:uid="{00000000-0005-0000-0000-0000EC5C0000}"/>
    <cellStyle name="Normal 2 49 3 3 3 3" xfId="29487" xr:uid="{00000000-0005-0000-0000-0000ED5C0000}"/>
    <cellStyle name="Normal 2 49 3 3 3 4" xfId="44065" xr:uid="{00000000-0005-0000-0000-0000EE5C0000}"/>
    <cellStyle name="Normal 2 49 3 3 4" xfId="15944" xr:uid="{00000000-0005-0000-0000-0000EF5C0000}"/>
    <cellStyle name="Normal 2 49 3 3 4 2" xfId="35346" xr:uid="{00000000-0005-0000-0000-0000F05C0000}"/>
    <cellStyle name="Normal 2 49 3 3 5" xfId="25000" xr:uid="{00000000-0005-0000-0000-0000F15C0000}"/>
    <cellStyle name="Normal 2 49 3 3 6" xfId="25438" xr:uid="{00000000-0005-0000-0000-0000F25C0000}"/>
    <cellStyle name="Normal 2 49 3 3 7" xfId="32879" xr:uid="{00000000-0005-0000-0000-0000F35C0000}"/>
    <cellStyle name="Normal 2 49 3 3 8" xfId="43711" xr:uid="{00000000-0005-0000-0000-0000F45C0000}"/>
    <cellStyle name="Normal 2 49 3 3 9" xfId="46635" xr:uid="{00000000-0005-0000-0000-0000F55C0000}"/>
    <cellStyle name="Normal 2 49 3 4" xfId="5442" xr:uid="{00000000-0005-0000-0000-0000F65C0000}"/>
    <cellStyle name="Normal 2 49 3 4 2" xfId="8857" xr:uid="{00000000-0005-0000-0000-0000F75C0000}"/>
    <cellStyle name="Normal 2 49 3 4 2 2" xfId="23420" xr:uid="{00000000-0005-0000-0000-0000F85C0000}"/>
    <cellStyle name="Normal 2 49 3 4 2 2 2" xfId="39476" xr:uid="{00000000-0005-0000-0000-0000F95C0000}"/>
    <cellStyle name="Normal 2 49 3 4 2 3" xfId="28941" xr:uid="{00000000-0005-0000-0000-0000FA5C0000}"/>
    <cellStyle name="Normal 2 49 3 4 3" xfId="19829" xr:uid="{00000000-0005-0000-0000-0000FB5C0000}"/>
    <cellStyle name="Normal 2 49 3 4 3 2" xfId="35942" xr:uid="{00000000-0005-0000-0000-0000FC5C0000}"/>
    <cellStyle name="Normal 2 49 3 4 4" xfId="32332" xr:uid="{00000000-0005-0000-0000-0000FD5C0000}"/>
    <cellStyle name="Normal 2 49 3 5" xfId="7160" xr:uid="{00000000-0005-0000-0000-0000FE5C0000}"/>
    <cellStyle name="Normal 2 49 3 5 2" xfId="11719" xr:uid="{00000000-0005-0000-0000-0000FF5C0000}"/>
    <cellStyle name="Normal 2 49 3 5 2 2" xfId="34842" xr:uid="{00000000-0005-0000-0000-0000005D0000}"/>
    <cellStyle name="Normal 2 49 3 5 3" xfId="30638" xr:uid="{00000000-0005-0000-0000-0000015D0000}"/>
    <cellStyle name="Normal 2 49 3 6" xfId="12205" xr:uid="{00000000-0005-0000-0000-0000025D0000}"/>
    <cellStyle name="Normal 2 49 3 7" xfId="34025" xr:uid="{00000000-0005-0000-0000-0000035D0000}"/>
    <cellStyle name="Normal 2 49 3 8" xfId="43503" xr:uid="{00000000-0005-0000-0000-0000045D0000}"/>
    <cellStyle name="Normal 2 49 3 9" xfId="46405" xr:uid="{00000000-0005-0000-0000-0000055D0000}"/>
    <cellStyle name="Normal 2 49 3_Avviksanalyse løpende RNB15 (1)" xfId="16742" xr:uid="{00000000-0005-0000-0000-0000065D0000}"/>
    <cellStyle name="Normal 2 49 4" xfId="3769" xr:uid="{00000000-0005-0000-0000-0000075D0000}"/>
    <cellStyle name="Normal 2 49 4 2" xfId="5657" xr:uid="{00000000-0005-0000-0000-0000085D0000}"/>
    <cellStyle name="Normal 2 49 4 2 2" xfId="9072" xr:uid="{00000000-0005-0000-0000-0000095D0000}"/>
    <cellStyle name="Normal 2 49 4 2 2 2" xfId="19395" xr:uid="{00000000-0005-0000-0000-00000A5D0000}"/>
    <cellStyle name="Normal 2 49 4 2 2 2 2" xfId="35509" xr:uid="{00000000-0005-0000-0000-00000B5D0000}"/>
    <cellStyle name="Normal 2 49 4 2 2 3" xfId="28726" xr:uid="{00000000-0005-0000-0000-00000C5D0000}"/>
    <cellStyle name="Normal 2 49 4 2 3" xfId="20158" xr:uid="{00000000-0005-0000-0000-00000D5D0000}"/>
    <cellStyle name="Normal 2 49 4 2 3 2" xfId="36259" xr:uid="{00000000-0005-0000-0000-00000E5D0000}"/>
    <cellStyle name="Normal 2 49 4 2 4" xfId="32117" xr:uid="{00000000-0005-0000-0000-00000F5D0000}"/>
    <cellStyle name="Normal 2 49 4 3" xfId="7375" xr:uid="{00000000-0005-0000-0000-0000105D0000}"/>
    <cellStyle name="Normal 2 49 4 3 2" xfId="22446" xr:uid="{00000000-0005-0000-0000-0000115D0000}"/>
    <cellStyle name="Normal 2 49 4 3 2 2" xfId="38518" xr:uid="{00000000-0005-0000-0000-0000125D0000}"/>
    <cellStyle name="Normal 2 49 4 3 3" xfId="30423" xr:uid="{00000000-0005-0000-0000-0000135D0000}"/>
    <cellStyle name="Normal 2 49 4 4" xfId="22637" xr:uid="{00000000-0005-0000-0000-0000145D0000}"/>
    <cellStyle name="Normal 2 49 4 4 2" xfId="38706" xr:uid="{00000000-0005-0000-0000-0000155D0000}"/>
    <cellStyle name="Normal 2 49 4 5" xfId="33810" xr:uid="{00000000-0005-0000-0000-0000165D0000}"/>
    <cellStyle name="Normal 2 49 5" xfId="4161" xr:uid="{00000000-0005-0000-0000-0000175D0000}"/>
    <cellStyle name="Normal 2 49 5 2" xfId="6011" xr:uid="{00000000-0005-0000-0000-0000185D0000}"/>
    <cellStyle name="Normal 2 49 5 2 2" xfId="9426" xr:uid="{00000000-0005-0000-0000-0000195D0000}"/>
    <cellStyle name="Normal 2 49 5 2 2 2" xfId="23689" xr:uid="{00000000-0005-0000-0000-00001A5D0000}"/>
    <cellStyle name="Normal 2 49 5 2 2 2 2" xfId="39745" xr:uid="{00000000-0005-0000-0000-00001B5D0000}"/>
    <cellStyle name="Normal 2 49 5 2 2 3" xfId="28372" xr:uid="{00000000-0005-0000-0000-00001C5D0000}"/>
    <cellStyle name="Normal 2 49 5 2 3" xfId="22957" xr:uid="{00000000-0005-0000-0000-00001D5D0000}"/>
    <cellStyle name="Normal 2 49 5 2 3 2" xfId="39026" xr:uid="{00000000-0005-0000-0000-00001E5D0000}"/>
    <cellStyle name="Normal 2 49 5 2 4" xfId="31767" xr:uid="{00000000-0005-0000-0000-00001F5D0000}"/>
    <cellStyle name="Normal 2 49 5 3" xfId="7742" xr:uid="{00000000-0005-0000-0000-0000205D0000}"/>
    <cellStyle name="Normal 2 49 5 3 2" xfId="20888" xr:uid="{00000000-0005-0000-0000-0000215D0000}"/>
    <cellStyle name="Normal 2 49 5 3 2 2" xfId="36987" xr:uid="{00000000-0005-0000-0000-0000225D0000}"/>
    <cellStyle name="Normal 2 49 5 3 3" xfId="30057" xr:uid="{00000000-0005-0000-0000-0000235D0000}"/>
    <cellStyle name="Normal 2 49 5 4" xfId="19582" xr:uid="{00000000-0005-0000-0000-0000245D0000}"/>
    <cellStyle name="Normal 2 49 5 4 2" xfId="35696" xr:uid="{00000000-0005-0000-0000-0000255D0000}"/>
    <cellStyle name="Normal 2 49 5 5" xfId="33444" xr:uid="{00000000-0005-0000-0000-0000265D0000}"/>
    <cellStyle name="Normal 2 49 6" xfId="4618" xr:uid="{00000000-0005-0000-0000-0000275D0000}"/>
    <cellStyle name="Normal 2 49 6 2" xfId="6355" xr:uid="{00000000-0005-0000-0000-0000285D0000}"/>
    <cellStyle name="Normal 2 49 6 2 2" xfId="9765" xr:uid="{00000000-0005-0000-0000-0000295D0000}"/>
    <cellStyle name="Normal 2 49 6 2 2 2" xfId="21979" xr:uid="{00000000-0005-0000-0000-00002A5D0000}"/>
    <cellStyle name="Normal 2 49 6 2 2 2 2" xfId="38054" xr:uid="{00000000-0005-0000-0000-00002B5D0000}"/>
    <cellStyle name="Normal 2 49 6 2 2 3" xfId="28034" xr:uid="{00000000-0005-0000-0000-00002C5D0000}"/>
    <cellStyle name="Normal 2 49 6 2 3" xfId="23023" xr:uid="{00000000-0005-0000-0000-00002D5D0000}"/>
    <cellStyle name="Normal 2 49 6 2 3 2" xfId="39092" xr:uid="{00000000-0005-0000-0000-00002E5D0000}"/>
    <cellStyle name="Normal 2 49 6 2 4" xfId="31435" xr:uid="{00000000-0005-0000-0000-00002F5D0000}"/>
    <cellStyle name="Normal 2 49 6 3" xfId="8061" xr:uid="{00000000-0005-0000-0000-0000305D0000}"/>
    <cellStyle name="Normal 2 49 6 3 2" xfId="21768" xr:uid="{00000000-0005-0000-0000-0000315D0000}"/>
    <cellStyle name="Normal 2 49 6 3 2 2" xfId="37845" xr:uid="{00000000-0005-0000-0000-0000325D0000}"/>
    <cellStyle name="Normal 2 49 6 3 3" xfId="29737" xr:uid="{00000000-0005-0000-0000-0000335D0000}"/>
    <cellStyle name="Normal 2 49 6 4" xfId="23828" xr:uid="{00000000-0005-0000-0000-0000345D0000}"/>
    <cellStyle name="Normal 2 49 6 4 2" xfId="39884" xr:uid="{00000000-0005-0000-0000-0000355D0000}"/>
    <cellStyle name="Normal 2 49 6 5" xfId="33128" xr:uid="{00000000-0005-0000-0000-0000365D0000}"/>
    <cellStyle name="Normal 2 49 7" xfId="4704" xr:uid="{00000000-0005-0000-0000-0000375D0000}"/>
    <cellStyle name="Normal 2 49 7 2" xfId="6424" xr:uid="{00000000-0005-0000-0000-0000385D0000}"/>
    <cellStyle name="Normal 2 49 7 2 2" xfId="9834" xr:uid="{00000000-0005-0000-0000-0000395D0000}"/>
    <cellStyle name="Normal 2 49 7 2 2 2" xfId="21502" xr:uid="{00000000-0005-0000-0000-00003A5D0000}"/>
    <cellStyle name="Normal 2 49 7 2 2 2 2" xfId="37582" xr:uid="{00000000-0005-0000-0000-00003B5D0000}"/>
    <cellStyle name="Normal 2 49 7 2 2 3" xfId="27965" xr:uid="{00000000-0005-0000-0000-00003C5D0000}"/>
    <cellStyle name="Normal 2 49 7 2 3" xfId="22352" xr:uid="{00000000-0005-0000-0000-00003D5D0000}"/>
    <cellStyle name="Normal 2 49 7 2 3 2" xfId="38424" xr:uid="{00000000-0005-0000-0000-00003E5D0000}"/>
    <cellStyle name="Normal 2 49 7 2 4" xfId="31366" xr:uid="{00000000-0005-0000-0000-00003F5D0000}"/>
    <cellStyle name="Normal 2 49 7 3" xfId="8130" xr:uid="{00000000-0005-0000-0000-0000405D0000}"/>
    <cellStyle name="Normal 2 49 7 3 2" xfId="11891" xr:uid="{00000000-0005-0000-0000-0000415D0000}"/>
    <cellStyle name="Normal 2 49 7 3 2 2" xfId="34927" xr:uid="{00000000-0005-0000-0000-0000425D0000}"/>
    <cellStyle name="Normal 2 49 7 3 3" xfId="29668" xr:uid="{00000000-0005-0000-0000-0000435D0000}"/>
    <cellStyle name="Normal 2 49 7 4" xfId="12283" xr:uid="{00000000-0005-0000-0000-0000445D0000}"/>
    <cellStyle name="Normal 2 49 7 4 2" xfId="35159" xr:uid="{00000000-0005-0000-0000-0000455D0000}"/>
    <cellStyle name="Normal 2 49 7 5" xfId="33059" xr:uid="{00000000-0005-0000-0000-0000465D0000}"/>
    <cellStyle name="Normal 2 49 8" xfId="5068" xr:uid="{00000000-0005-0000-0000-0000475D0000}"/>
    <cellStyle name="Normal 2 49 8 2" xfId="6787" xr:uid="{00000000-0005-0000-0000-0000485D0000}"/>
    <cellStyle name="Normal 2 49 8 2 2" xfId="10193" xr:uid="{00000000-0005-0000-0000-0000495D0000}"/>
    <cellStyle name="Normal 2 49 8 2 2 2" xfId="21643" xr:uid="{00000000-0005-0000-0000-00004A5D0000}"/>
    <cellStyle name="Normal 2 49 8 2 2 2 2" xfId="37723" xr:uid="{00000000-0005-0000-0000-00004B5D0000}"/>
    <cellStyle name="Normal 2 49 8 2 2 3" xfId="27606" xr:uid="{00000000-0005-0000-0000-00004C5D0000}"/>
    <cellStyle name="Normal 2 49 8 2 3" xfId="22388" xr:uid="{00000000-0005-0000-0000-00004D5D0000}"/>
    <cellStyle name="Normal 2 49 8 2 3 2" xfId="38460" xr:uid="{00000000-0005-0000-0000-00004E5D0000}"/>
    <cellStyle name="Normal 2 49 8 2 4" xfId="31007" xr:uid="{00000000-0005-0000-0000-00004F5D0000}"/>
    <cellStyle name="Normal 2 49 8 3" xfId="8490" xr:uid="{00000000-0005-0000-0000-0000505D0000}"/>
    <cellStyle name="Normal 2 49 8 3 2" xfId="21109" xr:uid="{00000000-0005-0000-0000-0000515D0000}"/>
    <cellStyle name="Normal 2 49 8 3 2 2" xfId="37192" xr:uid="{00000000-0005-0000-0000-0000525D0000}"/>
    <cellStyle name="Normal 2 49 8 3 3" xfId="29308" xr:uid="{00000000-0005-0000-0000-0000535D0000}"/>
    <cellStyle name="Normal 2 49 8 4" xfId="19742" xr:uid="{00000000-0005-0000-0000-0000545D0000}"/>
    <cellStyle name="Normal 2 49 8 4 2" xfId="35856" xr:uid="{00000000-0005-0000-0000-0000555D0000}"/>
    <cellStyle name="Normal 2 49 8 5" xfId="32699" xr:uid="{00000000-0005-0000-0000-0000565D0000}"/>
    <cellStyle name="Normal 2 49 9" xfId="5174" xr:uid="{00000000-0005-0000-0000-0000575D0000}"/>
    <cellStyle name="Normal 2 49 9 2" xfId="8593" xr:uid="{00000000-0005-0000-0000-0000585D0000}"/>
    <cellStyle name="Normal 2 49 9 2 2" xfId="19506" xr:uid="{00000000-0005-0000-0000-0000595D0000}"/>
    <cellStyle name="Normal 2 49 9 2 2 2" xfId="35620" xr:uid="{00000000-0005-0000-0000-00005A5D0000}"/>
    <cellStyle name="Normal 2 49 9 2 3" xfId="29205" xr:uid="{00000000-0005-0000-0000-00005B5D0000}"/>
    <cellStyle name="Normal 2 49 9 3" xfId="12143" xr:uid="{00000000-0005-0000-0000-00005C5D0000}"/>
    <cellStyle name="Normal 2 49 9 3 2" xfId="35092" xr:uid="{00000000-0005-0000-0000-00005D5D0000}"/>
    <cellStyle name="Normal 2 49 9 4" xfId="32596" xr:uid="{00000000-0005-0000-0000-00005E5D0000}"/>
    <cellStyle name="Normal 2 5" xfId="1579" xr:uid="{00000000-0005-0000-0000-00005F5D0000}"/>
    <cellStyle name="Normal 2 5 2" xfId="1580" xr:uid="{00000000-0005-0000-0000-0000605D0000}"/>
    <cellStyle name="Normal 2 5 2 2" xfId="12208" xr:uid="{00000000-0005-0000-0000-0000615D0000}"/>
    <cellStyle name="Normal 2 5 3" xfId="1581" xr:uid="{00000000-0005-0000-0000-0000625D0000}"/>
    <cellStyle name="Normal 2 5 3 2" xfId="1582" xr:uid="{00000000-0005-0000-0000-0000635D0000}"/>
    <cellStyle name="Normal 2 5 3 3" xfId="12210" xr:uid="{00000000-0005-0000-0000-0000645D0000}"/>
    <cellStyle name="Normal 2 5 4" xfId="12211" xr:uid="{00000000-0005-0000-0000-0000655D0000}"/>
    <cellStyle name="Normal 2 5_NGL-pris" xfId="1583" xr:uid="{00000000-0005-0000-0000-0000665D0000}"/>
    <cellStyle name="Normal 2 50" xfId="1584" xr:uid="{00000000-0005-0000-0000-0000675D0000}"/>
    <cellStyle name="Normal 2 51" xfId="1585" xr:uid="{00000000-0005-0000-0000-0000685D0000}"/>
    <cellStyle name="Normal 2 51 10" xfId="12213" xr:uid="{00000000-0005-0000-0000-0000695D0000}"/>
    <cellStyle name="Normal 2 51 11" xfId="34208" xr:uid="{00000000-0005-0000-0000-00006A5D0000}"/>
    <cellStyle name="Normal 2 51 2" xfId="3372" xr:uid="{00000000-0005-0000-0000-00006B5D0000}"/>
    <cellStyle name="Normal 2 51 2 10" xfId="34125" xr:uid="{00000000-0005-0000-0000-00006C5D0000}"/>
    <cellStyle name="Normal 2 51 2 2" xfId="3598" xr:uid="{00000000-0005-0000-0000-00006D5D0000}"/>
    <cellStyle name="Normal 2 51 2 2 10" xfId="47197" xr:uid="{00000000-0005-0000-0000-00006E5D0000}"/>
    <cellStyle name="Normal 2 51 2 2 2" xfId="4028" xr:uid="{00000000-0005-0000-0000-00006F5D0000}"/>
    <cellStyle name="Normal 2 51 2 2 2 2" xfId="5916" xr:uid="{00000000-0005-0000-0000-0000705D0000}"/>
    <cellStyle name="Normal 2 51 2 2 2 2 2" xfId="9331" xr:uid="{00000000-0005-0000-0000-0000715D0000}"/>
    <cellStyle name="Normal 2 51 2 2 2 2 2 2" xfId="21351" xr:uid="{00000000-0005-0000-0000-0000725D0000}"/>
    <cellStyle name="Normal 2 51 2 2 2 2 2 2 2" xfId="37431" xr:uid="{00000000-0005-0000-0000-0000735D0000}"/>
    <cellStyle name="Normal 2 51 2 2 2 2 2 3" xfId="28467" xr:uid="{00000000-0005-0000-0000-0000745D0000}"/>
    <cellStyle name="Normal 2 51 2 2 2 2 3" xfId="22291" xr:uid="{00000000-0005-0000-0000-0000755D0000}"/>
    <cellStyle name="Normal 2 51 2 2 2 2 3 2" xfId="38363" xr:uid="{00000000-0005-0000-0000-0000765D0000}"/>
    <cellStyle name="Normal 2 51 2 2 2 2 4" xfId="31860" xr:uid="{00000000-0005-0000-0000-0000775D0000}"/>
    <cellStyle name="Normal 2 51 2 2 2 3" xfId="7634" xr:uid="{00000000-0005-0000-0000-0000785D0000}"/>
    <cellStyle name="Normal 2 51 2 2 2 3 2" xfId="24240" xr:uid="{00000000-0005-0000-0000-0000795D0000}"/>
    <cellStyle name="Normal 2 51 2 2 2 3 2 2" xfId="40293" xr:uid="{00000000-0005-0000-0000-00007A5D0000}"/>
    <cellStyle name="Normal 2 51 2 2 2 3 3" xfId="30164" xr:uid="{00000000-0005-0000-0000-00007B5D0000}"/>
    <cellStyle name="Normal 2 51 2 2 2 4" xfId="18152" xr:uid="{00000000-0005-0000-0000-00007C5D0000}"/>
    <cellStyle name="Normal 2 51 2 2 2 5" xfId="11035" xr:uid="{00000000-0005-0000-0000-00007D5D0000}"/>
    <cellStyle name="Normal 2 51 2 2 2 5 2" xfId="34743" xr:uid="{00000000-0005-0000-0000-00007E5D0000}"/>
    <cellStyle name="Normal 2 51 2 2 2 6" xfId="33551" xr:uid="{00000000-0005-0000-0000-00007F5D0000}"/>
    <cellStyle name="Normal 2 51 2 2 3" xfId="4968" xr:uid="{00000000-0005-0000-0000-0000805D0000}"/>
    <cellStyle name="Normal 2 51 2 2 3 10" xfId="47387" xr:uid="{00000000-0005-0000-0000-0000815D0000}"/>
    <cellStyle name="Normal 2 51 2 2 3 2" xfId="6687" xr:uid="{00000000-0005-0000-0000-0000825D0000}"/>
    <cellStyle name="Normal 2 51 2 2 3 2 2" xfId="10093" xr:uid="{00000000-0005-0000-0000-0000835D0000}"/>
    <cellStyle name="Normal 2 51 2 2 3 2 2 2" xfId="21603" xr:uid="{00000000-0005-0000-0000-0000845D0000}"/>
    <cellStyle name="Normal 2 51 2 2 3 2 2 2 2" xfId="37683" xr:uid="{00000000-0005-0000-0000-0000855D0000}"/>
    <cellStyle name="Normal 2 51 2 2 3 2 2 3" xfId="27706" xr:uid="{00000000-0005-0000-0000-0000865D0000}"/>
    <cellStyle name="Normal 2 51 2 2 3 2 3" xfId="23084" xr:uid="{00000000-0005-0000-0000-0000875D0000}"/>
    <cellStyle name="Normal 2 51 2 2 3 2 3 2" xfId="39153" xr:uid="{00000000-0005-0000-0000-0000885D0000}"/>
    <cellStyle name="Normal 2 51 2 2 3 2 4" xfId="31107" xr:uid="{00000000-0005-0000-0000-0000895D0000}"/>
    <cellStyle name="Normal 2 51 2 2 3 2 5" xfId="43084" xr:uid="{00000000-0005-0000-0000-00008A5D0000}"/>
    <cellStyle name="Normal 2 51 2 2 3 2 6" xfId="43378" xr:uid="{00000000-0005-0000-0000-00008B5D0000}"/>
    <cellStyle name="Normal 2 51 2 2 3 2 7" xfId="46226" xr:uid="{00000000-0005-0000-0000-00008C5D0000}"/>
    <cellStyle name="Normal 2 51 2 2 3 2 8" xfId="46998" xr:uid="{00000000-0005-0000-0000-00008D5D0000}"/>
    <cellStyle name="Normal 2 51 2 2 3 2 9" xfId="47583" xr:uid="{00000000-0005-0000-0000-00008E5D0000}"/>
    <cellStyle name="Normal 2 51 2 2 3 3" xfId="8390" xr:uid="{00000000-0005-0000-0000-00008F5D0000}"/>
    <cellStyle name="Normal 2 51 2 2 3 3 2" xfId="24357" xr:uid="{00000000-0005-0000-0000-0000905D0000}"/>
    <cellStyle name="Normal 2 51 2 2 3 3 2 2" xfId="40404" xr:uid="{00000000-0005-0000-0000-0000915D0000}"/>
    <cellStyle name="Normal 2 51 2 2 3 3 3" xfId="29408" xr:uid="{00000000-0005-0000-0000-0000925D0000}"/>
    <cellStyle name="Normal 2 51 2 2 3 3 4" xfId="44066" xr:uid="{00000000-0005-0000-0000-0000935D0000}"/>
    <cellStyle name="Normal 2 51 2 2 3 4" xfId="16529" xr:uid="{00000000-0005-0000-0000-0000945D0000}"/>
    <cellStyle name="Normal 2 51 2 2 3 4 2" xfId="35473" xr:uid="{00000000-0005-0000-0000-0000955D0000}"/>
    <cellStyle name="Normal 2 51 2 2 3 5" xfId="25135" xr:uid="{00000000-0005-0000-0000-0000965D0000}"/>
    <cellStyle name="Normal 2 51 2 2 3 6" xfId="25439" xr:uid="{00000000-0005-0000-0000-0000975D0000}"/>
    <cellStyle name="Normal 2 51 2 2 3 7" xfId="32799" xr:uid="{00000000-0005-0000-0000-0000985D0000}"/>
    <cellStyle name="Normal 2 51 2 2 3 8" xfId="43839" xr:uid="{00000000-0005-0000-0000-0000995D0000}"/>
    <cellStyle name="Normal 2 51 2 2 3 9" xfId="46764" xr:uid="{00000000-0005-0000-0000-00009A5D0000}"/>
    <cellStyle name="Normal 2 51 2 2 4" xfId="5522" xr:uid="{00000000-0005-0000-0000-00009B5D0000}"/>
    <cellStyle name="Normal 2 51 2 2 4 2" xfId="8937" xr:uid="{00000000-0005-0000-0000-00009C5D0000}"/>
    <cellStyle name="Normal 2 51 2 2 4 2 2" xfId="21691" xr:uid="{00000000-0005-0000-0000-00009D5D0000}"/>
    <cellStyle name="Normal 2 51 2 2 4 2 2 2" xfId="37770" xr:uid="{00000000-0005-0000-0000-00009E5D0000}"/>
    <cellStyle name="Normal 2 51 2 2 4 2 3" xfId="28861" xr:uid="{00000000-0005-0000-0000-00009F5D0000}"/>
    <cellStyle name="Normal 2 51 2 2 4 3" xfId="19644" xr:uid="{00000000-0005-0000-0000-0000A05D0000}"/>
    <cellStyle name="Normal 2 51 2 2 4 3 2" xfId="35758" xr:uid="{00000000-0005-0000-0000-0000A15D0000}"/>
    <cellStyle name="Normal 2 51 2 2 4 4" xfId="32252" xr:uid="{00000000-0005-0000-0000-0000A25D0000}"/>
    <cellStyle name="Normal 2 51 2 2 5" xfId="7240" xr:uid="{00000000-0005-0000-0000-0000A35D0000}"/>
    <cellStyle name="Normal 2 51 2 2 5 2" xfId="24169" xr:uid="{00000000-0005-0000-0000-0000A45D0000}"/>
    <cellStyle name="Normal 2 51 2 2 5 2 2" xfId="40222" xr:uid="{00000000-0005-0000-0000-0000A55D0000}"/>
    <cellStyle name="Normal 2 51 2 2 5 3" xfId="30558" xr:uid="{00000000-0005-0000-0000-0000A65D0000}"/>
    <cellStyle name="Normal 2 51 2 2 6" xfId="12215" xr:uid="{00000000-0005-0000-0000-0000A75D0000}"/>
    <cellStyle name="Normal 2 51 2 2 7" xfId="33945" xr:uid="{00000000-0005-0000-0000-0000A85D0000}"/>
    <cellStyle name="Normal 2 51 2 2 8" xfId="43630" xr:uid="{00000000-0005-0000-0000-0000A95D0000}"/>
    <cellStyle name="Normal 2 51 2 2 9" xfId="46536" xr:uid="{00000000-0005-0000-0000-0000AA5D0000}"/>
    <cellStyle name="Normal 2 51 2 2_Avviksanalyse løpende RNB15 (1)" xfId="16743" xr:uid="{00000000-0005-0000-0000-0000AB5D0000}"/>
    <cellStyle name="Normal 2 51 2 3" xfId="3848" xr:uid="{00000000-0005-0000-0000-0000AC5D0000}"/>
    <cellStyle name="Normal 2 51 2 3 2" xfId="5736" xr:uid="{00000000-0005-0000-0000-0000AD5D0000}"/>
    <cellStyle name="Normal 2 51 2 3 2 2" xfId="9151" xr:uid="{00000000-0005-0000-0000-0000AE5D0000}"/>
    <cellStyle name="Normal 2 51 2 3 2 2 2" xfId="21293" xr:uid="{00000000-0005-0000-0000-0000AF5D0000}"/>
    <cellStyle name="Normal 2 51 2 3 2 2 2 2" xfId="37373" xr:uid="{00000000-0005-0000-0000-0000B05D0000}"/>
    <cellStyle name="Normal 2 51 2 3 2 2 3" xfId="28647" xr:uid="{00000000-0005-0000-0000-0000B15D0000}"/>
    <cellStyle name="Normal 2 51 2 3 2 3" xfId="23909" xr:uid="{00000000-0005-0000-0000-0000B25D0000}"/>
    <cellStyle name="Normal 2 51 2 3 2 3 2" xfId="39965" xr:uid="{00000000-0005-0000-0000-0000B35D0000}"/>
    <cellStyle name="Normal 2 51 2 3 2 4" xfId="32038" xr:uid="{00000000-0005-0000-0000-0000B45D0000}"/>
    <cellStyle name="Normal 2 51 2 3 3" xfId="7454" xr:uid="{00000000-0005-0000-0000-0000B55D0000}"/>
    <cellStyle name="Normal 2 51 2 3 3 2" xfId="20789" xr:uid="{00000000-0005-0000-0000-0000B65D0000}"/>
    <cellStyle name="Normal 2 51 2 3 3 2 2" xfId="36888" xr:uid="{00000000-0005-0000-0000-0000B75D0000}"/>
    <cellStyle name="Normal 2 51 2 3 3 3" xfId="30344" xr:uid="{00000000-0005-0000-0000-0000B85D0000}"/>
    <cellStyle name="Normal 2 51 2 3 4" xfId="19938" xr:uid="{00000000-0005-0000-0000-0000B95D0000}"/>
    <cellStyle name="Normal 2 51 2 3 4 2" xfId="36042" xr:uid="{00000000-0005-0000-0000-0000BA5D0000}"/>
    <cellStyle name="Normal 2 51 2 3 5" xfId="33731" xr:uid="{00000000-0005-0000-0000-0000BB5D0000}"/>
    <cellStyle name="Normal 2 51 2 4" xfId="4333" xr:uid="{00000000-0005-0000-0000-0000BC5D0000}"/>
    <cellStyle name="Normal 2 51 2 4 2" xfId="6162" xr:uid="{00000000-0005-0000-0000-0000BD5D0000}"/>
    <cellStyle name="Normal 2 51 2 4 2 2" xfId="9576" xr:uid="{00000000-0005-0000-0000-0000BE5D0000}"/>
    <cellStyle name="Normal 2 51 2 4 2 2 2" xfId="23528" xr:uid="{00000000-0005-0000-0000-0000BF5D0000}"/>
    <cellStyle name="Normal 2 51 2 4 2 2 2 2" xfId="39584" xr:uid="{00000000-0005-0000-0000-0000C05D0000}"/>
    <cellStyle name="Normal 2 51 2 4 2 2 3" xfId="28222" xr:uid="{00000000-0005-0000-0000-0000C15D0000}"/>
    <cellStyle name="Normal 2 51 2 4 2 3" xfId="20346" xr:uid="{00000000-0005-0000-0000-0000C25D0000}"/>
    <cellStyle name="Normal 2 51 2 4 2 3 2" xfId="36445" xr:uid="{00000000-0005-0000-0000-0000C35D0000}"/>
    <cellStyle name="Normal 2 51 2 4 2 4" xfId="31619" xr:uid="{00000000-0005-0000-0000-0000C45D0000}"/>
    <cellStyle name="Normal 2 51 2 4 3" xfId="7895" xr:uid="{00000000-0005-0000-0000-0000C55D0000}"/>
    <cellStyle name="Normal 2 51 2 4 3 2" xfId="19450" xr:uid="{00000000-0005-0000-0000-0000C65D0000}"/>
    <cellStyle name="Normal 2 51 2 4 3 2 2" xfId="35564" xr:uid="{00000000-0005-0000-0000-0000C75D0000}"/>
    <cellStyle name="Normal 2 51 2 4 3 3" xfId="29904" xr:uid="{00000000-0005-0000-0000-0000C85D0000}"/>
    <cellStyle name="Normal 2 51 2 4 4" xfId="21844" xr:uid="{00000000-0005-0000-0000-0000C95D0000}"/>
    <cellStyle name="Normal 2 51 2 4 4 2" xfId="37920" xr:uid="{00000000-0005-0000-0000-0000CA5D0000}"/>
    <cellStyle name="Normal 2 51 2 4 5" xfId="33292" xr:uid="{00000000-0005-0000-0000-0000CB5D0000}"/>
    <cellStyle name="Normal 2 51 2 5" xfId="4788" xr:uid="{00000000-0005-0000-0000-0000CC5D0000}"/>
    <cellStyle name="Normal 2 51 2 5 2" xfId="6508" xr:uid="{00000000-0005-0000-0000-0000CD5D0000}"/>
    <cellStyle name="Normal 2 51 2 5 2 2" xfId="9914" xr:uid="{00000000-0005-0000-0000-0000CE5D0000}"/>
    <cellStyle name="Normal 2 51 2 5 2 2 2" xfId="24587" xr:uid="{00000000-0005-0000-0000-0000CF5D0000}"/>
    <cellStyle name="Normal 2 51 2 5 2 2 2 2" xfId="40631" xr:uid="{00000000-0005-0000-0000-0000D05D0000}"/>
    <cellStyle name="Normal 2 51 2 5 2 2 3" xfId="27885" xr:uid="{00000000-0005-0000-0000-0000D15D0000}"/>
    <cellStyle name="Normal 2 51 2 5 2 3" xfId="11971" xr:uid="{00000000-0005-0000-0000-0000D25D0000}"/>
    <cellStyle name="Normal 2 51 2 5 2 3 2" xfId="34993" xr:uid="{00000000-0005-0000-0000-0000D35D0000}"/>
    <cellStyle name="Normal 2 51 2 5 2 4" xfId="31286" xr:uid="{00000000-0005-0000-0000-0000D45D0000}"/>
    <cellStyle name="Normal 2 51 2 5 3" xfId="8210" xr:uid="{00000000-0005-0000-0000-0000D55D0000}"/>
    <cellStyle name="Normal 2 51 2 5 3 2" xfId="19472" xr:uid="{00000000-0005-0000-0000-0000D65D0000}"/>
    <cellStyle name="Normal 2 51 2 5 3 2 2" xfId="35586" xr:uid="{00000000-0005-0000-0000-0000D75D0000}"/>
    <cellStyle name="Normal 2 51 2 5 3 3" xfId="29587" xr:uid="{00000000-0005-0000-0000-0000D85D0000}"/>
    <cellStyle name="Normal 2 51 2 5 4" xfId="20041" xr:uid="{00000000-0005-0000-0000-0000D95D0000}"/>
    <cellStyle name="Normal 2 51 2 5 4 2" xfId="36145" xr:uid="{00000000-0005-0000-0000-0000DA5D0000}"/>
    <cellStyle name="Normal 2 51 2 5 5" xfId="32979" xr:uid="{00000000-0005-0000-0000-0000DB5D0000}"/>
    <cellStyle name="Normal 2 51 2 6" xfId="5148" xr:uid="{00000000-0005-0000-0000-0000DC5D0000}"/>
    <cellStyle name="Normal 2 51 2 6 2" xfId="6867" xr:uid="{00000000-0005-0000-0000-0000DD5D0000}"/>
    <cellStyle name="Normal 2 51 2 6 2 2" xfId="10273" xr:uid="{00000000-0005-0000-0000-0000DE5D0000}"/>
    <cellStyle name="Normal 2 51 2 6 2 2 2" xfId="24716" xr:uid="{00000000-0005-0000-0000-0000DF5D0000}"/>
    <cellStyle name="Normal 2 51 2 6 2 2 2 2" xfId="40759" xr:uid="{00000000-0005-0000-0000-0000E05D0000}"/>
    <cellStyle name="Normal 2 51 2 6 2 2 3" xfId="27526" xr:uid="{00000000-0005-0000-0000-0000E15D0000}"/>
    <cellStyle name="Normal 2 51 2 6 2 3" xfId="20585" xr:uid="{00000000-0005-0000-0000-0000E25D0000}"/>
    <cellStyle name="Normal 2 51 2 6 2 3 2" xfId="36684" xr:uid="{00000000-0005-0000-0000-0000E35D0000}"/>
    <cellStyle name="Normal 2 51 2 6 2 4" xfId="30927" xr:uid="{00000000-0005-0000-0000-0000E45D0000}"/>
    <cellStyle name="Normal 2 51 2 6 3" xfId="8570" xr:uid="{00000000-0005-0000-0000-0000E55D0000}"/>
    <cellStyle name="Normal 2 51 2 6 3 2" xfId="10521" xr:uid="{00000000-0005-0000-0000-0000E65D0000}"/>
    <cellStyle name="Normal 2 51 2 6 3 2 2" xfId="34405" xr:uid="{00000000-0005-0000-0000-0000E75D0000}"/>
    <cellStyle name="Normal 2 51 2 6 3 3" xfId="29228" xr:uid="{00000000-0005-0000-0000-0000E85D0000}"/>
    <cellStyle name="Normal 2 51 2 6 4" xfId="20063" xr:uid="{00000000-0005-0000-0000-0000E95D0000}"/>
    <cellStyle name="Normal 2 51 2 6 4 2" xfId="36167" xr:uid="{00000000-0005-0000-0000-0000EA5D0000}"/>
    <cellStyle name="Normal 2 51 2 6 5" xfId="32619" xr:uid="{00000000-0005-0000-0000-0000EB5D0000}"/>
    <cellStyle name="Normal 2 51 2 7" xfId="5327" xr:uid="{00000000-0005-0000-0000-0000EC5D0000}"/>
    <cellStyle name="Normal 2 51 2 7 2" xfId="8742" xr:uid="{00000000-0005-0000-0000-0000ED5D0000}"/>
    <cellStyle name="Normal 2 51 2 7 2 2" xfId="21175" xr:uid="{00000000-0005-0000-0000-0000EE5D0000}"/>
    <cellStyle name="Normal 2 51 2 7 2 2 2" xfId="37255" xr:uid="{00000000-0005-0000-0000-0000EF5D0000}"/>
    <cellStyle name="Normal 2 51 2 7 2 3" xfId="29056" xr:uid="{00000000-0005-0000-0000-0000F05D0000}"/>
    <cellStyle name="Normal 2 51 2 7 3" xfId="10714" xr:uid="{00000000-0005-0000-0000-0000F15D0000}"/>
    <cellStyle name="Normal 2 51 2 7 3 2" xfId="34562" xr:uid="{00000000-0005-0000-0000-0000F25D0000}"/>
    <cellStyle name="Normal 2 51 2 7 4" xfId="32447" xr:uid="{00000000-0005-0000-0000-0000F35D0000}"/>
    <cellStyle name="Normal 2 51 2 8" xfId="7060" xr:uid="{00000000-0005-0000-0000-0000F45D0000}"/>
    <cellStyle name="Normal 2 51 2 8 2" xfId="20650" xr:uid="{00000000-0005-0000-0000-0000F55D0000}"/>
    <cellStyle name="Normal 2 51 2 8 2 2" xfId="36749" xr:uid="{00000000-0005-0000-0000-0000F65D0000}"/>
    <cellStyle name="Normal 2 51 2 8 3" xfId="30738" xr:uid="{00000000-0005-0000-0000-0000F75D0000}"/>
    <cellStyle name="Normal 2 51 2 9" xfId="12214" xr:uid="{00000000-0005-0000-0000-0000F85D0000}"/>
    <cellStyle name="Normal 2 51 3" xfId="3514" xr:uid="{00000000-0005-0000-0000-0000F95D0000}"/>
    <cellStyle name="Normal 2 51 3 10" xfId="47128" xr:uid="{00000000-0005-0000-0000-0000FA5D0000}"/>
    <cellStyle name="Normal 2 51 3 2" xfId="3949" xr:uid="{00000000-0005-0000-0000-0000FB5D0000}"/>
    <cellStyle name="Normal 2 51 3 2 2" xfId="5837" xr:uid="{00000000-0005-0000-0000-0000FC5D0000}"/>
    <cellStyle name="Normal 2 51 3 2 2 2" xfId="9252" xr:uid="{00000000-0005-0000-0000-0000FD5D0000}"/>
    <cellStyle name="Normal 2 51 3 2 2 2 2" xfId="23686" xr:uid="{00000000-0005-0000-0000-0000FE5D0000}"/>
    <cellStyle name="Normal 2 51 3 2 2 2 2 2" xfId="39742" xr:uid="{00000000-0005-0000-0000-0000FF5D0000}"/>
    <cellStyle name="Normal 2 51 3 2 2 2 3" xfId="28546" xr:uid="{00000000-0005-0000-0000-0000005E0000}"/>
    <cellStyle name="Normal 2 51 3 2 2 3" xfId="22036" xr:uid="{00000000-0005-0000-0000-0000015E0000}"/>
    <cellStyle name="Normal 2 51 3 2 2 3 2" xfId="38111" xr:uid="{00000000-0005-0000-0000-0000025E0000}"/>
    <cellStyle name="Normal 2 51 3 2 2 4" xfId="31937" xr:uid="{00000000-0005-0000-0000-0000035E0000}"/>
    <cellStyle name="Normal 2 51 3 2 3" xfId="7555" xr:uid="{00000000-0005-0000-0000-0000045E0000}"/>
    <cellStyle name="Normal 2 51 3 2 3 2" xfId="24224" xr:uid="{00000000-0005-0000-0000-0000055E0000}"/>
    <cellStyle name="Normal 2 51 3 2 3 2 2" xfId="40277" xr:uid="{00000000-0005-0000-0000-0000065E0000}"/>
    <cellStyle name="Normal 2 51 3 2 3 3" xfId="30243" xr:uid="{00000000-0005-0000-0000-0000075E0000}"/>
    <cellStyle name="Normal 2 51 3 2 4" xfId="18153" xr:uid="{00000000-0005-0000-0000-0000085E0000}"/>
    <cellStyle name="Normal 2 51 3 2 5" xfId="12479" xr:uid="{00000000-0005-0000-0000-0000095E0000}"/>
    <cellStyle name="Normal 2 51 3 2 5 2" xfId="35249" xr:uid="{00000000-0005-0000-0000-00000A5E0000}"/>
    <cellStyle name="Normal 2 51 3 2 6" xfId="33630" xr:uid="{00000000-0005-0000-0000-00000B5E0000}"/>
    <cellStyle name="Normal 2 51 3 3" xfId="4889" xr:uid="{00000000-0005-0000-0000-00000C5E0000}"/>
    <cellStyle name="Normal 2 51 3 3 10" xfId="47318" xr:uid="{00000000-0005-0000-0000-00000D5E0000}"/>
    <cellStyle name="Normal 2 51 3 3 2" xfId="6608" xr:uid="{00000000-0005-0000-0000-00000E5E0000}"/>
    <cellStyle name="Normal 2 51 3 3 2 2" xfId="10014" xr:uid="{00000000-0005-0000-0000-00000F5E0000}"/>
    <cellStyle name="Normal 2 51 3 3 2 2 2" xfId="21572" xr:uid="{00000000-0005-0000-0000-0000105E0000}"/>
    <cellStyle name="Normal 2 51 3 3 2 2 2 2" xfId="37652" xr:uid="{00000000-0005-0000-0000-0000115E0000}"/>
    <cellStyle name="Normal 2 51 3 3 2 2 3" xfId="27785" xr:uid="{00000000-0005-0000-0000-0000125E0000}"/>
    <cellStyle name="Normal 2 51 3 3 2 3" xfId="24074" xr:uid="{00000000-0005-0000-0000-0000135E0000}"/>
    <cellStyle name="Normal 2 51 3 3 2 3 2" xfId="40127" xr:uid="{00000000-0005-0000-0000-0000145E0000}"/>
    <cellStyle name="Normal 2 51 3 3 2 4" xfId="31186" xr:uid="{00000000-0005-0000-0000-0000155E0000}"/>
    <cellStyle name="Normal 2 51 3 3 2 5" xfId="42937" xr:uid="{00000000-0005-0000-0000-0000165E0000}"/>
    <cellStyle name="Normal 2 51 3 3 2 6" xfId="43311" xr:uid="{00000000-0005-0000-0000-0000175E0000}"/>
    <cellStyle name="Normal 2 51 3 3 2 7" xfId="46159" xr:uid="{00000000-0005-0000-0000-0000185E0000}"/>
    <cellStyle name="Normal 2 51 3 3 2 8" xfId="46931" xr:uid="{00000000-0005-0000-0000-0000195E0000}"/>
    <cellStyle name="Normal 2 51 3 3 2 9" xfId="47514" xr:uid="{00000000-0005-0000-0000-00001A5E0000}"/>
    <cellStyle name="Normal 2 51 3 3 3" xfId="8311" xr:uid="{00000000-0005-0000-0000-00001B5E0000}"/>
    <cellStyle name="Normal 2 51 3 3 3 2" xfId="21058" xr:uid="{00000000-0005-0000-0000-00001C5E0000}"/>
    <cellStyle name="Normal 2 51 3 3 3 2 2" xfId="37147" xr:uid="{00000000-0005-0000-0000-00001D5E0000}"/>
    <cellStyle name="Normal 2 51 3 3 3 3" xfId="29486" xr:uid="{00000000-0005-0000-0000-00001E5E0000}"/>
    <cellStyle name="Normal 2 51 3 3 3 4" xfId="44067" xr:uid="{00000000-0005-0000-0000-00001F5E0000}"/>
    <cellStyle name="Normal 2 51 3 3 4" xfId="16382" xr:uid="{00000000-0005-0000-0000-0000205E0000}"/>
    <cellStyle name="Normal 2 51 3 3 4 2" xfId="35406" xr:uid="{00000000-0005-0000-0000-0000215E0000}"/>
    <cellStyle name="Normal 2 51 3 3 5" xfId="25066" xr:uid="{00000000-0005-0000-0000-0000225E0000}"/>
    <cellStyle name="Normal 2 51 3 3 6" xfId="25440" xr:uid="{00000000-0005-0000-0000-0000235E0000}"/>
    <cellStyle name="Normal 2 51 3 3 7" xfId="32878" xr:uid="{00000000-0005-0000-0000-0000245E0000}"/>
    <cellStyle name="Normal 2 51 3 3 8" xfId="43771" xr:uid="{00000000-0005-0000-0000-0000255E0000}"/>
    <cellStyle name="Normal 2 51 3 3 9" xfId="46697" xr:uid="{00000000-0005-0000-0000-0000265E0000}"/>
    <cellStyle name="Normal 2 51 3 4" xfId="5443" xr:uid="{00000000-0005-0000-0000-0000275E0000}"/>
    <cellStyle name="Normal 2 51 3 4 2" xfId="8858" xr:uid="{00000000-0005-0000-0000-0000285E0000}"/>
    <cellStyle name="Normal 2 51 3 4 2 2" xfId="21204" xr:uid="{00000000-0005-0000-0000-0000295E0000}"/>
    <cellStyle name="Normal 2 51 3 4 2 2 2" xfId="37284" xr:uid="{00000000-0005-0000-0000-00002A5E0000}"/>
    <cellStyle name="Normal 2 51 3 4 2 3" xfId="28940" xr:uid="{00000000-0005-0000-0000-00002B5E0000}"/>
    <cellStyle name="Normal 2 51 3 4 3" xfId="12013" xr:uid="{00000000-0005-0000-0000-00002C5E0000}"/>
    <cellStyle name="Normal 2 51 3 4 3 2" xfId="35029" xr:uid="{00000000-0005-0000-0000-00002D5E0000}"/>
    <cellStyle name="Normal 2 51 3 4 4" xfId="32331" xr:uid="{00000000-0005-0000-0000-00002E5E0000}"/>
    <cellStyle name="Normal 2 51 3 5" xfId="7161" xr:uid="{00000000-0005-0000-0000-00002F5E0000}"/>
    <cellStyle name="Normal 2 51 3 5 2" xfId="11945" xr:uid="{00000000-0005-0000-0000-0000305E0000}"/>
    <cellStyle name="Normal 2 51 3 5 2 2" xfId="34967" xr:uid="{00000000-0005-0000-0000-0000315E0000}"/>
    <cellStyle name="Normal 2 51 3 5 3" xfId="30637" xr:uid="{00000000-0005-0000-0000-0000325E0000}"/>
    <cellStyle name="Normal 2 51 3 6" xfId="12216" xr:uid="{00000000-0005-0000-0000-0000335E0000}"/>
    <cellStyle name="Normal 2 51 3 7" xfId="34024" xr:uid="{00000000-0005-0000-0000-0000345E0000}"/>
    <cellStyle name="Normal 2 51 3 8" xfId="43563" xr:uid="{00000000-0005-0000-0000-0000355E0000}"/>
    <cellStyle name="Normal 2 51 3 9" xfId="46469" xr:uid="{00000000-0005-0000-0000-0000365E0000}"/>
    <cellStyle name="Normal 2 51 3_Avviksanalyse løpende RNB15 (1)" xfId="16744" xr:uid="{00000000-0005-0000-0000-0000375E0000}"/>
    <cellStyle name="Normal 2 51 4" xfId="3770" xr:uid="{00000000-0005-0000-0000-0000385E0000}"/>
    <cellStyle name="Normal 2 51 4 2" xfId="5658" xr:uid="{00000000-0005-0000-0000-0000395E0000}"/>
    <cellStyle name="Normal 2 51 4 2 2" xfId="9073" xr:uid="{00000000-0005-0000-0000-00003A5E0000}"/>
    <cellStyle name="Normal 2 51 4 2 2 2" xfId="11729" xr:uid="{00000000-0005-0000-0000-00003B5E0000}"/>
    <cellStyle name="Normal 2 51 4 2 2 2 2" xfId="34845" xr:uid="{00000000-0005-0000-0000-00003C5E0000}"/>
    <cellStyle name="Normal 2 51 4 2 2 3" xfId="28725" xr:uid="{00000000-0005-0000-0000-00003D5E0000}"/>
    <cellStyle name="Normal 2 51 4 2 3" xfId="23895" xr:uid="{00000000-0005-0000-0000-00003E5E0000}"/>
    <cellStyle name="Normal 2 51 4 2 3 2" xfId="39951" xr:uid="{00000000-0005-0000-0000-00003F5E0000}"/>
    <cellStyle name="Normal 2 51 4 2 4" xfId="32116" xr:uid="{00000000-0005-0000-0000-0000405E0000}"/>
    <cellStyle name="Normal 2 51 4 3" xfId="7376" xr:uid="{00000000-0005-0000-0000-0000415E0000}"/>
    <cellStyle name="Normal 2 51 4 3 2" xfId="23195" xr:uid="{00000000-0005-0000-0000-0000425E0000}"/>
    <cellStyle name="Normal 2 51 4 3 2 2" xfId="39264" xr:uid="{00000000-0005-0000-0000-0000435E0000}"/>
    <cellStyle name="Normal 2 51 4 3 3" xfId="30422" xr:uid="{00000000-0005-0000-0000-0000445E0000}"/>
    <cellStyle name="Normal 2 51 4 4" xfId="23775" xr:uid="{00000000-0005-0000-0000-0000455E0000}"/>
    <cellStyle name="Normal 2 51 4 4 2" xfId="39831" xr:uid="{00000000-0005-0000-0000-0000465E0000}"/>
    <cellStyle name="Normal 2 51 4 5" xfId="33809" xr:uid="{00000000-0005-0000-0000-0000475E0000}"/>
    <cellStyle name="Normal 2 51 5" xfId="4263" xr:uid="{00000000-0005-0000-0000-0000485E0000}"/>
    <cellStyle name="Normal 2 51 5 2" xfId="6095" xr:uid="{00000000-0005-0000-0000-0000495E0000}"/>
    <cellStyle name="Normal 2 51 5 2 2" xfId="9510" xr:uid="{00000000-0005-0000-0000-00004A5E0000}"/>
    <cellStyle name="Normal 2 51 5 2 2 2" xfId="21956" xr:uid="{00000000-0005-0000-0000-00004B5E0000}"/>
    <cellStyle name="Normal 2 51 5 2 2 2 2" xfId="38031" xr:uid="{00000000-0005-0000-0000-00004C5E0000}"/>
    <cellStyle name="Normal 2 51 5 2 2 3" xfId="28288" xr:uid="{00000000-0005-0000-0000-00004D5E0000}"/>
    <cellStyle name="Normal 2 51 5 2 3" xfId="23977" xr:uid="{00000000-0005-0000-0000-00004E5E0000}"/>
    <cellStyle name="Normal 2 51 5 2 3 2" xfId="40031" xr:uid="{00000000-0005-0000-0000-00004F5E0000}"/>
    <cellStyle name="Normal 2 51 5 2 4" xfId="31683" xr:uid="{00000000-0005-0000-0000-0000505E0000}"/>
    <cellStyle name="Normal 2 51 5 3" xfId="7829" xr:uid="{00000000-0005-0000-0000-0000515E0000}"/>
    <cellStyle name="Normal 2 51 5 3 2" xfId="21857" xr:uid="{00000000-0005-0000-0000-0000525E0000}"/>
    <cellStyle name="Normal 2 51 5 3 2 2" xfId="37933" xr:uid="{00000000-0005-0000-0000-0000535E0000}"/>
    <cellStyle name="Normal 2 51 5 3 3" xfId="29970" xr:uid="{00000000-0005-0000-0000-0000545E0000}"/>
    <cellStyle name="Normal 2 51 5 4" xfId="22724" xr:uid="{00000000-0005-0000-0000-0000555E0000}"/>
    <cellStyle name="Normal 2 51 5 4 2" xfId="38793" xr:uid="{00000000-0005-0000-0000-0000565E0000}"/>
    <cellStyle name="Normal 2 51 5 5" xfId="33358" xr:uid="{00000000-0005-0000-0000-0000575E0000}"/>
    <cellStyle name="Normal 2 51 6" xfId="4705" xr:uid="{00000000-0005-0000-0000-0000585E0000}"/>
    <cellStyle name="Normal 2 51 6 2" xfId="6425" xr:uid="{00000000-0005-0000-0000-0000595E0000}"/>
    <cellStyle name="Normal 2 51 6 2 2" xfId="9835" xr:uid="{00000000-0005-0000-0000-00005A5E0000}"/>
    <cellStyle name="Normal 2 51 6 2 2 2" xfId="24572" xr:uid="{00000000-0005-0000-0000-00005B5E0000}"/>
    <cellStyle name="Normal 2 51 6 2 2 2 2" xfId="40616" xr:uid="{00000000-0005-0000-0000-00005C5E0000}"/>
    <cellStyle name="Normal 2 51 6 2 2 3" xfId="27964" xr:uid="{00000000-0005-0000-0000-00005D5E0000}"/>
    <cellStyle name="Normal 2 51 6 2 3" xfId="23037" xr:uid="{00000000-0005-0000-0000-00005E5E0000}"/>
    <cellStyle name="Normal 2 51 6 2 3 2" xfId="39106" xr:uid="{00000000-0005-0000-0000-00005F5E0000}"/>
    <cellStyle name="Normal 2 51 6 2 4" xfId="31365" xr:uid="{00000000-0005-0000-0000-0000605E0000}"/>
    <cellStyle name="Normal 2 51 6 3" xfId="8131" xr:uid="{00000000-0005-0000-0000-0000615E0000}"/>
    <cellStyle name="Normal 2 51 6 3 2" xfId="21009" xr:uid="{00000000-0005-0000-0000-0000625E0000}"/>
    <cellStyle name="Normal 2 51 6 3 2 2" xfId="37104" xr:uid="{00000000-0005-0000-0000-0000635E0000}"/>
    <cellStyle name="Normal 2 51 6 3 3" xfId="29667" xr:uid="{00000000-0005-0000-0000-0000645E0000}"/>
    <cellStyle name="Normal 2 51 6 4" xfId="10914" xr:uid="{00000000-0005-0000-0000-0000655E0000}"/>
    <cellStyle name="Normal 2 51 6 4 2" xfId="34679" xr:uid="{00000000-0005-0000-0000-0000665E0000}"/>
    <cellStyle name="Normal 2 51 6 5" xfId="33058" xr:uid="{00000000-0005-0000-0000-0000675E0000}"/>
    <cellStyle name="Normal 2 51 7" xfId="5069" xr:uid="{00000000-0005-0000-0000-0000685E0000}"/>
    <cellStyle name="Normal 2 51 7 2" xfId="6788" xr:uid="{00000000-0005-0000-0000-0000695E0000}"/>
    <cellStyle name="Normal 2 51 7 2 2" xfId="10194" xr:uid="{00000000-0005-0000-0000-00006A5E0000}"/>
    <cellStyle name="Normal 2 51 7 2 2 2" xfId="21644" xr:uid="{00000000-0005-0000-0000-00006B5E0000}"/>
    <cellStyle name="Normal 2 51 7 2 2 2 2" xfId="37724" xr:uid="{00000000-0005-0000-0000-00006C5E0000}"/>
    <cellStyle name="Normal 2 51 7 2 2 3" xfId="27605" xr:uid="{00000000-0005-0000-0000-00006D5E0000}"/>
    <cellStyle name="Normal 2 51 7 2 3" xfId="23097" xr:uid="{00000000-0005-0000-0000-00006E5E0000}"/>
    <cellStyle name="Normal 2 51 7 2 3 2" xfId="39166" xr:uid="{00000000-0005-0000-0000-00006F5E0000}"/>
    <cellStyle name="Normal 2 51 7 2 4" xfId="31006" xr:uid="{00000000-0005-0000-0000-0000705E0000}"/>
    <cellStyle name="Normal 2 51 7 3" xfId="8491" xr:uid="{00000000-0005-0000-0000-0000715E0000}"/>
    <cellStyle name="Normal 2 51 7 3 2" xfId="21110" xr:uid="{00000000-0005-0000-0000-0000725E0000}"/>
    <cellStyle name="Normal 2 51 7 3 2 2" xfId="37193" xr:uid="{00000000-0005-0000-0000-0000735E0000}"/>
    <cellStyle name="Normal 2 51 7 3 3" xfId="29307" xr:uid="{00000000-0005-0000-0000-0000745E0000}"/>
    <cellStyle name="Normal 2 51 7 4" xfId="12184" xr:uid="{00000000-0005-0000-0000-0000755E0000}"/>
    <cellStyle name="Normal 2 51 7 4 2" xfId="35115" xr:uid="{00000000-0005-0000-0000-0000765E0000}"/>
    <cellStyle name="Normal 2 51 7 5" xfId="32698" xr:uid="{00000000-0005-0000-0000-0000775E0000}"/>
    <cellStyle name="Normal 2 51 8" xfId="5262" xr:uid="{00000000-0005-0000-0000-0000785E0000}"/>
    <cellStyle name="Normal 2 51 8 2" xfId="8677" xr:uid="{00000000-0005-0000-0000-0000795E0000}"/>
    <cellStyle name="Normal 2 51 8 2 2" xfId="11801" xr:uid="{00000000-0005-0000-0000-00007A5E0000}"/>
    <cellStyle name="Normal 2 51 8 2 2 2" xfId="34871" xr:uid="{00000000-0005-0000-0000-00007B5E0000}"/>
    <cellStyle name="Normal 2 51 8 2 3" xfId="29121" xr:uid="{00000000-0005-0000-0000-00007C5E0000}"/>
    <cellStyle name="Normal 2 51 8 3" xfId="22067" xr:uid="{00000000-0005-0000-0000-00007D5E0000}"/>
    <cellStyle name="Normal 2 51 8 3 2" xfId="38141" xr:uid="{00000000-0005-0000-0000-00007E5E0000}"/>
    <cellStyle name="Normal 2 51 8 4" xfId="32512" xr:uid="{00000000-0005-0000-0000-00007F5E0000}"/>
    <cellStyle name="Normal 2 51 9" xfId="6978" xr:uid="{00000000-0005-0000-0000-0000805E0000}"/>
    <cellStyle name="Normal 2 51 9 2" xfId="22167" xr:uid="{00000000-0005-0000-0000-0000815E0000}"/>
    <cellStyle name="Normal 2 51 9 2 2" xfId="38241" xr:uid="{00000000-0005-0000-0000-0000825E0000}"/>
    <cellStyle name="Normal 2 51 9 3" xfId="30820" xr:uid="{00000000-0005-0000-0000-0000835E0000}"/>
    <cellStyle name="Normal 2 52" xfId="1586" xr:uid="{00000000-0005-0000-0000-0000845E0000}"/>
    <cellStyle name="Normal 2 52 10" xfId="12217" xr:uid="{00000000-0005-0000-0000-0000855E0000}"/>
    <cellStyle name="Normal 2 52 11" xfId="34207" xr:uid="{00000000-0005-0000-0000-0000865E0000}"/>
    <cellStyle name="Normal 2 52 2" xfId="3373" xr:uid="{00000000-0005-0000-0000-0000875E0000}"/>
    <cellStyle name="Normal 2 52 2 10" xfId="34124" xr:uid="{00000000-0005-0000-0000-0000885E0000}"/>
    <cellStyle name="Normal 2 52 2 2" xfId="3599" xr:uid="{00000000-0005-0000-0000-0000895E0000}"/>
    <cellStyle name="Normal 2 52 2 2 10" xfId="47198" xr:uid="{00000000-0005-0000-0000-00008A5E0000}"/>
    <cellStyle name="Normal 2 52 2 2 2" xfId="4029" xr:uid="{00000000-0005-0000-0000-00008B5E0000}"/>
    <cellStyle name="Normal 2 52 2 2 2 2" xfId="5917" xr:uid="{00000000-0005-0000-0000-00008C5E0000}"/>
    <cellStyle name="Normal 2 52 2 2 2 2 2" xfId="9332" xr:uid="{00000000-0005-0000-0000-00008D5E0000}"/>
    <cellStyle name="Normal 2 52 2 2 2 2 2 2" xfId="21352" xr:uid="{00000000-0005-0000-0000-00008E5E0000}"/>
    <cellStyle name="Normal 2 52 2 2 2 2 2 2 2" xfId="37432" xr:uid="{00000000-0005-0000-0000-00008F5E0000}"/>
    <cellStyle name="Normal 2 52 2 2 2 2 2 3" xfId="28466" xr:uid="{00000000-0005-0000-0000-0000905E0000}"/>
    <cellStyle name="Normal 2 52 2 2 2 2 3" xfId="22938" xr:uid="{00000000-0005-0000-0000-0000915E0000}"/>
    <cellStyle name="Normal 2 52 2 2 2 2 3 2" xfId="39007" xr:uid="{00000000-0005-0000-0000-0000925E0000}"/>
    <cellStyle name="Normal 2 52 2 2 2 2 4" xfId="31859" xr:uid="{00000000-0005-0000-0000-0000935E0000}"/>
    <cellStyle name="Normal 2 52 2 2 2 3" xfId="7635" xr:uid="{00000000-0005-0000-0000-0000945E0000}"/>
    <cellStyle name="Normal 2 52 2 2 2 3 2" xfId="22473" xr:uid="{00000000-0005-0000-0000-0000955E0000}"/>
    <cellStyle name="Normal 2 52 2 2 2 3 2 2" xfId="38545" xr:uid="{00000000-0005-0000-0000-0000965E0000}"/>
    <cellStyle name="Normal 2 52 2 2 2 3 3" xfId="30163" xr:uid="{00000000-0005-0000-0000-0000975E0000}"/>
    <cellStyle name="Normal 2 52 2 2 2 4" xfId="18154" xr:uid="{00000000-0005-0000-0000-0000985E0000}"/>
    <cellStyle name="Normal 2 52 2 2 2 5" xfId="22668" xr:uid="{00000000-0005-0000-0000-0000995E0000}"/>
    <cellStyle name="Normal 2 52 2 2 2 5 2" xfId="38737" xr:uid="{00000000-0005-0000-0000-00009A5E0000}"/>
    <cellStyle name="Normal 2 52 2 2 2 6" xfId="33550" xr:uid="{00000000-0005-0000-0000-00009B5E0000}"/>
    <cellStyle name="Normal 2 52 2 2 3" xfId="4969" xr:uid="{00000000-0005-0000-0000-00009C5E0000}"/>
    <cellStyle name="Normal 2 52 2 2 3 10" xfId="47388" xr:uid="{00000000-0005-0000-0000-00009D5E0000}"/>
    <cellStyle name="Normal 2 52 2 2 3 2" xfId="6688" xr:uid="{00000000-0005-0000-0000-00009E5E0000}"/>
    <cellStyle name="Normal 2 52 2 2 3 2 2" xfId="10094" xr:uid="{00000000-0005-0000-0000-00009F5E0000}"/>
    <cellStyle name="Normal 2 52 2 2 3 2 2 2" xfId="21604" xr:uid="{00000000-0005-0000-0000-0000A05E0000}"/>
    <cellStyle name="Normal 2 52 2 2 3 2 2 2 2" xfId="37684" xr:uid="{00000000-0005-0000-0000-0000A15E0000}"/>
    <cellStyle name="Normal 2 52 2 2 3 2 2 3" xfId="27705" xr:uid="{00000000-0005-0000-0000-0000A25E0000}"/>
    <cellStyle name="Normal 2 52 2 2 3 2 3" xfId="10665" xr:uid="{00000000-0005-0000-0000-0000A35E0000}"/>
    <cellStyle name="Normal 2 52 2 2 3 2 3 2" xfId="34513" xr:uid="{00000000-0005-0000-0000-0000A45E0000}"/>
    <cellStyle name="Normal 2 52 2 2 3 2 4" xfId="31106" xr:uid="{00000000-0005-0000-0000-0000A55E0000}"/>
    <cellStyle name="Normal 2 52 2 2 3 2 5" xfId="43085" xr:uid="{00000000-0005-0000-0000-0000A65E0000}"/>
    <cellStyle name="Normal 2 52 2 2 3 2 6" xfId="43379" xr:uid="{00000000-0005-0000-0000-0000A75E0000}"/>
    <cellStyle name="Normal 2 52 2 2 3 2 7" xfId="46227" xr:uid="{00000000-0005-0000-0000-0000A85E0000}"/>
    <cellStyle name="Normal 2 52 2 2 3 2 8" xfId="46999" xr:uid="{00000000-0005-0000-0000-0000A95E0000}"/>
    <cellStyle name="Normal 2 52 2 2 3 2 9" xfId="47584" xr:uid="{00000000-0005-0000-0000-0000AA5E0000}"/>
    <cellStyle name="Normal 2 52 2 2 3 3" xfId="8391" xr:uid="{00000000-0005-0000-0000-0000AB5E0000}"/>
    <cellStyle name="Normal 2 52 2 2 3 3 2" xfId="22581" xr:uid="{00000000-0005-0000-0000-0000AC5E0000}"/>
    <cellStyle name="Normal 2 52 2 2 3 3 2 2" xfId="38650" xr:uid="{00000000-0005-0000-0000-0000AD5E0000}"/>
    <cellStyle name="Normal 2 52 2 2 3 3 3" xfId="29407" xr:uid="{00000000-0005-0000-0000-0000AE5E0000}"/>
    <cellStyle name="Normal 2 52 2 2 3 3 4" xfId="44068" xr:uid="{00000000-0005-0000-0000-0000AF5E0000}"/>
    <cellStyle name="Normal 2 52 2 2 3 4" xfId="16530" xr:uid="{00000000-0005-0000-0000-0000B05E0000}"/>
    <cellStyle name="Normal 2 52 2 2 3 4 2" xfId="35474" xr:uid="{00000000-0005-0000-0000-0000B15E0000}"/>
    <cellStyle name="Normal 2 52 2 2 3 5" xfId="25136" xr:uid="{00000000-0005-0000-0000-0000B25E0000}"/>
    <cellStyle name="Normal 2 52 2 2 3 6" xfId="25441" xr:uid="{00000000-0005-0000-0000-0000B35E0000}"/>
    <cellStyle name="Normal 2 52 2 2 3 7" xfId="32798" xr:uid="{00000000-0005-0000-0000-0000B45E0000}"/>
    <cellStyle name="Normal 2 52 2 2 3 8" xfId="43840" xr:uid="{00000000-0005-0000-0000-0000B55E0000}"/>
    <cellStyle name="Normal 2 52 2 2 3 9" xfId="46765" xr:uid="{00000000-0005-0000-0000-0000B65E0000}"/>
    <cellStyle name="Normal 2 52 2 2 4" xfId="5523" xr:uid="{00000000-0005-0000-0000-0000B75E0000}"/>
    <cellStyle name="Normal 2 52 2 2 4 2" xfId="8938" xr:uid="{00000000-0005-0000-0000-0000B85E0000}"/>
    <cellStyle name="Normal 2 52 2 2 4 2 2" xfId="23428" xr:uid="{00000000-0005-0000-0000-0000B95E0000}"/>
    <cellStyle name="Normal 2 52 2 2 4 2 2 2" xfId="39484" xr:uid="{00000000-0005-0000-0000-0000BA5E0000}"/>
    <cellStyle name="Normal 2 52 2 2 4 2 3" xfId="28860" xr:uid="{00000000-0005-0000-0000-0000BB5E0000}"/>
    <cellStyle name="Normal 2 52 2 2 4 3" xfId="11991" xr:uid="{00000000-0005-0000-0000-0000BC5E0000}"/>
    <cellStyle name="Normal 2 52 2 2 4 3 2" xfId="35012" xr:uid="{00000000-0005-0000-0000-0000BD5E0000}"/>
    <cellStyle name="Normal 2 52 2 2 4 4" xfId="32251" xr:uid="{00000000-0005-0000-0000-0000BE5E0000}"/>
    <cellStyle name="Normal 2 52 2 2 5" xfId="7241" xr:uid="{00000000-0005-0000-0000-0000BF5E0000}"/>
    <cellStyle name="Normal 2 52 2 2 5 2" xfId="22429" xr:uid="{00000000-0005-0000-0000-0000C05E0000}"/>
    <cellStyle name="Normal 2 52 2 2 5 2 2" xfId="38501" xr:uid="{00000000-0005-0000-0000-0000C15E0000}"/>
    <cellStyle name="Normal 2 52 2 2 5 3" xfId="30557" xr:uid="{00000000-0005-0000-0000-0000C25E0000}"/>
    <cellStyle name="Normal 2 52 2 2 6" xfId="12219" xr:uid="{00000000-0005-0000-0000-0000C35E0000}"/>
    <cellStyle name="Normal 2 52 2 2 7" xfId="33944" xr:uid="{00000000-0005-0000-0000-0000C45E0000}"/>
    <cellStyle name="Normal 2 52 2 2 8" xfId="43631" xr:uid="{00000000-0005-0000-0000-0000C55E0000}"/>
    <cellStyle name="Normal 2 52 2 2 9" xfId="46537" xr:uid="{00000000-0005-0000-0000-0000C65E0000}"/>
    <cellStyle name="Normal 2 52 2 2_Avviksanalyse løpende RNB15 (1)" xfId="16745" xr:uid="{00000000-0005-0000-0000-0000C75E0000}"/>
    <cellStyle name="Normal 2 52 2 3" xfId="3849" xr:uid="{00000000-0005-0000-0000-0000C85E0000}"/>
    <cellStyle name="Normal 2 52 2 3 2" xfId="5737" xr:uid="{00000000-0005-0000-0000-0000C95E0000}"/>
    <cellStyle name="Normal 2 52 2 3 2 2" xfId="9152" xr:uid="{00000000-0005-0000-0000-0000CA5E0000}"/>
    <cellStyle name="Normal 2 52 2 3 2 2 2" xfId="21294" xr:uid="{00000000-0005-0000-0000-0000CB5E0000}"/>
    <cellStyle name="Normal 2 52 2 3 2 2 2 2" xfId="37374" xr:uid="{00000000-0005-0000-0000-0000CC5E0000}"/>
    <cellStyle name="Normal 2 52 2 3 2 2 3" xfId="28646" xr:uid="{00000000-0005-0000-0000-0000CD5E0000}"/>
    <cellStyle name="Normal 2 52 2 3 2 3" xfId="10683" xr:uid="{00000000-0005-0000-0000-0000CE5E0000}"/>
    <cellStyle name="Normal 2 52 2 3 2 3 2" xfId="34531" xr:uid="{00000000-0005-0000-0000-0000CF5E0000}"/>
    <cellStyle name="Normal 2 52 2 3 2 4" xfId="32037" xr:uid="{00000000-0005-0000-0000-0000D05E0000}"/>
    <cellStyle name="Normal 2 52 2 3 3" xfId="7455" xr:uid="{00000000-0005-0000-0000-0000D15E0000}"/>
    <cellStyle name="Normal 2 52 2 3 3 2" xfId="24211" xr:uid="{00000000-0005-0000-0000-0000D25E0000}"/>
    <cellStyle name="Normal 2 52 2 3 3 2 2" xfId="40264" xr:uid="{00000000-0005-0000-0000-0000D35E0000}"/>
    <cellStyle name="Normal 2 52 2 3 3 3" xfId="30343" xr:uid="{00000000-0005-0000-0000-0000D45E0000}"/>
    <cellStyle name="Normal 2 52 2 3 4" xfId="23697" xr:uid="{00000000-0005-0000-0000-0000D55E0000}"/>
    <cellStyle name="Normal 2 52 2 3 4 2" xfId="39753" xr:uid="{00000000-0005-0000-0000-0000D65E0000}"/>
    <cellStyle name="Normal 2 52 2 3 5" xfId="33730" xr:uid="{00000000-0005-0000-0000-0000D75E0000}"/>
    <cellStyle name="Normal 2 52 2 4" xfId="4334" xr:uid="{00000000-0005-0000-0000-0000D85E0000}"/>
    <cellStyle name="Normal 2 52 2 4 2" xfId="6163" xr:uid="{00000000-0005-0000-0000-0000D95E0000}"/>
    <cellStyle name="Normal 2 52 2 4 2 2" xfId="9577" xr:uid="{00000000-0005-0000-0000-0000DA5E0000}"/>
    <cellStyle name="Normal 2 52 2 4 2 2 2" xfId="21423" xr:uid="{00000000-0005-0000-0000-0000DB5E0000}"/>
    <cellStyle name="Normal 2 52 2 4 2 2 2 2" xfId="37503" xr:uid="{00000000-0005-0000-0000-0000DC5E0000}"/>
    <cellStyle name="Normal 2 52 2 4 2 2 3" xfId="28221" xr:uid="{00000000-0005-0000-0000-0000DD5E0000}"/>
    <cellStyle name="Normal 2 52 2 4 2 3" xfId="20347" xr:uid="{00000000-0005-0000-0000-0000DE5E0000}"/>
    <cellStyle name="Normal 2 52 2 4 2 3 2" xfId="36446" xr:uid="{00000000-0005-0000-0000-0000DF5E0000}"/>
    <cellStyle name="Normal 2 52 2 4 2 4" xfId="31618" xr:uid="{00000000-0005-0000-0000-0000E05E0000}"/>
    <cellStyle name="Normal 2 52 2 4 3" xfId="7896" xr:uid="{00000000-0005-0000-0000-0000E15E0000}"/>
    <cellStyle name="Normal 2 52 2 4 3 2" xfId="11910" xr:uid="{00000000-0005-0000-0000-0000E25E0000}"/>
    <cellStyle name="Normal 2 52 2 4 3 2 2" xfId="34946" xr:uid="{00000000-0005-0000-0000-0000E35E0000}"/>
    <cellStyle name="Normal 2 52 2 4 3 3" xfId="29903" xr:uid="{00000000-0005-0000-0000-0000E45E0000}"/>
    <cellStyle name="Normal 2 52 2 4 4" xfId="22546" xr:uid="{00000000-0005-0000-0000-0000E55E0000}"/>
    <cellStyle name="Normal 2 52 2 4 4 2" xfId="38615" xr:uid="{00000000-0005-0000-0000-0000E65E0000}"/>
    <cellStyle name="Normal 2 52 2 4 5" xfId="33291" xr:uid="{00000000-0005-0000-0000-0000E75E0000}"/>
    <cellStyle name="Normal 2 52 2 5" xfId="4789" xr:uid="{00000000-0005-0000-0000-0000E85E0000}"/>
    <cellStyle name="Normal 2 52 2 5 2" xfId="6509" xr:uid="{00000000-0005-0000-0000-0000E95E0000}"/>
    <cellStyle name="Normal 2 52 2 5 2 2" xfId="9915" xr:uid="{00000000-0005-0000-0000-0000EA5E0000}"/>
    <cellStyle name="Normal 2 52 2 5 2 2 2" xfId="21998" xr:uid="{00000000-0005-0000-0000-0000EB5E0000}"/>
    <cellStyle name="Normal 2 52 2 5 2 2 2 2" xfId="38073" xr:uid="{00000000-0005-0000-0000-0000EC5E0000}"/>
    <cellStyle name="Normal 2 52 2 5 2 2 3" xfId="27884" xr:uid="{00000000-0005-0000-0000-0000ED5E0000}"/>
    <cellStyle name="Normal 2 52 2 5 2 3" xfId="23052" xr:uid="{00000000-0005-0000-0000-0000EE5E0000}"/>
    <cellStyle name="Normal 2 52 2 5 2 3 2" xfId="39121" xr:uid="{00000000-0005-0000-0000-0000EF5E0000}"/>
    <cellStyle name="Normal 2 52 2 5 2 4" xfId="31285" xr:uid="{00000000-0005-0000-0000-0000F05E0000}"/>
    <cellStyle name="Normal 2 52 2 5 3" xfId="8211" xr:uid="{00000000-0005-0000-0000-0000F15E0000}"/>
    <cellStyle name="Normal 2 52 2 5 3 2" xfId="11881" xr:uid="{00000000-0005-0000-0000-0000F25E0000}"/>
    <cellStyle name="Normal 2 52 2 5 3 2 2" xfId="34918" xr:uid="{00000000-0005-0000-0000-0000F35E0000}"/>
    <cellStyle name="Normal 2 52 2 5 3 3" xfId="29586" xr:uid="{00000000-0005-0000-0000-0000F45E0000}"/>
    <cellStyle name="Normal 2 52 2 5 4" xfId="20042" xr:uid="{00000000-0005-0000-0000-0000F55E0000}"/>
    <cellStyle name="Normal 2 52 2 5 4 2" xfId="36146" xr:uid="{00000000-0005-0000-0000-0000F65E0000}"/>
    <cellStyle name="Normal 2 52 2 5 5" xfId="32978" xr:uid="{00000000-0005-0000-0000-0000F75E0000}"/>
    <cellStyle name="Normal 2 52 2 6" xfId="5149" xr:uid="{00000000-0005-0000-0000-0000F85E0000}"/>
    <cellStyle name="Normal 2 52 2 6 2" xfId="6868" xr:uid="{00000000-0005-0000-0000-0000F95E0000}"/>
    <cellStyle name="Normal 2 52 2 6 2 2" xfId="10274" xr:uid="{00000000-0005-0000-0000-0000FA5E0000}"/>
    <cellStyle name="Normal 2 52 2 6 2 2 2" xfId="24717" xr:uid="{00000000-0005-0000-0000-0000FB5E0000}"/>
    <cellStyle name="Normal 2 52 2 6 2 2 2 2" xfId="40760" xr:uid="{00000000-0005-0000-0000-0000FC5E0000}"/>
    <cellStyle name="Normal 2 52 2 6 2 2 3" xfId="27525" xr:uid="{00000000-0005-0000-0000-0000FD5E0000}"/>
    <cellStyle name="Normal 2 52 2 6 2 3" xfId="20586" xr:uid="{00000000-0005-0000-0000-0000FE5E0000}"/>
    <cellStyle name="Normal 2 52 2 6 2 3 2" xfId="36685" xr:uid="{00000000-0005-0000-0000-0000FF5E0000}"/>
    <cellStyle name="Normal 2 52 2 6 2 4" xfId="30926" xr:uid="{00000000-0005-0000-0000-0000005F0000}"/>
    <cellStyle name="Normal 2 52 2 6 3" xfId="8571" xr:uid="{00000000-0005-0000-0000-0000015F0000}"/>
    <cellStyle name="Normal 2 52 2 6 3 2" xfId="19504" xr:uid="{00000000-0005-0000-0000-0000025F0000}"/>
    <cellStyle name="Normal 2 52 2 6 3 2 2" xfId="35618" xr:uid="{00000000-0005-0000-0000-0000035F0000}"/>
    <cellStyle name="Normal 2 52 2 6 3 3" xfId="29227" xr:uid="{00000000-0005-0000-0000-0000045F0000}"/>
    <cellStyle name="Normal 2 52 2 6 4" xfId="23848" xr:uid="{00000000-0005-0000-0000-0000055F0000}"/>
    <cellStyle name="Normal 2 52 2 6 4 2" xfId="39904" xr:uid="{00000000-0005-0000-0000-0000065F0000}"/>
    <cellStyle name="Normal 2 52 2 6 5" xfId="32618" xr:uid="{00000000-0005-0000-0000-0000075F0000}"/>
    <cellStyle name="Normal 2 52 2 7" xfId="5328" xr:uid="{00000000-0005-0000-0000-0000085F0000}"/>
    <cellStyle name="Normal 2 52 2 7 2" xfId="8743" xr:uid="{00000000-0005-0000-0000-0000095F0000}"/>
    <cellStyle name="Normal 2 52 2 7 2 2" xfId="21176" xr:uid="{00000000-0005-0000-0000-00000A5F0000}"/>
    <cellStyle name="Normal 2 52 2 7 2 2 2" xfId="37256" xr:uid="{00000000-0005-0000-0000-00000B5F0000}"/>
    <cellStyle name="Normal 2 52 2 7 2 3" xfId="29055" xr:uid="{00000000-0005-0000-0000-00000C5F0000}"/>
    <cellStyle name="Normal 2 52 2 7 3" xfId="19820" xr:uid="{00000000-0005-0000-0000-00000D5F0000}"/>
    <cellStyle name="Normal 2 52 2 7 3 2" xfId="35933" xr:uid="{00000000-0005-0000-0000-00000E5F0000}"/>
    <cellStyle name="Normal 2 52 2 7 4" xfId="32446" xr:uid="{00000000-0005-0000-0000-00000F5F0000}"/>
    <cellStyle name="Normal 2 52 2 8" xfId="7061" xr:uid="{00000000-0005-0000-0000-0000105F0000}"/>
    <cellStyle name="Normal 2 52 2 8 2" xfId="24142" xr:uid="{00000000-0005-0000-0000-0000115F0000}"/>
    <cellStyle name="Normal 2 52 2 8 2 2" xfId="40195" xr:uid="{00000000-0005-0000-0000-0000125F0000}"/>
    <cellStyle name="Normal 2 52 2 8 3" xfId="30737" xr:uid="{00000000-0005-0000-0000-0000135F0000}"/>
    <cellStyle name="Normal 2 52 2 9" xfId="12218" xr:uid="{00000000-0005-0000-0000-0000145F0000}"/>
    <cellStyle name="Normal 2 52 3" xfId="3515" xr:uid="{00000000-0005-0000-0000-0000155F0000}"/>
    <cellStyle name="Normal 2 52 3 10" xfId="47129" xr:uid="{00000000-0005-0000-0000-0000165F0000}"/>
    <cellStyle name="Normal 2 52 3 2" xfId="3950" xr:uid="{00000000-0005-0000-0000-0000175F0000}"/>
    <cellStyle name="Normal 2 52 3 2 2" xfId="5838" xr:uid="{00000000-0005-0000-0000-0000185F0000}"/>
    <cellStyle name="Normal 2 52 3 2 2 2" xfId="9253" xr:uid="{00000000-0005-0000-0000-0000195F0000}"/>
    <cellStyle name="Normal 2 52 3 2 2 2 2" xfId="23482" xr:uid="{00000000-0005-0000-0000-00001A5F0000}"/>
    <cellStyle name="Normal 2 52 3 2 2 2 2 2" xfId="39538" xr:uid="{00000000-0005-0000-0000-00001B5F0000}"/>
    <cellStyle name="Normal 2 52 3 2 2 2 3" xfId="28545" xr:uid="{00000000-0005-0000-0000-00001C5F0000}"/>
    <cellStyle name="Normal 2 52 3 2 2 3" xfId="22925" xr:uid="{00000000-0005-0000-0000-00001D5F0000}"/>
    <cellStyle name="Normal 2 52 3 2 2 3 2" xfId="38994" xr:uid="{00000000-0005-0000-0000-00001E5F0000}"/>
    <cellStyle name="Normal 2 52 3 2 2 4" xfId="31936" xr:uid="{00000000-0005-0000-0000-00001F5F0000}"/>
    <cellStyle name="Normal 2 52 3 2 3" xfId="7556" xr:uid="{00000000-0005-0000-0000-0000205F0000}"/>
    <cellStyle name="Normal 2 52 3 2 3 2" xfId="22464" xr:uid="{00000000-0005-0000-0000-0000215F0000}"/>
    <cellStyle name="Normal 2 52 3 2 3 2 2" xfId="38536" xr:uid="{00000000-0005-0000-0000-0000225F0000}"/>
    <cellStyle name="Normal 2 52 3 2 3 3" xfId="30242" xr:uid="{00000000-0005-0000-0000-0000235F0000}"/>
    <cellStyle name="Normal 2 52 3 2 4" xfId="18155" xr:uid="{00000000-0005-0000-0000-0000245F0000}"/>
    <cellStyle name="Normal 2 52 3 2 5" xfId="23789" xr:uid="{00000000-0005-0000-0000-0000255F0000}"/>
    <cellStyle name="Normal 2 52 3 2 5 2" xfId="39845" xr:uid="{00000000-0005-0000-0000-0000265F0000}"/>
    <cellStyle name="Normal 2 52 3 2 6" xfId="33629" xr:uid="{00000000-0005-0000-0000-0000275F0000}"/>
    <cellStyle name="Normal 2 52 3 3" xfId="4890" xr:uid="{00000000-0005-0000-0000-0000285F0000}"/>
    <cellStyle name="Normal 2 52 3 3 10" xfId="47319" xr:uid="{00000000-0005-0000-0000-0000295F0000}"/>
    <cellStyle name="Normal 2 52 3 3 2" xfId="6609" xr:uid="{00000000-0005-0000-0000-00002A5F0000}"/>
    <cellStyle name="Normal 2 52 3 3 2 2" xfId="10015" xr:uid="{00000000-0005-0000-0000-00002B5F0000}"/>
    <cellStyle name="Normal 2 52 3 3 2 2 2" xfId="24607" xr:uid="{00000000-0005-0000-0000-00002C5F0000}"/>
    <cellStyle name="Normal 2 52 3 3 2 2 2 2" xfId="40651" xr:uid="{00000000-0005-0000-0000-00002D5F0000}"/>
    <cellStyle name="Normal 2 52 3 3 2 2 3" xfId="27784" xr:uid="{00000000-0005-0000-0000-00002E5F0000}"/>
    <cellStyle name="Normal 2 52 3 3 2 3" xfId="22146" xr:uid="{00000000-0005-0000-0000-00002F5F0000}"/>
    <cellStyle name="Normal 2 52 3 3 2 3 2" xfId="38220" xr:uid="{00000000-0005-0000-0000-0000305F0000}"/>
    <cellStyle name="Normal 2 52 3 3 2 4" xfId="31185" xr:uid="{00000000-0005-0000-0000-0000315F0000}"/>
    <cellStyle name="Normal 2 52 3 3 2 5" xfId="42938" xr:uid="{00000000-0005-0000-0000-0000325F0000}"/>
    <cellStyle name="Normal 2 52 3 3 2 6" xfId="43312" xr:uid="{00000000-0005-0000-0000-0000335F0000}"/>
    <cellStyle name="Normal 2 52 3 3 2 7" xfId="46160" xr:uid="{00000000-0005-0000-0000-0000345F0000}"/>
    <cellStyle name="Normal 2 52 3 3 2 8" xfId="46932" xr:uid="{00000000-0005-0000-0000-0000355F0000}"/>
    <cellStyle name="Normal 2 52 3 3 2 9" xfId="47515" xr:uid="{00000000-0005-0000-0000-0000365F0000}"/>
    <cellStyle name="Normal 2 52 3 3 3" xfId="8312" xr:uid="{00000000-0005-0000-0000-0000375F0000}"/>
    <cellStyle name="Normal 2 52 3 3 3 2" xfId="21059" xr:uid="{00000000-0005-0000-0000-0000385F0000}"/>
    <cellStyle name="Normal 2 52 3 3 3 2 2" xfId="37148" xr:uid="{00000000-0005-0000-0000-0000395F0000}"/>
    <cellStyle name="Normal 2 52 3 3 3 3" xfId="29485" xr:uid="{00000000-0005-0000-0000-00003A5F0000}"/>
    <cellStyle name="Normal 2 52 3 3 3 4" xfId="44069" xr:uid="{00000000-0005-0000-0000-00003B5F0000}"/>
    <cellStyle name="Normal 2 52 3 3 4" xfId="16383" xr:uid="{00000000-0005-0000-0000-00003C5F0000}"/>
    <cellStyle name="Normal 2 52 3 3 4 2" xfId="35407" xr:uid="{00000000-0005-0000-0000-00003D5F0000}"/>
    <cellStyle name="Normal 2 52 3 3 5" xfId="25067" xr:uid="{00000000-0005-0000-0000-00003E5F0000}"/>
    <cellStyle name="Normal 2 52 3 3 6" xfId="25442" xr:uid="{00000000-0005-0000-0000-00003F5F0000}"/>
    <cellStyle name="Normal 2 52 3 3 7" xfId="32877" xr:uid="{00000000-0005-0000-0000-0000405F0000}"/>
    <cellStyle name="Normal 2 52 3 3 8" xfId="43772" xr:uid="{00000000-0005-0000-0000-0000415F0000}"/>
    <cellStyle name="Normal 2 52 3 3 9" xfId="46698" xr:uid="{00000000-0005-0000-0000-0000425F0000}"/>
    <cellStyle name="Normal 2 52 3 4" xfId="5444" xr:uid="{00000000-0005-0000-0000-0000435F0000}"/>
    <cellStyle name="Normal 2 52 3 4 2" xfId="8859" xr:uid="{00000000-0005-0000-0000-0000445F0000}"/>
    <cellStyle name="Normal 2 52 3 4 2 2" xfId="21205" xr:uid="{00000000-0005-0000-0000-0000455F0000}"/>
    <cellStyle name="Normal 2 52 3 4 2 2 2" xfId="37285" xr:uid="{00000000-0005-0000-0000-0000465F0000}"/>
    <cellStyle name="Normal 2 52 3 4 2 3" xfId="28939" xr:uid="{00000000-0005-0000-0000-0000475F0000}"/>
    <cellStyle name="Normal 2 52 3 4 3" xfId="20092" xr:uid="{00000000-0005-0000-0000-0000485F0000}"/>
    <cellStyle name="Normal 2 52 3 4 3 2" xfId="36196" xr:uid="{00000000-0005-0000-0000-0000495F0000}"/>
    <cellStyle name="Normal 2 52 3 4 4" xfId="32330" xr:uid="{00000000-0005-0000-0000-00004A5F0000}"/>
    <cellStyle name="Normal 2 52 3 5" xfId="7162" xr:uid="{00000000-0005-0000-0000-00004B5F0000}"/>
    <cellStyle name="Normal 2 52 3 5 2" xfId="22710" xr:uid="{00000000-0005-0000-0000-00004C5F0000}"/>
    <cellStyle name="Normal 2 52 3 5 2 2" xfId="38779" xr:uid="{00000000-0005-0000-0000-00004D5F0000}"/>
    <cellStyle name="Normal 2 52 3 5 3" xfId="30636" xr:uid="{00000000-0005-0000-0000-00004E5F0000}"/>
    <cellStyle name="Normal 2 52 3 6" xfId="12220" xr:uid="{00000000-0005-0000-0000-00004F5F0000}"/>
    <cellStyle name="Normal 2 52 3 7" xfId="34023" xr:uid="{00000000-0005-0000-0000-0000505F0000}"/>
    <cellStyle name="Normal 2 52 3 8" xfId="43564" xr:uid="{00000000-0005-0000-0000-0000515F0000}"/>
    <cellStyle name="Normal 2 52 3 9" xfId="46470" xr:uid="{00000000-0005-0000-0000-0000525F0000}"/>
    <cellStyle name="Normal 2 52 3_Avviksanalyse løpende RNB15 (1)" xfId="16746" xr:uid="{00000000-0005-0000-0000-0000535F0000}"/>
    <cellStyle name="Normal 2 52 4" xfId="3771" xr:uid="{00000000-0005-0000-0000-0000545F0000}"/>
    <cellStyle name="Normal 2 52 4 2" xfId="5659" xr:uid="{00000000-0005-0000-0000-0000555F0000}"/>
    <cellStyle name="Normal 2 52 4 2 2" xfId="9074" xr:uid="{00000000-0005-0000-0000-0000565F0000}"/>
    <cellStyle name="Normal 2 52 4 2 2 2" xfId="23449" xr:uid="{00000000-0005-0000-0000-0000575F0000}"/>
    <cellStyle name="Normal 2 52 4 2 2 2 2" xfId="39505" xr:uid="{00000000-0005-0000-0000-0000585F0000}"/>
    <cellStyle name="Normal 2 52 4 2 2 3" xfId="28724" xr:uid="{00000000-0005-0000-0000-0000595F0000}"/>
    <cellStyle name="Normal 2 52 4 2 3" xfId="22084" xr:uid="{00000000-0005-0000-0000-00005A5F0000}"/>
    <cellStyle name="Normal 2 52 4 2 3 2" xfId="38158" xr:uid="{00000000-0005-0000-0000-00005B5F0000}"/>
    <cellStyle name="Normal 2 52 4 2 4" xfId="32115" xr:uid="{00000000-0005-0000-0000-00005C5F0000}"/>
    <cellStyle name="Normal 2 52 4 3" xfId="7377" xr:uid="{00000000-0005-0000-0000-00005D5F0000}"/>
    <cellStyle name="Normal 2 52 4 3 2" xfId="20761" xr:uid="{00000000-0005-0000-0000-00005E5F0000}"/>
    <cellStyle name="Normal 2 52 4 3 2 2" xfId="36860" xr:uid="{00000000-0005-0000-0000-00005F5F0000}"/>
    <cellStyle name="Normal 2 52 4 3 3" xfId="30421" xr:uid="{00000000-0005-0000-0000-0000605F0000}"/>
    <cellStyle name="Normal 2 52 4 4" xfId="21655" xr:uid="{00000000-0005-0000-0000-0000615F0000}"/>
    <cellStyle name="Normal 2 52 4 4 2" xfId="37735" xr:uid="{00000000-0005-0000-0000-0000625F0000}"/>
    <cellStyle name="Normal 2 52 4 5" xfId="33808" xr:uid="{00000000-0005-0000-0000-0000635F0000}"/>
    <cellStyle name="Normal 2 52 5" xfId="4264" xr:uid="{00000000-0005-0000-0000-0000645F0000}"/>
    <cellStyle name="Normal 2 52 5 2" xfId="6096" xr:uid="{00000000-0005-0000-0000-0000655F0000}"/>
    <cellStyle name="Normal 2 52 5 2 2" xfId="9511" xr:uid="{00000000-0005-0000-0000-0000665F0000}"/>
    <cellStyle name="Normal 2 52 5 2 2 2" xfId="23521" xr:uid="{00000000-0005-0000-0000-0000675F0000}"/>
    <cellStyle name="Normal 2 52 5 2 2 2 2" xfId="39577" xr:uid="{00000000-0005-0000-0000-0000685F0000}"/>
    <cellStyle name="Normal 2 52 5 2 2 3" xfId="28287" xr:uid="{00000000-0005-0000-0000-0000695F0000}"/>
    <cellStyle name="Normal 2 52 5 2 3" xfId="22111" xr:uid="{00000000-0005-0000-0000-00006A5F0000}"/>
    <cellStyle name="Normal 2 52 5 2 3 2" xfId="38185" xr:uid="{00000000-0005-0000-0000-00006B5F0000}"/>
    <cellStyle name="Normal 2 52 5 2 4" xfId="31682" xr:uid="{00000000-0005-0000-0000-00006C5F0000}"/>
    <cellStyle name="Normal 2 52 5 3" xfId="7830" xr:uid="{00000000-0005-0000-0000-00006D5F0000}"/>
    <cellStyle name="Normal 2 52 5 3 2" xfId="23276" xr:uid="{00000000-0005-0000-0000-00006E5F0000}"/>
    <cellStyle name="Normal 2 52 5 3 2 2" xfId="39344" xr:uid="{00000000-0005-0000-0000-00006F5F0000}"/>
    <cellStyle name="Normal 2 52 5 3 3" xfId="29969" xr:uid="{00000000-0005-0000-0000-0000705F0000}"/>
    <cellStyle name="Normal 2 52 5 4" xfId="19621" xr:uid="{00000000-0005-0000-0000-0000715F0000}"/>
    <cellStyle name="Normal 2 52 5 4 2" xfId="35735" xr:uid="{00000000-0005-0000-0000-0000725F0000}"/>
    <cellStyle name="Normal 2 52 5 5" xfId="33357" xr:uid="{00000000-0005-0000-0000-0000735F0000}"/>
    <cellStyle name="Normal 2 52 6" xfId="4706" xr:uid="{00000000-0005-0000-0000-0000745F0000}"/>
    <cellStyle name="Normal 2 52 6 2" xfId="6426" xr:uid="{00000000-0005-0000-0000-0000755F0000}"/>
    <cellStyle name="Normal 2 52 6 2 2" xfId="9836" xr:uid="{00000000-0005-0000-0000-0000765F0000}"/>
    <cellStyle name="Normal 2 52 6 2 2 2" xfId="21987" xr:uid="{00000000-0005-0000-0000-0000775F0000}"/>
    <cellStyle name="Normal 2 52 6 2 2 2 2" xfId="38062" xr:uid="{00000000-0005-0000-0000-0000785F0000}"/>
    <cellStyle name="Normal 2 52 6 2 2 3" xfId="27963" xr:uid="{00000000-0005-0000-0000-0000795F0000}"/>
    <cellStyle name="Normal 2 52 6 2 3" xfId="20447" xr:uid="{00000000-0005-0000-0000-00007A5F0000}"/>
    <cellStyle name="Normal 2 52 6 2 3 2" xfId="36546" xr:uid="{00000000-0005-0000-0000-00007B5F0000}"/>
    <cellStyle name="Normal 2 52 6 2 4" xfId="31364" xr:uid="{00000000-0005-0000-0000-00007C5F0000}"/>
    <cellStyle name="Normal 2 52 6 3" xfId="8132" xr:uid="{00000000-0005-0000-0000-00007D5F0000}"/>
    <cellStyle name="Normal 2 52 6 3 2" xfId="24320" xr:uid="{00000000-0005-0000-0000-00007E5F0000}"/>
    <cellStyle name="Normal 2 52 6 3 2 2" xfId="40370" xr:uid="{00000000-0005-0000-0000-00007F5F0000}"/>
    <cellStyle name="Normal 2 52 6 3 3" xfId="29666" xr:uid="{00000000-0005-0000-0000-0000805F0000}"/>
    <cellStyle name="Normal 2 52 6 4" xfId="19686" xr:uid="{00000000-0005-0000-0000-0000815F0000}"/>
    <cellStyle name="Normal 2 52 6 4 2" xfId="35800" xr:uid="{00000000-0005-0000-0000-0000825F0000}"/>
    <cellStyle name="Normal 2 52 6 5" xfId="33057" xr:uid="{00000000-0005-0000-0000-0000835F0000}"/>
    <cellStyle name="Normal 2 52 7" xfId="5070" xr:uid="{00000000-0005-0000-0000-0000845F0000}"/>
    <cellStyle name="Normal 2 52 7 2" xfId="6789" xr:uid="{00000000-0005-0000-0000-0000855F0000}"/>
    <cellStyle name="Normal 2 52 7 2 2" xfId="10195" xr:uid="{00000000-0005-0000-0000-0000865F0000}"/>
    <cellStyle name="Normal 2 52 7 2 2 2" xfId="24643" xr:uid="{00000000-0005-0000-0000-0000875F0000}"/>
    <cellStyle name="Normal 2 52 7 2 2 2 2" xfId="40687" xr:uid="{00000000-0005-0000-0000-0000885F0000}"/>
    <cellStyle name="Normal 2 52 7 2 2 3" xfId="27604" xr:uid="{00000000-0005-0000-0000-0000895F0000}"/>
    <cellStyle name="Normal 2 52 7 2 3" xfId="20568" xr:uid="{00000000-0005-0000-0000-00008A5F0000}"/>
    <cellStyle name="Normal 2 52 7 2 3 2" xfId="36667" xr:uid="{00000000-0005-0000-0000-00008B5F0000}"/>
    <cellStyle name="Normal 2 52 7 2 4" xfId="31005" xr:uid="{00000000-0005-0000-0000-00008C5F0000}"/>
    <cellStyle name="Normal 2 52 7 3" xfId="8492" xr:uid="{00000000-0005-0000-0000-00008D5F0000}"/>
    <cellStyle name="Normal 2 52 7 3 2" xfId="24373" xr:uid="{00000000-0005-0000-0000-00008E5F0000}"/>
    <cellStyle name="Normal 2 52 7 3 2 2" xfId="40419" xr:uid="{00000000-0005-0000-0000-00008F5F0000}"/>
    <cellStyle name="Normal 2 52 7 3 3" xfId="29306" xr:uid="{00000000-0005-0000-0000-0000905F0000}"/>
    <cellStyle name="Normal 2 52 7 4" xfId="10847" xr:uid="{00000000-0005-0000-0000-0000915F0000}"/>
    <cellStyle name="Normal 2 52 7 4 2" xfId="34645" xr:uid="{00000000-0005-0000-0000-0000925F0000}"/>
    <cellStyle name="Normal 2 52 7 5" xfId="32697" xr:uid="{00000000-0005-0000-0000-0000935F0000}"/>
    <cellStyle name="Normal 2 52 8" xfId="5263" xr:uid="{00000000-0005-0000-0000-0000945F0000}"/>
    <cellStyle name="Normal 2 52 8 2" xfId="8678" xr:uid="{00000000-0005-0000-0000-0000955F0000}"/>
    <cellStyle name="Normal 2 52 8 2 2" xfId="21159" xr:uid="{00000000-0005-0000-0000-0000965F0000}"/>
    <cellStyle name="Normal 2 52 8 2 2 2" xfId="37239" xr:uid="{00000000-0005-0000-0000-0000975F0000}"/>
    <cellStyle name="Normal 2 52 8 2 3" xfId="29120" xr:uid="{00000000-0005-0000-0000-0000985F0000}"/>
    <cellStyle name="Normal 2 52 8 3" xfId="10772" xr:uid="{00000000-0005-0000-0000-0000995F0000}"/>
    <cellStyle name="Normal 2 52 8 3 2" xfId="34595" xr:uid="{00000000-0005-0000-0000-00009A5F0000}"/>
    <cellStyle name="Normal 2 52 8 4" xfId="32511" xr:uid="{00000000-0005-0000-0000-00009B5F0000}"/>
    <cellStyle name="Normal 2 52 9" xfId="6979" xr:uid="{00000000-0005-0000-0000-00009C5F0000}"/>
    <cellStyle name="Normal 2 52 9 2" xfId="23124" xr:uid="{00000000-0005-0000-0000-00009D5F0000}"/>
    <cellStyle name="Normal 2 52 9 2 2" xfId="39193" xr:uid="{00000000-0005-0000-0000-00009E5F0000}"/>
    <cellStyle name="Normal 2 52 9 3" xfId="30819" xr:uid="{00000000-0005-0000-0000-00009F5F0000}"/>
    <cellStyle name="Normal 2 53" xfId="3413" xr:uid="{00000000-0005-0000-0000-0000A05F0000}"/>
    <cellStyle name="Normal 2 53 2" xfId="3626" xr:uid="{00000000-0005-0000-0000-0000A15F0000}"/>
    <cellStyle name="Normal 2 53 2 2" xfId="4054" xr:uid="{00000000-0005-0000-0000-0000A25F0000}"/>
    <cellStyle name="Normal 2 53 2 2 2" xfId="5942" xr:uid="{00000000-0005-0000-0000-0000A35F0000}"/>
    <cellStyle name="Normal 2 53 2 2 2 2" xfId="9357" xr:uid="{00000000-0005-0000-0000-0000A45F0000}"/>
    <cellStyle name="Normal 2 53 2 2 2 2 2" xfId="10458" xr:uid="{00000000-0005-0000-0000-0000A55F0000}"/>
    <cellStyle name="Normal 2 53 2 2 2 2 2 2" xfId="34374" xr:uid="{00000000-0005-0000-0000-0000A65F0000}"/>
    <cellStyle name="Normal 2 53 2 2 2 2 3" xfId="28441" xr:uid="{00000000-0005-0000-0000-0000A75F0000}"/>
    <cellStyle name="Normal 2 53 2 2 2 3" xfId="20259" xr:uid="{00000000-0005-0000-0000-0000A85F0000}"/>
    <cellStyle name="Normal 2 53 2 2 2 3 2" xfId="36358" xr:uid="{00000000-0005-0000-0000-0000A95F0000}"/>
    <cellStyle name="Normal 2 53 2 2 2 4" xfId="31836" xr:uid="{00000000-0005-0000-0000-0000AA5F0000}"/>
    <cellStyle name="Normal 2 53 2 2 3" xfId="7660" xr:uid="{00000000-0005-0000-0000-0000AB5F0000}"/>
    <cellStyle name="Normal 2 53 2 2 3 2" xfId="22478" xr:uid="{00000000-0005-0000-0000-0000AC5F0000}"/>
    <cellStyle name="Normal 2 53 2 2 3 2 2" xfId="38550" xr:uid="{00000000-0005-0000-0000-0000AD5F0000}"/>
    <cellStyle name="Normal 2 53 2 2 3 3" xfId="30138" xr:uid="{00000000-0005-0000-0000-0000AE5F0000}"/>
    <cellStyle name="Normal 2 53 2 2 4" xfId="12424" xr:uid="{00000000-0005-0000-0000-0000AF5F0000}"/>
    <cellStyle name="Normal 2 53 2 2 4 2" xfId="35228" xr:uid="{00000000-0005-0000-0000-0000B05F0000}"/>
    <cellStyle name="Normal 2 53 2 2 5" xfId="33525" xr:uid="{00000000-0005-0000-0000-0000B15F0000}"/>
    <cellStyle name="Normal 2 53 2 3" xfId="4994" xr:uid="{00000000-0005-0000-0000-0000B25F0000}"/>
    <cellStyle name="Normal 2 53 2 3 2" xfId="6713" xr:uid="{00000000-0005-0000-0000-0000B35F0000}"/>
    <cellStyle name="Normal 2 53 2 3 2 2" xfId="10119" xr:uid="{00000000-0005-0000-0000-0000B45F0000}"/>
    <cellStyle name="Normal 2 53 2 3 2 2 2" xfId="21614" xr:uid="{00000000-0005-0000-0000-0000B55F0000}"/>
    <cellStyle name="Normal 2 53 2 3 2 2 2 2" xfId="37694" xr:uid="{00000000-0005-0000-0000-0000B65F0000}"/>
    <cellStyle name="Normal 2 53 2 3 2 2 3" xfId="27680" xr:uid="{00000000-0005-0000-0000-0000B75F0000}"/>
    <cellStyle name="Normal 2 53 2 3 2 3" xfId="10661" xr:uid="{00000000-0005-0000-0000-0000B85F0000}"/>
    <cellStyle name="Normal 2 53 2 3 2 3 2" xfId="34509" xr:uid="{00000000-0005-0000-0000-0000B95F0000}"/>
    <cellStyle name="Normal 2 53 2 3 2 4" xfId="31081" xr:uid="{00000000-0005-0000-0000-0000BA5F0000}"/>
    <cellStyle name="Normal 2 53 2 3 3" xfId="8416" xr:uid="{00000000-0005-0000-0000-0000BB5F0000}"/>
    <cellStyle name="Normal 2 53 2 3 3 2" xfId="23359" xr:uid="{00000000-0005-0000-0000-0000BC5F0000}"/>
    <cellStyle name="Normal 2 53 2 3 3 2 2" xfId="39418" xr:uid="{00000000-0005-0000-0000-0000BD5F0000}"/>
    <cellStyle name="Normal 2 53 2 3 3 3" xfId="29382" xr:uid="{00000000-0005-0000-0000-0000BE5F0000}"/>
    <cellStyle name="Normal 2 53 2 3 4" xfId="22693" xr:uid="{00000000-0005-0000-0000-0000BF5F0000}"/>
    <cellStyle name="Normal 2 53 2 3 4 2" xfId="38762" xr:uid="{00000000-0005-0000-0000-0000C05F0000}"/>
    <cellStyle name="Normal 2 53 2 3 5" xfId="32773" xr:uid="{00000000-0005-0000-0000-0000C15F0000}"/>
    <cellStyle name="Normal 2 53 2 4" xfId="5548" xr:uid="{00000000-0005-0000-0000-0000C25F0000}"/>
    <cellStyle name="Normal 2 53 2 4 2" xfId="8963" xr:uid="{00000000-0005-0000-0000-0000C35F0000}"/>
    <cellStyle name="Normal 2 53 2 4 2 2" xfId="22597" xr:uid="{00000000-0005-0000-0000-0000C45F0000}"/>
    <cellStyle name="Normal 2 53 2 4 2 2 2" xfId="38666" xr:uid="{00000000-0005-0000-0000-0000C55F0000}"/>
    <cellStyle name="Normal 2 53 2 4 2 3" xfId="28835" xr:uid="{00000000-0005-0000-0000-0000C65F0000}"/>
    <cellStyle name="Normal 2 53 2 4 3" xfId="22251" xr:uid="{00000000-0005-0000-0000-0000C75F0000}"/>
    <cellStyle name="Normal 2 53 2 4 3 2" xfId="38325" xr:uid="{00000000-0005-0000-0000-0000C85F0000}"/>
    <cellStyle name="Normal 2 53 2 4 4" xfId="32226" xr:uid="{00000000-0005-0000-0000-0000C95F0000}"/>
    <cellStyle name="Normal 2 53 2 5" xfId="7266" xr:uid="{00000000-0005-0000-0000-0000CA5F0000}"/>
    <cellStyle name="Normal 2 53 2 5 2" xfId="22434" xr:uid="{00000000-0005-0000-0000-0000CB5F0000}"/>
    <cellStyle name="Normal 2 53 2 5 2 2" xfId="38506" xr:uid="{00000000-0005-0000-0000-0000CC5F0000}"/>
    <cellStyle name="Normal 2 53 2 5 3" xfId="30532" xr:uid="{00000000-0005-0000-0000-0000CD5F0000}"/>
    <cellStyle name="Normal 2 53 2 6" xfId="22755" xr:uid="{00000000-0005-0000-0000-0000CE5F0000}"/>
    <cellStyle name="Normal 2 53 2 6 2" xfId="38824" xr:uid="{00000000-0005-0000-0000-0000CF5F0000}"/>
    <cellStyle name="Normal 2 53 2 7" xfId="33919" xr:uid="{00000000-0005-0000-0000-0000D05F0000}"/>
    <cellStyle name="Normal 2 53 3" xfId="3874" xr:uid="{00000000-0005-0000-0000-0000D15F0000}"/>
    <cellStyle name="Normal 2 53 3 2" xfId="5762" xr:uid="{00000000-0005-0000-0000-0000D25F0000}"/>
    <cellStyle name="Normal 2 53 3 2 2" xfId="9177" xr:uid="{00000000-0005-0000-0000-0000D35F0000}"/>
    <cellStyle name="Normal 2 53 3 2 2 2" xfId="21303" xr:uid="{00000000-0005-0000-0000-0000D45F0000}"/>
    <cellStyle name="Normal 2 53 3 2 2 2 2" xfId="37383" xr:uid="{00000000-0005-0000-0000-0000D55F0000}"/>
    <cellStyle name="Normal 2 53 3 2 2 3" xfId="28621" xr:uid="{00000000-0005-0000-0000-0000D65F0000}"/>
    <cellStyle name="Normal 2 53 3 2 3" xfId="11983" xr:uid="{00000000-0005-0000-0000-0000D75F0000}"/>
    <cellStyle name="Normal 2 53 3 2 3 2" xfId="35005" xr:uid="{00000000-0005-0000-0000-0000D85F0000}"/>
    <cellStyle name="Normal 2 53 3 2 4" xfId="32012" xr:uid="{00000000-0005-0000-0000-0000D95F0000}"/>
    <cellStyle name="Normal 2 53 3 3" xfId="7480" xr:uid="{00000000-0005-0000-0000-0000DA5F0000}"/>
    <cellStyle name="Normal 2 53 3 3 2" xfId="22200" xr:uid="{00000000-0005-0000-0000-0000DB5F0000}"/>
    <cellStyle name="Normal 2 53 3 3 2 2" xfId="38274" xr:uid="{00000000-0005-0000-0000-0000DC5F0000}"/>
    <cellStyle name="Normal 2 53 3 3 3" xfId="30318" xr:uid="{00000000-0005-0000-0000-0000DD5F0000}"/>
    <cellStyle name="Normal 2 53 3 4" xfId="19552" xr:uid="{00000000-0005-0000-0000-0000DE5F0000}"/>
    <cellStyle name="Normal 2 53 3 4 2" xfId="35666" xr:uid="{00000000-0005-0000-0000-0000DF5F0000}"/>
    <cellStyle name="Normal 2 53 3 5" xfId="33705" xr:uid="{00000000-0005-0000-0000-0000E05F0000}"/>
    <cellStyle name="Normal 2 53 4" xfId="4814" xr:uid="{00000000-0005-0000-0000-0000E15F0000}"/>
    <cellStyle name="Normal 2 53 4 2" xfId="6533" xr:uid="{00000000-0005-0000-0000-0000E25F0000}"/>
    <cellStyle name="Normal 2 53 4 2 2" xfId="9939" xr:uid="{00000000-0005-0000-0000-0000E35F0000}"/>
    <cellStyle name="Normal 2 53 4 2 2 2" xfId="21542" xr:uid="{00000000-0005-0000-0000-0000E45F0000}"/>
    <cellStyle name="Normal 2 53 4 2 2 2 2" xfId="37622" xr:uid="{00000000-0005-0000-0000-0000E55F0000}"/>
    <cellStyle name="Normal 2 53 4 2 2 3" xfId="27860" xr:uid="{00000000-0005-0000-0000-0000E65F0000}"/>
    <cellStyle name="Normal 2 53 4 2 3" xfId="20487" xr:uid="{00000000-0005-0000-0000-0000E75F0000}"/>
    <cellStyle name="Normal 2 53 4 2 3 2" xfId="36586" xr:uid="{00000000-0005-0000-0000-0000E85F0000}"/>
    <cellStyle name="Normal 2 53 4 2 4" xfId="31261" xr:uid="{00000000-0005-0000-0000-0000E95F0000}"/>
    <cellStyle name="Normal 2 53 4 3" xfId="8236" xr:uid="{00000000-0005-0000-0000-0000EA5F0000}"/>
    <cellStyle name="Normal 2 53 4 3 2" xfId="21745" xr:uid="{00000000-0005-0000-0000-0000EB5F0000}"/>
    <cellStyle name="Normal 2 53 4 3 2 2" xfId="37823" xr:uid="{00000000-0005-0000-0000-0000EC5F0000}"/>
    <cellStyle name="Normal 2 53 4 3 3" xfId="29561" xr:uid="{00000000-0005-0000-0000-0000ED5F0000}"/>
    <cellStyle name="Normal 2 53 4 4" xfId="19713" xr:uid="{00000000-0005-0000-0000-0000EE5F0000}"/>
    <cellStyle name="Normal 2 53 4 4 2" xfId="35827" xr:uid="{00000000-0005-0000-0000-0000EF5F0000}"/>
    <cellStyle name="Normal 2 53 4 5" xfId="32953" xr:uid="{00000000-0005-0000-0000-0000F05F0000}"/>
    <cellStyle name="Normal 2 53 5" xfId="5378" xr:uid="{00000000-0005-0000-0000-0000F15F0000}"/>
    <cellStyle name="Normal 2 53 5 2" xfId="8793" xr:uid="{00000000-0005-0000-0000-0000F25F0000}"/>
    <cellStyle name="Normal 2 53 5 2 2" xfId="23411" xr:uid="{00000000-0005-0000-0000-0000F35F0000}"/>
    <cellStyle name="Normal 2 53 5 2 2 2" xfId="39467" xr:uid="{00000000-0005-0000-0000-0000F45F0000}"/>
    <cellStyle name="Normal 2 53 5 2 3" xfId="29005" xr:uid="{00000000-0005-0000-0000-0000F55F0000}"/>
    <cellStyle name="Normal 2 53 5 3" xfId="12049" xr:uid="{00000000-0005-0000-0000-0000F65F0000}"/>
    <cellStyle name="Normal 2 53 5 3 2" xfId="35045" xr:uid="{00000000-0005-0000-0000-0000F75F0000}"/>
    <cellStyle name="Normal 2 53 5 4" xfId="32396" xr:uid="{00000000-0005-0000-0000-0000F85F0000}"/>
    <cellStyle name="Normal 2 53 6" xfId="7086" xr:uid="{00000000-0005-0000-0000-0000F95F0000}"/>
    <cellStyle name="Normal 2 53 6 2" xfId="23145" xr:uid="{00000000-0005-0000-0000-0000FA5F0000}"/>
    <cellStyle name="Normal 2 53 6 2 2" xfId="39214" xr:uid="{00000000-0005-0000-0000-0000FB5F0000}"/>
    <cellStyle name="Normal 2 53 6 3" xfId="30712" xr:uid="{00000000-0005-0000-0000-0000FC5F0000}"/>
    <cellStyle name="Normal 2 53 7" xfId="12221" xr:uid="{00000000-0005-0000-0000-0000FD5F0000}"/>
    <cellStyle name="Normal 2 53 8" xfId="22764" xr:uid="{00000000-0005-0000-0000-0000FE5F0000}"/>
    <cellStyle name="Normal 2 53 8 2" xfId="38833" xr:uid="{00000000-0005-0000-0000-0000FF5F0000}"/>
    <cellStyle name="Normal 2 53 9" xfId="34099" xr:uid="{00000000-0005-0000-0000-000000600000}"/>
    <cellStyle name="Normal 2 54" xfId="3662" xr:uid="{00000000-0005-0000-0000-000001600000}"/>
    <cellStyle name="Normal 2 54 2" xfId="5576" xr:uid="{00000000-0005-0000-0000-000002600000}"/>
    <cellStyle name="Normal 2 54 2 2" xfId="8991" xr:uid="{00000000-0005-0000-0000-000003600000}"/>
    <cellStyle name="Normal 2 54 2 2 2" xfId="21242" xr:uid="{00000000-0005-0000-0000-000004600000}"/>
    <cellStyle name="Normal 2 54 2 2 2 2" xfId="37322" xr:uid="{00000000-0005-0000-0000-000005600000}"/>
    <cellStyle name="Normal 2 54 2 2 3" xfId="28807" xr:uid="{00000000-0005-0000-0000-000006600000}"/>
    <cellStyle name="Normal 2 54 2 3" xfId="20127" xr:uid="{00000000-0005-0000-0000-000007600000}"/>
    <cellStyle name="Normal 2 54 2 3 2" xfId="36230" xr:uid="{00000000-0005-0000-0000-000008600000}"/>
    <cellStyle name="Normal 2 54 2 4" xfId="32198" xr:uid="{00000000-0005-0000-0000-000009600000}"/>
    <cellStyle name="Normal 2 54 3" xfId="7294" xr:uid="{00000000-0005-0000-0000-00000A600000}"/>
    <cellStyle name="Normal 2 54 3 2" xfId="22190" xr:uid="{00000000-0005-0000-0000-00000B600000}"/>
    <cellStyle name="Normal 2 54 3 2 2" xfId="38264" xr:uid="{00000000-0005-0000-0000-00000C600000}"/>
    <cellStyle name="Normal 2 54 3 3" xfId="30504" xr:uid="{00000000-0005-0000-0000-00000D600000}"/>
    <cellStyle name="Normal 2 54 4" xfId="12222" xr:uid="{00000000-0005-0000-0000-00000E600000}"/>
    <cellStyle name="Normal 2 54 5" xfId="22635" xr:uid="{00000000-0005-0000-0000-00000F600000}"/>
    <cellStyle name="Normal 2 54 5 2" xfId="38704" xr:uid="{00000000-0005-0000-0000-000010600000}"/>
    <cellStyle name="Normal 2 54 6" xfId="33891" xr:uid="{00000000-0005-0000-0000-000011600000}"/>
    <cellStyle name="Normal 2 55" xfId="3701" xr:uid="{00000000-0005-0000-0000-000012600000}"/>
    <cellStyle name="Normal 2 55 2" xfId="5589" xr:uid="{00000000-0005-0000-0000-000013600000}"/>
    <cellStyle name="Normal 2 55 2 2" xfId="9004" xr:uid="{00000000-0005-0000-0000-000014600000}"/>
    <cellStyle name="Normal 2 55 2 2 2" xfId="23440" xr:uid="{00000000-0005-0000-0000-000015600000}"/>
    <cellStyle name="Normal 2 55 2 2 2 2" xfId="39496" xr:uid="{00000000-0005-0000-0000-000016600000}"/>
    <cellStyle name="Normal 2 55 2 2 3" xfId="28794" xr:uid="{00000000-0005-0000-0000-000017600000}"/>
    <cellStyle name="Normal 2 55 2 3" xfId="22879" xr:uid="{00000000-0005-0000-0000-000018600000}"/>
    <cellStyle name="Normal 2 55 2 3 2" xfId="38948" xr:uid="{00000000-0005-0000-0000-000019600000}"/>
    <cellStyle name="Normal 2 55 2 4" xfId="32185" xr:uid="{00000000-0005-0000-0000-00001A600000}"/>
    <cellStyle name="Normal 2 55 3" xfId="7307" xr:uid="{00000000-0005-0000-0000-00001B600000}"/>
    <cellStyle name="Normal 2 55 3 2" xfId="20733" xr:uid="{00000000-0005-0000-0000-00001C600000}"/>
    <cellStyle name="Normal 2 55 3 2 2" xfId="36832" xr:uid="{00000000-0005-0000-0000-00001D600000}"/>
    <cellStyle name="Normal 2 55 3 3" xfId="30491" xr:uid="{00000000-0005-0000-0000-00001E600000}"/>
    <cellStyle name="Normal 2 55 4" xfId="12223" xr:uid="{00000000-0005-0000-0000-00001F600000}"/>
    <cellStyle name="Normal 2 55 5" xfId="12589" xr:uid="{00000000-0005-0000-0000-000020600000}"/>
    <cellStyle name="Normal 2 55 5 2" xfId="35287" xr:uid="{00000000-0005-0000-0000-000021600000}"/>
    <cellStyle name="Normal 2 55 6" xfId="33878" xr:uid="{00000000-0005-0000-0000-000022600000}"/>
    <cellStyle name="Normal 2 56" xfId="3700" xr:uid="{00000000-0005-0000-0000-000023600000}"/>
    <cellStyle name="Normal 2 56 2" xfId="5588" xr:uid="{00000000-0005-0000-0000-000024600000}"/>
    <cellStyle name="Normal 2 56 2 2" xfId="9003" xr:uid="{00000000-0005-0000-0000-000025600000}"/>
    <cellStyle name="Normal 2 56 2 2 2" xfId="21906" xr:uid="{00000000-0005-0000-0000-000026600000}"/>
    <cellStyle name="Normal 2 56 2 2 2 2" xfId="37981" xr:uid="{00000000-0005-0000-0000-000027600000}"/>
    <cellStyle name="Normal 2 56 2 2 3" xfId="28795" xr:uid="{00000000-0005-0000-0000-000028600000}"/>
    <cellStyle name="Normal 2 56 2 3" xfId="22257" xr:uid="{00000000-0005-0000-0000-000029600000}"/>
    <cellStyle name="Normal 2 56 2 3 2" xfId="38331" xr:uid="{00000000-0005-0000-0000-00002A600000}"/>
    <cellStyle name="Normal 2 56 2 4" xfId="32186" xr:uid="{00000000-0005-0000-0000-00002B600000}"/>
    <cellStyle name="Normal 2 56 3" xfId="7306" xr:uid="{00000000-0005-0000-0000-00002C600000}"/>
    <cellStyle name="Normal 2 56 3 2" xfId="23181" xr:uid="{00000000-0005-0000-0000-00002D600000}"/>
    <cellStyle name="Normal 2 56 3 2 2" xfId="39250" xr:uid="{00000000-0005-0000-0000-00002E600000}"/>
    <cellStyle name="Normal 2 56 3 3" xfId="30492" xr:uid="{00000000-0005-0000-0000-00002F600000}"/>
    <cellStyle name="Normal 2 56 4" xfId="12224" xr:uid="{00000000-0005-0000-0000-000030600000}"/>
    <cellStyle name="Normal 2 56 5" xfId="23748" xr:uid="{00000000-0005-0000-0000-000031600000}"/>
    <cellStyle name="Normal 2 56 5 2" xfId="39804" xr:uid="{00000000-0005-0000-0000-000032600000}"/>
    <cellStyle name="Normal 2 56 6" xfId="33879" xr:uid="{00000000-0005-0000-0000-000033600000}"/>
    <cellStyle name="Normal 2 57" xfId="3702" xr:uid="{00000000-0005-0000-0000-000034600000}"/>
    <cellStyle name="Normal 2 57 2" xfId="5590" xr:uid="{00000000-0005-0000-0000-000035600000}"/>
    <cellStyle name="Normal 2 57 2 2" xfId="9005" xr:uid="{00000000-0005-0000-0000-000036600000}"/>
    <cellStyle name="Normal 2 57 2 2 2" xfId="21247" xr:uid="{00000000-0005-0000-0000-000037600000}"/>
    <cellStyle name="Normal 2 57 2 2 2 2" xfId="37327" xr:uid="{00000000-0005-0000-0000-000038600000}"/>
    <cellStyle name="Normal 2 57 2 2 3" xfId="28793" xr:uid="{00000000-0005-0000-0000-000039600000}"/>
    <cellStyle name="Normal 2 57 2 3" xfId="20132" xr:uid="{00000000-0005-0000-0000-00003A600000}"/>
    <cellStyle name="Normal 2 57 2 3 2" xfId="36235" xr:uid="{00000000-0005-0000-0000-00003B600000}"/>
    <cellStyle name="Normal 2 57 2 4" xfId="32184" xr:uid="{00000000-0005-0000-0000-00003C600000}"/>
    <cellStyle name="Normal 2 57 3" xfId="7308" xr:uid="{00000000-0005-0000-0000-00003D600000}"/>
    <cellStyle name="Normal 2 57 3 2" xfId="20734" xr:uid="{00000000-0005-0000-0000-00003E600000}"/>
    <cellStyle name="Normal 2 57 3 2 2" xfId="36833" xr:uid="{00000000-0005-0000-0000-00003F600000}"/>
    <cellStyle name="Normal 2 57 3 3" xfId="30490" xr:uid="{00000000-0005-0000-0000-000040600000}"/>
    <cellStyle name="Normal 2 57 4" xfId="12225" xr:uid="{00000000-0005-0000-0000-000041600000}"/>
    <cellStyle name="Normal 2 57 5" xfId="22771" xr:uid="{00000000-0005-0000-0000-000042600000}"/>
    <cellStyle name="Normal 2 57 5 2" xfId="38840" xr:uid="{00000000-0005-0000-0000-000043600000}"/>
    <cellStyle name="Normal 2 57 6" xfId="33877" xr:uid="{00000000-0005-0000-0000-000044600000}"/>
    <cellStyle name="Normal 2 58" xfId="3651" xr:uid="{00000000-0005-0000-0000-000045600000}"/>
    <cellStyle name="Normal 2 58 2" xfId="5570" xr:uid="{00000000-0005-0000-0000-000046600000}"/>
    <cellStyle name="Normal 2 58 2 2" xfId="8985" xr:uid="{00000000-0005-0000-0000-000047600000}"/>
    <cellStyle name="Normal 2 58 2 2 2" xfId="21239" xr:uid="{00000000-0005-0000-0000-000048600000}"/>
    <cellStyle name="Normal 2 58 2 2 2 2" xfId="37319" xr:uid="{00000000-0005-0000-0000-000049600000}"/>
    <cellStyle name="Normal 2 58 2 2 3" xfId="28813" xr:uid="{00000000-0005-0000-0000-00004A600000}"/>
    <cellStyle name="Normal 2 58 2 3" xfId="20124" xr:uid="{00000000-0005-0000-0000-00004B600000}"/>
    <cellStyle name="Normal 2 58 2 3 2" xfId="36227" xr:uid="{00000000-0005-0000-0000-00004C600000}"/>
    <cellStyle name="Normal 2 58 2 4" xfId="32204" xr:uid="{00000000-0005-0000-0000-00004D600000}"/>
    <cellStyle name="Normal 2 58 3" xfId="7288" xr:uid="{00000000-0005-0000-0000-00004E600000}"/>
    <cellStyle name="Normal 2 58 3 2" xfId="22187" xr:uid="{00000000-0005-0000-0000-00004F600000}"/>
    <cellStyle name="Normal 2 58 3 2 2" xfId="38261" xr:uid="{00000000-0005-0000-0000-000050600000}"/>
    <cellStyle name="Normal 2 58 3 3" xfId="30510" xr:uid="{00000000-0005-0000-0000-000051600000}"/>
    <cellStyle name="Normal 2 58 4" xfId="12226" xr:uid="{00000000-0005-0000-0000-000052600000}"/>
    <cellStyle name="Normal 2 58 5" xfId="22561" xr:uid="{00000000-0005-0000-0000-000053600000}"/>
    <cellStyle name="Normal 2 58 5 2" xfId="38630" xr:uid="{00000000-0005-0000-0000-000054600000}"/>
    <cellStyle name="Normal 2 58 6" xfId="33897" xr:uid="{00000000-0005-0000-0000-000055600000}"/>
    <cellStyle name="Normal 2 59" xfId="3699" xr:uid="{00000000-0005-0000-0000-000056600000}"/>
    <cellStyle name="Normal 2 59 2" xfId="5587" xr:uid="{00000000-0005-0000-0000-000057600000}"/>
    <cellStyle name="Normal 2 59 2 2" xfId="9002" xr:uid="{00000000-0005-0000-0000-000058600000}"/>
    <cellStyle name="Normal 2 59 2 2 2" xfId="24444" xr:uid="{00000000-0005-0000-0000-000059600000}"/>
    <cellStyle name="Normal 2 59 2 2 2 2" xfId="40488" xr:uid="{00000000-0005-0000-0000-00005A600000}"/>
    <cellStyle name="Normal 2 59 2 2 3" xfId="28796" xr:uid="{00000000-0005-0000-0000-00005B600000}"/>
    <cellStyle name="Normal 2 59 2 3" xfId="23882" xr:uid="{00000000-0005-0000-0000-00005C600000}"/>
    <cellStyle name="Normal 2 59 2 3 2" xfId="39938" xr:uid="{00000000-0005-0000-0000-00005D600000}"/>
    <cellStyle name="Normal 2 59 2 4" xfId="32187" xr:uid="{00000000-0005-0000-0000-00005E600000}"/>
    <cellStyle name="Normal 2 59 3" xfId="7305" xr:uid="{00000000-0005-0000-0000-00005F600000}"/>
    <cellStyle name="Normal 2 59 3 2" xfId="22193" xr:uid="{00000000-0005-0000-0000-000060600000}"/>
    <cellStyle name="Normal 2 59 3 2 2" xfId="38267" xr:uid="{00000000-0005-0000-0000-000061600000}"/>
    <cellStyle name="Normal 2 59 3 3" xfId="30493" xr:uid="{00000000-0005-0000-0000-000062600000}"/>
    <cellStyle name="Normal 2 59 4" xfId="12227" xr:uid="{00000000-0005-0000-0000-000063600000}"/>
    <cellStyle name="Normal 2 59 5" xfId="11080" xr:uid="{00000000-0005-0000-0000-000064600000}"/>
    <cellStyle name="Normal 2 59 5 2" xfId="34783" xr:uid="{00000000-0005-0000-0000-000065600000}"/>
    <cellStyle name="Normal 2 59 6" xfId="33880" xr:uid="{00000000-0005-0000-0000-000066600000}"/>
    <cellStyle name="Normal 2 6" xfId="1587" xr:uid="{00000000-0005-0000-0000-000067600000}"/>
    <cellStyle name="Normal 2 6 2" xfId="1588" xr:uid="{00000000-0005-0000-0000-000068600000}"/>
    <cellStyle name="Normal 2 6 2 2" xfId="12230" xr:uid="{00000000-0005-0000-0000-000069600000}"/>
    <cellStyle name="Normal 2 6 3" xfId="1589" xr:uid="{00000000-0005-0000-0000-00006A600000}"/>
    <cellStyle name="Normal 2 6 3 2" xfId="1590" xr:uid="{00000000-0005-0000-0000-00006B600000}"/>
    <cellStyle name="Normal 2 6 3 3" xfId="12233" xr:uid="{00000000-0005-0000-0000-00006C600000}"/>
    <cellStyle name="Normal 2 6 4" xfId="12234" xr:uid="{00000000-0005-0000-0000-00006D600000}"/>
    <cellStyle name="Normal 2 6_NGL-pris" xfId="1591" xr:uid="{00000000-0005-0000-0000-00006E600000}"/>
    <cellStyle name="Normal 2 60" xfId="4113" xr:uid="{00000000-0005-0000-0000-00006F600000}"/>
    <cellStyle name="Normal 2 60 2" xfId="5966" xr:uid="{00000000-0005-0000-0000-000070600000}"/>
    <cellStyle name="Normal 2 60 2 2" xfId="9381" xr:uid="{00000000-0005-0000-0000-000071600000}"/>
    <cellStyle name="Normal 2 60 2 2 2" xfId="23501" xr:uid="{00000000-0005-0000-0000-000072600000}"/>
    <cellStyle name="Normal 2 60 2 2 2 2" xfId="39557" xr:uid="{00000000-0005-0000-0000-000073600000}"/>
    <cellStyle name="Normal 2 60 2 2 3" xfId="28417" xr:uid="{00000000-0005-0000-0000-000074600000}"/>
    <cellStyle name="Normal 2 60 2 3" xfId="22300" xr:uid="{00000000-0005-0000-0000-000075600000}"/>
    <cellStyle name="Normal 2 60 2 3 2" xfId="38372" xr:uid="{00000000-0005-0000-0000-000076600000}"/>
    <cellStyle name="Normal 2 60 2 4" xfId="31812" xr:uid="{00000000-0005-0000-0000-000077600000}"/>
    <cellStyle name="Normal 2 60 3" xfId="7696" xr:uid="{00000000-0005-0000-0000-000078600000}"/>
    <cellStyle name="Normal 2 60 3 2" xfId="20869" xr:uid="{00000000-0005-0000-0000-000079600000}"/>
    <cellStyle name="Normal 2 60 3 2 2" xfId="36968" xr:uid="{00000000-0005-0000-0000-00007A600000}"/>
    <cellStyle name="Normal 2 60 3 3" xfId="30103" xr:uid="{00000000-0005-0000-0000-00007B600000}"/>
    <cellStyle name="Normal 2 60 4" xfId="18149" xr:uid="{00000000-0005-0000-0000-00007C600000}"/>
    <cellStyle name="Normal 2 60 5" xfId="21742" xr:uid="{00000000-0005-0000-0000-00007D600000}"/>
    <cellStyle name="Normal 2 60 5 2" xfId="37820" xr:uid="{00000000-0005-0000-0000-00007E600000}"/>
    <cellStyle name="Normal 2 60 6" xfId="33489" xr:uid="{00000000-0005-0000-0000-00007F600000}"/>
    <cellStyle name="Normal 2 61" xfId="4109" xr:uid="{00000000-0005-0000-0000-000080600000}"/>
    <cellStyle name="Normal 2 61 2" xfId="5962" xr:uid="{00000000-0005-0000-0000-000081600000}"/>
    <cellStyle name="Normal 2 61 2 2" xfId="9377" xr:uid="{00000000-0005-0000-0000-000082600000}"/>
    <cellStyle name="Normal 2 61 2 2 2" xfId="21367" xr:uid="{00000000-0005-0000-0000-000083600000}"/>
    <cellStyle name="Normal 2 61 2 2 2 2" xfId="37447" xr:uid="{00000000-0005-0000-0000-000084600000}"/>
    <cellStyle name="Normal 2 61 2 2 3" xfId="28421" xr:uid="{00000000-0005-0000-0000-000085600000}"/>
    <cellStyle name="Normal 2 61 2 3" xfId="20267" xr:uid="{00000000-0005-0000-0000-000086600000}"/>
    <cellStyle name="Normal 2 61 2 3 2" xfId="36366" xr:uid="{00000000-0005-0000-0000-000087600000}"/>
    <cellStyle name="Normal 2 61 2 4" xfId="31816" xr:uid="{00000000-0005-0000-0000-000088600000}"/>
    <cellStyle name="Normal 2 61 3" xfId="7692" xr:uid="{00000000-0005-0000-0000-000089600000}"/>
    <cellStyle name="Normal 2 61 3 2" xfId="20868" xr:uid="{00000000-0005-0000-0000-00008A600000}"/>
    <cellStyle name="Normal 2 61 3 2 2" xfId="36967" xr:uid="{00000000-0005-0000-0000-00008B600000}"/>
    <cellStyle name="Normal 2 61 3 3" xfId="30107" xr:uid="{00000000-0005-0000-0000-00008C600000}"/>
    <cellStyle name="Normal 2 61 4" xfId="18156" xr:uid="{00000000-0005-0000-0000-00008D600000}"/>
    <cellStyle name="Normal 2 61 5" xfId="19972" xr:uid="{00000000-0005-0000-0000-00008E600000}"/>
    <cellStyle name="Normal 2 61 5 2" xfId="36076" xr:uid="{00000000-0005-0000-0000-00008F600000}"/>
    <cellStyle name="Normal 2 61 6" xfId="33493" xr:uid="{00000000-0005-0000-0000-000090600000}"/>
    <cellStyle name="Normal 2 62" xfId="4120" xr:uid="{00000000-0005-0000-0000-000091600000}"/>
    <cellStyle name="Normal 2 62 2" xfId="5973" xr:uid="{00000000-0005-0000-0000-000092600000}"/>
    <cellStyle name="Normal 2 62 2 2" xfId="9388" xr:uid="{00000000-0005-0000-0000-000093600000}"/>
    <cellStyle name="Normal 2 62 2 2 2" xfId="21372" xr:uid="{00000000-0005-0000-0000-000094600000}"/>
    <cellStyle name="Normal 2 62 2 2 2 2" xfId="37452" xr:uid="{00000000-0005-0000-0000-000095600000}"/>
    <cellStyle name="Normal 2 62 2 2 3" xfId="28410" xr:uid="{00000000-0005-0000-0000-000096600000}"/>
    <cellStyle name="Normal 2 62 2 3" xfId="20272" xr:uid="{00000000-0005-0000-0000-000097600000}"/>
    <cellStyle name="Normal 2 62 2 3 2" xfId="36371" xr:uid="{00000000-0005-0000-0000-000098600000}"/>
    <cellStyle name="Normal 2 62 2 4" xfId="31805" xr:uid="{00000000-0005-0000-0000-000099600000}"/>
    <cellStyle name="Normal 2 62 3" xfId="7703" xr:uid="{00000000-0005-0000-0000-00009A600000}"/>
    <cellStyle name="Normal 2 62 3 2" xfId="24254" xr:uid="{00000000-0005-0000-0000-00009B600000}"/>
    <cellStyle name="Normal 2 62 3 2 2" xfId="40307" xr:uid="{00000000-0005-0000-0000-00009C600000}"/>
    <cellStyle name="Normal 2 62 3 3" xfId="30096" xr:uid="{00000000-0005-0000-0000-00009D600000}"/>
    <cellStyle name="Normal 2 62 4" xfId="18002" xr:uid="{00000000-0005-0000-0000-00009E600000}"/>
    <cellStyle name="Normal 2 62 5" xfId="22684" xr:uid="{00000000-0005-0000-0000-00009F600000}"/>
    <cellStyle name="Normal 2 62 5 2" xfId="38753" xr:uid="{00000000-0005-0000-0000-0000A0600000}"/>
    <cellStyle name="Normal 2 62 6" xfId="33482" xr:uid="{00000000-0005-0000-0000-0000A1600000}"/>
    <cellStyle name="Normal 2 63" xfId="4123" xr:uid="{00000000-0005-0000-0000-0000A2600000}"/>
    <cellStyle name="Normal 2 63 2" xfId="5976" xr:uid="{00000000-0005-0000-0000-0000A3600000}"/>
    <cellStyle name="Normal 2 63 2 2" xfId="9391" xr:uid="{00000000-0005-0000-0000-0000A4600000}"/>
    <cellStyle name="Normal 2 63 2 2 2" xfId="23503" xr:uid="{00000000-0005-0000-0000-0000A5600000}"/>
    <cellStyle name="Normal 2 63 2 2 2 2" xfId="39559" xr:uid="{00000000-0005-0000-0000-0000A6600000}"/>
    <cellStyle name="Normal 2 63 2 2 3" xfId="28407" xr:uid="{00000000-0005-0000-0000-0000A7600000}"/>
    <cellStyle name="Normal 2 63 2 3" xfId="22302" xr:uid="{00000000-0005-0000-0000-0000A8600000}"/>
    <cellStyle name="Normal 2 63 2 3 2" xfId="38374" xr:uid="{00000000-0005-0000-0000-0000A9600000}"/>
    <cellStyle name="Normal 2 63 2 4" xfId="31802" xr:uid="{00000000-0005-0000-0000-0000AA600000}"/>
    <cellStyle name="Normal 2 63 3" xfId="7706" xr:uid="{00000000-0005-0000-0000-0000AB600000}"/>
    <cellStyle name="Normal 2 63 3 2" xfId="20873" xr:uid="{00000000-0005-0000-0000-0000AC600000}"/>
    <cellStyle name="Normal 2 63 3 2 2" xfId="36972" xr:uid="{00000000-0005-0000-0000-0000AD600000}"/>
    <cellStyle name="Normal 2 63 3 3" xfId="30093" xr:uid="{00000000-0005-0000-0000-0000AE600000}"/>
    <cellStyle name="Normal 2 63 4" xfId="18157" xr:uid="{00000000-0005-0000-0000-0000AF600000}"/>
    <cellStyle name="Normal 2 63 5" xfId="19579" xr:uid="{00000000-0005-0000-0000-0000B0600000}"/>
    <cellStyle name="Normal 2 63 5 2" xfId="35693" xr:uid="{00000000-0005-0000-0000-0000B1600000}"/>
    <cellStyle name="Normal 2 63 6" xfId="33479" xr:uid="{00000000-0005-0000-0000-0000B2600000}"/>
    <cellStyle name="Normal 2 64" xfId="4127" xr:uid="{00000000-0005-0000-0000-0000B3600000}"/>
    <cellStyle name="Normal 2 64 2" xfId="5980" xr:uid="{00000000-0005-0000-0000-0000B4600000}"/>
    <cellStyle name="Normal 2 64 2 2" xfId="9395" xr:uid="{00000000-0005-0000-0000-0000B5600000}"/>
    <cellStyle name="Normal 2 64 2 2 2" xfId="21793" xr:uid="{00000000-0005-0000-0000-0000B6600000}"/>
    <cellStyle name="Normal 2 64 2 2 2 2" xfId="37869" xr:uid="{00000000-0005-0000-0000-0000B7600000}"/>
    <cellStyle name="Normal 2 64 2 2 3" xfId="28403" xr:uid="{00000000-0005-0000-0000-0000B8600000}"/>
    <cellStyle name="Normal 2 64 2 3" xfId="22301" xr:uid="{00000000-0005-0000-0000-0000B9600000}"/>
    <cellStyle name="Normal 2 64 2 3 2" xfId="38373" xr:uid="{00000000-0005-0000-0000-0000BA600000}"/>
    <cellStyle name="Normal 2 64 2 4" xfId="31798" xr:uid="{00000000-0005-0000-0000-0000BB600000}"/>
    <cellStyle name="Normal 2 64 3" xfId="7710" xr:uid="{00000000-0005-0000-0000-0000BC600000}"/>
    <cellStyle name="Normal 2 64 3 2" xfId="23253" xr:uid="{00000000-0005-0000-0000-0000BD600000}"/>
    <cellStyle name="Normal 2 64 3 2 2" xfId="39321" xr:uid="{00000000-0005-0000-0000-0000BE600000}"/>
    <cellStyle name="Normal 2 64 3 3" xfId="30089" xr:uid="{00000000-0005-0000-0000-0000BF600000}"/>
    <cellStyle name="Normal 2 64 4" xfId="18001" xr:uid="{00000000-0005-0000-0000-0000C0600000}"/>
    <cellStyle name="Normal 2 64 5" xfId="19578" xr:uid="{00000000-0005-0000-0000-0000C1600000}"/>
    <cellStyle name="Normal 2 64 5 2" xfId="35692" xr:uid="{00000000-0005-0000-0000-0000C2600000}"/>
    <cellStyle name="Normal 2 64 6" xfId="33475" xr:uid="{00000000-0005-0000-0000-0000C3600000}"/>
    <cellStyle name="Normal 2 65" xfId="4118" xr:uid="{00000000-0005-0000-0000-0000C4600000}"/>
    <cellStyle name="Normal 2 65 2" xfId="5971" xr:uid="{00000000-0005-0000-0000-0000C5600000}"/>
    <cellStyle name="Normal 2 65 2 2" xfId="9386" xr:uid="{00000000-0005-0000-0000-0000C6600000}"/>
    <cellStyle name="Normal 2 65 2 2 2" xfId="23502" xr:uid="{00000000-0005-0000-0000-0000C7600000}"/>
    <cellStyle name="Normal 2 65 2 2 2 2" xfId="39558" xr:uid="{00000000-0005-0000-0000-0000C8600000}"/>
    <cellStyle name="Normal 2 65 2 2 3" xfId="28412" xr:uid="{00000000-0005-0000-0000-0000C9600000}"/>
    <cellStyle name="Normal 2 65 2 3" xfId="22949" xr:uid="{00000000-0005-0000-0000-0000CA600000}"/>
    <cellStyle name="Normal 2 65 2 3 2" xfId="39018" xr:uid="{00000000-0005-0000-0000-0000CB600000}"/>
    <cellStyle name="Normal 2 65 2 4" xfId="31807" xr:uid="{00000000-0005-0000-0000-0000CC600000}"/>
    <cellStyle name="Normal 2 65 3" xfId="7701" xr:uid="{00000000-0005-0000-0000-0000CD600000}"/>
    <cellStyle name="Normal 2 65 3 2" xfId="20871" xr:uid="{00000000-0005-0000-0000-0000CE600000}"/>
    <cellStyle name="Normal 2 65 3 2 2" xfId="36970" xr:uid="{00000000-0005-0000-0000-0000CF600000}"/>
    <cellStyle name="Normal 2 65 3 3" xfId="30098" xr:uid="{00000000-0005-0000-0000-0000D0600000}"/>
    <cellStyle name="Normal 2 65 4" xfId="18159" xr:uid="{00000000-0005-0000-0000-0000D1600000}"/>
    <cellStyle name="Normal 2 65 5" xfId="11022" xr:uid="{00000000-0005-0000-0000-0000D2600000}"/>
    <cellStyle name="Normal 2 65 5 2" xfId="34735" xr:uid="{00000000-0005-0000-0000-0000D3600000}"/>
    <cellStyle name="Normal 2 65 6" xfId="33484" xr:uid="{00000000-0005-0000-0000-0000D4600000}"/>
    <cellStyle name="Normal 2 66" xfId="4133" xr:uid="{00000000-0005-0000-0000-0000D5600000}"/>
    <cellStyle name="Normal 2 66 2" xfId="5986" xr:uid="{00000000-0005-0000-0000-0000D6600000}"/>
    <cellStyle name="Normal 2 66 2 2" xfId="9401" xr:uid="{00000000-0005-0000-0000-0000D7600000}"/>
    <cellStyle name="Normal 2 66 2 2 2" xfId="23505" xr:uid="{00000000-0005-0000-0000-0000D8600000}"/>
    <cellStyle name="Normal 2 66 2 2 2 2" xfId="39561" xr:uid="{00000000-0005-0000-0000-0000D9600000}"/>
    <cellStyle name="Normal 2 66 2 2 3" xfId="28397" xr:uid="{00000000-0005-0000-0000-0000DA600000}"/>
    <cellStyle name="Normal 2 66 2 3" xfId="20276" xr:uid="{00000000-0005-0000-0000-0000DB600000}"/>
    <cellStyle name="Normal 2 66 2 3 2" xfId="36375" xr:uid="{00000000-0005-0000-0000-0000DC600000}"/>
    <cellStyle name="Normal 2 66 2 4" xfId="31792" xr:uid="{00000000-0005-0000-0000-0000DD600000}"/>
    <cellStyle name="Normal 2 66 3" xfId="7716" xr:uid="{00000000-0005-0000-0000-0000DE600000}"/>
    <cellStyle name="Normal 2 66 3 2" xfId="20877" xr:uid="{00000000-0005-0000-0000-0000DF600000}"/>
    <cellStyle name="Normal 2 66 3 2 2" xfId="36976" xr:uid="{00000000-0005-0000-0000-0000E0600000}"/>
    <cellStyle name="Normal 2 66 3 3" xfId="30083" xr:uid="{00000000-0005-0000-0000-0000E1600000}"/>
    <cellStyle name="Normal 2 66 4" xfId="18000" xr:uid="{00000000-0005-0000-0000-0000E2600000}"/>
    <cellStyle name="Normal 2 66 5" xfId="19580" xr:uid="{00000000-0005-0000-0000-0000E3600000}"/>
    <cellStyle name="Normal 2 66 5 2" xfId="35694" xr:uid="{00000000-0005-0000-0000-0000E4600000}"/>
    <cellStyle name="Normal 2 66 6" xfId="33469" xr:uid="{00000000-0005-0000-0000-0000E5600000}"/>
    <cellStyle name="Normal 2 67" xfId="4154" xr:uid="{00000000-0005-0000-0000-0000E6600000}"/>
    <cellStyle name="Normal 2 67 2" xfId="6005" xr:uid="{00000000-0005-0000-0000-0000E7600000}"/>
    <cellStyle name="Normal 2 67 2 2" xfId="9420" xr:uid="{00000000-0005-0000-0000-0000E8600000}"/>
    <cellStyle name="Normal 2 67 2 2 2" xfId="21383" xr:uid="{00000000-0005-0000-0000-0000E9600000}"/>
    <cellStyle name="Normal 2 67 2 2 2 2" xfId="37463" xr:uid="{00000000-0005-0000-0000-0000EA600000}"/>
    <cellStyle name="Normal 2 67 2 2 3" xfId="28378" xr:uid="{00000000-0005-0000-0000-0000EB600000}"/>
    <cellStyle name="Normal 2 67 2 3" xfId="23959" xr:uid="{00000000-0005-0000-0000-0000EC600000}"/>
    <cellStyle name="Normal 2 67 2 3 2" xfId="40013" xr:uid="{00000000-0005-0000-0000-0000ED600000}"/>
    <cellStyle name="Normal 2 67 2 4" xfId="31773" xr:uid="{00000000-0005-0000-0000-0000EE600000}"/>
    <cellStyle name="Normal 2 67 3" xfId="7735" xr:uid="{00000000-0005-0000-0000-0000EF600000}"/>
    <cellStyle name="Normal 2 67 3 2" xfId="20884" xr:uid="{00000000-0005-0000-0000-0000F0600000}"/>
    <cellStyle name="Normal 2 67 3 2 2" xfId="36983" xr:uid="{00000000-0005-0000-0000-0000F1600000}"/>
    <cellStyle name="Normal 2 67 3 3" xfId="30064" xr:uid="{00000000-0005-0000-0000-0000F2600000}"/>
    <cellStyle name="Normal 2 67 4" xfId="18161" xr:uid="{00000000-0005-0000-0000-0000F3600000}"/>
    <cellStyle name="Normal 2 67 5" xfId="23802" xr:uid="{00000000-0005-0000-0000-0000F4600000}"/>
    <cellStyle name="Normal 2 67 5 2" xfId="39858" xr:uid="{00000000-0005-0000-0000-0000F5600000}"/>
    <cellStyle name="Normal 2 67 6" xfId="33451" xr:uid="{00000000-0005-0000-0000-0000F6600000}"/>
    <cellStyle name="Normal 2 68" xfId="4190" xr:uid="{00000000-0005-0000-0000-0000F7600000}"/>
    <cellStyle name="Normal 2 68 2" xfId="6029" xr:uid="{00000000-0005-0000-0000-0000F8600000}"/>
    <cellStyle name="Normal 2 68 2 2" xfId="9444" xr:uid="{00000000-0005-0000-0000-0000F9600000}"/>
    <cellStyle name="Normal 2 68 2 2 2" xfId="10445" xr:uid="{00000000-0005-0000-0000-0000FA600000}"/>
    <cellStyle name="Normal 2 68 2 2 2 2" xfId="34367" xr:uid="{00000000-0005-0000-0000-0000FB600000}"/>
    <cellStyle name="Normal 2 68 2 2 3" xfId="28354" xr:uid="{00000000-0005-0000-0000-0000FC600000}"/>
    <cellStyle name="Normal 2 68 2 3" xfId="22961" xr:uid="{00000000-0005-0000-0000-0000FD600000}"/>
    <cellStyle name="Normal 2 68 2 3 2" xfId="39030" xr:uid="{00000000-0005-0000-0000-0000FE600000}"/>
    <cellStyle name="Normal 2 68 2 4" xfId="31749" xr:uid="{00000000-0005-0000-0000-0000FF600000}"/>
    <cellStyle name="Normal 2 68 3" xfId="7762" xr:uid="{00000000-0005-0000-0000-000000610000}"/>
    <cellStyle name="Normal 2 68 3 2" xfId="24266" xr:uid="{00000000-0005-0000-0000-000001610000}"/>
    <cellStyle name="Normal 2 68 3 2 2" xfId="40319" xr:uid="{00000000-0005-0000-0000-000002610000}"/>
    <cellStyle name="Normal 2 68 3 3" xfId="30037" xr:uid="{00000000-0005-0000-0000-000003610000}"/>
    <cellStyle name="Normal 2 68 4" xfId="17999" xr:uid="{00000000-0005-0000-0000-000004610000}"/>
    <cellStyle name="Normal 2 68 5" xfId="10991" xr:uid="{00000000-0005-0000-0000-000005610000}"/>
    <cellStyle name="Normal 2 68 5 2" xfId="34725" xr:uid="{00000000-0005-0000-0000-000006610000}"/>
    <cellStyle name="Normal 2 68 6" xfId="33424" xr:uid="{00000000-0005-0000-0000-000007610000}"/>
    <cellStyle name="Normal 2 69" xfId="4262" xr:uid="{00000000-0005-0000-0000-000008610000}"/>
    <cellStyle name="Normal 2 69 2" xfId="6094" xr:uid="{00000000-0005-0000-0000-000009610000}"/>
    <cellStyle name="Normal 2 69 2 2" xfId="9509" xr:uid="{00000000-0005-0000-0000-00000A610000}"/>
    <cellStyle name="Normal 2 69 2 2 2" xfId="24525" xr:uid="{00000000-0005-0000-0000-00000B610000}"/>
    <cellStyle name="Normal 2 69 2 2 2 2" xfId="40569" xr:uid="{00000000-0005-0000-0000-00000C610000}"/>
    <cellStyle name="Normal 2 69 2 2 3" xfId="28289" xr:uid="{00000000-0005-0000-0000-00000D610000}"/>
    <cellStyle name="Normal 2 69 2 3" xfId="20321" xr:uid="{00000000-0005-0000-0000-00000E610000}"/>
    <cellStyle name="Normal 2 69 2 3 2" xfId="36420" xr:uid="{00000000-0005-0000-0000-00000F610000}"/>
    <cellStyle name="Normal 2 69 2 4" xfId="31684" xr:uid="{00000000-0005-0000-0000-000010610000}"/>
    <cellStyle name="Normal 2 69 3" xfId="7828" xr:uid="{00000000-0005-0000-0000-000011610000}"/>
    <cellStyle name="Normal 2 69 3 2" xfId="24278" xr:uid="{00000000-0005-0000-0000-000012610000}"/>
    <cellStyle name="Normal 2 69 3 2 2" xfId="40331" xr:uid="{00000000-0005-0000-0000-000013610000}"/>
    <cellStyle name="Normal 2 69 3 3" xfId="29971" xr:uid="{00000000-0005-0000-0000-000014610000}"/>
    <cellStyle name="Normal 2 69 4" xfId="18162" xr:uid="{00000000-0005-0000-0000-000015610000}"/>
    <cellStyle name="Normal 2 69 5" xfId="22810" xr:uid="{00000000-0005-0000-0000-000016610000}"/>
    <cellStyle name="Normal 2 69 5 2" xfId="38879" xr:uid="{00000000-0005-0000-0000-000017610000}"/>
    <cellStyle name="Normal 2 69 6" xfId="33359" xr:uid="{00000000-0005-0000-0000-000018610000}"/>
    <cellStyle name="Normal 2 7" xfId="1592" xr:uid="{00000000-0005-0000-0000-000019610000}"/>
    <cellStyle name="Normal 2 7 10" xfId="12235" xr:uid="{00000000-0005-0000-0000-00001A610000}"/>
    <cellStyle name="Normal 2 7 11" xfId="43451" xr:uid="{00000000-0005-0000-0000-00001B610000}"/>
    <cellStyle name="Normal 2 7 12" xfId="46335" xr:uid="{00000000-0005-0000-0000-00001C610000}"/>
    <cellStyle name="Normal 2 7 13" xfId="47048" xr:uid="{00000000-0005-0000-0000-00001D610000}"/>
    <cellStyle name="Normal 2 7 2" xfId="1593" xr:uid="{00000000-0005-0000-0000-00001E610000}"/>
    <cellStyle name="Normal 2 7 2 2" xfId="12236" xr:uid="{00000000-0005-0000-0000-00001F610000}"/>
    <cellStyle name="Normal 2 7 3" xfId="1594" xr:uid="{00000000-0005-0000-0000-000020610000}"/>
    <cellStyle name="Normal 2 7 3 10" xfId="6980" xr:uid="{00000000-0005-0000-0000-000021610000}"/>
    <cellStyle name="Normal 2 7 3 10 2" xfId="20618" xr:uid="{00000000-0005-0000-0000-000022610000}"/>
    <cellStyle name="Normal 2 7 3 10 2 2" xfId="36717" xr:uid="{00000000-0005-0000-0000-000023610000}"/>
    <cellStyle name="Normal 2 7 3 10 3" xfId="30818" xr:uid="{00000000-0005-0000-0000-000024610000}"/>
    <cellStyle name="Normal 2 7 3 11" xfId="34206" xr:uid="{00000000-0005-0000-0000-000025610000}"/>
    <cellStyle name="Normal 2 7 3 2" xfId="1595" xr:uid="{00000000-0005-0000-0000-000026610000}"/>
    <cellStyle name="Normal 2 7 3 3" xfId="3374" xr:uid="{00000000-0005-0000-0000-000027610000}"/>
    <cellStyle name="Normal 2 7 3 3 10" xfId="34123" xr:uid="{00000000-0005-0000-0000-000028610000}"/>
    <cellStyle name="Normal 2 7 3 3 2" xfId="3600" xr:uid="{00000000-0005-0000-0000-000029610000}"/>
    <cellStyle name="Normal 2 7 3 3 2 10" xfId="47199" xr:uid="{00000000-0005-0000-0000-00002A610000}"/>
    <cellStyle name="Normal 2 7 3 3 2 2" xfId="4030" xr:uid="{00000000-0005-0000-0000-00002B610000}"/>
    <cellStyle name="Normal 2 7 3 3 2 2 2" xfId="5918" xr:uid="{00000000-0005-0000-0000-00002C610000}"/>
    <cellStyle name="Normal 2 7 3 3 2 2 2 2" xfId="9333" xr:uid="{00000000-0005-0000-0000-00002D610000}"/>
    <cellStyle name="Normal 2 7 3 3 2 2 2 2 2" xfId="24497" xr:uid="{00000000-0005-0000-0000-00002E610000}"/>
    <cellStyle name="Normal 2 7 3 3 2 2 2 2 2 2" xfId="40541" xr:uid="{00000000-0005-0000-0000-00002F610000}"/>
    <cellStyle name="Normal 2 7 3 3 2 2 2 2 3" xfId="28465" xr:uid="{00000000-0005-0000-0000-000030610000}"/>
    <cellStyle name="Normal 2 7 3 3 2 2 2 3" xfId="20250" xr:uid="{00000000-0005-0000-0000-000031610000}"/>
    <cellStyle name="Normal 2 7 3 3 2 2 2 3 2" xfId="36349" xr:uid="{00000000-0005-0000-0000-000032610000}"/>
    <cellStyle name="Normal 2 7 3 3 2 2 2 4" xfId="31858" xr:uid="{00000000-0005-0000-0000-000033610000}"/>
    <cellStyle name="Normal 2 7 3 3 2 2 3" xfId="7636" xr:uid="{00000000-0005-0000-0000-000034610000}"/>
    <cellStyle name="Normal 2 7 3 3 2 2 3 2" xfId="23238" xr:uid="{00000000-0005-0000-0000-000035610000}"/>
    <cellStyle name="Normal 2 7 3 3 2 2 3 2 2" xfId="39306" xr:uid="{00000000-0005-0000-0000-000036610000}"/>
    <cellStyle name="Normal 2 7 3 3 2 2 3 3" xfId="30162" xr:uid="{00000000-0005-0000-0000-000037610000}"/>
    <cellStyle name="Normal 2 7 3 3 2 2 4" xfId="18158" xr:uid="{00000000-0005-0000-0000-000038610000}"/>
    <cellStyle name="Normal 2 7 3 3 2 2 5" xfId="12433" xr:uid="{00000000-0005-0000-0000-000039610000}"/>
    <cellStyle name="Normal 2 7 3 3 2 2 5 2" xfId="35233" xr:uid="{00000000-0005-0000-0000-00003A610000}"/>
    <cellStyle name="Normal 2 7 3 3 2 2 6" xfId="33549" xr:uid="{00000000-0005-0000-0000-00003B610000}"/>
    <cellStyle name="Normal 2 7 3 3 2 3" xfId="4970" xr:uid="{00000000-0005-0000-0000-00003C610000}"/>
    <cellStyle name="Normal 2 7 3 3 2 3 10" xfId="47389" xr:uid="{00000000-0005-0000-0000-00003D610000}"/>
    <cellStyle name="Normal 2 7 3 3 2 3 2" xfId="6689" xr:uid="{00000000-0005-0000-0000-00003E610000}"/>
    <cellStyle name="Normal 2 7 3 3 2 3 2 2" xfId="10095" xr:uid="{00000000-0005-0000-0000-00003F610000}"/>
    <cellStyle name="Normal 2 7 3 3 2 3 2 2 2" xfId="24623" xr:uid="{00000000-0005-0000-0000-000040610000}"/>
    <cellStyle name="Normal 2 7 3 3 2 3 2 2 2 2" xfId="40667" xr:uid="{00000000-0005-0000-0000-000041610000}"/>
    <cellStyle name="Normal 2 7 3 3 2 3 2 2 3" xfId="27704" xr:uid="{00000000-0005-0000-0000-000042610000}"/>
    <cellStyle name="Normal 2 7 3 3 2 3 2 3" xfId="19649" xr:uid="{00000000-0005-0000-0000-000043610000}"/>
    <cellStyle name="Normal 2 7 3 3 2 3 2 3 2" xfId="35763" xr:uid="{00000000-0005-0000-0000-000044610000}"/>
    <cellStyle name="Normal 2 7 3 3 2 3 2 4" xfId="31105" xr:uid="{00000000-0005-0000-0000-000045610000}"/>
    <cellStyle name="Normal 2 7 3 3 2 3 2 5" xfId="43086" xr:uid="{00000000-0005-0000-0000-000046610000}"/>
    <cellStyle name="Normal 2 7 3 3 2 3 2 6" xfId="43380" xr:uid="{00000000-0005-0000-0000-000047610000}"/>
    <cellStyle name="Normal 2 7 3 3 2 3 2 7" xfId="46228" xr:uid="{00000000-0005-0000-0000-000048610000}"/>
    <cellStyle name="Normal 2 7 3 3 2 3 2 8" xfId="47000" xr:uid="{00000000-0005-0000-0000-000049610000}"/>
    <cellStyle name="Normal 2 7 3 3 2 3 2 9" xfId="47585" xr:uid="{00000000-0005-0000-0000-00004A610000}"/>
    <cellStyle name="Normal 2 7 3 3 2 3 3" xfId="8392" xr:uid="{00000000-0005-0000-0000-00004B610000}"/>
    <cellStyle name="Normal 2 7 3 3 2 3 3 2" xfId="23355" xr:uid="{00000000-0005-0000-0000-00004C610000}"/>
    <cellStyle name="Normal 2 7 3 3 2 3 3 2 2" xfId="39414" xr:uid="{00000000-0005-0000-0000-00004D610000}"/>
    <cellStyle name="Normal 2 7 3 3 2 3 3 3" xfId="29406" xr:uid="{00000000-0005-0000-0000-00004E610000}"/>
    <cellStyle name="Normal 2 7 3 3 2 3 3 4" xfId="44070" xr:uid="{00000000-0005-0000-0000-00004F610000}"/>
    <cellStyle name="Normal 2 7 3 3 2 3 4" xfId="16531" xr:uid="{00000000-0005-0000-0000-000050610000}"/>
    <cellStyle name="Normal 2 7 3 3 2 3 4 2" xfId="35475" xr:uid="{00000000-0005-0000-0000-000051610000}"/>
    <cellStyle name="Normal 2 7 3 3 2 3 5" xfId="25137" xr:uid="{00000000-0005-0000-0000-000052610000}"/>
    <cellStyle name="Normal 2 7 3 3 2 3 6" xfId="25443" xr:uid="{00000000-0005-0000-0000-000053610000}"/>
    <cellStyle name="Normal 2 7 3 3 2 3 7" xfId="32797" xr:uid="{00000000-0005-0000-0000-000054610000}"/>
    <cellStyle name="Normal 2 7 3 3 2 3 8" xfId="43841" xr:uid="{00000000-0005-0000-0000-000055610000}"/>
    <cellStyle name="Normal 2 7 3 3 2 3 9" xfId="46766" xr:uid="{00000000-0005-0000-0000-000056610000}"/>
    <cellStyle name="Normal 2 7 3 3 2 4" xfId="5524" xr:uid="{00000000-0005-0000-0000-000057610000}"/>
    <cellStyle name="Normal 2 7 3 3 2 4 2" xfId="8939" xr:uid="{00000000-0005-0000-0000-000058610000}"/>
    <cellStyle name="Normal 2 7 3 3 2 4 2 2" xfId="21223" xr:uid="{00000000-0005-0000-0000-000059610000}"/>
    <cellStyle name="Normal 2 7 3 3 2 4 2 2 2" xfId="37303" xr:uid="{00000000-0005-0000-0000-00005A610000}"/>
    <cellStyle name="Normal 2 7 3 3 2 4 2 3" xfId="28859" xr:uid="{00000000-0005-0000-0000-00005B610000}"/>
    <cellStyle name="Normal 2 7 3 3 2 4 3" xfId="23869" xr:uid="{00000000-0005-0000-0000-00005C610000}"/>
    <cellStyle name="Normal 2 7 3 3 2 4 3 2" xfId="39925" xr:uid="{00000000-0005-0000-0000-00005D610000}"/>
    <cellStyle name="Normal 2 7 3 3 2 4 4" xfId="32250" xr:uid="{00000000-0005-0000-0000-00005E610000}"/>
    <cellStyle name="Normal 2 7 3 3 2 5" xfId="7242" xr:uid="{00000000-0005-0000-0000-00005F610000}"/>
    <cellStyle name="Normal 2 7 3 3 2 5 2" xfId="23168" xr:uid="{00000000-0005-0000-0000-000060610000}"/>
    <cellStyle name="Normal 2 7 3 3 2 5 2 2" xfId="39237" xr:uid="{00000000-0005-0000-0000-000061610000}"/>
    <cellStyle name="Normal 2 7 3 3 2 5 3" xfId="30556" xr:uid="{00000000-0005-0000-0000-000062610000}"/>
    <cellStyle name="Normal 2 7 3 3 2 6" xfId="12239" xr:uid="{00000000-0005-0000-0000-000063610000}"/>
    <cellStyle name="Normal 2 7 3 3 2 7" xfId="33943" xr:uid="{00000000-0005-0000-0000-000064610000}"/>
    <cellStyle name="Normal 2 7 3 3 2 8" xfId="43632" xr:uid="{00000000-0005-0000-0000-000065610000}"/>
    <cellStyle name="Normal 2 7 3 3 2 9" xfId="46538" xr:uid="{00000000-0005-0000-0000-000066610000}"/>
    <cellStyle name="Normal 2 7 3 3 2_Avviksanalyse løpende RNB15 (1)" xfId="16747" xr:uid="{00000000-0005-0000-0000-000067610000}"/>
    <cellStyle name="Normal 2 7 3 3 3" xfId="3850" xr:uid="{00000000-0005-0000-0000-000068610000}"/>
    <cellStyle name="Normal 2 7 3 3 3 2" xfId="5738" xr:uid="{00000000-0005-0000-0000-000069610000}"/>
    <cellStyle name="Normal 2 7 3 3 3 2 2" xfId="9153" xr:uid="{00000000-0005-0000-0000-00006A610000}"/>
    <cellStyle name="Normal 2 7 3 3 3 2 2 2" xfId="24468" xr:uid="{00000000-0005-0000-0000-00006B610000}"/>
    <cellStyle name="Normal 2 7 3 3 3 2 2 2 2" xfId="40512" xr:uid="{00000000-0005-0000-0000-00006C610000}"/>
    <cellStyle name="Normal 2 7 3 3 3 2 2 3" xfId="28645" xr:uid="{00000000-0005-0000-0000-00006D610000}"/>
    <cellStyle name="Normal 2 7 3 3 3 2 3" xfId="19427" xr:uid="{00000000-0005-0000-0000-00006E610000}"/>
    <cellStyle name="Normal 2 7 3 3 3 2 3 2" xfId="35541" xr:uid="{00000000-0005-0000-0000-00006F610000}"/>
    <cellStyle name="Normal 2 7 3 3 3 2 4" xfId="32036" xr:uid="{00000000-0005-0000-0000-000070610000}"/>
    <cellStyle name="Normal 2 7 3 3 3 3" xfId="7456" xr:uid="{00000000-0005-0000-0000-000071610000}"/>
    <cellStyle name="Normal 2 7 3 3 3 3 2" xfId="22201" xr:uid="{00000000-0005-0000-0000-000072610000}"/>
    <cellStyle name="Normal 2 7 3 3 3 3 2 2" xfId="38275" xr:uid="{00000000-0005-0000-0000-000073610000}"/>
    <cellStyle name="Normal 2 7 3 3 3 3 3" xfId="30342" xr:uid="{00000000-0005-0000-0000-000074610000}"/>
    <cellStyle name="Normal 2 7 3 3 3 4" xfId="19548" xr:uid="{00000000-0005-0000-0000-000075610000}"/>
    <cellStyle name="Normal 2 7 3 3 3 4 2" xfId="35662" xr:uid="{00000000-0005-0000-0000-000076610000}"/>
    <cellStyle name="Normal 2 7 3 3 3 5" xfId="33729" xr:uid="{00000000-0005-0000-0000-000077610000}"/>
    <cellStyle name="Normal 2 7 3 3 4" xfId="4335" xr:uid="{00000000-0005-0000-0000-000078610000}"/>
    <cellStyle name="Normal 2 7 3 3 4 2" xfId="6164" xr:uid="{00000000-0005-0000-0000-000079610000}"/>
    <cellStyle name="Normal 2 7 3 3 4 2 2" xfId="9578" xr:uid="{00000000-0005-0000-0000-00007A610000}"/>
    <cellStyle name="Normal 2 7 3 3 4 2 2 2" xfId="21424" xr:uid="{00000000-0005-0000-0000-00007B610000}"/>
    <cellStyle name="Normal 2 7 3 3 4 2 2 2 2" xfId="37504" xr:uid="{00000000-0005-0000-0000-00007C610000}"/>
    <cellStyle name="Normal 2 7 3 3 4 2 2 3" xfId="28220" xr:uid="{00000000-0005-0000-0000-00007D610000}"/>
    <cellStyle name="Normal 2 7 3 3 4 2 3" xfId="23990" xr:uid="{00000000-0005-0000-0000-00007E610000}"/>
    <cellStyle name="Normal 2 7 3 3 4 2 3 2" xfId="40043" xr:uid="{00000000-0005-0000-0000-00007F610000}"/>
    <cellStyle name="Normal 2 7 3 3 4 2 4" xfId="31617" xr:uid="{00000000-0005-0000-0000-000080610000}"/>
    <cellStyle name="Normal 2 7 3 3 4 3" xfId="7897" xr:uid="{00000000-0005-0000-0000-000081610000}"/>
    <cellStyle name="Normal 2 7 3 3 4 3 2" xfId="23284" xr:uid="{00000000-0005-0000-0000-000082610000}"/>
    <cellStyle name="Normal 2 7 3 3 4 3 2 2" xfId="39352" xr:uid="{00000000-0005-0000-0000-000083610000}"/>
    <cellStyle name="Normal 2 7 3 3 4 3 3" xfId="29902" xr:uid="{00000000-0005-0000-0000-000084610000}"/>
    <cellStyle name="Normal 2 7 3 3 4 4" xfId="19634" xr:uid="{00000000-0005-0000-0000-000085610000}"/>
    <cellStyle name="Normal 2 7 3 3 4 4 2" xfId="35748" xr:uid="{00000000-0005-0000-0000-000086610000}"/>
    <cellStyle name="Normal 2 7 3 3 4 5" xfId="33290" xr:uid="{00000000-0005-0000-0000-000087610000}"/>
    <cellStyle name="Normal 2 7 3 3 5" xfId="4790" xr:uid="{00000000-0005-0000-0000-000088610000}"/>
    <cellStyle name="Normal 2 7 3 3 5 2" xfId="6510" xr:uid="{00000000-0005-0000-0000-000089610000}"/>
    <cellStyle name="Normal 2 7 3 3 5 2 2" xfId="9916" xr:uid="{00000000-0005-0000-0000-00008A610000}"/>
    <cellStyle name="Normal 2 7 3 3 5 2 2 2" xfId="23582" xr:uid="{00000000-0005-0000-0000-00008B610000}"/>
    <cellStyle name="Normal 2 7 3 3 5 2 2 2 2" xfId="39638" xr:uid="{00000000-0005-0000-0000-00008C610000}"/>
    <cellStyle name="Normal 2 7 3 3 5 2 2 3" xfId="27883" xr:uid="{00000000-0005-0000-0000-00008D610000}"/>
    <cellStyle name="Normal 2 7 3 3 5 2 3" xfId="10671" xr:uid="{00000000-0005-0000-0000-00008E610000}"/>
    <cellStyle name="Normal 2 7 3 3 5 2 3 2" xfId="34519" xr:uid="{00000000-0005-0000-0000-00008F610000}"/>
    <cellStyle name="Normal 2 7 3 3 5 2 4" xfId="31284" xr:uid="{00000000-0005-0000-0000-000090610000}"/>
    <cellStyle name="Normal 2 7 3 3 5 3" xfId="8212" xr:uid="{00000000-0005-0000-0000-000091610000}"/>
    <cellStyle name="Normal 2 7 3 3 5 3 2" xfId="21031" xr:uid="{00000000-0005-0000-0000-000092610000}"/>
    <cellStyle name="Normal 2 7 3 3 5 3 2 2" xfId="37123" xr:uid="{00000000-0005-0000-0000-000093610000}"/>
    <cellStyle name="Normal 2 7 3 3 5 3 3" xfId="29585" xr:uid="{00000000-0005-0000-0000-000094610000}"/>
    <cellStyle name="Normal 2 7 3 3 5 4" xfId="20043" xr:uid="{00000000-0005-0000-0000-000095610000}"/>
    <cellStyle name="Normal 2 7 3 3 5 4 2" xfId="36147" xr:uid="{00000000-0005-0000-0000-000096610000}"/>
    <cellStyle name="Normal 2 7 3 3 5 5" xfId="32977" xr:uid="{00000000-0005-0000-0000-000097610000}"/>
    <cellStyle name="Normal 2 7 3 3 6" xfId="5150" xr:uid="{00000000-0005-0000-0000-000098610000}"/>
    <cellStyle name="Normal 2 7 3 3 6 2" xfId="6869" xr:uid="{00000000-0005-0000-0000-000099610000}"/>
    <cellStyle name="Normal 2 7 3 3 6 2 2" xfId="10275" xr:uid="{00000000-0005-0000-0000-00009A610000}"/>
    <cellStyle name="Normal 2 7 3 3 6 2 2 2" xfId="24718" xr:uid="{00000000-0005-0000-0000-00009B610000}"/>
    <cellStyle name="Normal 2 7 3 3 6 2 2 2 2" xfId="40761" xr:uid="{00000000-0005-0000-0000-00009C610000}"/>
    <cellStyle name="Normal 2 7 3 3 6 2 2 3" xfId="27524" xr:uid="{00000000-0005-0000-0000-00009D610000}"/>
    <cellStyle name="Normal 2 7 3 3 6 2 3" xfId="24109" xr:uid="{00000000-0005-0000-0000-00009E610000}"/>
    <cellStyle name="Normal 2 7 3 3 6 2 3 2" xfId="40162" xr:uid="{00000000-0005-0000-0000-00009F610000}"/>
    <cellStyle name="Normal 2 7 3 3 6 2 4" xfId="30925" xr:uid="{00000000-0005-0000-0000-0000A0610000}"/>
    <cellStyle name="Normal 2 7 3 3 6 3" xfId="8572" xr:uid="{00000000-0005-0000-0000-0000A1610000}"/>
    <cellStyle name="Normal 2 7 3 3 6 3 2" xfId="11830" xr:uid="{00000000-0005-0000-0000-0000A2610000}"/>
    <cellStyle name="Normal 2 7 3 3 6 3 2 2" xfId="34886" xr:uid="{00000000-0005-0000-0000-0000A3610000}"/>
    <cellStyle name="Normal 2 7 3 3 6 3 3" xfId="29226" xr:uid="{00000000-0005-0000-0000-0000A4610000}"/>
    <cellStyle name="Normal 2 7 3 3 6 4" xfId="10807" xr:uid="{00000000-0005-0000-0000-0000A5610000}"/>
    <cellStyle name="Normal 2 7 3 3 6 4 2" xfId="34625" xr:uid="{00000000-0005-0000-0000-0000A6610000}"/>
    <cellStyle name="Normal 2 7 3 3 6 5" xfId="32617" xr:uid="{00000000-0005-0000-0000-0000A7610000}"/>
    <cellStyle name="Normal 2 7 3 3 7" xfId="5329" xr:uid="{00000000-0005-0000-0000-0000A8610000}"/>
    <cellStyle name="Normal 2 7 3 3 7 2" xfId="8744" xr:uid="{00000000-0005-0000-0000-0000A9610000}"/>
    <cellStyle name="Normal 2 7 3 3 7 2 2" xfId="24407" xr:uid="{00000000-0005-0000-0000-0000AA610000}"/>
    <cellStyle name="Normal 2 7 3 3 7 2 2 2" xfId="40451" xr:uid="{00000000-0005-0000-0000-0000AB610000}"/>
    <cellStyle name="Normal 2 7 3 3 7 2 3" xfId="29054" xr:uid="{00000000-0005-0000-0000-0000AC610000}"/>
    <cellStyle name="Normal 2 7 3 3 7 3" xfId="12033" xr:uid="{00000000-0005-0000-0000-0000AD610000}"/>
    <cellStyle name="Normal 2 7 3 3 7 3 2" xfId="35037" xr:uid="{00000000-0005-0000-0000-0000AE610000}"/>
    <cellStyle name="Normal 2 7 3 3 7 4" xfId="32445" xr:uid="{00000000-0005-0000-0000-0000AF610000}"/>
    <cellStyle name="Normal 2 7 3 3 8" xfId="7062" xr:uid="{00000000-0005-0000-0000-0000B0610000}"/>
    <cellStyle name="Normal 2 7 3 3 8 2" xfId="22165" xr:uid="{00000000-0005-0000-0000-0000B1610000}"/>
    <cellStyle name="Normal 2 7 3 3 8 2 2" xfId="38239" xr:uid="{00000000-0005-0000-0000-0000B2610000}"/>
    <cellStyle name="Normal 2 7 3 3 8 3" xfId="30736" xr:uid="{00000000-0005-0000-0000-0000B3610000}"/>
    <cellStyle name="Normal 2 7 3 3 9" xfId="12238" xr:uid="{00000000-0005-0000-0000-0000B4610000}"/>
    <cellStyle name="Normal 2 7 3 4" xfId="3516" xr:uid="{00000000-0005-0000-0000-0000B5610000}"/>
    <cellStyle name="Normal 2 7 3 4 2" xfId="3951" xr:uid="{00000000-0005-0000-0000-0000B6610000}"/>
    <cellStyle name="Normal 2 7 3 4 2 2" xfId="5839" xr:uid="{00000000-0005-0000-0000-0000B7610000}"/>
    <cellStyle name="Normal 2 7 3 4 2 2 2" xfId="9254" xr:uid="{00000000-0005-0000-0000-0000B8610000}"/>
    <cellStyle name="Normal 2 7 3 4 2 2 2 2" xfId="23659" xr:uid="{00000000-0005-0000-0000-0000B9610000}"/>
    <cellStyle name="Normal 2 7 3 4 2 2 2 2 2" xfId="39715" xr:uid="{00000000-0005-0000-0000-0000BA610000}"/>
    <cellStyle name="Normal 2 7 3 4 2 2 2 3" xfId="28544" xr:uid="{00000000-0005-0000-0000-0000BB610000}"/>
    <cellStyle name="Normal 2 7 3 4 2 2 3" xfId="18160" xr:uid="{00000000-0005-0000-0000-0000BC610000}"/>
    <cellStyle name="Normal 2 7 3 4 2 2 4" xfId="20222" xr:uid="{00000000-0005-0000-0000-0000BD610000}"/>
    <cellStyle name="Normal 2 7 3 4 2 2 4 2" xfId="36321" xr:uid="{00000000-0005-0000-0000-0000BE610000}"/>
    <cellStyle name="Normal 2 7 3 4 2 2 5" xfId="31935" xr:uid="{00000000-0005-0000-0000-0000BF610000}"/>
    <cellStyle name="Normal 2 7 3 4 2 3" xfId="7557" xr:uid="{00000000-0005-0000-0000-0000C0610000}"/>
    <cellStyle name="Normal 2 7 3 4 2 3 2" xfId="16384" xr:uid="{00000000-0005-0000-0000-0000C1610000}"/>
    <cellStyle name="Normal 2 7 3 4 2 3 2 2" xfId="35408" xr:uid="{00000000-0005-0000-0000-0000C2610000}"/>
    <cellStyle name="Normal 2 7 3 4 2 3 2 3" xfId="42939" xr:uid="{00000000-0005-0000-0000-0000C3610000}"/>
    <cellStyle name="Normal 2 7 3 4 2 3 2 4" xfId="43313" xr:uid="{00000000-0005-0000-0000-0000C4610000}"/>
    <cellStyle name="Normal 2 7 3 4 2 3 2 5" xfId="46161" xr:uid="{00000000-0005-0000-0000-0000C5610000}"/>
    <cellStyle name="Normal 2 7 3 4 2 3 2 6" xfId="46933" xr:uid="{00000000-0005-0000-0000-0000C6610000}"/>
    <cellStyle name="Normal 2 7 3 4 2 3 2 7" xfId="47516" xr:uid="{00000000-0005-0000-0000-0000C7610000}"/>
    <cellStyle name="Normal 2 7 3 4 2 3 3" xfId="25068" xr:uid="{00000000-0005-0000-0000-0000C8610000}"/>
    <cellStyle name="Normal 2 7 3 4 2 3 3 2" xfId="44071" xr:uid="{00000000-0005-0000-0000-0000C9610000}"/>
    <cellStyle name="Normal 2 7 3 4 2 3 4" xfId="25444" xr:uid="{00000000-0005-0000-0000-0000CA610000}"/>
    <cellStyle name="Normal 2 7 3 4 2 3 5" xfId="30241" xr:uid="{00000000-0005-0000-0000-0000CB610000}"/>
    <cellStyle name="Normal 2 7 3 4 2 3 6" xfId="43773" xr:uid="{00000000-0005-0000-0000-0000CC610000}"/>
    <cellStyle name="Normal 2 7 3 4 2 3 7" xfId="46699" xr:uid="{00000000-0005-0000-0000-0000CD610000}"/>
    <cellStyle name="Normal 2 7 3 4 2 3 8" xfId="47320" xr:uid="{00000000-0005-0000-0000-0000CE610000}"/>
    <cellStyle name="Normal 2 7 3 4 2 4" xfId="12241" xr:uid="{00000000-0005-0000-0000-0000CF610000}"/>
    <cellStyle name="Normal 2 7 3 4 2 5" xfId="33628" xr:uid="{00000000-0005-0000-0000-0000D0610000}"/>
    <cellStyle name="Normal 2 7 3 4 2 6" xfId="43565" xr:uid="{00000000-0005-0000-0000-0000D1610000}"/>
    <cellStyle name="Normal 2 7 3 4 2 7" xfId="46471" xr:uid="{00000000-0005-0000-0000-0000D2610000}"/>
    <cellStyle name="Normal 2 7 3 4 2 8" xfId="47130" xr:uid="{00000000-0005-0000-0000-0000D3610000}"/>
    <cellStyle name="Normal 2 7 3 4 2_Avviksanalyse løpende RNB15 (1)" xfId="16748" xr:uid="{00000000-0005-0000-0000-0000D4610000}"/>
    <cellStyle name="Normal 2 7 3 4 3" xfId="4891" xr:uid="{00000000-0005-0000-0000-0000D5610000}"/>
    <cellStyle name="Normal 2 7 3 4 3 2" xfId="6610" xr:uid="{00000000-0005-0000-0000-0000D6610000}"/>
    <cellStyle name="Normal 2 7 3 4 3 2 2" xfId="10016" xr:uid="{00000000-0005-0000-0000-0000D7610000}"/>
    <cellStyle name="Normal 2 7 3 4 3 2 2 2" xfId="22012" xr:uid="{00000000-0005-0000-0000-0000D8610000}"/>
    <cellStyle name="Normal 2 7 3 4 3 2 2 2 2" xfId="38087" xr:uid="{00000000-0005-0000-0000-0000D9610000}"/>
    <cellStyle name="Normal 2 7 3 4 3 2 2 3" xfId="27783" xr:uid="{00000000-0005-0000-0000-0000DA610000}"/>
    <cellStyle name="Normal 2 7 3 4 3 2 3" xfId="23072" xr:uid="{00000000-0005-0000-0000-0000DB610000}"/>
    <cellStyle name="Normal 2 7 3 4 3 2 3 2" xfId="39141" xr:uid="{00000000-0005-0000-0000-0000DC610000}"/>
    <cellStyle name="Normal 2 7 3 4 3 2 4" xfId="31184" xr:uid="{00000000-0005-0000-0000-0000DD610000}"/>
    <cellStyle name="Normal 2 7 3 4 3 3" xfId="8313" xr:uid="{00000000-0005-0000-0000-0000DE610000}"/>
    <cellStyle name="Normal 2 7 3 4 3 3 2" xfId="24347" xr:uid="{00000000-0005-0000-0000-0000DF610000}"/>
    <cellStyle name="Normal 2 7 3 4 3 3 2 2" xfId="40396" xr:uid="{00000000-0005-0000-0000-0000E0610000}"/>
    <cellStyle name="Normal 2 7 3 4 3 3 3" xfId="29484" xr:uid="{00000000-0005-0000-0000-0000E1610000}"/>
    <cellStyle name="Normal 2 7 3 4 3 4" xfId="19721" xr:uid="{00000000-0005-0000-0000-0000E2610000}"/>
    <cellStyle name="Normal 2 7 3 4 3 4 2" xfId="35835" xr:uid="{00000000-0005-0000-0000-0000E3610000}"/>
    <cellStyle name="Normal 2 7 3 4 3 5" xfId="32876" xr:uid="{00000000-0005-0000-0000-0000E4610000}"/>
    <cellStyle name="Normal 2 7 3 4 4" xfId="5445" xr:uid="{00000000-0005-0000-0000-0000E5610000}"/>
    <cellStyle name="Normal 2 7 3 4 4 2" xfId="8860" xr:uid="{00000000-0005-0000-0000-0000E6610000}"/>
    <cellStyle name="Normal 2 7 3 4 4 2 2" xfId="21206" xr:uid="{00000000-0005-0000-0000-0000E7610000}"/>
    <cellStyle name="Normal 2 7 3 4 4 2 2 2" xfId="37286" xr:uid="{00000000-0005-0000-0000-0000E8610000}"/>
    <cellStyle name="Normal 2 7 3 4 4 2 3" xfId="28938" xr:uid="{00000000-0005-0000-0000-0000E9610000}"/>
    <cellStyle name="Normal 2 7 3 4 4 3" xfId="20093" xr:uid="{00000000-0005-0000-0000-0000EA610000}"/>
    <cellStyle name="Normal 2 7 3 4 4 3 2" xfId="36197" xr:uid="{00000000-0005-0000-0000-0000EB610000}"/>
    <cellStyle name="Normal 2 7 3 4 4 4" xfId="32329" xr:uid="{00000000-0005-0000-0000-0000EC610000}"/>
    <cellStyle name="Normal 2 7 3 4 5" xfId="7163" xr:uid="{00000000-0005-0000-0000-0000ED610000}"/>
    <cellStyle name="Normal 2 7 3 4 5 2" xfId="22529" xr:uid="{00000000-0005-0000-0000-0000EE610000}"/>
    <cellStyle name="Normal 2 7 3 4 5 2 2" xfId="38599" xr:uid="{00000000-0005-0000-0000-0000EF610000}"/>
    <cellStyle name="Normal 2 7 3 4 5 3" xfId="30635" xr:uid="{00000000-0005-0000-0000-0000F0610000}"/>
    <cellStyle name="Normal 2 7 3 4 6" xfId="12240" xr:uid="{00000000-0005-0000-0000-0000F1610000}"/>
    <cellStyle name="Normal 2 7 3 4 7" xfId="34022" xr:uid="{00000000-0005-0000-0000-0000F2610000}"/>
    <cellStyle name="Normal 2 7 3 5" xfId="3772" xr:uid="{00000000-0005-0000-0000-0000F3610000}"/>
    <cellStyle name="Normal 2 7 3 5 2" xfId="5660" xr:uid="{00000000-0005-0000-0000-0000F4610000}"/>
    <cellStyle name="Normal 2 7 3 5 2 2" xfId="9075" xr:uid="{00000000-0005-0000-0000-0000F5610000}"/>
    <cellStyle name="Normal 2 7 3 5 2 2 2" xfId="21266" xr:uid="{00000000-0005-0000-0000-0000F6610000}"/>
    <cellStyle name="Normal 2 7 3 5 2 2 2 2" xfId="37346" xr:uid="{00000000-0005-0000-0000-0000F7610000}"/>
    <cellStyle name="Normal 2 7 3 5 2 2 3" xfId="28723" xr:uid="{00000000-0005-0000-0000-0000F8610000}"/>
    <cellStyle name="Normal 2 7 3 5 2 3" xfId="22892" xr:uid="{00000000-0005-0000-0000-0000F9610000}"/>
    <cellStyle name="Normal 2 7 3 5 2 3 2" xfId="38961" xr:uid="{00000000-0005-0000-0000-0000FA610000}"/>
    <cellStyle name="Normal 2 7 3 5 2 4" xfId="32114" xr:uid="{00000000-0005-0000-0000-0000FB610000}"/>
    <cellStyle name="Normal 2 7 3 5 3" xfId="7378" xr:uid="{00000000-0005-0000-0000-0000FC610000}"/>
    <cellStyle name="Normal 2 7 3 5 3 2" xfId="24197" xr:uid="{00000000-0005-0000-0000-0000FD610000}"/>
    <cellStyle name="Normal 2 7 3 5 3 2 2" xfId="40250" xr:uid="{00000000-0005-0000-0000-0000FE610000}"/>
    <cellStyle name="Normal 2 7 3 5 3 3" xfId="30420" xr:uid="{00000000-0005-0000-0000-0000FF610000}"/>
    <cellStyle name="Normal 2 7 3 5 4" xfId="19541" xr:uid="{00000000-0005-0000-0000-000000620000}"/>
    <cellStyle name="Normal 2 7 3 5 4 2" xfId="35655" xr:uid="{00000000-0005-0000-0000-000001620000}"/>
    <cellStyle name="Normal 2 7 3 5 5" xfId="33807" xr:uid="{00000000-0005-0000-0000-000002620000}"/>
    <cellStyle name="Normal 2 7 3 6" xfId="4224" xr:uid="{00000000-0005-0000-0000-000003620000}"/>
    <cellStyle name="Normal 2 7 3 6 2" xfId="6059" xr:uid="{00000000-0005-0000-0000-000004620000}"/>
    <cellStyle name="Normal 2 7 3 6 2 2" xfId="9474" xr:uid="{00000000-0005-0000-0000-000005620000}"/>
    <cellStyle name="Normal 2 7 3 6 2 2 2" xfId="21395" xr:uid="{00000000-0005-0000-0000-000006620000}"/>
    <cellStyle name="Normal 2 7 3 6 2 2 2 2" xfId="37475" xr:uid="{00000000-0005-0000-0000-000007620000}"/>
    <cellStyle name="Normal 2 7 3 6 2 2 3" xfId="28324" xr:uid="{00000000-0005-0000-0000-000008620000}"/>
    <cellStyle name="Normal 2 7 3 6 2 3" xfId="22967" xr:uid="{00000000-0005-0000-0000-000009620000}"/>
    <cellStyle name="Normal 2 7 3 6 2 3 2" xfId="39036" xr:uid="{00000000-0005-0000-0000-00000A620000}"/>
    <cellStyle name="Normal 2 7 3 6 2 4" xfId="31719" xr:uid="{00000000-0005-0000-0000-00000B620000}"/>
    <cellStyle name="Normal 2 7 3 6 3" xfId="7793" xr:uid="{00000000-0005-0000-0000-00000C620000}"/>
    <cellStyle name="Normal 2 7 3 6 3 2" xfId="20905" xr:uid="{00000000-0005-0000-0000-00000D620000}"/>
    <cellStyle name="Normal 2 7 3 6 3 2 2" xfId="37004" xr:uid="{00000000-0005-0000-0000-00000E620000}"/>
    <cellStyle name="Normal 2 7 3 6 3 3" xfId="30006" xr:uid="{00000000-0005-0000-0000-00000F620000}"/>
    <cellStyle name="Normal 2 7 3 6 4" xfId="19612" xr:uid="{00000000-0005-0000-0000-000010620000}"/>
    <cellStyle name="Normal 2 7 3 6 4 2" xfId="35726" xr:uid="{00000000-0005-0000-0000-000011620000}"/>
    <cellStyle name="Normal 2 7 3 6 5" xfId="33394" xr:uid="{00000000-0005-0000-0000-000012620000}"/>
    <cellStyle name="Normal 2 7 3 7" xfId="4707" xr:uid="{00000000-0005-0000-0000-000013620000}"/>
    <cellStyle name="Normal 2 7 3 7 2" xfId="6427" xr:uid="{00000000-0005-0000-0000-000014620000}"/>
    <cellStyle name="Normal 2 7 3 7 2 2" xfId="9837" xr:uid="{00000000-0005-0000-0000-000015620000}"/>
    <cellStyle name="Normal 2 7 3 7 2 2 2" xfId="23567" xr:uid="{00000000-0005-0000-0000-000016620000}"/>
    <cellStyle name="Normal 2 7 3 7 2 2 2 2" xfId="39623" xr:uid="{00000000-0005-0000-0000-000017620000}"/>
    <cellStyle name="Normal 2 7 3 7 2 2 3" xfId="27962" xr:uid="{00000000-0005-0000-0000-000018620000}"/>
    <cellStyle name="Normal 2 7 3 7 2 3" xfId="20448" xr:uid="{00000000-0005-0000-0000-000019620000}"/>
    <cellStyle name="Normal 2 7 3 7 2 3 2" xfId="36547" xr:uid="{00000000-0005-0000-0000-00001A620000}"/>
    <cellStyle name="Normal 2 7 3 7 2 4" xfId="31363" xr:uid="{00000000-0005-0000-0000-00001B620000}"/>
    <cellStyle name="Normal 2 7 3 7 3" xfId="8133" xr:uid="{00000000-0005-0000-0000-00001C620000}"/>
    <cellStyle name="Normal 2 7 3 7 3 2" xfId="10602" xr:uid="{00000000-0005-0000-0000-00001D620000}"/>
    <cellStyle name="Normal 2 7 3 7 3 2 2" xfId="34450" xr:uid="{00000000-0005-0000-0000-00001E620000}"/>
    <cellStyle name="Normal 2 7 3 7 3 3" xfId="29665" xr:uid="{00000000-0005-0000-0000-00001F620000}"/>
    <cellStyle name="Normal 2 7 3 7 4" xfId="12284" xr:uid="{00000000-0005-0000-0000-000020620000}"/>
    <cellStyle name="Normal 2 7 3 7 4 2" xfId="35160" xr:uid="{00000000-0005-0000-0000-000021620000}"/>
    <cellStyle name="Normal 2 7 3 7 5" xfId="33056" xr:uid="{00000000-0005-0000-0000-000022620000}"/>
    <cellStyle name="Normal 2 7 3 8" xfId="5071" xr:uid="{00000000-0005-0000-0000-000023620000}"/>
    <cellStyle name="Normal 2 7 3 8 2" xfId="6790" xr:uid="{00000000-0005-0000-0000-000024620000}"/>
    <cellStyle name="Normal 2 7 3 8 2 2" xfId="10196" xr:uid="{00000000-0005-0000-0000-000025620000}"/>
    <cellStyle name="Normal 2 7 3 8 2 2 2" xfId="21817" xr:uid="{00000000-0005-0000-0000-000026620000}"/>
    <cellStyle name="Normal 2 7 3 8 2 2 2 2" xfId="37893" xr:uid="{00000000-0005-0000-0000-000027620000}"/>
    <cellStyle name="Normal 2 7 3 8 2 2 3" xfId="27603" xr:uid="{00000000-0005-0000-0000-000028620000}"/>
    <cellStyle name="Normal 2 7 3 8 2 3" xfId="24100" xr:uid="{00000000-0005-0000-0000-000029620000}"/>
    <cellStyle name="Normal 2 7 3 8 2 3 2" xfId="40153" xr:uid="{00000000-0005-0000-0000-00002A620000}"/>
    <cellStyle name="Normal 2 7 3 8 2 4" xfId="31004" xr:uid="{00000000-0005-0000-0000-00002B620000}"/>
    <cellStyle name="Normal 2 7 3 8 3" xfId="8493" xr:uid="{00000000-0005-0000-0000-00002C620000}"/>
    <cellStyle name="Normal 2 7 3 8 3 2" xfId="21774" xr:uid="{00000000-0005-0000-0000-00002D620000}"/>
    <cellStyle name="Normal 2 7 3 8 3 2 2" xfId="37851" xr:uid="{00000000-0005-0000-0000-00002E620000}"/>
    <cellStyle name="Normal 2 7 3 8 3 3" xfId="29305" xr:uid="{00000000-0005-0000-0000-00002F620000}"/>
    <cellStyle name="Normal 2 7 3 8 4" xfId="19741" xr:uid="{00000000-0005-0000-0000-000030620000}"/>
    <cellStyle name="Normal 2 7 3 8 4 2" xfId="35855" xr:uid="{00000000-0005-0000-0000-000031620000}"/>
    <cellStyle name="Normal 2 7 3 8 5" xfId="32696" xr:uid="{00000000-0005-0000-0000-000032620000}"/>
    <cellStyle name="Normal 2 7 3 9" xfId="5212" xr:uid="{00000000-0005-0000-0000-000033620000}"/>
    <cellStyle name="Normal 2 7 3 9 2" xfId="8631" xr:uid="{00000000-0005-0000-0000-000034620000}"/>
    <cellStyle name="Normal 2 7 3 9 2 2" xfId="23387" xr:uid="{00000000-0005-0000-0000-000035620000}"/>
    <cellStyle name="Normal 2 7 3 9 2 2 2" xfId="39443" xr:uid="{00000000-0005-0000-0000-000036620000}"/>
    <cellStyle name="Normal 2 7 3 9 2 3" xfId="29167" xr:uid="{00000000-0005-0000-0000-000037620000}"/>
    <cellStyle name="Normal 2 7 3 9 3" xfId="22847" xr:uid="{00000000-0005-0000-0000-000038620000}"/>
    <cellStyle name="Normal 2 7 3 9 3 2" xfId="38916" xr:uid="{00000000-0005-0000-0000-000039620000}"/>
    <cellStyle name="Normal 2 7 3 9 4" xfId="32558" xr:uid="{00000000-0005-0000-0000-00003A620000}"/>
    <cellStyle name="Normal 2 7 4" xfId="3414" xr:uid="{00000000-0005-0000-0000-00003B620000}"/>
    <cellStyle name="Normal 2 7 4 2" xfId="3627" xr:uid="{00000000-0005-0000-0000-00003C620000}"/>
    <cellStyle name="Normal 2 7 4 2 2" xfId="4055" xr:uid="{00000000-0005-0000-0000-00003D620000}"/>
    <cellStyle name="Normal 2 7 4 2 2 2" xfId="5943" xr:uid="{00000000-0005-0000-0000-00003E620000}"/>
    <cellStyle name="Normal 2 7 4 2 2 2 2" xfId="9358" xr:uid="{00000000-0005-0000-0000-00003F620000}"/>
    <cellStyle name="Normal 2 7 4 2 2 2 2 2" xfId="19402" xr:uid="{00000000-0005-0000-0000-000040620000}"/>
    <cellStyle name="Normal 2 7 4 2 2 2 2 2 2" xfId="35516" xr:uid="{00000000-0005-0000-0000-000041620000}"/>
    <cellStyle name="Normal 2 7 4 2 2 2 2 3" xfId="28440" xr:uid="{00000000-0005-0000-0000-000042620000}"/>
    <cellStyle name="Normal 2 7 4 2 2 2 3" xfId="20260" xr:uid="{00000000-0005-0000-0000-000043620000}"/>
    <cellStyle name="Normal 2 7 4 2 2 2 3 2" xfId="36359" xr:uid="{00000000-0005-0000-0000-000044620000}"/>
    <cellStyle name="Normal 2 7 4 2 2 2 4" xfId="31835" xr:uid="{00000000-0005-0000-0000-000045620000}"/>
    <cellStyle name="Normal 2 7 4 2 2 3" xfId="7661" xr:uid="{00000000-0005-0000-0000-000046620000}"/>
    <cellStyle name="Normal 2 7 4 2 2 3 2" xfId="23243" xr:uid="{00000000-0005-0000-0000-000047620000}"/>
    <cellStyle name="Normal 2 7 4 2 2 3 2 2" xfId="39311" xr:uid="{00000000-0005-0000-0000-000048620000}"/>
    <cellStyle name="Normal 2 7 4 2 2 3 3" xfId="30137" xr:uid="{00000000-0005-0000-0000-000049620000}"/>
    <cellStyle name="Normal 2 7 4 2 2 4" xfId="22799" xr:uid="{00000000-0005-0000-0000-00004A620000}"/>
    <cellStyle name="Normal 2 7 4 2 2 4 2" xfId="38868" xr:uid="{00000000-0005-0000-0000-00004B620000}"/>
    <cellStyle name="Normal 2 7 4 2 2 5" xfId="33524" xr:uid="{00000000-0005-0000-0000-00004C620000}"/>
    <cellStyle name="Normal 2 7 4 2 3" xfId="4995" xr:uid="{00000000-0005-0000-0000-00004D620000}"/>
    <cellStyle name="Normal 2 7 4 2 3 2" xfId="6714" xr:uid="{00000000-0005-0000-0000-00004E620000}"/>
    <cellStyle name="Normal 2 7 4 2 3 2 2" xfId="10120" xr:uid="{00000000-0005-0000-0000-00004F620000}"/>
    <cellStyle name="Normal 2 7 4 2 3 2 2 2" xfId="24628" xr:uid="{00000000-0005-0000-0000-000050620000}"/>
    <cellStyle name="Normal 2 7 4 2 3 2 2 2 2" xfId="40672" xr:uid="{00000000-0005-0000-0000-000051620000}"/>
    <cellStyle name="Normal 2 7 4 2 3 2 2 3" xfId="27679" xr:uid="{00000000-0005-0000-0000-000052620000}"/>
    <cellStyle name="Normal 2 7 4 2 3 2 3" xfId="19650" xr:uid="{00000000-0005-0000-0000-000053620000}"/>
    <cellStyle name="Normal 2 7 4 2 3 2 3 2" xfId="35764" xr:uid="{00000000-0005-0000-0000-000054620000}"/>
    <cellStyle name="Normal 2 7 4 2 3 2 4" xfId="31080" xr:uid="{00000000-0005-0000-0000-000055620000}"/>
    <cellStyle name="Normal 2 7 4 2 3 3" xfId="8417" xr:uid="{00000000-0005-0000-0000-000056620000}"/>
    <cellStyle name="Normal 2 7 4 2 3 3 2" xfId="24361" xr:uid="{00000000-0005-0000-0000-000057620000}"/>
    <cellStyle name="Normal 2 7 4 2 3 3 2 2" xfId="40408" xr:uid="{00000000-0005-0000-0000-000058620000}"/>
    <cellStyle name="Normal 2 7 4 2 3 3 3" xfId="29381" xr:uid="{00000000-0005-0000-0000-000059620000}"/>
    <cellStyle name="Normal 2 7 4 2 3 4" xfId="10864" xr:uid="{00000000-0005-0000-0000-00005A620000}"/>
    <cellStyle name="Normal 2 7 4 2 3 4 2" xfId="34662" xr:uid="{00000000-0005-0000-0000-00005B620000}"/>
    <cellStyle name="Normal 2 7 4 2 3 5" xfId="32772" xr:uid="{00000000-0005-0000-0000-00005C620000}"/>
    <cellStyle name="Normal 2 7 4 2 4" xfId="5549" xr:uid="{00000000-0005-0000-0000-00005D620000}"/>
    <cellStyle name="Normal 2 7 4 2 4 2" xfId="8964" xr:uid="{00000000-0005-0000-0000-00005E620000}"/>
    <cellStyle name="Normal 2 7 4 2 4 2 2" xfId="23433" xr:uid="{00000000-0005-0000-0000-00005F620000}"/>
    <cellStyle name="Normal 2 7 4 2 4 2 2 2" xfId="39489" xr:uid="{00000000-0005-0000-0000-000060620000}"/>
    <cellStyle name="Normal 2 7 4 2 4 2 3" xfId="28834" xr:uid="{00000000-0005-0000-0000-000061620000}"/>
    <cellStyle name="Normal 2 7 4 2 4 3" xfId="22871" xr:uid="{00000000-0005-0000-0000-000062620000}"/>
    <cellStyle name="Normal 2 7 4 2 4 3 2" xfId="38940" xr:uid="{00000000-0005-0000-0000-000063620000}"/>
    <cellStyle name="Normal 2 7 4 2 4 4" xfId="32225" xr:uid="{00000000-0005-0000-0000-000064620000}"/>
    <cellStyle name="Normal 2 7 4 2 5" xfId="7267" xr:uid="{00000000-0005-0000-0000-000065620000}"/>
    <cellStyle name="Normal 2 7 4 2 5 2" xfId="23173" xr:uid="{00000000-0005-0000-0000-000066620000}"/>
    <cellStyle name="Normal 2 7 4 2 5 2 2" xfId="39242" xr:uid="{00000000-0005-0000-0000-000067620000}"/>
    <cellStyle name="Normal 2 7 4 2 5 3" xfId="30531" xr:uid="{00000000-0005-0000-0000-000068620000}"/>
    <cellStyle name="Normal 2 7 4 2 6" xfId="23646" xr:uid="{00000000-0005-0000-0000-000069620000}"/>
    <cellStyle name="Normal 2 7 4 2 6 2" xfId="39702" xr:uid="{00000000-0005-0000-0000-00006A620000}"/>
    <cellStyle name="Normal 2 7 4 2 7" xfId="33918" xr:uid="{00000000-0005-0000-0000-00006B620000}"/>
    <cellStyle name="Normal 2 7 4 3" xfId="3875" xr:uid="{00000000-0005-0000-0000-00006C620000}"/>
    <cellStyle name="Normal 2 7 4 3 2" xfId="5763" xr:uid="{00000000-0005-0000-0000-00006D620000}"/>
    <cellStyle name="Normal 2 7 4 3 2 2" xfId="9178" xr:uid="{00000000-0005-0000-0000-00006E620000}"/>
    <cellStyle name="Normal 2 7 4 3 2 2 2" xfId="21304" xr:uid="{00000000-0005-0000-0000-00006F620000}"/>
    <cellStyle name="Normal 2 7 4 3 2 2 2 2" xfId="37384" xr:uid="{00000000-0005-0000-0000-000070620000}"/>
    <cellStyle name="Normal 2 7 4 3 2 2 3" xfId="28620" xr:uid="{00000000-0005-0000-0000-000071620000}"/>
    <cellStyle name="Normal 2 7 4 3 2 3" xfId="22910" xr:uid="{00000000-0005-0000-0000-000072620000}"/>
    <cellStyle name="Normal 2 7 4 3 2 3 2" xfId="38979" xr:uid="{00000000-0005-0000-0000-000073620000}"/>
    <cellStyle name="Normal 2 7 4 3 2 4" xfId="32011" xr:uid="{00000000-0005-0000-0000-000074620000}"/>
    <cellStyle name="Normal 2 7 4 3 3" xfId="7481" xr:uid="{00000000-0005-0000-0000-000075620000}"/>
    <cellStyle name="Normal 2 7 4 3 3 2" xfId="23215" xr:uid="{00000000-0005-0000-0000-000076620000}"/>
    <cellStyle name="Normal 2 7 4 3 3 2 2" xfId="39284" xr:uid="{00000000-0005-0000-0000-000077620000}"/>
    <cellStyle name="Normal 2 7 4 3 3 3" xfId="30317" xr:uid="{00000000-0005-0000-0000-000078620000}"/>
    <cellStyle name="Normal 2 7 4 3 4" xfId="12509" xr:uid="{00000000-0005-0000-0000-000079620000}"/>
    <cellStyle name="Normal 2 7 4 3 4 2" xfId="35264" xr:uid="{00000000-0005-0000-0000-00007A620000}"/>
    <cellStyle name="Normal 2 7 4 3 5" xfId="33704" xr:uid="{00000000-0005-0000-0000-00007B620000}"/>
    <cellStyle name="Normal 2 7 4 4" xfId="4815" xr:uid="{00000000-0005-0000-0000-00007C620000}"/>
    <cellStyle name="Normal 2 7 4 4 2" xfId="6534" xr:uid="{00000000-0005-0000-0000-00007D620000}"/>
    <cellStyle name="Normal 2 7 4 4 2 2" xfId="9940" xr:uid="{00000000-0005-0000-0000-00007E620000}"/>
    <cellStyle name="Normal 2 7 4 4 2 2 2" xfId="24592" xr:uid="{00000000-0005-0000-0000-00007F620000}"/>
    <cellStyle name="Normal 2 7 4 4 2 2 2 2" xfId="40636" xr:uid="{00000000-0005-0000-0000-000080620000}"/>
    <cellStyle name="Normal 2 7 4 4 2 2 3" xfId="27859" xr:uid="{00000000-0005-0000-0000-000081620000}"/>
    <cellStyle name="Normal 2 7 4 4 2 3" xfId="20488" xr:uid="{00000000-0005-0000-0000-000082620000}"/>
    <cellStyle name="Normal 2 7 4 4 2 3 2" xfId="36587" xr:uid="{00000000-0005-0000-0000-000083620000}"/>
    <cellStyle name="Normal 2 7 4 4 2 4" xfId="31260" xr:uid="{00000000-0005-0000-0000-000084620000}"/>
    <cellStyle name="Normal 2 7 4 4 3" xfId="8237" xr:uid="{00000000-0005-0000-0000-000085620000}"/>
    <cellStyle name="Normal 2 7 4 4 3 2" xfId="23334" xr:uid="{00000000-0005-0000-0000-000086620000}"/>
    <cellStyle name="Normal 2 7 4 4 3 2 2" xfId="39396" xr:uid="{00000000-0005-0000-0000-000087620000}"/>
    <cellStyle name="Normal 2 7 4 4 3 3" xfId="29560" xr:uid="{00000000-0005-0000-0000-000088620000}"/>
    <cellStyle name="Normal 2 7 4 4 4" xfId="12260" xr:uid="{00000000-0005-0000-0000-000089620000}"/>
    <cellStyle name="Normal 2 7 4 4 4 2" xfId="35136" xr:uid="{00000000-0005-0000-0000-00008A620000}"/>
    <cellStyle name="Normal 2 7 4 4 5" xfId="32952" xr:uid="{00000000-0005-0000-0000-00008B620000}"/>
    <cellStyle name="Normal 2 7 4 5" xfId="5379" xr:uid="{00000000-0005-0000-0000-00008C620000}"/>
    <cellStyle name="Normal 2 7 4 5 2" xfId="8794" xr:uid="{00000000-0005-0000-0000-00008D620000}"/>
    <cellStyle name="Normal 2 7 4 5 2 2" xfId="10485" xr:uid="{00000000-0005-0000-0000-00008E620000}"/>
    <cellStyle name="Normal 2 7 4 5 2 2 2" xfId="34387" xr:uid="{00000000-0005-0000-0000-00008F620000}"/>
    <cellStyle name="Normal 2 7 4 5 2 3" xfId="29004" xr:uid="{00000000-0005-0000-0000-000090620000}"/>
    <cellStyle name="Normal 2 7 4 5 3" xfId="22242" xr:uid="{00000000-0005-0000-0000-000091620000}"/>
    <cellStyle name="Normal 2 7 4 5 3 2" xfId="38316" xr:uid="{00000000-0005-0000-0000-000092620000}"/>
    <cellStyle name="Normal 2 7 4 5 4" xfId="32395" xr:uid="{00000000-0005-0000-0000-000093620000}"/>
    <cellStyle name="Normal 2 7 4 6" xfId="7087" xr:uid="{00000000-0005-0000-0000-000094620000}"/>
    <cellStyle name="Normal 2 7 4 6 2" xfId="20662" xr:uid="{00000000-0005-0000-0000-000095620000}"/>
    <cellStyle name="Normal 2 7 4 6 2 2" xfId="36761" xr:uid="{00000000-0005-0000-0000-000096620000}"/>
    <cellStyle name="Normal 2 7 4 6 3" xfId="30711" xr:uid="{00000000-0005-0000-0000-000097620000}"/>
    <cellStyle name="Normal 2 7 4 7" xfId="12242" xr:uid="{00000000-0005-0000-0000-000098620000}"/>
    <cellStyle name="Normal 2 7 4 8" xfId="11095" xr:uid="{00000000-0005-0000-0000-000099620000}"/>
    <cellStyle name="Normal 2 7 4 8 2" xfId="34795" xr:uid="{00000000-0005-0000-0000-00009A620000}"/>
    <cellStyle name="Normal 2 7 4 9" xfId="34098" xr:uid="{00000000-0005-0000-0000-00009B620000}"/>
    <cellStyle name="Normal 2 7 5" xfId="3663" xr:uid="{00000000-0005-0000-0000-00009C620000}"/>
    <cellStyle name="Normal 2 7 5 10" xfId="47231" xr:uid="{00000000-0005-0000-0000-00009D620000}"/>
    <cellStyle name="Normal 2 7 5 2" xfId="5577" xr:uid="{00000000-0005-0000-0000-00009E620000}"/>
    <cellStyle name="Normal 2 7 5 2 2" xfId="8992" xr:uid="{00000000-0005-0000-0000-00009F620000}"/>
    <cellStyle name="Normal 2 7 5 2 2 2" xfId="24442" xr:uid="{00000000-0005-0000-0000-0000A0620000}"/>
    <cellStyle name="Normal 2 7 5 2 2 2 2" xfId="40486" xr:uid="{00000000-0005-0000-0000-0000A1620000}"/>
    <cellStyle name="Normal 2 7 5 2 2 3" xfId="28806" xr:uid="{00000000-0005-0000-0000-0000A2620000}"/>
    <cellStyle name="Normal 2 7 5 2 3" xfId="23880" xr:uid="{00000000-0005-0000-0000-0000A3620000}"/>
    <cellStyle name="Normal 2 7 5 2 3 2" xfId="39936" xr:uid="{00000000-0005-0000-0000-0000A4620000}"/>
    <cellStyle name="Normal 2 7 5 2 4" xfId="32197" xr:uid="{00000000-0005-0000-0000-0000A5620000}"/>
    <cellStyle name="Normal 2 7 5 2 5" xfId="41701" xr:uid="{00000000-0005-0000-0000-0000A6620000}"/>
    <cellStyle name="Normal 2 7 5 2 6" xfId="43233" xr:uid="{00000000-0005-0000-0000-0000A7620000}"/>
    <cellStyle name="Normal 2 7 5 2 7" xfId="46073" xr:uid="{00000000-0005-0000-0000-0000A8620000}"/>
    <cellStyle name="Normal 2 7 5 2 8" xfId="46836" xr:uid="{00000000-0005-0000-0000-0000A9620000}"/>
    <cellStyle name="Normal 2 7 5 2 9" xfId="47426" xr:uid="{00000000-0005-0000-0000-0000AA620000}"/>
    <cellStyle name="Normal 2 7 5 3" xfId="7295" xr:uid="{00000000-0005-0000-0000-0000AB620000}"/>
    <cellStyle name="Normal 2 7 5 3 2" xfId="23179" xr:uid="{00000000-0005-0000-0000-0000AC620000}"/>
    <cellStyle name="Normal 2 7 5 3 2 2" xfId="39248" xr:uid="{00000000-0005-0000-0000-0000AD620000}"/>
    <cellStyle name="Normal 2 7 5 3 3" xfId="30503" xr:uid="{00000000-0005-0000-0000-0000AE620000}"/>
    <cellStyle name="Normal 2 7 5 3 4" xfId="44072" xr:uid="{00000000-0005-0000-0000-0000AF620000}"/>
    <cellStyle name="Normal 2 7 5 4" xfId="15144" xr:uid="{00000000-0005-0000-0000-0000B0620000}"/>
    <cellStyle name="Normal 2 7 5 4 2" xfId="35327" xr:uid="{00000000-0005-0000-0000-0000B1620000}"/>
    <cellStyle name="Normal 2 7 5 5" xfId="24957" xr:uid="{00000000-0005-0000-0000-0000B2620000}"/>
    <cellStyle name="Normal 2 7 5 6" xfId="25445" xr:uid="{00000000-0005-0000-0000-0000B3620000}"/>
    <cellStyle name="Normal 2 7 5 7" xfId="33890" xr:uid="{00000000-0005-0000-0000-0000B4620000}"/>
    <cellStyle name="Normal 2 7 5 8" xfId="43685" xr:uid="{00000000-0005-0000-0000-0000B5620000}"/>
    <cellStyle name="Normal 2 7 5 9" xfId="46596" xr:uid="{00000000-0005-0000-0000-0000B6620000}"/>
    <cellStyle name="Normal 2 7 6" xfId="4126" xr:uid="{00000000-0005-0000-0000-0000B7620000}"/>
    <cellStyle name="Normal 2 7 6 2" xfId="5979" xr:uid="{00000000-0005-0000-0000-0000B8620000}"/>
    <cellStyle name="Normal 2 7 6 2 2" xfId="9394" xr:uid="{00000000-0005-0000-0000-0000B9620000}"/>
    <cellStyle name="Normal 2 7 6 2 2 2" xfId="24508" xr:uid="{00000000-0005-0000-0000-0000BA620000}"/>
    <cellStyle name="Normal 2 7 6 2 2 2 2" xfId="40552" xr:uid="{00000000-0005-0000-0000-0000BB620000}"/>
    <cellStyle name="Normal 2 7 6 2 2 3" xfId="28404" xr:uid="{00000000-0005-0000-0000-0000BC620000}"/>
    <cellStyle name="Normal 2 7 6 2 3" xfId="23954" xr:uid="{00000000-0005-0000-0000-0000BD620000}"/>
    <cellStyle name="Normal 2 7 6 2 3 2" xfId="40008" xr:uid="{00000000-0005-0000-0000-0000BE620000}"/>
    <cellStyle name="Normal 2 7 6 2 4" xfId="31799" xr:uid="{00000000-0005-0000-0000-0000BF620000}"/>
    <cellStyle name="Normal 2 7 6 3" xfId="7709" xr:uid="{00000000-0005-0000-0000-0000C0620000}"/>
    <cellStyle name="Normal 2 7 6 3 2" xfId="21850" xr:uid="{00000000-0005-0000-0000-0000C1620000}"/>
    <cellStyle name="Normal 2 7 6 3 2 2" xfId="37926" xr:uid="{00000000-0005-0000-0000-0000C2620000}"/>
    <cellStyle name="Normal 2 7 6 3 3" xfId="30090" xr:uid="{00000000-0005-0000-0000-0000C3620000}"/>
    <cellStyle name="Normal 2 7 6 4" xfId="11005" xr:uid="{00000000-0005-0000-0000-0000C4620000}"/>
    <cellStyle name="Normal 2 7 6 4 2" xfId="34734" xr:uid="{00000000-0005-0000-0000-0000C5620000}"/>
    <cellStyle name="Normal 2 7 6 5" xfId="33476" xr:uid="{00000000-0005-0000-0000-0000C6620000}"/>
    <cellStyle name="Normal 2 7 7" xfId="4463" xr:uid="{00000000-0005-0000-0000-0000C7620000}"/>
    <cellStyle name="Normal 2 7 7 2" xfId="6260" xr:uid="{00000000-0005-0000-0000-0000C8620000}"/>
    <cellStyle name="Normal 2 7 7 2 2" xfId="9670" xr:uid="{00000000-0005-0000-0000-0000C9620000}"/>
    <cellStyle name="Normal 2 7 7 2 2 2" xfId="24545" xr:uid="{00000000-0005-0000-0000-0000CA620000}"/>
    <cellStyle name="Normal 2 7 7 2 2 2 2" xfId="40589" xr:uid="{00000000-0005-0000-0000-0000CB620000}"/>
    <cellStyle name="Normal 2 7 7 2 2 3" xfId="28129" xr:uid="{00000000-0005-0000-0000-0000CC620000}"/>
    <cellStyle name="Normal 2 7 7 2 3" xfId="23005" xr:uid="{00000000-0005-0000-0000-0000CD620000}"/>
    <cellStyle name="Normal 2 7 7 2 3 2" xfId="39074" xr:uid="{00000000-0005-0000-0000-0000CE620000}"/>
    <cellStyle name="Normal 2 7 7 2 4" xfId="31530" xr:uid="{00000000-0005-0000-0000-0000CF620000}"/>
    <cellStyle name="Normal 2 7 7 3" xfId="7966" xr:uid="{00000000-0005-0000-0000-0000D0620000}"/>
    <cellStyle name="Normal 2 7 7 3 2" xfId="20962" xr:uid="{00000000-0005-0000-0000-0000D1620000}"/>
    <cellStyle name="Normal 2 7 7 3 2 2" xfId="37058" xr:uid="{00000000-0005-0000-0000-0000D2620000}"/>
    <cellStyle name="Normal 2 7 7 3 3" xfId="29833" xr:uid="{00000000-0005-0000-0000-0000D3620000}"/>
    <cellStyle name="Normal 2 7 7 4" xfId="12334" xr:uid="{00000000-0005-0000-0000-0000D4620000}"/>
    <cellStyle name="Normal 2 7 7 4 2" xfId="35197" xr:uid="{00000000-0005-0000-0000-0000D5620000}"/>
    <cellStyle name="Normal 2 7 7 5" xfId="33223" xr:uid="{00000000-0005-0000-0000-0000D6620000}"/>
    <cellStyle name="Normal 2 7 8" xfId="4489" xr:uid="{00000000-0005-0000-0000-0000D7620000}"/>
    <cellStyle name="Normal 2 7 8 2" xfId="6282" xr:uid="{00000000-0005-0000-0000-0000D8620000}"/>
    <cellStyle name="Normal 2 7 8 2 2" xfId="9692" xr:uid="{00000000-0005-0000-0000-0000D9620000}"/>
    <cellStyle name="Normal 2 7 8 2 2 2" xfId="21457" xr:uid="{00000000-0005-0000-0000-0000DA620000}"/>
    <cellStyle name="Normal 2 7 8 2 2 2 2" xfId="37537" xr:uid="{00000000-0005-0000-0000-0000DB620000}"/>
    <cellStyle name="Normal 2 7 8 2 2 3" xfId="28107" xr:uid="{00000000-0005-0000-0000-0000DC620000}"/>
    <cellStyle name="Normal 2 7 8 2 3" xfId="24012" xr:uid="{00000000-0005-0000-0000-0000DD620000}"/>
    <cellStyle name="Normal 2 7 8 2 3 2" xfId="40065" xr:uid="{00000000-0005-0000-0000-0000DE620000}"/>
    <cellStyle name="Normal 2 7 8 2 4" xfId="31508" xr:uid="{00000000-0005-0000-0000-0000DF620000}"/>
    <cellStyle name="Normal 2 7 8 3" xfId="7988" xr:uid="{00000000-0005-0000-0000-0000E0620000}"/>
    <cellStyle name="Normal 2 7 8 3 2" xfId="20965" xr:uid="{00000000-0005-0000-0000-0000E1620000}"/>
    <cellStyle name="Normal 2 7 8 3 2 2" xfId="37061" xr:uid="{00000000-0005-0000-0000-0000E2620000}"/>
    <cellStyle name="Normal 2 7 8 3 3" xfId="29810" xr:uid="{00000000-0005-0000-0000-0000E3620000}"/>
    <cellStyle name="Normal 2 7 8 4" xfId="19658" xr:uid="{00000000-0005-0000-0000-0000E4620000}"/>
    <cellStyle name="Normal 2 7 8 4 2" xfId="35772" xr:uid="{00000000-0005-0000-0000-0000E5620000}"/>
    <cellStyle name="Normal 2 7 8 5" xfId="33201" xr:uid="{00000000-0005-0000-0000-0000E6620000}"/>
    <cellStyle name="Normal 2 7 9" xfId="4542" xr:uid="{00000000-0005-0000-0000-0000E7620000}"/>
    <cellStyle name="Normal 2 7 9 2" xfId="6334" xr:uid="{00000000-0005-0000-0000-0000E8620000}"/>
    <cellStyle name="Normal 2 7 9 2 2" xfId="9744" xr:uid="{00000000-0005-0000-0000-0000E9620000}"/>
    <cellStyle name="Normal 2 7 9 2 2 2" xfId="23551" xr:uid="{00000000-0005-0000-0000-0000EA620000}"/>
    <cellStyle name="Normal 2 7 9 2 2 2 2" xfId="39607" xr:uid="{00000000-0005-0000-0000-0000EB620000}"/>
    <cellStyle name="Normal 2 7 9 2 2 3" xfId="28055" xr:uid="{00000000-0005-0000-0000-0000EC620000}"/>
    <cellStyle name="Normal 2 7 9 2 3" xfId="20412" xr:uid="{00000000-0005-0000-0000-0000ED620000}"/>
    <cellStyle name="Normal 2 7 9 2 3 2" xfId="36511" xr:uid="{00000000-0005-0000-0000-0000EE620000}"/>
    <cellStyle name="Normal 2 7 9 2 4" xfId="31456" xr:uid="{00000000-0005-0000-0000-0000EF620000}"/>
    <cellStyle name="Normal 2 7 9 3" xfId="8040" xr:uid="{00000000-0005-0000-0000-0000F0620000}"/>
    <cellStyle name="Normal 2 7 9 3 2" xfId="20982" xr:uid="{00000000-0005-0000-0000-0000F1620000}"/>
    <cellStyle name="Normal 2 7 9 3 2 2" xfId="37078" xr:uid="{00000000-0005-0000-0000-0000F2620000}"/>
    <cellStyle name="Normal 2 7 9 3 3" xfId="29758" xr:uid="{00000000-0005-0000-0000-0000F3620000}"/>
    <cellStyle name="Normal 2 7 9 4" xfId="22056" xr:uid="{00000000-0005-0000-0000-0000F4620000}"/>
    <cellStyle name="Normal 2 7 9 4 2" xfId="38130" xr:uid="{00000000-0005-0000-0000-0000F5620000}"/>
    <cellStyle name="Normal 2 7 9 5" xfId="33149" xr:uid="{00000000-0005-0000-0000-0000F6620000}"/>
    <cellStyle name="Normal 2 7_Ark1" xfId="12243" xr:uid="{00000000-0005-0000-0000-0000F7620000}"/>
    <cellStyle name="Normal 2 70" xfId="4194" xr:uid="{00000000-0005-0000-0000-0000F8620000}"/>
    <cellStyle name="Normal 2 70 10" xfId="47223" xr:uid="{00000000-0005-0000-0000-0000F9620000}"/>
    <cellStyle name="Normal 2 70 2" xfId="6033" xr:uid="{00000000-0005-0000-0000-0000FA620000}"/>
    <cellStyle name="Normal 2 70 2 2" xfId="9448" xr:uid="{00000000-0005-0000-0000-0000FB620000}"/>
    <cellStyle name="Normal 2 70 2 2 2" xfId="10442" xr:uid="{00000000-0005-0000-0000-0000FC620000}"/>
    <cellStyle name="Normal 2 70 2 2 2 2" xfId="34366" xr:uid="{00000000-0005-0000-0000-0000FD620000}"/>
    <cellStyle name="Normal 2 70 2 2 3" xfId="28350" xr:uid="{00000000-0005-0000-0000-0000FE620000}"/>
    <cellStyle name="Normal 2 70 2 3" xfId="21751" xr:uid="{00000000-0005-0000-0000-0000FF620000}"/>
    <cellStyle name="Normal 2 70 2 3 2" xfId="37829" xr:uid="{00000000-0005-0000-0000-000000630000}"/>
    <cellStyle name="Normal 2 70 2 4" xfId="31745" xr:uid="{00000000-0005-0000-0000-000001630000}"/>
    <cellStyle name="Normal 2 70 2 5" xfId="41683" xr:uid="{00000000-0005-0000-0000-000002630000}"/>
    <cellStyle name="Normal 2 70 2 6" xfId="43226" xr:uid="{00000000-0005-0000-0000-000003630000}"/>
    <cellStyle name="Normal 2 70 2 7" xfId="46066" xr:uid="{00000000-0005-0000-0000-000004630000}"/>
    <cellStyle name="Normal 2 70 2 8" xfId="46829" xr:uid="{00000000-0005-0000-0000-000005630000}"/>
    <cellStyle name="Normal 2 70 2 9" xfId="47417" xr:uid="{00000000-0005-0000-0000-000006630000}"/>
    <cellStyle name="Normal 2 70 3" xfId="7766" xr:uid="{00000000-0005-0000-0000-000007630000}"/>
    <cellStyle name="Normal 2 70 3 2" xfId="21732" xr:uid="{00000000-0005-0000-0000-000008630000}"/>
    <cellStyle name="Normal 2 70 3 2 2" xfId="37810" xr:uid="{00000000-0005-0000-0000-000009630000}"/>
    <cellStyle name="Normal 2 70 3 3" xfId="30033" xr:uid="{00000000-0005-0000-0000-00000A630000}"/>
    <cellStyle name="Normal 2 70 3 4" xfId="44073" xr:uid="{00000000-0005-0000-0000-00000B630000}"/>
    <cellStyle name="Normal 2 70 4" xfId="15126" xr:uid="{00000000-0005-0000-0000-00000C630000}"/>
    <cellStyle name="Normal 2 70 4 2" xfId="35320" xr:uid="{00000000-0005-0000-0000-00000D630000}"/>
    <cellStyle name="Normal 2 70 5" xfId="24949" xr:uid="{00000000-0005-0000-0000-00000E630000}"/>
    <cellStyle name="Normal 2 70 6" xfId="25446" xr:uid="{00000000-0005-0000-0000-00000F630000}"/>
    <cellStyle name="Normal 2 70 7" xfId="33421" xr:uid="{00000000-0005-0000-0000-000010630000}"/>
    <cellStyle name="Normal 2 70 8" xfId="43678" xr:uid="{00000000-0005-0000-0000-000011630000}"/>
    <cellStyle name="Normal 2 70 9" xfId="46588" xr:uid="{00000000-0005-0000-0000-000012630000}"/>
    <cellStyle name="Normal 2 71" xfId="4183" xr:uid="{00000000-0005-0000-0000-000013630000}"/>
    <cellStyle name="Normal 2 71 10" xfId="47240" xr:uid="{00000000-0005-0000-0000-000014630000}"/>
    <cellStyle name="Normal 2 71 2" xfId="6026" xr:uid="{00000000-0005-0000-0000-000015630000}"/>
    <cellStyle name="Normal 2 71 2 2" xfId="9441" xr:uid="{00000000-0005-0000-0000-000016630000}"/>
    <cellStyle name="Normal 2 71 2 2 2" xfId="21386" xr:uid="{00000000-0005-0000-0000-000017630000}"/>
    <cellStyle name="Normal 2 71 2 2 2 2" xfId="37466" xr:uid="{00000000-0005-0000-0000-000018630000}"/>
    <cellStyle name="Normal 2 71 2 2 3" xfId="28357" xr:uid="{00000000-0005-0000-0000-000019630000}"/>
    <cellStyle name="Normal 2 71 2 3" xfId="20292" xr:uid="{00000000-0005-0000-0000-00001A630000}"/>
    <cellStyle name="Normal 2 71 2 3 2" xfId="36391" xr:uid="{00000000-0005-0000-0000-00001B630000}"/>
    <cellStyle name="Normal 2 71 2 4" xfId="31752" xr:uid="{00000000-0005-0000-0000-00001C630000}"/>
    <cellStyle name="Normal 2 71 2 5" xfId="41999" xr:uid="{00000000-0005-0000-0000-00001D630000}"/>
    <cellStyle name="Normal 2 71 2 6" xfId="43239" xr:uid="{00000000-0005-0000-0000-00001E630000}"/>
    <cellStyle name="Normal 2 71 2 7" xfId="46085" xr:uid="{00000000-0005-0000-0000-00001F630000}"/>
    <cellStyle name="Normal 2 71 2 8" xfId="46852" xr:uid="{00000000-0005-0000-0000-000020630000}"/>
    <cellStyle name="Normal 2 71 2 9" xfId="47436" xr:uid="{00000000-0005-0000-0000-000021630000}"/>
    <cellStyle name="Normal 2 71 3" xfId="7758" xr:uid="{00000000-0005-0000-0000-000022630000}"/>
    <cellStyle name="Normal 2 71 3 2" xfId="22568" xr:uid="{00000000-0005-0000-0000-000023630000}"/>
    <cellStyle name="Normal 2 71 3 2 2" xfId="38637" xr:uid="{00000000-0005-0000-0000-000024630000}"/>
    <cellStyle name="Normal 2 71 3 3" xfId="30041" xr:uid="{00000000-0005-0000-0000-000025630000}"/>
    <cellStyle name="Normal 2 71 3 4" xfId="44074" xr:uid="{00000000-0005-0000-0000-000026630000}"/>
    <cellStyle name="Normal 2 71 4" xfId="15443" xr:uid="{00000000-0005-0000-0000-000027630000}"/>
    <cellStyle name="Normal 2 71 4 2" xfId="35334" xr:uid="{00000000-0005-0000-0000-000028630000}"/>
    <cellStyle name="Normal 2 71 5" xfId="24975" xr:uid="{00000000-0005-0000-0000-000029630000}"/>
    <cellStyle name="Normal 2 71 6" xfId="25447" xr:uid="{00000000-0005-0000-0000-00002A630000}"/>
    <cellStyle name="Normal 2 71 7" xfId="33428" xr:uid="{00000000-0005-0000-0000-00002B630000}"/>
    <cellStyle name="Normal 2 71 8" xfId="43695" xr:uid="{00000000-0005-0000-0000-00002C630000}"/>
    <cellStyle name="Normal 2 71 9" xfId="46613" xr:uid="{00000000-0005-0000-0000-00002D630000}"/>
    <cellStyle name="Normal 2 72" xfId="4152" xr:uid="{00000000-0005-0000-0000-00002E630000}"/>
    <cellStyle name="Normal 2 72 10" xfId="47235" xr:uid="{00000000-0005-0000-0000-00002F630000}"/>
    <cellStyle name="Normal 2 72 2" xfId="6003" xr:uid="{00000000-0005-0000-0000-000030630000}"/>
    <cellStyle name="Normal 2 72 2 2" xfId="9418" xr:uid="{00000000-0005-0000-0000-000031630000}"/>
    <cellStyle name="Normal 2 72 2 2 2" xfId="11674" xr:uid="{00000000-0005-0000-0000-000032630000}"/>
    <cellStyle name="Normal 2 72 2 2 2 2" xfId="34833" xr:uid="{00000000-0005-0000-0000-000033630000}"/>
    <cellStyle name="Normal 2 72 2 2 3" xfId="28380" xr:uid="{00000000-0005-0000-0000-000034630000}"/>
    <cellStyle name="Normal 2 72 2 3" xfId="20284" xr:uid="{00000000-0005-0000-0000-000035630000}"/>
    <cellStyle name="Normal 2 72 2 3 2" xfId="36383" xr:uid="{00000000-0005-0000-0000-000036630000}"/>
    <cellStyle name="Normal 2 72 2 4" xfId="31775" xr:uid="{00000000-0005-0000-0000-000037630000}"/>
    <cellStyle name="Normal 2 72 2 5" xfId="41986" xr:uid="{00000000-0005-0000-0000-000038630000}"/>
    <cellStyle name="Normal 2 72 2 6" xfId="43236" xr:uid="{00000000-0005-0000-0000-000039630000}"/>
    <cellStyle name="Normal 2 72 2 7" xfId="46082" xr:uid="{00000000-0005-0000-0000-00003A630000}"/>
    <cellStyle name="Normal 2 72 2 8" xfId="46847" xr:uid="{00000000-0005-0000-0000-00003B630000}"/>
    <cellStyle name="Normal 2 72 2 9" xfId="47431" xr:uid="{00000000-0005-0000-0000-00003C630000}"/>
    <cellStyle name="Normal 2 72 3" xfId="7733" xr:uid="{00000000-0005-0000-0000-00003D630000}"/>
    <cellStyle name="Normal 2 72 3 2" xfId="23258" xr:uid="{00000000-0005-0000-0000-00003E630000}"/>
    <cellStyle name="Normal 2 72 3 2 2" xfId="39326" xr:uid="{00000000-0005-0000-0000-00003F630000}"/>
    <cellStyle name="Normal 2 72 3 3" xfId="30066" xr:uid="{00000000-0005-0000-0000-000040630000}"/>
    <cellStyle name="Normal 2 72 3 4" xfId="44075" xr:uid="{00000000-0005-0000-0000-000041630000}"/>
    <cellStyle name="Normal 2 72 4" xfId="15430" xr:uid="{00000000-0005-0000-0000-000042630000}"/>
    <cellStyle name="Normal 2 72 4 2" xfId="35330" xr:uid="{00000000-0005-0000-0000-000043630000}"/>
    <cellStyle name="Normal 2 72 5" xfId="24971" xr:uid="{00000000-0005-0000-0000-000044630000}"/>
    <cellStyle name="Normal 2 72 6" xfId="25448" xr:uid="{00000000-0005-0000-0000-000045630000}"/>
    <cellStyle name="Normal 2 72 7" xfId="33453" xr:uid="{00000000-0005-0000-0000-000046630000}"/>
    <cellStyle name="Normal 2 72 8" xfId="43691" xr:uid="{00000000-0005-0000-0000-000047630000}"/>
    <cellStyle name="Normal 2 72 9" xfId="46609" xr:uid="{00000000-0005-0000-0000-000048630000}"/>
    <cellStyle name="Normal 2 73" xfId="4160" xr:uid="{00000000-0005-0000-0000-000049630000}"/>
    <cellStyle name="Normal 2 73 10" xfId="47410" xr:uid="{00000000-0005-0000-0000-00004A630000}"/>
    <cellStyle name="Normal 2 73 2" xfId="6010" xr:uid="{00000000-0005-0000-0000-00004B630000}"/>
    <cellStyle name="Normal 2 73 2 2" xfId="9425" xr:uid="{00000000-0005-0000-0000-00004C630000}"/>
    <cellStyle name="Normal 2 73 2 2 2" xfId="19525" xr:uid="{00000000-0005-0000-0000-00004D630000}"/>
    <cellStyle name="Normal 2 73 2 2 2 2" xfId="35639" xr:uid="{00000000-0005-0000-0000-00004E630000}"/>
    <cellStyle name="Normal 2 73 2 2 3" xfId="28373" xr:uid="{00000000-0005-0000-0000-00004F630000}"/>
    <cellStyle name="Normal 2 73 2 3" xfId="22305" xr:uid="{00000000-0005-0000-0000-000050630000}"/>
    <cellStyle name="Normal 2 73 2 3 2" xfId="38377" xr:uid="{00000000-0005-0000-0000-000051630000}"/>
    <cellStyle name="Normal 2 73 2 4" xfId="31768" xr:uid="{00000000-0005-0000-0000-000052630000}"/>
    <cellStyle name="Normal 2 73 2 5" xfId="43125" xr:uid="{00000000-0005-0000-0000-000053630000}"/>
    <cellStyle name="Normal 2 73 2 6" xfId="43400" xr:uid="{00000000-0005-0000-0000-000054630000}"/>
    <cellStyle name="Normal 2 73 2 7" xfId="46248" xr:uid="{00000000-0005-0000-0000-000055630000}"/>
    <cellStyle name="Normal 2 73 2 8" xfId="47020" xr:uid="{00000000-0005-0000-0000-000056630000}"/>
    <cellStyle name="Normal 2 73 2 9" xfId="47606" xr:uid="{00000000-0005-0000-0000-000057630000}"/>
    <cellStyle name="Normal 2 73 3" xfId="7741" xr:uid="{00000000-0005-0000-0000-000058630000}"/>
    <cellStyle name="Normal 2 73 3 2" xfId="20887" xr:uid="{00000000-0005-0000-0000-000059630000}"/>
    <cellStyle name="Normal 2 73 3 2 2" xfId="36986" xr:uid="{00000000-0005-0000-0000-00005A630000}"/>
    <cellStyle name="Normal 2 73 3 3" xfId="30058" xr:uid="{00000000-0005-0000-0000-00005B630000}"/>
    <cellStyle name="Normal 2 73 3 4" xfId="44076" xr:uid="{00000000-0005-0000-0000-00005C630000}"/>
    <cellStyle name="Normal 2 73 4" xfId="19370" xr:uid="{00000000-0005-0000-0000-00005D630000}"/>
    <cellStyle name="Normal 2 73 4 2" xfId="35495" xr:uid="{00000000-0005-0000-0000-00005E630000}"/>
    <cellStyle name="Normal 2 73 5" xfId="25221" xr:uid="{00000000-0005-0000-0000-00005F630000}"/>
    <cellStyle name="Normal 2 73 6" xfId="25449" xr:uid="{00000000-0005-0000-0000-000060630000}"/>
    <cellStyle name="Normal 2 73 7" xfId="33445" xr:uid="{00000000-0005-0000-0000-000061630000}"/>
    <cellStyle name="Normal 2 73 8" xfId="43861" xr:uid="{00000000-0005-0000-0000-000062630000}"/>
    <cellStyle name="Normal 2 73 9" xfId="46787" xr:uid="{00000000-0005-0000-0000-000063630000}"/>
    <cellStyle name="Normal 2 74" xfId="4144" xr:uid="{00000000-0005-0000-0000-000064630000}"/>
    <cellStyle name="Normal 2 74 2" xfId="5997" xr:uid="{00000000-0005-0000-0000-000065630000}"/>
    <cellStyle name="Normal 2 74 2 2" xfId="9412" xr:uid="{00000000-0005-0000-0000-000066630000}"/>
    <cellStyle name="Normal 2 74 2 2 2" xfId="10457" xr:uid="{00000000-0005-0000-0000-000067630000}"/>
    <cellStyle name="Normal 2 74 2 2 2 2" xfId="34373" xr:uid="{00000000-0005-0000-0000-000068630000}"/>
    <cellStyle name="Normal 2 74 2 2 3" xfId="28386" xr:uid="{00000000-0005-0000-0000-000069630000}"/>
    <cellStyle name="Normal 2 74 2 3" xfId="22954" xr:uid="{00000000-0005-0000-0000-00006A630000}"/>
    <cellStyle name="Normal 2 74 2 3 2" xfId="39023" xr:uid="{00000000-0005-0000-0000-00006B630000}"/>
    <cellStyle name="Normal 2 74 2 4" xfId="31781" xr:uid="{00000000-0005-0000-0000-00006C630000}"/>
    <cellStyle name="Normal 2 74 3" xfId="7727" xr:uid="{00000000-0005-0000-0000-00006D630000}"/>
    <cellStyle name="Normal 2 74 3 2" xfId="24259" xr:uid="{00000000-0005-0000-0000-00006E630000}"/>
    <cellStyle name="Normal 2 74 3 2 2" xfId="40312" xr:uid="{00000000-0005-0000-0000-00006F630000}"/>
    <cellStyle name="Normal 2 74 3 3" xfId="30072" xr:uid="{00000000-0005-0000-0000-000070630000}"/>
    <cellStyle name="Normal 2 74 4" xfId="12418" xr:uid="{00000000-0005-0000-0000-000071630000}"/>
    <cellStyle name="Normal 2 74 4 2" xfId="35227" xr:uid="{00000000-0005-0000-0000-000072630000}"/>
    <cellStyle name="Normal 2 74 5" xfId="25450" xr:uid="{00000000-0005-0000-0000-000073630000}"/>
    <cellStyle name="Normal 2 74 6" xfId="33459" xr:uid="{00000000-0005-0000-0000-000074630000}"/>
    <cellStyle name="Normal 2 75" xfId="4357" xr:uid="{00000000-0005-0000-0000-000075630000}"/>
    <cellStyle name="Normal 2 75 2" xfId="6235" xr:uid="{00000000-0005-0000-0000-000076630000}"/>
    <cellStyle name="Normal 2 75 2 2" xfId="9645" xr:uid="{00000000-0005-0000-0000-000077630000}"/>
    <cellStyle name="Normal 2 75 2 2 2" xfId="21443" xr:uid="{00000000-0005-0000-0000-000078630000}"/>
    <cellStyle name="Normal 2 75 2 2 2 2" xfId="37523" xr:uid="{00000000-0005-0000-0000-000079630000}"/>
    <cellStyle name="Normal 2 75 2 2 3" xfId="28154" xr:uid="{00000000-0005-0000-0000-00007A630000}"/>
    <cellStyle name="Normal 2 75 2 3" xfId="22331" xr:uid="{00000000-0005-0000-0000-00007B630000}"/>
    <cellStyle name="Normal 2 75 2 3 2" xfId="38403" xr:uid="{00000000-0005-0000-0000-00007C630000}"/>
    <cellStyle name="Normal 2 75 2 4" xfId="31555" xr:uid="{00000000-0005-0000-0000-00007D630000}"/>
    <cellStyle name="Normal 2 75 3" xfId="7918" xr:uid="{00000000-0005-0000-0000-00007E630000}"/>
    <cellStyle name="Normal 2 75 3 2" xfId="24290" xr:uid="{00000000-0005-0000-0000-00007F630000}"/>
    <cellStyle name="Normal 2 75 3 2 2" xfId="40342" xr:uid="{00000000-0005-0000-0000-000080630000}"/>
    <cellStyle name="Normal 2 75 3 3" xfId="29881" xr:uid="{00000000-0005-0000-0000-000081630000}"/>
    <cellStyle name="Normal 2 75 4" xfId="23819" xr:uid="{00000000-0005-0000-0000-000082630000}"/>
    <cellStyle name="Normal 2 75 4 2" xfId="39875" xr:uid="{00000000-0005-0000-0000-000083630000}"/>
    <cellStyle name="Normal 2 75 5" xfId="25451" xr:uid="{00000000-0005-0000-0000-000084630000}"/>
    <cellStyle name="Normal 2 75 6" xfId="33269" xr:uid="{00000000-0005-0000-0000-000085630000}"/>
    <cellStyle name="Normal 2 76" xfId="4439" xr:uid="{00000000-0005-0000-0000-000086630000}"/>
    <cellStyle name="Normal 2 76 2" xfId="6236" xr:uid="{00000000-0005-0000-0000-000087630000}"/>
    <cellStyle name="Normal 2 76 2 2" xfId="9646" xr:uid="{00000000-0005-0000-0000-000088630000}"/>
    <cellStyle name="Normal 2 76 2 2 2" xfId="10405" xr:uid="{00000000-0005-0000-0000-000089630000}"/>
    <cellStyle name="Normal 2 76 2 2 2 2" xfId="34347" xr:uid="{00000000-0005-0000-0000-00008A630000}"/>
    <cellStyle name="Normal 2 76 2 2 3" xfId="28153" xr:uid="{00000000-0005-0000-0000-00008B630000}"/>
    <cellStyle name="Normal 2 76 2 3" xfId="23000" xr:uid="{00000000-0005-0000-0000-00008C630000}"/>
    <cellStyle name="Normal 2 76 2 3 2" xfId="39069" xr:uid="{00000000-0005-0000-0000-00008D630000}"/>
    <cellStyle name="Normal 2 76 2 4" xfId="31554" xr:uid="{00000000-0005-0000-0000-00008E630000}"/>
    <cellStyle name="Normal 2 76 3" xfId="7942" xr:uid="{00000000-0005-0000-0000-00008F630000}"/>
    <cellStyle name="Normal 2 76 3 2" xfId="20953" xr:uid="{00000000-0005-0000-0000-000090630000}"/>
    <cellStyle name="Normal 2 76 3 2 2" xfId="37049" xr:uid="{00000000-0005-0000-0000-000091630000}"/>
    <cellStyle name="Normal 2 76 3 3" xfId="29857" xr:uid="{00000000-0005-0000-0000-000092630000}"/>
    <cellStyle name="Normal 2 76 4" xfId="10979" xr:uid="{00000000-0005-0000-0000-000093630000}"/>
    <cellStyle name="Normal 2 76 4 2" xfId="34713" xr:uid="{00000000-0005-0000-0000-000094630000}"/>
    <cellStyle name="Normal 2 76 5" xfId="25452" xr:uid="{00000000-0005-0000-0000-000095630000}"/>
    <cellStyle name="Normal 2 76 6" xfId="33246" xr:uid="{00000000-0005-0000-0000-000096630000}"/>
    <cellStyle name="Normal 2 77" xfId="4456" xr:uid="{00000000-0005-0000-0000-000097630000}"/>
    <cellStyle name="Normal 2 77 2" xfId="6253" xr:uid="{00000000-0005-0000-0000-000098630000}"/>
    <cellStyle name="Normal 2 77 2 2" xfId="9663" xr:uid="{00000000-0005-0000-0000-000099630000}"/>
    <cellStyle name="Normal 2 77 2 2 2" xfId="21446" xr:uid="{00000000-0005-0000-0000-00009A630000}"/>
    <cellStyle name="Normal 2 77 2 2 2 2" xfId="37526" xr:uid="{00000000-0005-0000-0000-00009B630000}"/>
    <cellStyle name="Normal 2 77 2 2 3" xfId="28136" xr:uid="{00000000-0005-0000-0000-00009C630000}"/>
    <cellStyle name="Normal 2 77 2 3" xfId="22332" xr:uid="{00000000-0005-0000-0000-00009D630000}"/>
    <cellStyle name="Normal 2 77 2 3 2" xfId="38404" xr:uid="{00000000-0005-0000-0000-00009E630000}"/>
    <cellStyle name="Normal 2 77 2 4" xfId="31537" xr:uid="{00000000-0005-0000-0000-00009F630000}"/>
    <cellStyle name="Normal 2 77 3" xfId="7959" xr:uid="{00000000-0005-0000-0000-0000A0630000}"/>
    <cellStyle name="Normal 2 77 3 2" xfId="24297" xr:uid="{00000000-0005-0000-0000-0000A1630000}"/>
    <cellStyle name="Normal 2 77 3 2 2" xfId="40349" xr:uid="{00000000-0005-0000-0000-0000A2630000}"/>
    <cellStyle name="Normal 2 77 3 3" xfId="29840" xr:uid="{00000000-0005-0000-0000-0000A3630000}"/>
    <cellStyle name="Normal 2 77 4" xfId="12313" xr:uid="{00000000-0005-0000-0000-0000A4630000}"/>
    <cellStyle name="Normal 2 77 4 2" xfId="35187" xr:uid="{00000000-0005-0000-0000-0000A5630000}"/>
    <cellStyle name="Normal 2 77 5" xfId="25453" xr:uid="{00000000-0005-0000-0000-0000A6630000}"/>
    <cellStyle name="Normal 2 77 6" xfId="33230" xr:uid="{00000000-0005-0000-0000-0000A7630000}"/>
    <cellStyle name="Normal 2 78" xfId="4442" xr:uid="{00000000-0005-0000-0000-0000A8630000}"/>
    <cellStyle name="Normal 2 78 2" xfId="6239" xr:uid="{00000000-0005-0000-0000-0000A9630000}"/>
    <cellStyle name="Normal 2 78 2 2" xfId="9649" xr:uid="{00000000-0005-0000-0000-0000AA630000}"/>
    <cellStyle name="Normal 2 78 2 2 2" xfId="21444" xr:uid="{00000000-0005-0000-0000-0000AB630000}"/>
    <cellStyle name="Normal 2 78 2 2 2 2" xfId="37524" xr:uid="{00000000-0005-0000-0000-0000AC630000}"/>
    <cellStyle name="Normal 2 78 2 2 3" xfId="28150" xr:uid="{00000000-0005-0000-0000-0000AD630000}"/>
    <cellStyle name="Normal 2 78 2 3" xfId="22330" xr:uid="{00000000-0005-0000-0000-0000AE630000}"/>
    <cellStyle name="Normal 2 78 2 3 2" xfId="38402" xr:uid="{00000000-0005-0000-0000-0000AF630000}"/>
    <cellStyle name="Normal 2 78 2 4" xfId="31551" xr:uid="{00000000-0005-0000-0000-0000B0630000}"/>
    <cellStyle name="Normal 2 78 3" xfId="7945" xr:uid="{00000000-0005-0000-0000-0000B1630000}"/>
    <cellStyle name="Normal 2 78 3 2" xfId="23292" xr:uid="{00000000-0005-0000-0000-0000B2630000}"/>
    <cellStyle name="Normal 2 78 3 2 2" xfId="39359" xr:uid="{00000000-0005-0000-0000-0000B3630000}"/>
    <cellStyle name="Normal 2 78 3 3" xfId="29854" xr:uid="{00000000-0005-0000-0000-0000B4630000}"/>
    <cellStyle name="Normal 2 78 4" xfId="23821" xr:uid="{00000000-0005-0000-0000-0000B5630000}"/>
    <cellStyle name="Normal 2 78 4 2" xfId="39877" xr:uid="{00000000-0005-0000-0000-0000B6630000}"/>
    <cellStyle name="Normal 2 78 5" xfId="25454" xr:uid="{00000000-0005-0000-0000-0000B7630000}"/>
    <cellStyle name="Normal 2 78 6" xfId="33243" xr:uid="{00000000-0005-0000-0000-0000B8630000}"/>
    <cellStyle name="Normal 2 79" xfId="4469" xr:uid="{00000000-0005-0000-0000-0000B9630000}"/>
    <cellStyle name="Normal 2 79 2" xfId="6266" xr:uid="{00000000-0005-0000-0000-0000BA630000}"/>
    <cellStyle name="Normal 2 79 2 2" xfId="9676" xr:uid="{00000000-0005-0000-0000-0000BB630000}"/>
    <cellStyle name="Normal 2 79 2 2 2" xfId="23541" xr:uid="{00000000-0005-0000-0000-0000BC630000}"/>
    <cellStyle name="Normal 2 79 2 2 2 2" xfId="39597" xr:uid="{00000000-0005-0000-0000-0000BD630000}"/>
    <cellStyle name="Normal 2 79 2 2 3" xfId="28123" xr:uid="{00000000-0005-0000-0000-0000BE630000}"/>
    <cellStyle name="Normal 2 79 2 3" xfId="24009" xr:uid="{00000000-0005-0000-0000-0000BF630000}"/>
    <cellStyle name="Normal 2 79 2 3 2" xfId="40062" xr:uid="{00000000-0005-0000-0000-0000C0630000}"/>
    <cellStyle name="Normal 2 79 2 4" xfId="31524" xr:uid="{00000000-0005-0000-0000-0000C1630000}"/>
    <cellStyle name="Normal 2 79 3" xfId="7972" xr:uid="{00000000-0005-0000-0000-0000C2630000}"/>
    <cellStyle name="Normal 2 79 3 2" xfId="24300" xr:uid="{00000000-0005-0000-0000-0000C3630000}"/>
    <cellStyle name="Normal 2 79 3 2 2" xfId="40352" xr:uid="{00000000-0005-0000-0000-0000C4630000}"/>
    <cellStyle name="Normal 2 79 3 3" xfId="29827" xr:uid="{00000000-0005-0000-0000-0000C5630000}"/>
    <cellStyle name="Normal 2 79 4" xfId="12333" xr:uid="{00000000-0005-0000-0000-0000C6630000}"/>
    <cellStyle name="Normal 2 79 4 2" xfId="35196" xr:uid="{00000000-0005-0000-0000-0000C7630000}"/>
    <cellStyle name="Normal 2 79 5" xfId="25455" xr:uid="{00000000-0005-0000-0000-0000C8630000}"/>
    <cellStyle name="Normal 2 79 6" xfId="33217" xr:uid="{00000000-0005-0000-0000-0000C9630000}"/>
    <cellStyle name="Normal 2 8" xfId="1596" xr:uid="{00000000-0005-0000-0000-0000CA630000}"/>
    <cellStyle name="Normal 2 8 2" xfId="1597" xr:uid="{00000000-0005-0000-0000-0000CB630000}"/>
    <cellStyle name="Normal 2 8 2 2" xfId="12244" xr:uid="{00000000-0005-0000-0000-0000CC630000}"/>
    <cellStyle name="Normal 2 8 3" xfId="1598" xr:uid="{00000000-0005-0000-0000-0000CD630000}"/>
    <cellStyle name="Normal 2 8 3 2" xfId="1599" xr:uid="{00000000-0005-0000-0000-0000CE630000}"/>
    <cellStyle name="Normal 2 8 3 3" xfId="12245" xr:uid="{00000000-0005-0000-0000-0000CF630000}"/>
    <cellStyle name="Normal 2 8_Ark1" xfId="12246" xr:uid="{00000000-0005-0000-0000-0000D0630000}"/>
    <cellStyle name="Normal 2 80" xfId="4472" xr:uid="{00000000-0005-0000-0000-0000D1630000}"/>
    <cellStyle name="Normal 2 80 2" xfId="6269" xr:uid="{00000000-0005-0000-0000-0000D2630000}"/>
    <cellStyle name="Normal 2 80 2 2" xfId="9679" xr:uid="{00000000-0005-0000-0000-0000D3630000}"/>
    <cellStyle name="Normal 2 80 2 2 2" xfId="21453" xr:uid="{00000000-0005-0000-0000-0000D4630000}"/>
    <cellStyle name="Normal 2 80 2 2 2 2" xfId="37533" xr:uid="{00000000-0005-0000-0000-0000D5630000}"/>
    <cellStyle name="Normal 2 80 2 2 3" xfId="28120" xr:uid="{00000000-0005-0000-0000-0000D6630000}"/>
    <cellStyle name="Normal 2 80 2 3" xfId="20386" xr:uid="{00000000-0005-0000-0000-0000D7630000}"/>
    <cellStyle name="Normal 2 80 2 3 2" xfId="36485" xr:uid="{00000000-0005-0000-0000-0000D8630000}"/>
    <cellStyle name="Normal 2 80 2 4" xfId="31521" xr:uid="{00000000-0005-0000-0000-0000D9630000}"/>
    <cellStyle name="Normal 2 80 3" xfId="7975" xr:uid="{00000000-0005-0000-0000-0000DA630000}"/>
    <cellStyle name="Normal 2 80 3 2" xfId="21684" xr:uid="{00000000-0005-0000-0000-0000DB630000}"/>
    <cellStyle name="Normal 2 80 3 2 2" xfId="37764" xr:uid="{00000000-0005-0000-0000-0000DC630000}"/>
    <cellStyle name="Normal 2 80 3 3" xfId="29824" xr:uid="{00000000-0005-0000-0000-0000DD630000}"/>
    <cellStyle name="Normal 2 80 4" xfId="22215" xr:uid="{00000000-0005-0000-0000-0000DE630000}"/>
    <cellStyle name="Normal 2 80 4 2" xfId="38289" xr:uid="{00000000-0005-0000-0000-0000DF630000}"/>
    <cellStyle name="Normal 2 80 5" xfId="25456" xr:uid="{00000000-0005-0000-0000-0000E0630000}"/>
    <cellStyle name="Normal 2 80 6" xfId="33214" xr:uid="{00000000-0005-0000-0000-0000E1630000}"/>
    <cellStyle name="Normal 2 81" xfId="4484" xr:uid="{00000000-0005-0000-0000-0000E2630000}"/>
    <cellStyle name="Normal 2 81 2" xfId="6279" xr:uid="{00000000-0005-0000-0000-0000E3630000}"/>
    <cellStyle name="Normal 2 81 2 2" xfId="9689" xr:uid="{00000000-0005-0000-0000-0000E4630000}"/>
    <cellStyle name="Normal 2 81 2 2 2" xfId="24549" xr:uid="{00000000-0005-0000-0000-0000E5630000}"/>
    <cellStyle name="Normal 2 81 2 2 2 2" xfId="40593" xr:uid="{00000000-0005-0000-0000-0000E6630000}"/>
    <cellStyle name="Normal 2 81 2 2 3" xfId="28110" xr:uid="{00000000-0005-0000-0000-0000E7630000}"/>
    <cellStyle name="Normal 2 81 2 3" xfId="20390" xr:uid="{00000000-0005-0000-0000-0000E8630000}"/>
    <cellStyle name="Normal 2 81 2 3 2" xfId="36489" xr:uid="{00000000-0005-0000-0000-0000E9630000}"/>
    <cellStyle name="Normal 2 81 2 4" xfId="31511" xr:uid="{00000000-0005-0000-0000-0000EA630000}"/>
    <cellStyle name="Normal 2 81 3" xfId="7985" xr:uid="{00000000-0005-0000-0000-0000EB630000}"/>
    <cellStyle name="Normal 2 81 3 2" xfId="19455" xr:uid="{00000000-0005-0000-0000-0000EC630000}"/>
    <cellStyle name="Normal 2 81 3 2 2" xfId="35569" xr:uid="{00000000-0005-0000-0000-0000ED630000}"/>
    <cellStyle name="Normal 2 81 3 3" xfId="29814" xr:uid="{00000000-0005-0000-0000-0000EE630000}"/>
    <cellStyle name="Normal 2 81 4" xfId="12317" xr:uid="{00000000-0005-0000-0000-0000EF630000}"/>
    <cellStyle name="Normal 2 81 4 2" xfId="35188" xr:uid="{00000000-0005-0000-0000-0000F0630000}"/>
    <cellStyle name="Normal 2 81 5" xfId="25457" xr:uid="{00000000-0005-0000-0000-0000F1630000}"/>
    <cellStyle name="Normal 2 81 6" xfId="33204" xr:uid="{00000000-0005-0000-0000-0000F2630000}"/>
    <cellStyle name="Normal 2 82" xfId="4478" xr:uid="{00000000-0005-0000-0000-0000F3630000}"/>
    <cellStyle name="Normal 2 82 2" xfId="6274" xr:uid="{00000000-0005-0000-0000-0000F4630000}"/>
    <cellStyle name="Normal 2 82 2 2" xfId="9684" xr:uid="{00000000-0005-0000-0000-0000F5630000}"/>
    <cellStyle name="Normal 2 82 2 2 2" xfId="24548" xr:uid="{00000000-0005-0000-0000-0000F6630000}"/>
    <cellStyle name="Normal 2 82 2 2 2 2" xfId="40592" xr:uid="{00000000-0005-0000-0000-0000F7630000}"/>
    <cellStyle name="Normal 2 82 2 2 3" xfId="28115" xr:uid="{00000000-0005-0000-0000-0000F8630000}"/>
    <cellStyle name="Normal 2 82 2 3" xfId="23008" xr:uid="{00000000-0005-0000-0000-0000F9630000}"/>
    <cellStyle name="Normal 2 82 2 3 2" xfId="39077" xr:uid="{00000000-0005-0000-0000-0000FA630000}"/>
    <cellStyle name="Normal 2 82 2 4" xfId="31516" xr:uid="{00000000-0005-0000-0000-0000FB630000}"/>
    <cellStyle name="Normal 2 82 3" xfId="7980" xr:uid="{00000000-0005-0000-0000-0000FC630000}"/>
    <cellStyle name="Normal 2 82 3 2" xfId="19459" xr:uid="{00000000-0005-0000-0000-0000FD630000}"/>
    <cellStyle name="Normal 2 82 3 2 2" xfId="35573" xr:uid="{00000000-0005-0000-0000-0000FE630000}"/>
    <cellStyle name="Normal 2 82 3 3" xfId="29819" xr:uid="{00000000-0005-0000-0000-0000FF630000}"/>
    <cellStyle name="Normal 2 82 4" xfId="19615" xr:uid="{00000000-0005-0000-0000-000000640000}"/>
    <cellStyle name="Normal 2 82 4 2" xfId="35729" xr:uid="{00000000-0005-0000-0000-000001640000}"/>
    <cellStyle name="Normal 2 82 5" xfId="25458" xr:uid="{00000000-0005-0000-0000-000002640000}"/>
    <cellStyle name="Normal 2 82 6" xfId="33209" xr:uid="{00000000-0005-0000-0000-000003640000}"/>
    <cellStyle name="Normal 2 83" xfId="4479" xr:uid="{00000000-0005-0000-0000-000004640000}"/>
    <cellStyle name="Normal 2 83 2" xfId="6275" xr:uid="{00000000-0005-0000-0000-000005640000}"/>
    <cellStyle name="Normal 2 83 2 2" xfId="9685" xr:uid="{00000000-0005-0000-0000-000006640000}"/>
    <cellStyle name="Normal 2 83 2 2 2" xfId="21970" xr:uid="{00000000-0005-0000-0000-000007640000}"/>
    <cellStyle name="Normal 2 83 2 2 2 2" xfId="38045" xr:uid="{00000000-0005-0000-0000-000008640000}"/>
    <cellStyle name="Normal 2 83 2 2 3" xfId="28114" xr:uid="{00000000-0005-0000-0000-000009640000}"/>
    <cellStyle name="Normal 2 83 2 3" xfId="20389" xr:uid="{00000000-0005-0000-0000-00000A640000}"/>
    <cellStyle name="Normal 2 83 2 3 2" xfId="36488" xr:uid="{00000000-0005-0000-0000-00000B640000}"/>
    <cellStyle name="Normal 2 83 2 4" xfId="31515" xr:uid="{00000000-0005-0000-0000-00000C640000}"/>
    <cellStyle name="Normal 2 83 3" xfId="7981" xr:uid="{00000000-0005-0000-0000-00000D640000}"/>
    <cellStyle name="Normal 2 83 3 2" xfId="11906" xr:uid="{00000000-0005-0000-0000-00000E640000}"/>
    <cellStyle name="Normal 2 83 3 2 2" xfId="34942" xr:uid="{00000000-0005-0000-0000-00000F640000}"/>
    <cellStyle name="Normal 2 83 3 3" xfId="29818" xr:uid="{00000000-0005-0000-0000-000010640000}"/>
    <cellStyle name="Normal 2 83 4" xfId="12329" xr:uid="{00000000-0005-0000-0000-000011640000}"/>
    <cellStyle name="Normal 2 83 4 2" xfId="35194" xr:uid="{00000000-0005-0000-0000-000012640000}"/>
    <cellStyle name="Normal 2 83 5" xfId="25459" xr:uid="{00000000-0005-0000-0000-000013640000}"/>
    <cellStyle name="Normal 2 83 6" xfId="33208" xr:uid="{00000000-0005-0000-0000-000014640000}"/>
    <cellStyle name="Normal 2 84" xfId="745" xr:uid="{00000000-0005-0000-0000-000015640000}"/>
    <cellStyle name="Normal 2 84 2" xfId="6214" xr:uid="{00000000-0005-0000-0000-000016640000}"/>
    <cellStyle name="Normal 2 84 2 2" xfId="9628" xr:uid="{00000000-0005-0000-0000-000017640000}"/>
    <cellStyle name="Normal 2 84 2 2 2" xfId="11643" xr:uid="{00000000-0005-0000-0000-000018640000}"/>
    <cellStyle name="Normal 2 84 2 2 2 2" xfId="34818" xr:uid="{00000000-0005-0000-0000-000019640000}"/>
    <cellStyle name="Normal 2 84 2 2 3" xfId="28171" xr:uid="{00000000-0005-0000-0000-00001A640000}"/>
    <cellStyle name="Normal 2 84 2 3" xfId="22997" xr:uid="{00000000-0005-0000-0000-00001B640000}"/>
    <cellStyle name="Normal 2 84 2 3 2" xfId="39066" xr:uid="{00000000-0005-0000-0000-00001C640000}"/>
    <cellStyle name="Normal 2 84 2 4" xfId="31572" xr:uid="{00000000-0005-0000-0000-00001D640000}"/>
    <cellStyle name="Normal 2 84 3" xfId="6935" xr:uid="{00000000-0005-0000-0000-00001E640000}"/>
    <cellStyle name="Normal 2 84 3 2" xfId="19438" xr:uid="{00000000-0005-0000-0000-00001F640000}"/>
    <cellStyle name="Normal 2 84 3 2 2" xfId="35552" xr:uid="{00000000-0005-0000-0000-000020640000}"/>
    <cellStyle name="Normal 2 84 3 3" xfId="30863" xr:uid="{00000000-0005-0000-0000-000021640000}"/>
    <cellStyle name="Normal 2 84 4" xfId="19905" xr:uid="{00000000-0005-0000-0000-000022640000}"/>
    <cellStyle name="Normal 2 84 4 2" xfId="36013" xr:uid="{00000000-0005-0000-0000-000023640000}"/>
    <cellStyle name="Normal 2 84 5" xfId="25460" xr:uid="{00000000-0005-0000-0000-000024640000}"/>
    <cellStyle name="Normal 2 84 6" xfId="34251" xr:uid="{00000000-0005-0000-0000-000025640000}"/>
    <cellStyle name="Normal 2 85" xfId="4481" xr:uid="{00000000-0005-0000-0000-000026640000}"/>
    <cellStyle name="Normal 2 85 2" xfId="6277" xr:uid="{00000000-0005-0000-0000-000027640000}"/>
    <cellStyle name="Normal 2 85 2 2" xfId="9687" xr:uid="{00000000-0005-0000-0000-000028640000}"/>
    <cellStyle name="Normal 2 85 2 2 2" xfId="21455" xr:uid="{00000000-0005-0000-0000-000029640000}"/>
    <cellStyle name="Normal 2 85 2 2 2 2" xfId="37535" xr:uid="{00000000-0005-0000-0000-00002A640000}"/>
    <cellStyle name="Normal 2 85 2 2 3" xfId="28112" xr:uid="{00000000-0005-0000-0000-00002B640000}"/>
    <cellStyle name="Normal 2 85 2 3" xfId="22120" xr:uid="{00000000-0005-0000-0000-00002C640000}"/>
    <cellStyle name="Normal 2 85 2 3 2" xfId="38194" xr:uid="{00000000-0005-0000-0000-00002D640000}"/>
    <cellStyle name="Normal 2 85 2 4" xfId="31513" xr:uid="{00000000-0005-0000-0000-00002E640000}"/>
    <cellStyle name="Normal 2 85 3" xfId="7983" xr:uid="{00000000-0005-0000-0000-00002F640000}"/>
    <cellStyle name="Normal 2 85 3 2" xfId="24658" xr:uid="{00000000-0005-0000-0000-000030640000}"/>
    <cellStyle name="Normal 2 85 3 2 2" xfId="40701" xr:uid="{00000000-0005-0000-0000-000031640000}"/>
    <cellStyle name="Normal 2 85 3 3" xfId="29816" xr:uid="{00000000-0005-0000-0000-000032640000}"/>
    <cellStyle name="Normal 2 85 4" xfId="20019" xr:uid="{00000000-0005-0000-0000-000033640000}"/>
    <cellStyle name="Normal 2 85 4 2" xfId="36123" xr:uid="{00000000-0005-0000-0000-000034640000}"/>
    <cellStyle name="Normal 2 85 5" xfId="25461" xr:uid="{00000000-0005-0000-0000-000035640000}"/>
    <cellStyle name="Normal 2 85 6" xfId="33206" xr:uid="{00000000-0005-0000-0000-000036640000}"/>
    <cellStyle name="Normal 2 86" xfId="4495" xr:uid="{00000000-0005-0000-0000-000037640000}"/>
    <cellStyle name="Normal 2 86 2" xfId="6288" xr:uid="{00000000-0005-0000-0000-000038640000}"/>
    <cellStyle name="Normal 2 86 2 2" xfId="9698" xr:uid="{00000000-0005-0000-0000-000039640000}"/>
    <cellStyle name="Normal 2 86 2 2 2" xfId="21460" xr:uid="{00000000-0005-0000-0000-00003A640000}"/>
    <cellStyle name="Normal 2 86 2 2 2 2" xfId="37540" xr:uid="{00000000-0005-0000-0000-00003B640000}"/>
    <cellStyle name="Normal 2 86 2 2 3" xfId="28101" xr:uid="{00000000-0005-0000-0000-00003C640000}"/>
    <cellStyle name="Normal 2 86 2 3" xfId="22124" xr:uid="{00000000-0005-0000-0000-00003D640000}"/>
    <cellStyle name="Normal 2 86 2 3 2" xfId="38198" xr:uid="{00000000-0005-0000-0000-00003E640000}"/>
    <cellStyle name="Normal 2 86 2 4" xfId="31502" xr:uid="{00000000-0005-0000-0000-00003F640000}"/>
    <cellStyle name="Normal 2 86 3" xfId="7994" xr:uid="{00000000-0005-0000-0000-000040640000}"/>
    <cellStyle name="Normal 2 86 3 2" xfId="10611" xr:uid="{00000000-0005-0000-0000-000041640000}"/>
    <cellStyle name="Normal 2 86 3 2 2" xfId="34459" xr:uid="{00000000-0005-0000-0000-000042640000}"/>
    <cellStyle name="Normal 2 86 3 3" xfId="29804" xr:uid="{00000000-0005-0000-0000-000043640000}"/>
    <cellStyle name="Normal 2 86 4" xfId="12321" xr:uid="{00000000-0005-0000-0000-000044640000}"/>
    <cellStyle name="Normal 2 86 4 2" xfId="35190" xr:uid="{00000000-0005-0000-0000-000045640000}"/>
    <cellStyle name="Normal 2 86 5" xfId="25462" xr:uid="{00000000-0005-0000-0000-000046640000}"/>
    <cellStyle name="Normal 2 86 6" xfId="33195" xr:uid="{00000000-0005-0000-0000-000047640000}"/>
    <cellStyle name="Normal 2 87" xfId="4499" xr:uid="{00000000-0005-0000-0000-000048640000}"/>
    <cellStyle name="Normal 2 87 2" xfId="6291" xr:uid="{00000000-0005-0000-0000-000049640000}"/>
    <cellStyle name="Normal 2 87 2 2" xfId="9701" xr:uid="{00000000-0005-0000-0000-00004A640000}"/>
    <cellStyle name="Normal 2 87 2 2 2" xfId="23546" xr:uid="{00000000-0005-0000-0000-00004B640000}"/>
    <cellStyle name="Normal 2 87 2 2 2 2" xfId="39602" xr:uid="{00000000-0005-0000-0000-00004C640000}"/>
    <cellStyle name="Normal 2 87 2 2 3" xfId="28098" xr:uid="{00000000-0005-0000-0000-00004D640000}"/>
    <cellStyle name="Normal 2 87 2 3" xfId="20396" xr:uid="{00000000-0005-0000-0000-00004E640000}"/>
    <cellStyle name="Normal 2 87 2 3 2" xfId="36495" xr:uid="{00000000-0005-0000-0000-00004F640000}"/>
    <cellStyle name="Normal 2 87 2 4" xfId="31499" xr:uid="{00000000-0005-0000-0000-000050640000}"/>
    <cellStyle name="Normal 2 87 3" xfId="7997" xr:uid="{00000000-0005-0000-0000-000051640000}"/>
    <cellStyle name="Normal 2 87 3 2" xfId="20968" xr:uid="{00000000-0005-0000-0000-000052640000}"/>
    <cellStyle name="Normal 2 87 3 2 2" xfId="37064" xr:uid="{00000000-0005-0000-0000-000053640000}"/>
    <cellStyle name="Normal 2 87 3 3" xfId="29801" xr:uid="{00000000-0005-0000-0000-000054640000}"/>
    <cellStyle name="Normal 2 87 4" xfId="22820" xr:uid="{00000000-0005-0000-0000-000055640000}"/>
    <cellStyle name="Normal 2 87 4 2" xfId="38889" xr:uid="{00000000-0005-0000-0000-000056640000}"/>
    <cellStyle name="Normal 2 87 5" xfId="33192" xr:uid="{00000000-0005-0000-0000-000057640000}"/>
    <cellStyle name="Normal 2 87 6" xfId="44063" xr:uid="{00000000-0005-0000-0000-000058640000}"/>
    <cellStyle name="Normal 2 88" xfId="4524" xr:uid="{00000000-0005-0000-0000-000059640000}"/>
    <cellStyle name="Normal 2 88 2" xfId="6316" xr:uid="{00000000-0005-0000-0000-00005A640000}"/>
    <cellStyle name="Normal 2 88 2 2" xfId="9726" xr:uid="{00000000-0005-0000-0000-00005B640000}"/>
    <cellStyle name="Normal 2 88 2 2 2" xfId="21976" xr:uid="{00000000-0005-0000-0000-00005C640000}"/>
    <cellStyle name="Normal 2 88 2 2 2 2" xfId="38051" xr:uid="{00000000-0005-0000-0000-00005D640000}"/>
    <cellStyle name="Normal 2 88 2 2 3" xfId="28073" xr:uid="{00000000-0005-0000-0000-00005E640000}"/>
    <cellStyle name="Normal 2 88 2 3" xfId="22339" xr:uid="{00000000-0005-0000-0000-00005F640000}"/>
    <cellStyle name="Normal 2 88 2 3 2" xfId="38411" xr:uid="{00000000-0005-0000-0000-000060640000}"/>
    <cellStyle name="Normal 2 88 2 4" xfId="31474" xr:uid="{00000000-0005-0000-0000-000061640000}"/>
    <cellStyle name="Normal 2 88 3" xfId="8022" xr:uid="{00000000-0005-0000-0000-000062640000}"/>
    <cellStyle name="Normal 2 88 3 2" xfId="24652" xr:uid="{00000000-0005-0000-0000-000063640000}"/>
    <cellStyle name="Normal 2 88 3 2 2" xfId="40696" xr:uid="{00000000-0005-0000-0000-000064640000}"/>
    <cellStyle name="Normal 2 88 3 3" xfId="29776" xr:uid="{00000000-0005-0000-0000-000065640000}"/>
    <cellStyle name="Normal 2 88 4" xfId="10957" xr:uid="{00000000-0005-0000-0000-000066640000}"/>
    <cellStyle name="Normal 2 88 4 2" xfId="34699" xr:uid="{00000000-0005-0000-0000-000067640000}"/>
    <cellStyle name="Normal 2 88 5" xfId="33167" xr:uid="{00000000-0005-0000-0000-000068640000}"/>
    <cellStyle name="Normal 2 88 6" xfId="45290" xr:uid="{00000000-0005-0000-0000-000069640000}"/>
    <cellStyle name="Normal 2 89" xfId="4527" xr:uid="{00000000-0005-0000-0000-00006A640000}"/>
    <cellStyle name="Normal 2 89 2" xfId="6319" xr:uid="{00000000-0005-0000-0000-00006B640000}"/>
    <cellStyle name="Normal 2 89 2 2" xfId="9729" xr:uid="{00000000-0005-0000-0000-00006C640000}"/>
    <cellStyle name="Normal 2 89 2 2 2" xfId="11623" xr:uid="{00000000-0005-0000-0000-00006D640000}"/>
    <cellStyle name="Normal 2 89 2 2 2 2" xfId="34808" xr:uid="{00000000-0005-0000-0000-00006E640000}"/>
    <cellStyle name="Normal 2 89 2 2 3" xfId="28070" xr:uid="{00000000-0005-0000-0000-00006F640000}"/>
    <cellStyle name="Normal 2 89 2 3" xfId="24018" xr:uid="{00000000-0005-0000-0000-000070640000}"/>
    <cellStyle name="Normal 2 89 2 3 2" xfId="40071" xr:uid="{00000000-0005-0000-0000-000071640000}"/>
    <cellStyle name="Normal 2 89 2 4" xfId="31471" xr:uid="{00000000-0005-0000-0000-000072640000}"/>
    <cellStyle name="Normal 2 89 3" xfId="8025" xr:uid="{00000000-0005-0000-0000-000073640000}"/>
    <cellStyle name="Normal 2 89 3 2" xfId="20975" xr:uid="{00000000-0005-0000-0000-000074640000}"/>
    <cellStyle name="Normal 2 89 3 2 2" xfId="37071" xr:uid="{00000000-0005-0000-0000-000075640000}"/>
    <cellStyle name="Normal 2 89 3 3" xfId="29773" xr:uid="{00000000-0005-0000-0000-000076640000}"/>
    <cellStyle name="Normal 2 89 4" xfId="20023" xr:uid="{00000000-0005-0000-0000-000077640000}"/>
    <cellStyle name="Normal 2 89 4 2" xfId="36127" xr:uid="{00000000-0005-0000-0000-000078640000}"/>
    <cellStyle name="Normal 2 89 5" xfId="33164" xr:uid="{00000000-0005-0000-0000-000079640000}"/>
    <cellStyle name="Normal 2 89 6" xfId="43867" xr:uid="{00000000-0005-0000-0000-00007A640000}"/>
    <cellStyle name="Normal 2 9" xfId="1600" xr:uid="{00000000-0005-0000-0000-00007B640000}"/>
    <cellStyle name="Normal 2 9 10" xfId="46336" xr:uid="{00000000-0005-0000-0000-00007C640000}"/>
    <cellStyle name="Normal 2 9 11" xfId="47049" xr:uid="{00000000-0005-0000-0000-00007D640000}"/>
    <cellStyle name="Normal 2 9 2" xfId="1601" xr:uid="{00000000-0005-0000-0000-00007E640000}"/>
    <cellStyle name="Normal 2 9 2 2" xfId="12248" xr:uid="{00000000-0005-0000-0000-00007F640000}"/>
    <cellStyle name="Normal 2 9 3" xfId="3664" xr:uid="{00000000-0005-0000-0000-000080640000}"/>
    <cellStyle name="Normal 2 9 3 2" xfId="5578" xr:uid="{00000000-0005-0000-0000-000081640000}"/>
    <cellStyle name="Normal 2 9 3 2 2" xfId="8993" xr:uid="{00000000-0005-0000-0000-000082640000}"/>
    <cellStyle name="Normal 2 9 3 2 2 2" xfId="21786" xr:uid="{00000000-0005-0000-0000-000083640000}"/>
    <cellStyle name="Normal 2 9 3 2 2 2 2" xfId="37862" xr:uid="{00000000-0005-0000-0000-000084640000}"/>
    <cellStyle name="Normal 2 9 3 2 2 3" xfId="28805" xr:uid="{00000000-0005-0000-0000-000085640000}"/>
    <cellStyle name="Normal 2 9 3 2 3" xfId="22255" xr:uid="{00000000-0005-0000-0000-000086640000}"/>
    <cellStyle name="Normal 2 9 3 2 3 2" xfId="38329" xr:uid="{00000000-0005-0000-0000-000087640000}"/>
    <cellStyle name="Normal 2 9 3 2 4" xfId="32196" xr:uid="{00000000-0005-0000-0000-000088640000}"/>
    <cellStyle name="Normal 2 9 3 3" xfId="7296" xr:uid="{00000000-0005-0000-0000-000089640000}"/>
    <cellStyle name="Normal 2 9 3 3 2" xfId="20728" xr:uid="{00000000-0005-0000-0000-00008A640000}"/>
    <cellStyle name="Normal 2 9 3 3 2 2" xfId="36827" xr:uid="{00000000-0005-0000-0000-00008B640000}"/>
    <cellStyle name="Normal 2 9 3 3 3" xfId="30502" xr:uid="{00000000-0005-0000-0000-00008C640000}"/>
    <cellStyle name="Normal 2 9 3 4" xfId="12249" xr:uid="{00000000-0005-0000-0000-00008D640000}"/>
    <cellStyle name="Normal 2 9 3 5" xfId="11084" xr:uid="{00000000-0005-0000-0000-00008E640000}"/>
    <cellStyle name="Normal 2 9 3 5 2" xfId="34787" xr:uid="{00000000-0005-0000-0000-00008F640000}"/>
    <cellStyle name="Normal 2 9 3 6" xfId="33889" xr:uid="{00000000-0005-0000-0000-000090640000}"/>
    <cellStyle name="Normal 2 9 4" xfId="4128" xr:uid="{00000000-0005-0000-0000-000091640000}"/>
    <cellStyle name="Normal 2 9 4 2" xfId="5981" xr:uid="{00000000-0005-0000-0000-000092640000}"/>
    <cellStyle name="Normal 2 9 4 2 2" xfId="9396" xr:uid="{00000000-0005-0000-0000-000093640000}"/>
    <cellStyle name="Normal 2 9 4 2 2 2" xfId="23504" xr:uid="{00000000-0005-0000-0000-000094640000}"/>
    <cellStyle name="Normal 2 9 4 2 2 2 2" xfId="39560" xr:uid="{00000000-0005-0000-0000-000095640000}"/>
    <cellStyle name="Normal 2 9 4 2 2 3" xfId="28402" xr:uid="{00000000-0005-0000-0000-000096640000}"/>
    <cellStyle name="Normal 2 9 4 2 3" xfId="22951" xr:uid="{00000000-0005-0000-0000-000097640000}"/>
    <cellStyle name="Normal 2 9 4 2 3 2" xfId="39020" xr:uid="{00000000-0005-0000-0000-000098640000}"/>
    <cellStyle name="Normal 2 9 4 2 4" xfId="31797" xr:uid="{00000000-0005-0000-0000-000099640000}"/>
    <cellStyle name="Normal 2 9 4 3" xfId="7711" xr:uid="{00000000-0005-0000-0000-00009A640000}"/>
    <cellStyle name="Normal 2 9 4 3 2" xfId="20875" xr:uid="{00000000-0005-0000-0000-00009B640000}"/>
    <cellStyle name="Normal 2 9 4 3 2 2" xfId="36974" xr:uid="{00000000-0005-0000-0000-00009C640000}"/>
    <cellStyle name="Normal 2 9 4 3 3" xfId="30088" xr:uid="{00000000-0005-0000-0000-00009D640000}"/>
    <cellStyle name="Normal 2 9 4 4" xfId="18163" xr:uid="{00000000-0005-0000-0000-00009E640000}"/>
    <cellStyle name="Normal 2 9 4 5" xfId="23653" xr:uid="{00000000-0005-0000-0000-00009F640000}"/>
    <cellStyle name="Normal 2 9 4 5 2" xfId="39709" xr:uid="{00000000-0005-0000-0000-0000A0640000}"/>
    <cellStyle name="Normal 2 9 4 6" xfId="33474" xr:uid="{00000000-0005-0000-0000-0000A1640000}"/>
    <cellStyle name="Normal 2 9 5" xfId="4464" xr:uid="{00000000-0005-0000-0000-0000A2640000}"/>
    <cellStyle name="Normal 2 9 5 10" xfId="47233" xr:uid="{00000000-0005-0000-0000-0000A3640000}"/>
    <cellStyle name="Normal 2 9 5 2" xfId="6261" xr:uid="{00000000-0005-0000-0000-0000A4640000}"/>
    <cellStyle name="Normal 2 9 5 2 2" xfId="9671" xr:uid="{00000000-0005-0000-0000-0000A5640000}"/>
    <cellStyle name="Normal 2 9 5 2 2 2" xfId="22620" xr:uid="{00000000-0005-0000-0000-0000A6640000}"/>
    <cellStyle name="Normal 2 9 5 2 2 2 2" xfId="38689" xr:uid="{00000000-0005-0000-0000-0000A7640000}"/>
    <cellStyle name="Normal 2 9 5 2 2 3" xfId="28128" xr:uid="{00000000-0005-0000-0000-0000A8640000}"/>
    <cellStyle name="Normal 2 9 5 2 3" xfId="20384" xr:uid="{00000000-0005-0000-0000-0000A9640000}"/>
    <cellStyle name="Normal 2 9 5 2 3 2" xfId="36483" xr:uid="{00000000-0005-0000-0000-0000AA640000}"/>
    <cellStyle name="Normal 2 9 5 2 4" xfId="31529" xr:uid="{00000000-0005-0000-0000-0000AB640000}"/>
    <cellStyle name="Normal 2 9 5 2 5" xfId="41706" xr:uid="{00000000-0005-0000-0000-0000AC640000}"/>
    <cellStyle name="Normal 2 9 5 2 6" xfId="43234" xr:uid="{00000000-0005-0000-0000-0000AD640000}"/>
    <cellStyle name="Normal 2 9 5 2 7" xfId="46074" xr:uid="{00000000-0005-0000-0000-0000AE640000}"/>
    <cellStyle name="Normal 2 9 5 2 8" xfId="46837" xr:uid="{00000000-0005-0000-0000-0000AF640000}"/>
    <cellStyle name="Normal 2 9 5 2 9" xfId="47428" xr:uid="{00000000-0005-0000-0000-0000B0640000}"/>
    <cellStyle name="Normal 2 9 5 3" xfId="7967" xr:uid="{00000000-0005-0000-0000-0000B1640000}"/>
    <cellStyle name="Normal 2 9 5 3 2" xfId="20963" xr:uid="{00000000-0005-0000-0000-0000B2640000}"/>
    <cellStyle name="Normal 2 9 5 3 2 2" xfId="37059" xr:uid="{00000000-0005-0000-0000-0000B3640000}"/>
    <cellStyle name="Normal 2 9 5 3 3" xfId="29832" xr:uid="{00000000-0005-0000-0000-0000B4640000}"/>
    <cellStyle name="Normal 2 9 5 3 4" xfId="44077" xr:uid="{00000000-0005-0000-0000-0000B5640000}"/>
    <cellStyle name="Normal 2 9 5 4" xfId="15149" xr:uid="{00000000-0005-0000-0000-0000B6640000}"/>
    <cellStyle name="Normal 2 9 5 4 2" xfId="35328" xr:uid="{00000000-0005-0000-0000-0000B7640000}"/>
    <cellStyle name="Normal 2 9 5 5" xfId="24958" xr:uid="{00000000-0005-0000-0000-0000B8640000}"/>
    <cellStyle name="Normal 2 9 5 6" xfId="25463" xr:uid="{00000000-0005-0000-0000-0000B9640000}"/>
    <cellStyle name="Normal 2 9 5 7" xfId="33222" xr:uid="{00000000-0005-0000-0000-0000BA640000}"/>
    <cellStyle name="Normal 2 9 5 8" xfId="43686" xr:uid="{00000000-0005-0000-0000-0000BB640000}"/>
    <cellStyle name="Normal 2 9 5 9" xfId="46597" xr:uid="{00000000-0005-0000-0000-0000BC640000}"/>
    <cellStyle name="Normal 2 9 6" xfId="4492" xr:uid="{00000000-0005-0000-0000-0000BD640000}"/>
    <cellStyle name="Normal 2 9 6 2" xfId="6285" xr:uid="{00000000-0005-0000-0000-0000BE640000}"/>
    <cellStyle name="Normal 2 9 6 2 2" xfId="9695" xr:uid="{00000000-0005-0000-0000-0000BF640000}"/>
    <cellStyle name="Normal 2 9 6 2 2 2" xfId="21972" xr:uid="{00000000-0005-0000-0000-0000C0640000}"/>
    <cellStyle name="Normal 2 9 6 2 2 2 2" xfId="38047" xr:uid="{00000000-0005-0000-0000-0000C1640000}"/>
    <cellStyle name="Normal 2 9 6 2 2 3" xfId="28104" xr:uid="{00000000-0005-0000-0000-0000C2640000}"/>
    <cellStyle name="Normal 2 9 6 2 3" xfId="20393" xr:uid="{00000000-0005-0000-0000-0000C3640000}"/>
    <cellStyle name="Normal 2 9 6 2 3 2" xfId="36492" xr:uid="{00000000-0005-0000-0000-0000C4640000}"/>
    <cellStyle name="Normal 2 9 6 2 4" xfId="31505" xr:uid="{00000000-0005-0000-0000-0000C5640000}"/>
    <cellStyle name="Normal 2 9 6 3" xfId="7991" xr:uid="{00000000-0005-0000-0000-0000C6640000}"/>
    <cellStyle name="Normal 2 9 6 3 2" xfId="11904" xr:uid="{00000000-0005-0000-0000-0000C7640000}"/>
    <cellStyle name="Normal 2 9 6 3 2 2" xfId="34940" xr:uid="{00000000-0005-0000-0000-0000C8640000}"/>
    <cellStyle name="Normal 2 9 6 3 3" xfId="29807" xr:uid="{00000000-0005-0000-0000-0000C9640000}"/>
    <cellStyle name="Normal 2 9 6 4" xfId="22053" xr:uid="{00000000-0005-0000-0000-0000CA640000}"/>
    <cellStyle name="Normal 2 9 6 4 2" xfId="38127" xr:uid="{00000000-0005-0000-0000-0000CB640000}"/>
    <cellStyle name="Normal 2 9 6 5" xfId="33198" xr:uid="{00000000-0005-0000-0000-0000CC640000}"/>
    <cellStyle name="Normal 2 9 7" xfId="4548" xr:uid="{00000000-0005-0000-0000-0000CD640000}"/>
    <cellStyle name="Normal 2 9 7 2" xfId="6340" xr:uid="{00000000-0005-0000-0000-0000CE640000}"/>
    <cellStyle name="Normal 2 9 7 2 2" xfId="9750" xr:uid="{00000000-0005-0000-0000-0000CF640000}"/>
    <cellStyle name="Normal 2 9 7 2 2 2" xfId="24557" xr:uid="{00000000-0005-0000-0000-0000D0640000}"/>
    <cellStyle name="Normal 2 9 7 2 2 2 2" xfId="40601" xr:uid="{00000000-0005-0000-0000-0000D1640000}"/>
    <cellStyle name="Normal 2 9 7 2 2 3" xfId="28049" xr:uid="{00000000-0005-0000-0000-0000D2640000}"/>
    <cellStyle name="Normal 2 9 7 2 3" xfId="22340" xr:uid="{00000000-0005-0000-0000-0000D3640000}"/>
    <cellStyle name="Normal 2 9 7 2 3 2" xfId="38412" xr:uid="{00000000-0005-0000-0000-0000D4640000}"/>
    <cellStyle name="Normal 2 9 7 2 4" xfId="31450" xr:uid="{00000000-0005-0000-0000-0000D5640000}"/>
    <cellStyle name="Normal 2 9 7 3" xfId="8046" xr:uid="{00000000-0005-0000-0000-0000D6640000}"/>
    <cellStyle name="Normal 2 9 7 3 2" xfId="11899" xr:uid="{00000000-0005-0000-0000-0000D7640000}"/>
    <cellStyle name="Normal 2 9 7 3 2 2" xfId="34935" xr:uid="{00000000-0005-0000-0000-0000D8640000}"/>
    <cellStyle name="Normal 2 9 7 3 3" xfId="29752" xr:uid="{00000000-0005-0000-0000-0000D9640000}"/>
    <cellStyle name="Normal 2 9 7 4" xfId="19670" xr:uid="{00000000-0005-0000-0000-0000DA640000}"/>
    <cellStyle name="Normal 2 9 7 4 2" xfId="35784" xr:uid="{00000000-0005-0000-0000-0000DB640000}"/>
    <cellStyle name="Normal 2 9 7 5" xfId="33143" xr:uid="{00000000-0005-0000-0000-0000DC640000}"/>
    <cellStyle name="Normal 2 9 8" xfId="12247" xr:uid="{00000000-0005-0000-0000-0000DD640000}"/>
    <cellStyle name="Normal 2 9 9" xfId="43452" xr:uid="{00000000-0005-0000-0000-0000DE640000}"/>
    <cellStyle name="Normal 2 9_Ark1" xfId="12250" xr:uid="{00000000-0005-0000-0000-0000DF640000}"/>
    <cellStyle name="Normal 2 90" xfId="4537" xr:uid="{00000000-0005-0000-0000-0000E0640000}"/>
    <cellStyle name="Normal 2 90 2" xfId="6329" xr:uid="{00000000-0005-0000-0000-0000E1640000}"/>
    <cellStyle name="Normal 2 90 2 2" xfId="9739" xr:uid="{00000000-0005-0000-0000-0000E2640000}"/>
    <cellStyle name="Normal 2 90 2 2 2" xfId="11619" xr:uid="{00000000-0005-0000-0000-0000E3640000}"/>
    <cellStyle name="Normal 2 90 2 2 2 2" xfId="34806" xr:uid="{00000000-0005-0000-0000-0000E4640000}"/>
    <cellStyle name="Normal 2 90 2 2 3" xfId="28060" xr:uid="{00000000-0005-0000-0000-0000E5640000}"/>
    <cellStyle name="Normal 2 90 2 3" xfId="24020" xr:uid="{00000000-0005-0000-0000-0000E6640000}"/>
    <cellStyle name="Normal 2 90 2 3 2" xfId="40073" xr:uid="{00000000-0005-0000-0000-0000E7640000}"/>
    <cellStyle name="Normal 2 90 2 4" xfId="31461" xr:uid="{00000000-0005-0000-0000-0000E8640000}"/>
    <cellStyle name="Normal 2 90 3" xfId="8035" xr:uid="{00000000-0005-0000-0000-0000E9640000}"/>
    <cellStyle name="Normal 2 90 3 2" xfId="20979" xr:uid="{00000000-0005-0000-0000-0000EA640000}"/>
    <cellStyle name="Normal 2 90 3 2 2" xfId="37075" xr:uid="{00000000-0005-0000-0000-0000EB640000}"/>
    <cellStyle name="Normal 2 90 3 3" xfId="29763" xr:uid="{00000000-0005-0000-0000-0000EC640000}"/>
    <cellStyle name="Normal 2 90 4" xfId="19669" xr:uid="{00000000-0005-0000-0000-0000ED640000}"/>
    <cellStyle name="Normal 2 90 4 2" xfId="35783" xr:uid="{00000000-0005-0000-0000-0000EE640000}"/>
    <cellStyle name="Normal 2 90 5" xfId="33154" xr:uid="{00000000-0005-0000-0000-0000EF640000}"/>
    <cellStyle name="Normal 2 90 6" xfId="44909" xr:uid="{00000000-0005-0000-0000-0000F0640000}"/>
    <cellStyle name="Normal 2 91" xfId="4508" xr:uid="{00000000-0005-0000-0000-0000F1640000}"/>
    <cellStyle name="Normal 2 91 2" xfId="6300" xr:uid="{00000000-0005-0000-0000-0000F2640000}"/>
    <cellStyle name="Normal 2 91 2 2" xfId="9710" xr:uid="{00000000-0005-0000-0000-0000F3640000}"/>
    <cellStyle name="Normal 2 91 2 2 2" xfId="21974" xr:uid="{00000000-0005-0000-0000-0000F4640000}"/>
    <cellStyle name="Normal 2 91 2 2 2 2" xfId="38049" xr:uid="{00000000-0005-0000-0000-0000F5640000}"/>
    <cellStyle name="Normal 2 91 2 2 3" xfId="28089" xr:uid="{00000000-0005-0000-0000-0000F6640000}"/>
    <cellStyle name="Normal 2 91 2 3" xfId="22337" xr:uid="{00000000-0005-0000-0000-0000F7640000}"/>
    <cellStyle name="Normal 2 91 2 3 2" xfId="38409" xr:uid="{00000000-0005-0000-0000-0000F8640000}"/>
    <cellStyle name="Normal 2 91 2 4" xfId="31490" xr:uid="{00000000-0005-0000-0000-0000F9640000}"/>
    <cellStyle name="Normal 2 91 3" xfId="8006" xr:uid="{00000000-0005-0000-0000-0000FA640000}"/>
    <cellStyle name="Normal 2 91 3 2" xfId="20969" xr:uid="{00000000-0005-0000-0000-0000FB640000}"/>
    <cellStyle name="Normal 2 91 3 2 2" xfId="37065" xr:uid="{00000000-0005-0000-0000-0000FC640000}"/>
    <cellStyle name="Normal 2 91 3 3" xfId="29792" xr:uid="{00000000-0005-0000-0000-0000FD640000}"/>
    <cellStyle name="Normal 2 91 4" xfId="22762" xr:uid="{00000000-0005-0000-0000-0000FE640000}"/>
    <cellStyle name="Normal 2 91 4 2" xfId="38831" xr:uid="{00000000-0005-0000-0000-0000FF640000}"/>
    <cellStyle name="Normal 2 91 5" xfId="33183" xr:uid="{00000000-0005-0000-0000-000000650000}"/>
    <cellStyle name="Normal 2 91 6" xfId="46267" xr:uid="{00000000-0005-0000-0000-000001650000}"/>
    <cellStyle name="Normal 2 92" xfId="4547" xr:uid="{00000000-0005-0000-0000-000002650000}"/>
    <cellStyle name="Normal 2 92 2" xfId="6339" xr:uid="{00000000-0005-0000-0000-000003650000}"/>
    <cellStyle name="Normal 2 92 2 2" xfId="9749" xr:uid="{00000000-0005-0000-0000-000004650000}"/>
    <cellStyle name="Normal 2 92 2 2 2" xfId="11615" xr:uid="{00000000-0005-0000-0000-000005650000}"/>
    <cellStyle name="Normal 2 92 2 2 2 2" xfId="34804" xr:uid="{00000000-0005-0000-0000-000006650000}"/>
    <cellStyle name="Normal 2 92 2 2 3" xfId="28050" xr:uid="{00000000-0005-0000-0000-000007650000}"/>
    <cellStyle name="Normal 2 92 2 3" xfId="24022" xr:uid="{00000000-0005-0000-0000-000008650000}"/>
    <cellStyle name="Normal 2 92 2 3 2" xfId="40075" xr:uid="{00000000-0005-0000-0000-000009650000}"/>
    <cellStyle name="Normal 2 92 2 4" xfId="31451" xr:uid="{00000000-0005-0000-0000-00000A650000}"/>
    <cellStyle name="Normal 2 92 3" xfId="8045" xr:uid="{00000000-0005-0000-0000-00000B650000}"/>
    <cellStyle name="Normal 2 92 3 2" xfId="19460" xr:uid="{00000000-0005-0000-0000-00000C650000}"/>
    <cellStyle name="Normal 2 92 3 2 2" xfId="35574" xr:uid="{00000000-0005-0000-0000-00000D650000}"/>
    <cellStyle name="Normal 2 92 3 3" xfId="29753" xr:uid="{00000000-0005-0000-0000-00000E650000}"/>
    <cellStyle name="Normal 2 92 4" xfId="10952" xr:uid="{00000000-0005-0000-0000-00000F650000}"/>
    <cellStyle name="Normal 2 92 4 2" xfId="34694" xr:uid="{00000000-0005-0000-0000-000010650000}"/>
    <cellStyle name="Normal 2 92 5" xfId="33144" xr:uid="{00000000-0005-0000-0000-000011650000}"/>
    <cellStyle name="Normal 2 92 6" xfId="46260" xr:uid="{00000000-0005-0000-0000-000012650000}"/>
    <cellStyle name="Normal 2 93" xfId="4505" xr:uid="{00000000-0005-0000-0000-000013650000}"/>
    <cellStyle name="Normal 2 93 2" xfId="6297" xr:uid="{00000000-0005-0000-0000-000014650000}"/>
    <cellStyle name="Normal 2 93 2 2" xfId="9707" xr:uid="{00000000-0005-0000-0000-000015650000}"/>
    <cellStyle name="Normal 2 93 2 2 2" xfId="21463" xr:uid="{00000000-0005-0000-0000-000016650000}"/>
    <cellStyle name="Normal 2 93 2 2 2 2" xfId="37543" xr:uid="{00000000-0005-0000-0000-000017650000}"/>
    <cellStyle name="Normal 2 93 2 2 3" xfId="28092" xr:uid="{00000000-0005-0000-0000-000018650000}"/>
    <cellStyle name="Normal 2 93 2 3" xfId="20399" xr:uid="{00000000-0005-0000-0000-000019650000}"/>
    <cellStyle name="Normal 2 93 2 3 2" xfId="36498" xr:uid="{00000000-0005-0000-0000-00001A650000}"/>
    <cellStyle name="Normal 2 93 2 4" xfId="31493" xr:uid="{00000000-0005-0000-0000-00001B650000}"/>
    <cellStyle name="Normal 2 93 3" xfId="8003" xr:uid="{00000000-0005-0000-0000-00001C650000}"/>
    <cellStyle name="Normal 2 93 3 2" xfId="23299" xr:uid="{00000000-0005-0000-0000-00001D650000}"/>
    <cellStyle name="Normal 2 93 3 2 2" xfId="39366" xr:uid="{00000000-0005-0000-0000-00001E650000}"/>
    <cellStyle name="Normal 2 93 3 3" xfId="29795" xr:uid="{00000000-0005-0000-0000-00001F650000}"/>
    <cellStyle name="Normal 2 93 4" xfId="20022" xr:uid="{00000000-0005-0000-0000-000020650000}"/>
    <cellStyle name="Normal 2 93 4 2" xfId="36126" xr:uid="{00000000-0005-0000-0000-000021650000}"/>
    <cellStyle name="Normal 2 93 5" xfId="33186" xr:uid="{00000000-0005-0000-0000-000022650000}"/>
    <cellStyle name="Normal 2 93 6" xfId="43992" xr:uid="{00000000-0005-0000-0000-000023650000}"/>
    <cellStyle name="Normal 2 94" xfId="4534" xr:uid="{00000000-0005-0000-0000-000024650000}"/>
    <cellStyle name="Normal 2 94 2" xfId="6326" xr:uid="{00000000-0005-0000-0000-000025650000}"/>
    <cellStyle name="Normal 2 94 2 2" xfId="9736" xr:uid="{00000000-0005-0000-0000-000026650000}"/>
    <cellStyle name="Normal 2 94 2 2 2" xfId="24556" xr:uid="{00000000-0005-0000-0000-000027650000}"/>
    <cellStyle name="Normal 2 94 2 2 2 2" xfId="40600" xr:uid="{00000000-0005-0000-0000-000028650000}"/>
    <cellStyle name="Normal 2 94 2 2 3" xfId="28063" xr:uid="{00000000-0005-0000-0000-000029650000}"/>
    <cellStyle name="Normal 2 94 2 3" xfId="20407" xr:uid="{00000000-0005-0000-0000-00002A650000}"/>
    <cellStyle name="Normal 2 94 2 3 2" xfId="36506" xr:uid="{00000000-0005-0000-0000-00002B650000}"/>
    <cellStyle name="Normal 2 94 2 4" xfId="31464" xr:uid="{00000000-0005-0000-0000-00002C650000}"/>
    <cellStyle name="Normal 2 94 3" xfId="8032" xr:uid="{00000000-0005-0000-0000-00002D650000}"/>
    <cellStyle name="Normal 2 94 3 2" xfId="10309" xr:uid="{00000000-0005-0000-0000-00002E650000}"/>
    <cellStyle name="Normal 2 94 3 2 2" xfId="27496" xr:uid="{00000000-0005-0000-0000-00002F650000}"/>
    <cellStyle name="Normal 2 94 3 3" xfId="29766" xr:uid="{00000000-0005-0000-0000-000030650000}"/>
    <cellStyle name="Normal 2 94 4" xfId="22761" xr:uid="{00000000-0005-0000-0000-000031650000}"/>
    <cellStyle name="Normal 2 94 4 2" xfId="38830" xr:uid="{00000000-0005-0000-0000-000032650000}"/>
    <cellStyle name="Normal 2 94 5" xfId="33157" xr:uid="{00000000-0005-0000-0000-000033650000}"/>
    <cellStyle name="Normal 2 94 6" xfId="46261" xr:uid="{00000000-0005-0000-0000-000034650000}"/>
    <cellStyle name="Normal 2 95" xfId="4543" xr:uid="{00000000-0005-0000-0000-000035650000}"/>
    <cellStyle name="Normal 2 95 2" xfId="6335" xr:uid="{00000000-0005-0000-0000-000036650000}"/>
    <cellStyle name="Normal 2 95 2 2" xfId="9745" xr:uid="{00000000-0005-0000-0000-000037650000}"/>
    <cellStyle name="Normal 2 95 2 2 2" xfId="21471" xr:uid="{00000000-0005-0000-0000-000038650000}"/>
    <cellStyle name="Normal 2 95 2 2 2 2" xfId="37551" xr:uid="{00000000-0005-0000-0000-000039650000}"/>
    <cellStyle name="Normal 2 95 2 2 3" xfId="28054" xr:uid="{00000000-0005-0000-0000-00003A650000}"/>
    <cellStyle name="Normal 2 95 2 3" xfId="24021" xr:uid="{00000000-0005-0000-0000-00003B650000}"/>
    <cellStyle name="Normal 2 95 2 3 2" xfId="40074" xr:uid="{00000000-0005-0000-0000-00003C650000}"/>
    <cellStyle name="Normal 2 95 2 4" xfId="31455" xr:uid="{00000000-0005-0000-0000-00003D650000}"/>
    <cellStyle name="Normal 2 95 3" xfId="8041" xr:uid="{00000000-0005-0000-0000-00003E650000}"/>
    <cellStyle name="Normal 2 95 3 2" xfId="20983" xr:uid="{00000000-0005-0000-0000-00003F650000}"/>
    <cellStyle name="Normal 2 95 3 2 2" xfId="37079" xr:uid="{00000000-0005-0000-0000-000040650000}"/>
    <cellStyle name="Normal 2 95 3 3" xfId="29757" xr:uid="{00000000-0005-0000-0000-000041650000}"/>
    <cellStyle name="Normal 2 95 4" xfId="22822" xr:uid="{00000000-0005-0000-0000-000042650000}"/>
    <cellStyle name="Normal 2 95 4 2" xfId="38891" xr:uid="{00000000-0005-0000-0000-000043650000}"/>
    <cellStyle name="Normal 2 95 5" xfId="33148" xr:uid="{00000000-0005-0000-0000-000044650000}"/>
    <cellStyle name="Normal 2 95 6" xfId="46061" xr:uid="{00000000-0005-0000-0000-000045650000}"/>
    <cellStyle name="Normal 2 96" xfId="4511" xr:uid="{00000000-0005-0000-0000-000046650000}"/>
    <cellStyle name="Normal 2 96 2" xfId="6303" xr:uid="{00000000-0005-0000-0000-000047650000}"/>
    <cellStyle name="Normal 2 96 2 2" xfId="9713" xr:uid="{00000000-0005-0000-0000-000048650000}"/>
    <cellStyle name="Normal 2 96 2 2 2" xfId="21466" xr:uid="{00000000-0005-0000-0000-000049650000}"/>
    <cellStyle name="Normal 2 96 2 2 2 2" xfId="37546" xr:uid="{00000000-0005-0000-0000-00004A650000}"/>
    <cellStyle name="Normal 2 96 2 2 3" xfId="28086" xr:uid="{00000000-0005-0000-0000-00004B650000}"/>
    <cellStyle name="Normal 2 96 2 3" xfId="24016" xr:uid="{00000000-0005-0000-0000-00004C650000}"/>
    <cellStyle name="Normal 2 96 2 3 2" xfId="40069" xr:uid="{00000000-0005-0000-0000-00004D650000}"/>
    <cellStyle name="Normal 2 96 2 4" xfId="31487" xr:uid="{00000000-0005-0000-0000-00004E650000}"/>
    <cellStyle name="Normal 2 96 3" xfId="8009" xr:uid="{00000000-0005-0000-0000-00004F650000}"/>
    <cellStyle name="Normal 2 96 3 2" xfId="22571" xr:uid="{00000000-0005-0000-0000-000050650000}"/>
    <cellStyle name="Normal 2 96 3 2 2" xfId="38640" xr:uid="{00000000-0005-0000-0000-000051650000}"/>
    <cellStyle name="Normal 2 96 3 3" xfId="29789" xr:uid="{00000000-0005-0000-0000-000052650000}"/>
    <cellStyle name="Normal 2 96 4" xfId="19671" xr:uid="{00000000-0005-0000-0000-000053650000}"/>
    <cellStyle name="Normal 2 96 4 2" xfId="35785" xr:uid="{00000000-0005-0000-0000-000054650000}"/>
    <cellStyle name="Normal 2 96 5" xfId="33180" xr:uid="{00000000-0005-0000-0000-000055650000}"/>
    <cellStyle name="Normal 2 96 6" xfId="46257" xr:uid="{00000000-0005-0000-0000-000056650000}"/>
    <cellStyle name="Normal 2 97" xfId="4535" xr:uid="{00000000-0005-0000-0000-000057650000}"/>
    <cellStyle name="Normal 2 97 2" xfId="6327" xr:uid="{00000000-0005-0000-0000-000058650000}"/>
    <cellStyle name="Normal 2 97 2 2" xfId="9737" xr:uid="{00000000-0005-0000-0000-000059650000}"/>
    <cellStyle name="Normal 2 97 2 2 2" xfId="10389" xr:uid="{00000000-0005-0000-0000-00005A650000}"/>
    <cellStyle name="Normal 2 97 2 2 2 2" xfId="34339" xr:uid="{00000000-0005-0000-0000-00005B650000}"/>
    <cellStyle name="Normal 2 97 2 2 3" xfId="28062" xr:uid="{00000000-0005-0000-0000-00005C650000}"/>
    <cellStyle name="Normal 2 97 2 3" xfId="20408" xr:uid="{00000000-0005-0000-0000-00005D650000}"/>
    <cellStyle name="Normal 2 97 2 3 2" xfId="36507" xr:uid="{00000000-0005-0000-0000-00005E650000}"/>
    <cellStyle name="Normal 2 97 2 4" xfId="31463" xr:uid="{00000000-0005-0000-0000-00005F650000}"/>
    <cellStyle name="Normal 2 97 3" xfId="8033" xr:uid="{00000000-0005-0000-0000-000060650000}"/>
    <cellStyle name="Normal 2 97 3 2" xfId="11900" xr:uid="{00000000-0005-0000-0000-000061650000}"/>
    <cellStyle name="Normal 2 97 3 2 2" xfId="34936" xr:uid="{00000000-0005-0000-0000-000062650000}"/>
    <cellStyle name="Normal 2 97 3 3" xfId="29765" xr:uid="{00000000-0005-0000-0000-000063650000}"/>
    <cellStyle name="Normal 2 97 4" xfId="12300" xr:uid="{00000000-0005-0000-0000-000064650000}"/>
    <cellStyle name="Normal 2 97 4 2" xfId="35176" xr:uid="{00000000-0005-0000-0000-000065650000}"/>
    <cellStyle name="Normal 2 97 5" xfId="33156" xr:uid="{00000000-0005-0000-0000-000066650000}"/>
    <cellStyle name="Normal 2 97 6" xfId="46264" xr:uid="{00000000-0005-0000-0000-000067650000}"/>
    <cellStyle name="Normal 2 98" xfId="4531" xr:uid="{00000000-0005-0000-0000-000068650000}"/>
    <cellStyle name="Normal 2 98 2" xfId="6323" xr:uid="{00000000-0005-0000-0000-000069650000}"/>
    <cellStyle name="Normal 2 98 2 2" xfId="9733" xr:uid="{00000000-0005-0000-0000-00006A650000}"/>
    <cellStyle name="Normal 2 98 2 2 2" xfId="11622" xr:uid="{00000000-0005-0000-0000-00006B650000}"/>
    <cellStyle name="Normal 2 98 2 2 2 2" xfId="34807" xr:uid="{00000000-0005-0000-0000-00006C650000}"/>
    <cellStyle name="Normal 2 98 2 2 3" xfId="28066" xr:uid="{00000000-0005-0000-0000-00006D650000}"/>
    <cellStyle name="Normal 2 98 2 3" xfId="24019" xr:uid="{00000000-0005-0000-0000-00006E650000}"/>
    <cellStyle name="Normal 2 98 2 3 2" xfId="40072" xr:uid="{00000000-0005-0000-0000-00006F650000}"/>
    <cellStyle name="Normal 2 98 2 4" xfId="31467" xr:uid="{00000000-0005-0000-0000-000070650000}"/>
    <cellStyle name="Normal 2 98 3" xfId="8029" xr:uid="{00000000-0005-0000-0000-000071650000}"/>
    <cellStyle name="Normal 2 98 3 2" xfId="24305" xr:uid="{00000000-0005-0000-0000-000072650000}"/>
    <cellStyle name="Normal 2 98 3 2 2" xfId="40357" xr:uid="{00000000-0005-0000-0000-000073650000}"/>
    <cellStyle name="Normal 2 98 3 3" xfId="29769" xr:uid="{00000000-0005-0000-0000-000074650000}"/>
    <cellStyle name="Normal 2 98 4" xfId="12306" xr:uid="{00000000-0005-0000-0000-000075650000}"/>
    <cellStyle name="Normal 2 98 4 2" xfId="35182" xr:uid="{00000000-0005-0000-0000-000076650000}"/>
    <cellStyle name="Normal 2 98 5" xfId="33160" xr:uid="{00000000-0005-0000-0000-000077650000}"/>
    <cellStyle name="Normal 2 98 6" xfId="45377" xr:uid="{00000000-0005-0000-0000-000078650000}"/>
    <cellStyle name="Normal 2 99" xfId="4562" xr:uid="{00000000-0005-0000-0000-000079650000}"/>
    <cellStyle name="Normal 2 99 2" xfId="6353" xr:uid="{00000000-0005-0000-0000-00007A650000}"/>
    <cellStyle name="Normal 2 99 2 2" xfId="9763" xr:uid="{00000000-0005-0000-0000-00007B650000}"/>
    <cellStyle name="Normal 2 99 2 2 2" xfId="11610" xr:uid="{00000000-0005-0000-0000-00007C650000}"/>
    <cellStyle name="Normal 2 99 2 2 2 2" xfId="34801" xr:uid="{00000000-0005-0000-0000-00007D650000}"/>
    <cellStyle name="Normal 2 99 2 2 3" xfId="28036" xr:uid="{00000000-0005-0000-0000-00007E650000}"/>
    <cellStyle name="Normal 2 99 2 3" xfId="24025" xr:uid="{00000000-0005-0000-0000-00007F650000}"/>
    <cellStyle name="Normal 2 99 2 3 2" xfId="40078" xr:uid="{00000000-0005-0000-0000-000080650000}"/>
    <cellStyle name="Normal 2 99 2 4" xfId="31437" xr:uid="{00000000-0005-0000-0000-000081650000}"/>
    <cellStyle name="Normal 2 99 3" xfId="8059" xr:uid="{00000000-0005-0000-0000-000082650000}"/>
    <cellStyle name="Normal 2 99 3 2" xfId="20989" xr:uid="{00000000-0005-0000-0000-000083650000}"/>
    <cellStyle name="Normal 2 99 3 2 2" xfId="37085" xr:uid="{00000000-0005-0000-0000-000084650000}"/>
    <cellStyle name="Normal 2 99 3 3" xfId="29739" xr:uid="{00000000-0005-0000-0000-000085650000}"/>
    <cellStyle name="Normal 2 99 4" xfId="10947" xr:uid="{00000000-0005-0000-0000-000086650000}"/>
    <cellStyle name="Normal 2 99 4 2" xfId="34689" xr:uid="{00000000-0005-0000-0000-000087650000}"/>
    <cellStyle name="Normal 2 99 5" xfId="33130" xr:uid="{00000000-0005-0000-0000-000088650000}"/>
    <cellStyle name="Normal 2 99 6" xfId="46266" xr:uid="{00000000-0005-0000-0000-000089650000}"/>
    <cellStyle name="Normal 2_Ark1" xfId="3665" xr:uid="{00000000-0005-0000-0000-00008A650000}"/>
    <cellStyle name="Normal 20" xfId="1602" xr:uid="{00000000-0005-0000-0000-00008B650000}"/>
    <cellStyle name="Normal 20 2" xfId="1603" xr:uid="{00000000-0005-0000-0000-00008C650000}"/>
    <cellStyle name="Normal 20 2 2" xfId="12251" xr:uid="{00000000-0005-0000-0000-00008D650000}"/>
    <cellStyle name="Normal 20 3" xfId="12252" xr:uid="{00000000-0005-0000-0000-00008E650000}"/>
    <cellStyle name="Normal 21" xfId="1604" xr:uid="{00000000-0005-0000-0000-00008F650000}"/>
    <cellStyle name="Normal 21 2" xfId="1605" xr:uid="{00000000-0005-0000-0000-000090650000}"/>
    <cellStyle name="Normal 21 2 2" xfId="12253" xr:uid="{00000000-0005-0000-0000-000091650000}"/>
    <cellStyle name="Normal 21 3" xfId="12254" xr:uid="{00000000-0005-0000-0000-000092650000}"/>
    <cellStyle name="Normal 22" xfId="1606" xr:uid="{00000000-0005-0000-0000-000093650000}"/>
    <cellStyle name="Normal 22 2" xfId="1607" xr:uid="{00000000-0005-0000-0000-000094650000}"/>
    <cellStyle name="Normal 22 2 2" xfId="12256" xr:uid="{00000000-0005-0000-0000-000095650000}"/>
    <cellStyle name="Normal 22 3" xfId="12257" xr:uid="{00000000-0005-0000-0000-000096650000}"/>
    <cellStyle name="Normal 23" xfId="1608" xr:uid="{00000000-0005-0000-0000-000097650000}"/>
    <cellStyle name="Normal 23 2" xfId="1609" xr:uid="{00000000-0005-0000-0000-000098650000}"/>
    <cellStyle name="Normal 24" xfId="1610" xr:uid="{00000000-0005-0000-0000-000099650000}"/>
    <cellStyle name="Normal 24 2" xfId="1611" xr:uid="{00000000-0005-0000-0000-00009A650000}"/>
    <cellStyle name="Normal 25" xfId="1612" xr:uid="{00000000-0005-0000-0000-00009B650000}"/>
    <cellStyle name="Normal 25 2" xfId="1613" xr:uid="{00000000-0005-0000-0000-00009C650000}"/>
    <cellStyle name="Normal 26" xfId="1614" xr:uid="{00000000-0005-0000-0000-00009D650000}"/>
    <cellStyle name="Normal 26 2" xfId="1615" xr:uid="{00000000-0005-0000-0000-00009E650000}"/>
    <cellStyle name="Normal 27" xfId="1616" xr:uid="{00000000-0005-0000-0000-00009F650000}"/>
    <cellStyle name="Normal 27 10" xfId="1617" xr:uid="{00000000-0005-0000-0000-0000A0650000}"/>
    <cellStyle name="Normal 27 10 2" xfId="1618" xr:uid="{00000000-0005-0000-0000-0000A1650000}"/>
    <cellStyle name="Normal 27 11" xfId="1619" xr:uid="{00000000-0005-0000-0000-0000A2650000}"/>
    <cellStyle name="Normal 27 11 2" xfId="1620" xr:uid="{00000000-0005-0000-0000-0000A3650000}"/>
    <cellStyle name="Normal 27 12" xfId="1621" xr:uid="{00000000-0005-0000-0000-0000A4650000}"/>
    <cellStyle name="Normal 27 12 2" xfId="1622" xr:uid="{00000000-0005-0000-0000-0000A5650000}"/>
    <cellStyle name="Normal 27 13" xfId="1623" xr:uid="{00000000-0005-0000-0000-0000A6650000}"/>
    <cellStyle name="Normal 27 13 2" xfId="1624" xr:uid="{00000000-0005-0000-0000-0000A7650000}"/>
    <cellStyle name="Normal 27 14" xfId="1625" xr:uid="{00000000-0005-0000-0000-0000A8650000}"/>
    <cellStyle name="Normal 27 14 2" xfId="1626" xr:uid="{00000000-0005-0000-0000-0000A9650000}"/>
    <cellStyle name="Normal 27 15" xfId="1627" xr:uid="{00000000-0005-0000-0000-0000AA650000}"/>
    <cellStyle name="Normal 27 15 2" xfId="1628" xr:uid="{00000000-0005-0000-0000-0000AB650000}"/>
    <cellStyle name="Normal 27 16" xfId="1629" xr:uid="{00000000-0005-0000-0000-0000AC650000}"/>
    <cellStyle name="Normal 27 16 2" xfId="1630" xr:uid="{00000000-0005-0000-0000-0000AD650000}"/>
    <cellStyle name="Normal 27 17" xfId="1631" xr:uid="{00000000-0005-0000-0000-0000AE650000}"/>
    <cellStyle name="Normal 27 17 2" xfId="1632" xr:uid="{00000000-0005-0000-0000-0000AF650000}"/>
    <cellStyle name="Normal 27 18" xfId="1633" xr:uid="{00000000-0005-0000-0000-0000B0650000}"/>
    <cellStyle name="Normal 27 18 2" xfId="1634" xr:uid="{00000000-0005-0000-0000-0000B1650000}"/>
    <cellStyle name="Normal 27 19" xfId="1635" xr:uid="{00000000-0005-0000-0000-0000B2650000}"/>
    <cellStyle name="Normal 27 19 2" xfId="1636" xr:uid="{00000000-0005-0000-0000-0000B3650000}"/>
    <cellStyle name="Normal 27 2" xfId="1637" xr:uid="{00000000-0005-0000-0000-0000B4650000}"/>
    <cellStyle name="Normal 27 2 2" xfId="1638" xr:uid="{00000000-0005-0000-0000-0000B5650000}"/>
    <cellStyle name="Normal 27 20" xfId="1639" xr:uid="{00000000-0005-0000-0000-0000B6650000}"/>
    <cellStyle name="Normal 27 20 2" xfId="1640" xr:uid="{00000000-0005-0000-0000-0000B7650000}"/>
    <cellStyle name="Normal 27 21" xfId="1641" xr:uid="{00000000-0005-0000-0000-0000B8650000}"/>
    <cellStyle name="Normal 27 21 2" xfId="1642" xr:uid="{00000000-0005-0000-0000-0000B9650000}"/>
    <cellStyle name="Normal 27 22" xfId="1643" xr:uid="{00000000-0005-0000-0000-0000BA650000}"/>
    <cellStyle name="Normal 27 22 2" xfId="1644" xr:uid="{00000000-0005-0000-0000-0000BB650000}"/>
    <cellStyle name="Normal 27 23" xfId="1645" xr:uid="{00000000-0005-0000-0000-0000BC650000}"/>
    <cellStyle name="Normal 27 23 2" xfId="1646" xr:uid="{00000000-0005-0000-0000-0000BD650000}"/>
    <cellStyle name="Normal 27 23 2 2" xfId="1647" xr:uid="{00000000-0005-0000-0000-0000BE650000}"/>
    <cellStyle name="Normal 27 23 3" xfId="1648" xr:uid="{00000000-0005-0000-0000-0000BF650000}"/>
    <cellStyle name="Normal 27 23 3 2" xfId="1649" xr:uid="{00000000-0005-0000-0000-0000C0650000}"/>
    <cellStyle name="Normal 27 23 4" xfId="1650" xr:uid="{00000000-0005-0000-0000-0000C1650000}"/>
    <cellStyle name="Normal 27 24" xfId="1651" xr:uid="{00000000-0005-0000-0000-0000C2650000}"/>
    <cellStyle name="Normal 27 24 2" xfId="1652" xr:uid="{00000000-0005-0000-0000-0000C3650000}"/>
    <cellStyle name="Normal 27 25" xfId="1653" xr:uid="{00000000-0005-0000-0000-0000C4650000}"/>
    <cellStyle name="Normal 27 25 2" xfId="1654" xr:uid="{00000000-0005-0000-0000-0000C5650000}"/>
    <cellStyle name="Normal 27 26" xfId="1655" xr:uid="{00000000-0005-0000-0000-0000C6650000}"/>
    <cellStyle name="Normal 27 26 2" xfId="1656" xr:uid="{00000000-0005-0000-0000-0000C7650000}"/>
    <cellStyle name="Normal 27 27" xfId="1657" xr:uid="{00000000-0005-0000-0000-0000C8650000}"/>
    <cellStyle name="Normal 27 27 2" xfId="1658" xr:uid="{00000000-0005-0000-0000-0000C9650000}"/>
    <cellStyle name="Normal 27 28" xfId="1659" xr:uid="{00000000-0005-0000-0000-0000CA650000}"/>
    <cellStyle name="Normal 27 3" xfId="1660" xr:uid="{00000000-0005-0000-0000-0000CB650000}"/>
    <cellStyle name="Normal 27 3 2" xfId="1661" xr:uid="{00000000-0005-0000-0000-0000CC650000}"/>
    <cellStyle name="Normal 27 4" xfId="1662" xr:uid="{00000000-0005-0000-0000-0000CD650000}"/>
    <cellStyle name="Normal 27 4 2" xfId="1663" xr:uid="{00000000-0005-0000-0000-0000CE650000}"/>
    <cellStyle name="Normal 27 5" xfId="1664" xr:uid="{00000000-0005-0000-0000-0000CF650000}"/>
    <cellStyle name="Normal 27 5 2" xfId="1665" xr:uid="{00000000-0005-0000-0000-0000D0650000}"/>
    <cellStyle name="Normal 27 6" xfId="1666" xr:uid="{00000000-0005-0000-0000-0000D1650000}"/>
    <cellStyle name="Normal 27 6 2" xfId="1667" xr:uid="{00000000-0005-0000-0000-0000D2650000}"/>
    <cellStyle name="Normal 27 7" xfId="1668" xr:uid="{00000000-0005-0000-0000-0000D3650000}"/>
    <cellStyle name="Normal 27 7 2" xfId="1669" xr:uid="{00000000-0005-0000-0000-0000D4650000}"/>
    <cellStyle name="Normal 27 8" xfId="1670" xr:uid="{00000000-0005-0000-0000-0000D5650000}"/>
    <cellStyle name="Normal 27 8 2" xfId="1671" xr:uid="{00000000-0005-0000-0000-0000D6650000}"/>
    <cellStyle name="Normal 27 9" xfId="1672" xr:uid="{00000000-0005-0000-0000-0000D7650000}"/>
    <cellStyle name="Normal 27 9 2" xfId="1673" xr:uid="{00000000-0005-0000-0000-0000D8650000}"/>
    <cellStyle name="Normal 28" xfId="1674" xr:uid="{00000000-0005-0000-0000-0000D9650000}"/>
    <cellStyle name="Normal 28 2" xfId="1675" xr:uid="{00000000-0005-0000-0000-0000DA650000}"/>
    <cellStyle name="Normal 28 2 2" xfId="12310" xr:uid="{00000000-0005-0000-0000-0000DB650000}"/>
    <cellStyle name="Normal 28 3" xfId="12311" xr:uid="{00000000-0005-0000-0000-0000DC650000}"/>
    <cellStyle name="Normal 29" xfId="1676" xr:uid="{00000000-0005-0000-0000-0000DD650000}"/>
    <cellStyle name="Normal 29 2" xfId="1677" xr:uid="{00000000-0005-0000-0000-0000DE650000}"/>
    <cellStyle name="Normal 29 2 2" xfId="12314" xr:uid="{00000000-0005-0000-0000-0000DF650000}"/>
    <cellStyle name="Normal 29 3" xfId="12315" xr:uid="{00000000-0005-0000-0000-0000E0650000}"/>
    <cellStyle name="Normal 3" xfId="1678" xr:uid="{00000000-0005-0000-0000-0000E1650000}"/>
    <cellStyle name="Normal 3 10" xfId="1679" xr:uid="{00000000-0005-0000-0000-0000E2650000}"/>
    <cellStyle name="Normal 3 10 2" xfId="1680" xr:uid="{00000000-0005-0000-0000-0000E3650000}"/>
    <cellStyle name="Normal 3 10 2 2" xfId="12319" xr:uid="{00000000-0005-0000-0000-0000E4650000}"/>
    <cellStyle name="Normal 3 10 3" xfId="12320" xr:uid="{00000000-0005-0000-0000-0000E5650000}"/>
    <cellStyle name="Normal 3 100" xfId="4560" xr:uid="{00000000-0005-0000-0000-0000E6650000}"/>
    <cellStyle name="Normal 3 100 2" xfId="6351" xr:uid="{00000000-0005-0000-0000-0000E7650000}"/>
    <cellStyle name="Normal 3 100 2 2" xfId="9761" xr:uid="{00000000-0005-0000-0000-0000E8650000}"/>
    <cellStyle name="Normal 3 100 2 2 2" xfId="10378" xr:uid="{00000000-0005-0000-0000-0000E9650000}"/>
    <cellStyle name="Normal 3 100 2 2 2 2" xfId="34334" xr:uid="{00000000-0005-0000-0000-0000EA650000}"/>
    <cellStyle name="Normal 3 100 2 2 3" xfId="28038" xr:uid="{00000000-0005-0000-0000-0000EB650000}"/>
    <cellStyle name="Normal 3 100 2 3" xfId="23022" xr:uid="{00000000-0005-0000-0000-0000EC650000}"/>
    <cellStyle name="Normal 3 100 2 3 2" xfId="39091" xr:uid="{00000000-0005-0000-0000-0000ED650000}"/>
    <cellStyle name="Normal 3 100 2 4" xfId="31439" xr:uid="{00000000-0005-0000-0000-0000EE650000}"/>
    <cellStyle name="Normal 3 100 3" xfId="8057" xr:uid="{00000000-0005-0000-0000-0000EF650000}"/>
    <cellStyle name="Normal 3 100 3 2" xfId="22503" xr:uid="{00000000-0005-0000-0000-0000F0650000}"/>
    <cellStyle name="Normal 3 100 3 2 2" xfId="38575" xr:uid="{00000000-0005-0000-0000-0000F1650000}"/>
    <cellStyle name="Normal 3 100 3 3" xfId="29741" xr:uid="{00000000-0005-0000-0000-0000F2650000}"/>
    <cellStyle name="Normal 3 100 4" xfId="22643" xr:uid="{00000000-0005-0000-0000-0000F3650000}"/>
    <cellStyle name="Normal 3 100 4 2" xfId="38712" xr:uid="{00000000-0005-0000-0000-0000F4650000}"/>
    <cellStyle name="Normal 3 100 5" xfId="33132" xr:uid="{00000000-0005-0000-0000-0000F5650000}"/>
    <cellStyle name="Normal 3 101" xfId="12316" xr:uid="{00000000-0005-0000-0000-0000F6650000}"/>
    <cellStyle name="Normal 3 102" xfId="43441" xr:uid="{00000000-0005-0000-0000-0000F7650000}"/>
    <cellStyle name="Normal 3 103" xfId="46329" xr:uid="{00000000-0005-0000-0000-0000F8650000}"/>
    <cellStyle name="Normal 3 104" xfId="47041" xr:uid="{00000000-0005-0000-0000-0000F9650000}"/>
    <cellStyle name="Normal 3 11" xfId="1681" xr:uid="{00000000-0005-0000-0000-0000FA650000}"/>
    <cellStyle name="Normal 3 11 2" xfId="1682" xr:uid="{00000000-0005-0000-0000-0000FB650000}"/>
    <cellStyle name="Normal 3 11 2 2" xfId="12323" xr:uid="{00000000-0005-0000-0000-0000FC650000}"/>
    <cellStyle name="Normal 3 11 3" xfId="12324" xr:uid="{00000000-0005-0000-0000-0000FD650000}"/>
    <cellStyle name="Normal 3 12" xfId="1683" xr:uid="{00000000-0005-0000-0000-0000FE650000}"/>
    <cellStyle name="Normal 3 12 2" xfId="1684" xr:uid="{00000000-0005-0000-0000-0000FF650000}"/>
    <cellStyle name="Normal 3 12 2 2" xfId="12327" xr:uid="{00000000-0005-0000-0000-000000660000}"/>
    <cellStyle name="Normal 3 12 3" xfId="12328" xr:uid="{00000000-0005-0000-0000-000001660000}"/>
    <cellStyle name="Normal 3 13" xfId="1685" xr:uid="{00000000-0005-0000-0000-000002660000}"/>
    <cellStyle name="Normal 3 13 2" xfId="1686" xr:uid="{00000000-0005-0000-0000-000003660000}"/>
    <cellStyle name="Normal 3 13 2 2" xfId="12331" xr:uid="{00000000-0005-0000-0000-000004660000}"/>
    <cellStyle name="Normal 3 13 3" xfId="12332" xr:uid="{00000000-0005-0000-0000-000005660000}"/>
    <cellStyle name="Normal 3 14" xfId="1687" xr:uid="{00000000-0005-0000-0000-000006660000}"/>
    <cellStyle name="Normal 3 14 2" xfId="1688" xr:uid="{00000000-0005-0000-0000-000007660000}"/>
    <cellStyle name="Normal 3 14 2 2" xfId="12335" xr:uid="{00000000-0005-0000-0000-000008660000}"/>
    <cellStyle name="Normal 3 14 3" xfId="12336" xr:uid="{00000000-0005-0000-0000-000009660000}"/>
    <cellStyle name="Normal 3 15" xfId="1689" xr:uid="{00000000-0005-0000-0000-00000A660000}"/>
    <cellStyle name="Normal 3 15 2" xfId="1690" xr:uid="{00000000-0005-0000-0000-00000B660000}"/>
    <cellStyle name="Normal 3 15 2 2" xfId="12339" xr:uid="{00000000-0005-0000-0000-00000C660000}"/>
    <cellStyle name="Normal 3 15 3" xfId="12340" xr:uid="{00000000-0005-0000-0000-00000D660000}"/>
    <cellStyle name="Normal 3 16" xfId="1691" xr:uid="{00000000-0005-0000-0000-00000E660000}"/>
    <cellStyle name="Normal 3 16 2" xfId="1692" xr:uid="{00000000-0005-0000-0000-00000F660000}"/>
    <cellStyle name="Normal 3 16 2 2" xfId="12343" xr:uid="{00000000-0005-0000-0000-000010660000}"/>
    <cellStyle name="Normal 3 16 3" xfId="12344" xr:uid="{00000000-0005-0000-0000-000011660000}"/>
    <cellStyle name="Normal 3 17" xfId="1693" xr:uid="{00000000-0005-0000-0000-000012660000}"/>
    <cellStyle name="Normal 3 17 2" xfId="1694" xr:uid="{00000000-0005-0000-0000-000013660000}"/>
    <cellStyle name="Normal 3 17 2 2" xfId="12345" xr:uid="{00000000-0005-0000-0000-000014660000}"/>
    <cellStyle name="Normal 3 17 3" xfId="12346" xr:uid="{00000000-0005-0000-0000-000015660000}"/>
    <cellStyle name="Normal 3 18" xfId="1695" xr:uid="{00000000-0005-0000-0000-000016660000}"/>
    <cellStyle name="Normal 3 18 2" xfId="1696" xr:uid="{00000000-0005-0000-0000-000017660000}"/>
    <cellStyle name="Normal 3 18 2 2" xfId="12347" xr:uid="{00000000-0005-0000-0000-000018660000}"/>
    <cellStyle name="Normal 3 18 3" xfId="12348" xr:uid="{00000000-0005-0000-0000-000019660000}"/>
    <cellStyle name="Normal 3 19" xfId="1697" xr:uid="{00000000-0005-0000-0000-00001A660000}"/>
    <cellStyle name="Normal 3 19 2" xfId="1698" xr:uid="{00000000-0005-0000-0000-00001B660000}"/>
    <cellStyle name="Normal 3 19 2 2" xfId="12349" xr:uid="{00000000-0005-0000-0000-00001C660000}"/>
    <cellStyle name="Normal 3 19 3" xfId="12350" xr:uid="{00000000-0005-0000-0000-00001D660000}"/>
    <cellStyle name="Normal 3 2" xfId="1699" xr:uid="{00000000-0005-0000-0000-00001E660000}"/>
    <cellStyle name="Normal 3 2 2" xfId="1700" xr:uid="{00000000-0005-0000-0000-00001F660000}"/>
    <cellStyle name="Normal 3 2 2 2" xfId="1701" xr:uid="{00000000-0005-0000-0000-000020660000}"/>
    <cellStyle name="Normal 3 2 2 2 2" xfId="1702" xr:uid="{00000000-0005-0000-0000-000021660000}"/>
    <cellStyle name="Normal 3 2 2 2 3" xfId="12353" xr:uid="{00000000-0005-0000-0000-000022660000}"/>
    <cellStyle name="Normal 3 2 2 3" xfId="12354" xr:uid="{00000000-0005-0000-0000-000023660000}"/>
    <cellStyle name="Normal 3 2 2_NGL-pris" xfId="1703" xr:uid="{00000000-0005-0000-0000-000024660000}"/>
    <cellStyle name="Normal 3 2 3" xfId="12356" xr:uid="{00000000-0005-0000-0000-000025660000}"/>
    <cellStyle name="Normal 3 20" xfId="1704" xr:uid="{00000000-0005-0000-0000-000026660000}"/>
    <cellStyle name="Normal 3 20 2" xfId="1705" xr:uid="{00000000-0005-0000-0000-000027660000}"/>
    <cellStyle name="Normal 3 20 2 2" xfId="12358" xr:uid="{00000000-0005-0000-0000-000028660000}"/>
    <cellStyle name="Normal 3 20 3" xfId="12359" xr:uid="{00000000-0005-0000-0000-000029660000}"/>
    <cellStyle name="Normal 3 21" xfId="1706" xr:uid="{00000000-0005-0000-0000-00002A660000}"/>
    <cellStyle name="Normal 3 21 2" xfId="1707" xr:uid="{00000000-0005-0000-0000-00002B660000}"/>
    <cellStyle name="Normal 3 21 2 2" xfId="12360" xr:uid="{00000000-0005-0000-0000-00002C660000}"/>
    <cellStyle name="Normal 3 21 3" xfId="12361" xr:uid="{00000000-0005-0000-0000-00002D660000}"/>
    <cellStyle name="Normal 3 22" xfId="1708" xr:uid="{00000000-0005-0000-0000-00002E660000}"/>
    <cellStyle name="Normal 3 22 2" xfId="1709" xr:uid="{00000000-0005-0000-0000-00002F660000}"/>
    <cellStyle name="Normal 3 22 2 2" xfId="12362" xr:uid="{00000000-0005-0000-0000-000030660000}"/>
    <cellStyle name="Normal 3 22 3" xfId="12363" xr:uid="{00000000-0005-0000-0000-000031660000}"/>
    <cellStyle name="Normal 3 23" xfId="1710" xr:uid="{00000000-0005-0000-0000-000032660000}"/>
    <cellStyle name="Normal 3 23 2" xfId="1711" xr:uid="{00000000-0005-0000-0000-000033660000}"/>
    <cellStyle name="Normal 3 23 2 2" xfId="12366" xr:uid="{00000000-0005-0000-0000-000034660000}"/>
    <cellStyle name="Normal 3 23 3" xfId="12367" xr:uid="{00000000-0005-0000-0000-000035660000}"/>
    <cellStyle name="Normal 3 24" xfId="1712" xr:uid="{00000000-0005-0000-0000-000036660000}"/>
    <cellStyle name="Normal 3 24 2" xfId="1713" xr:uid="{00000000-0005-0000-0000-000037660000}"/>
    <cellStyle name="Normal 3 24 2 2" xfId="12370" xr:uid="{00000000-0005-0000-0000-000038660000}"/>
    <cellStyle name="Normal 3 24 3" xfId="12371" xr:uid="{00000000-0005-0000-0000-000039660000}"/>
    <cellStyle name="Normal 3 25" xfId="1714" xr:uid="{00000000-0005-0000-0000-00003A660000}"/>
    <cellStyle name="Normal 3 25 2" xfId="1715" xr:uid="{00000000-0005-0000-0000-00003B660000}"/>
    <cellStyle name="Normal 3 25 2 2" xfId="12374" xr:uid="{00000000-0005-0000-0000-00003C660000}"/>
    <cellStyle name="Normal 3 25 3" xfId="12375" xr:uid="{00000000-0005-0000-0000-00003D660000}"/>
    <cellStyle name="Normal 3 26" xfId="1716" xr:uid="{00000000-0005-0000-0000-00003E660000}"/>
    <cellStyle name="Normal 3 26 2" xfId="12377" xr:uid="{00000000-0005-0000-0000-00003F660000}"/>
    <cellStyle name="Normal 3 27" xfId="1717" xr:uid="{00000000-0005-0000-0000-000040660000}"/>
    <cellStyle name="Normal 3 27 2" xfId="12379" xr:uid="{00000000-0005-0000-0000-000041660000}"/>
    <cellStyle name="Normal 3 28" xfId="1718" xr:uid="{00000000-0005-0000-0000-000042660000}"/>
    <cellStyle name="Normal 3 28 2" xfId="12381" xr:uid="{00000000-0005-0000-0000-000043660000}"/>
    <cellStyle name="Normal 3 29" xfId="1719" xr:uid="{00000000-0005-0000-0000-000044660000}"/>
    <cellStyle name="Normal 3 29 2" xfId="12383" xr:uid="{00000000-0005-0000-0000-000045660000}"/>
    <cellStyle name="Normal 3 3" xfId="1720" xr:uid="{00000000-0005-0000-0000-000046660000}"/>
    <cellStyle name="Normal 3 3 10" xfId="3705" xr:uid="{00000000-0005-0000-0000-000047660000}"/>
    <cellStyle name="Normal 3 3 10 2" xfId="5593" xr:uid="{00000000-0005-0000-0000-000048660000}"/>
    <cellStyle name="Normal 3 3 10 2 2" xfId="9008" xr:uid="{00000000-0005-0000-0000-000049660000}"/>
    <cellStyle name="Normal 3 3 10 2 2 2" xfId="21907" xr:uid="{00000000-0005-0000-0000-00004A660000}"/>
    <cellStyle name="Normal 3 3 10 2 2 2 2" xfId="37982" xr:uid="{00000000-0005-0000-0000-00004B660000}"/>
    <cellStyle name="Normal 3 3 10 2 2 3" xfId="28790" xr:uid="{00000000-0005-0000-0000-00004C660000}"/>
    <cellStyle name="Normal 3 3 10 2 3" xfId="19895" xr:uid="{00000000-0005-0000-0000-00004D660000}"/>
    <cellStyle name="Normal 3 3 10 2 3 2" xfId="36008" xr:uid="{00000000-0005-0000-0000-00004E660000}"/>
    <cellStyle name="Normal 3 3 10 2 4" xfId="32181" xr:uid="{00000000-0005-0000-0000-00004F660000}"/>
    <cellStyle name="Normal 3 3 10 3" xfId="7311" xr:uid="{00000000-0005-0000-0000-000050660000}"/>
    <cellStyle name="Normal 3 3 10 3 2" xfId="22436" xr:uid="{00000000-0005-0000-0000-000051660000}"/>
    <cellStyle name="Normal 3 3 10 3 2 2" xfId="38508" xr:uid="{00000000-0005-0000-0000-000052660000}"/>
    <cellStyle name="Normal 3 3 10 3 3" xfId="30487" xr:uid="{00000000-0005-0000-0000-000053660000}"/>
    <cellStyle name="Normal 3 3 10 4" xfId="18134" xr:uid="{00000000-0005-0000-0000-000054660000}"/>
    <cellStyle name="Normal 3 3 10 5" xfId="23647" xr:uid="{00000000-0005-0000-0000-000055660000}"/>
    <cellStyle name="Normal 3 3 10 5 2" xfId="39703" xr:uid="{00000000-0005-0000-0000-000056660000}"/>
    <cellStyle name="Normal 3 3 10 6" xfId="33874" xr:uid="{00000000-0005-0000-0000-000057660000}"/>
    <cellStyle name="Normal 3 3 11" xfId="4124" xr:uid="{00000000-0005-0000-0000-000058660000}"/>
    <cellStyle name="Normal 3 3 11 10" xfId="47229" xr:uid="{00000000-0005-0000-0000-000059660000}"/>
    <cellStyle name="Normal 3 3 11 2" xfId="5977" xr:uid="{00000000-0005-0000-0000-00005A660000}"/>
    <cellStyle name="Normal 3 3 11 2 2" xfId="9392" xr:uid="{00000000-0005-0000-0000-00005B660000}"/>
    <cellStyle name="Normal 3 3 11 2 2 2" xfId="21373" xr:uid="{00000000-0005-0000-0000-00005C660000}"/>
    <cellStyle name="Normal 3 3 11 2 2 2 2" xfId="37453" xr:uid="{00000000-0005-0000-0000-00005D660000}"/>
    <cellStyle name="Normal 3 3 11 2 2 3" xfId="28406" xr:uid="{00000000-0005-0000-0000-00005E660000}"/>
    <cellStyle name="Normal 3 3 11 2 3" xfId="22950" xr:uid="{00000000-0005-0000-0000-00005F660000}"/>
    <cellStyle name="Normal 3 3 11 2 3 2" xfId="39019" xr:uid="{00000000-0005-0000-0000-000060660000}"/>
    <cellStyle name="Normal 3 3 11 2 4" xfId="31801" xr:uid="{00000000-0005-0000-0000-000061660000}"/>
    <cellStyle name="Normal 3 3 11 2 5" xfId="41699" xr:uid="{00000000-0005-0000-0000-000062660000}"/>
    <cellStyle name="Normal 3 3 11 2 6" xfId="43231" xr:uid="{00000000-0005-0000-0000-000063660000}"/>
    <cellStyle name="Normal 3 3 11 2 7" xfId="46071" xr:uid="{00000000-0005-0000-0000-000064660000}"/>
    <cellStyle name="Normal 3 3 11 2 8" xfId="46834" xr:uid="{00000000-0005-0000-0000-000065660000}"/>
    <cellStyle name="Normal 3 3 11 2 9" xfId="47424" xr:uid="{00000000-0005-0000-0000-000066660000}"/>
    <cellStyle name="Normal 3 3 11 3" xfId="7707" xr:uid="{00000000-0005-0000-0000-000067660000}"/>
    <cellStyle name="Normal 3 3 11 3 2" xfId="20874" xr:uid="{00000000-0005-0000-0000-000068660000}"/>
    <cellStyle name="Normal 3 3 11 3 2 2" xfId="36973" xr:uid="{00000000-0005-0000-0000-000069660000}"/>
    <cellStyle name="Normal 3 3 11 3 3" xfId="30092" xr:uid="{00000000-0005-0000-0000-00006A660000}"/>
    <cellStyle name="Normal 3 3 11 3 4" xfId="44079" xr:uid="{00000000-0005-0000-0000-00006B660000}"/>
    <cellStyle name="Normal 3 3 11 4" xfId="15142" xr:uid="{00000000-0005-0000-0000-00006C660000}"/>
    <cellStyle name="Normal 3 3 11 4 2" xfId="35325" xr:uid="{00000000-0005-0000-0000-00006D660000}"/>
    <cellStyle name="Normal 3 3 11 5" xfId="24955" xr:uid="{00000000-0005-0000-0000-00006E660000}"/>
    <cellStyle name="Normal 3 3 11 6" xfId="25464" xr:uid="{00000000-0005-0000-0000-00006F660000}"/>
    <cellStyle name="Normal 3 3 11 7" xfId="33478" xr:uid="{00000000-0005-0000-0000-000070660000}"/>
    <cellStyle name="Normal 3 3 11 8" xfId="43683" xr:uid="{00000000-0005-0000-0000-000071660000}"/>
    <cellStyle name="Normal 3 3 11 9" xfId="46594" xr:uid="{00000000-0005-0000-0000-000072660000}"/>
    <cellStyle name="Normal 3 3 12" xfId="4461" xr:uid="{00000000-0005-0000-0000-000073660000}"/>
    <cellStyle name="Normal 3 3 12 2" xfId="6258" xr:uid="{00000000-0005-0000-0000-000074660000}"/>
    <cellStyle name="Normal 3 3 12 2 2" xfId="9668" xr:uid="{00000000-0005-0000-0000-000075660000}"/>
    <cellStyle name="Normal 3 3 12 2 2 2" xfId="21448" xr:uid="{00000000-0005-0000-0000-000076660000}"/>
    <cellStyle name="Normal 3 3 12 2 2 2 2" xfId="37528" xr:uid="{00000000-0005-0000-0000-000077660000}"/>
    <cellStyle name="Normal 3 3 12 2 2 3" xfId="28131" xr:uid="{00000000-0005-0000-0000-000078660000}"/>
    <cellStyle name="Normal 3 3 12 2 3" xfId="24007" xr:uid="{00000000-0005-0000-0000-000079660000}"/>
    <cellStyle name="Normal 3 3 12 2 3 2" xfId="40060" xr:uid="{00000000-0005-0000-0000-00007A660000}"/>
    <cellStyle name="Normal 3 3 12 2 4" xfId="31532" xr:uid="{00000000-0005-0000-0000-00007B660000}"/>
    <cellStyle name="Normal 3 3 12 3" xfId="7964" xr:uid="{00000000-0005-0000-0000-00007C660000}"/>
    <cellStyle name="Normal 3 3 12 3 2" xfId="22043" xr:uid="{00000000-0005-0000-0000-00007D660000}"/>
    <cellStyle name="Normal 3 3 12 3 2 2" xfId="38118" xr:uid="{00000000-0005-0000-0000-00007E660000}"/>
    <cellStyle name="Normal 3 3 12 3 3" xfId="29835" xr:uid="{00000000-0005-0000-0000-00007F660000}"/>
    <cellStyle name="Normal 3 3 12 4" xfId="10972" xr:uid="{00000000-0005-0000-0000-000080660000}"/>
    <cellStyle name="Normal 3 3 12 4 2" xfId="34709" xr:uid="{00000000-0005-0000-0000-000081660000}"/>
    <cellStyle name="Normal 3 3 12 5" xfId="33225" xr:uid="{00000000-0005-0000-0000-000082660000}"/>
    <cellStyle name="Normal 3 3 13" xfId="4487" xr:uid="{00000000-0005-0000-0000-000083660000}"/>
    <cellStyle name="Normal 3 3 13 2" xfId="6280" xr:uid="{00000000-0005-0000-0000-000084660000}"/>
    <cellStyle name="Normal 3 3 13 2 2" xfId="9690" xr:uid="{00000000-0005-0000-0000-000085660000}"/>
    <cellStyle name="Normal 3 3 13 2 2 2" xfId="21971" xr:uid="{00000000-0005-0000-0000-000086660000}"/>
    <cellStyle name="Normal 3 3 13 2 2 2 2" xfId="38046" xr:uid="{00000000-0005-0000-0000-000087660000}"/>
    <cellStyle name="Normal 3 3 13 2 2 3" xfId="28109" xr:uid="{00000000-0005-0000-0000-000088660000}"/>
    <cellStyle name="Normal 3 3 13 2 3" xfId="20391" xr:uid="{00000000-0005-0000-0000-000089660000}"/>
    <cellStyle name="Normal 3 3 13 2 3 2" xfId="36490" xr:uid="{00000000-0005-0000-0000-00008A660000}"/>
    <cellStyle name="Normal 3 3 13 2 4" xfId="31510" xr:uid="{00000000-0005-0000-0000-00008B660000}"/>
    <cellStyle name="Normal 3 3 13 3" xfId="7986" xr:uid="{00000000-0005-0000-0000-00008C660000}"/>
    <cellStyle name="Normal 3 3 13 3 2" xfId="11905" xr:uid="{00000000-0005-0000-0000-00008D660000}"/>
    <cellStyle name="Normal 3 3 13 3 2 2" xfId="34941" xr:uid="{00000000-0005-0000-0000-00008E660000}"/>
    <cellStyle name="Normal 3 3 13 3 3" xfId="29812" xr:uid="{00000000-0005-0000-0000-00008F660000}"/>
    <cellStyle name="Normal 3 3 13 4" xfId="12325" xr:uid="{00000000-0005-0000-0000-000090660000}"/>
    <cellStyle name="Normal 3 3 13 4 2" xfId="35192" xr:uid="{00000000-0005-0000-0000-000091660000}"/>
    <cellStyle name="Normal 3 3 13 5" xfId="33203" xr:uid="{00000000-0005-0000-0000-000092660000}"/>
    <cellStyle name="Normal 3 3 14" xfId="4538" xr:uid="{00000000-0005-0000-0000-000093660000}"/>
    <cellStyle name="Normal 3 3 14 2" xfId="6330" xr:uid="{00000000-0005-0000-0000-000094660000}"/>
    <cellStyle name="Normal 3 3 14 2 2" xfId="9740" xr:uid="{00000000-0005-0000-0000-000095660000}"/>
    <cellStyle name="Normal 3 3 14 2 2 2" xfId="21977" xr:uid="{00000000-0005-0000-0000-000096660000}"/>
    <cellStyle name="Normal 3 3 14 2 2 2 2" xfId="38052" xr:uid="{00000000-0005-0000-0000-000097660000}"/>
    <cellStyle name="Normal 3 3 14 2 2 3" xfId="28059" xr:uid="{00000000-0005-0000-0000-000098660000}"/>
    <cellStyle name="Normal 3 3 14 2 3" xfId="22128" xr:uid="{00000000-0005-0000-0000-000099660000}"/>
    <cellStyle name="Normal 3 3 14 2 3 2" xfId="38202" xr:uid="{00000000-0005-0000-0000-00009A660000}"/>
    <cellStyle name="Normal 3 3 14 2 4" xfId="31460" xr:uid="{00000000-0005-0000-0000-00009B660000}"/>
    <cellStyle name="Normal 3 3 14 3" xfId="8036" xr:uid="{00000000-0005-0000-0000-00009C660000}"/>
    <cellStyle name="Normal 3 3 14 3 2" xfId="21764" xr:uid="{00000000-0005-0000-0000-00009D660000}"/>
    <cellStyle name="Normal 3 3 14 3 2 2" xfId="37841" xr:uid="{00000000-0005-0000-0000-00009E660000}"/>
    <cellStyle name="Normal 3 3 14 3 3" xfId="29762" xr:uid="{00000000-0005-0000-0000-00009F660000}"/>
    <cellStyle name="Normal 3 3 14 4" xfId="12304" xr:uid="{00000000-0005-0000-0000-0000A0660000}"/>
    <cellStyle name="Normal 3 3 14 4 2" xfId="35180" xr:uid="{00000000-0005-0000-0000-0000A1660000}"/>
    <cellStyle name="Normal 3 3 14 5" xfId="33153" xr:uid="{00000000-0005-0000-0000-0000A2660000}"/>
    <cellStyle name="Normal 3 3 15" xfId="12384" xr:uid="{00000000-0005-0000-0000-0000A3660000}"/>
    <cellStyle name="Normal 3 3 16" xfId="43449" xr:uid="{00000000-0005-0000-0000-0000A4660000}"/>
    <cellStyle name="Normal 3 3 17" xfId="46333" xr:uid="{00000000-0005-0000-0000-0000A5660000}"/>
    <cellStyle name="Normal 3 3 18" xfId="47046" xr:uid="{00000000-0005-0000-0000-0000A6660000}"/>
    <cellStyle name="Normal 3 3 2" xfId="1721" xr:uid="{00000000-0005-0000-0000-0000A7660000}"/>
    <cellStyle name="Normal 3 3 2 2" xfId="1722" xr:uid="{00000000-0005-0000-0000-0000A8660000}"/>
    <cellStyle name="Normal 3 3 2 2 2" xfId="1723" xr:uid="{00000000-0005-0000-0000-0000A9660000}"/>
    <cellStyle name="Normal 3 3 2 2 3" xfId="12388" xr:uid="{00000000-0005-0000-0000-0000AA660000}"/>
    <cellStyle name="Normal 3 3 2 3" xfId="12389" xr:uid="{00000000-0005-0000-0000-0000AB660000}"/>
    <cellStyle name="Normal 3 3 2_NGL-pris" xfId="1724" xr:uid="{00000000-0005-0000-0000-0000AC660000}"/>
    <cellStyle name="Normal 3 3 3" xfId="1725" xr:uid="{00000000-0005-0000-0000-0000AD660000}"/>
    <cellStyle name="Normal 3 3 3 10" xfId="6981" xr:uid="{00000000-0005-0000-0000-0000AE660000}"/>
    <cellStyle name="Normal 3 3 3 10 2" xfId="20619" xr:uid="{00000000-0005-0000-0000-0000AF660000}"/>
    <cellStyle name="Normal 3 3 3 10 2 2" xfId="36718" xr:uid="{00000000-0005-0000-0000-0000B0660000}"/>
    <cellStyle name="Normal 3 3 3 10 3" xfId="30817" xr:uid="{00000000-0005-0000-0000-0000B1660000}"/>
    <cellStyle name="Normal 3 3 3 11" xfId="34205" xr:uid="{00000000-0005-0000-0000-0000B2660000}"/>
    <cellStyle name="Normal 3 3 3 2" xfId="1726" xr:uid="{00000000-0005-0000-0000-0000B3660000}"/>
    <cellStyle name="Normal 3 3 3 3" xfId="3375" xr:uid="{00000000-0005-0000-0000-0000B4660000}"/>
    <cellStyle name="Normal 3 3 3 3 10" xfId="34122" xr:uid="{00000000-0005-0000-0000-0000B5660000}"/>
    <cellStyle name="Normal 3 3 3 3 2" xfId="3601" xr:uid="{00000000-0005-0000-0000-0000B6660000}"/>
    <cellStyle name="Normal 3 3 3 3 2 10" xfId="47200" xr:uid="{00000000-0005-0000-0000-0000B7660000}"/>
    <cellStyle name="Normal 3 3 3 3 2 2" xfId="4031" xr:uid="{00000000-0005-0000-0000-0000B8660000}"/>
    <cellStyle name="Normal 3 3 3 3 2 2 2" xfId="5919" xr:uid="{00000000-0005-0000-0000-0000B9660000}"/>
    <cellStyle name="Normal 3 3 3 3 2 2 2 2" xfId="9334" xr:uid="{00000000-0005-0000-0000-0000BA660000}"/>
    <cellStyle name="Normal 3 3 3 3 2 2 2 2 2" xfId="21794" xr:uid="{00000000-0005-0000-0000-0000BB660000}"/>
    <cellStyle name="Normal 3 3 3 3 2 2 2 2 2 2" xfId="37870" xr:uid="{00000000-0005-0000-0000-0000BC660000}"/>
    <cellStyle name="Normal 3 3 3 3 2 2 2 2 3" xfId="28464" xr:uid="{00000000-0005-0000-0000-0000BD660000}"/>
    <cellStyle name="Normal 3 3 3 3 2 2 2 3" xfId="20251" xr:uid="{00000000-0005-0000-0000-0000BE660000}"/>
    <cellStyle name="Normal 3 3 3 3 2 2 2 3 2" xfId="36350" xr:uid="{00000000-0005-0000-0000-0000BF660000}"/>
    <cellStyle name="Normal 3 3 3 3 2 2 2 4" xfId="31857" xr:uid="{00000000-0005-0000-0000-0000C0660000}"/>
    <cellStyle name="Normal 3 3 3 3 2 2 3" xfId="7637" xr:uid="{00000000-0005-0000-0000-0000C1660000}"/>
    <cellStyle name="Normal 3 3 3 3 2 2 3 2" xfId="20846" xr:uid="{00000000-0005-0000-0000-0000C2660000}"/>
    <cellStyle name="Normal 3 3 3 3 2 2 3 2 2" xfId="36945" xr:uid="{00000000-0005-0000-0000-0000C3660000}"/>
    <cellStyle name="Normal 3 3 3 3 2 2 3 3" xfId="30161" xr:uid="{00000000-0005-0000-0000-0000C4660000}"/>
    <cellStyle name="Normal 3 3 3 3 2 2 4" xfId="18171" xr:uid="{00000000-0005-0000-0000-0000C5660000}"/>
    <cellStyle name="Normal 3 3 3 3 2 2 5" xfId="22797" xr:uid="{00000000-0005-0000-0000-0000C6660000}"/>
    <cellStyle name="Normal 3 3 3 3 2 2 5 2" xfId="38866" xr:uid="{00000000-0005-0000-0000-0000C7660000}"/>
    <cellStyle name="Normal 3 3 3 3 2 2 6" xfId="33548" xr:uid="{00000000-0005-0000-0000-0000C8660000}"/>
    <cellStyle name="Normal 3 3 3 3 2 3" xfId="4971" xr:uid="{00000000-0005-0000-0000-0000C9660000}"/>
    <cellStyle name="Normal 3 3 3 3 2 3 10" xfId="47390" xr:uid="{00000000-0005-0000-0000-0000CA660000}"/>
    <cellStyle name="Normal 3 3 3 3 2 3 2" xfId="6690" xr:uid="{00000000-0005-0000-0000-0000CB660000}"/>
    <cellStyle name="Normal 3 3 3 3 2 3 2 2" xfId="10096" xr:uid="{00000000-0005-0000-0000-0000CC660000}"/>
    <cellStyle name="Normal 3 3 3 3 2 3 2 2 2" xfId="22022" xr:uid="{00000000-0005-0000-0000-0000CD660000}"/>
    <cellStyle name="Normal 3 3 3 3 2 3 2 2 2 2" xfId="38097" xr:uid="{00000000-0005-0000-0000-0000CE660000}"/>
    <cellStyle name="Normal 3 3 3 3 2 3 2 2 3" xfId="27703" xr:uid="{00000000-0005-0000-0000-0000CF660000}"/>
    <cellStyle name="Normal 3 3 3 3 2 3 2 3" xfId="11964" xr:uid="{00000000-0005-0000-0000-0000D0660000}"/>
    <cellStyle name="Normal 3 3 3 3 2 3 2 3 2" xfId="34986" xr:uid="{00000000-0005-0000-0000-0000D1660000}"/>
    <cellStyle name="Normal 3 3 3 3 2 3 2 4" xfId="31104" xr:uid="{00000000-0005-0000-0000-0000D2660000}"/>
    <cellStyle name="Normal 3 3 3 3 2 3 2 5" xfId="43087" xr:uid="{00000000-0005-0000-0000-0000D3660000}"/>
    <cellStyle name="Normal 3 3 3 3 2 3 2 6" xfId="43381" xr:uid="{00000000-0005-0000-0000-0000D4660000}"/>
    <cellStyle name="Normal 3 3 3 3 2 3 2 7" xfId="46229" xr:uid="{00000000-0005-0000-0000-0000D5660000}"/>
    <cellStyle name="Normal 3 3 3 3 2 3 2 8" xfId="47001" xr:uid="{00000000-0005-0000-0000-0000D6660000}"/>
    <cellStyle name="Normal 3 3 3 3 2 3 2 9" xfId="47586" xr:uid="{00000000-0005-0000-0000-0000D7660000}"/>
    <cellStyle name="Normal 3 3 3 3 2 3 3" xfId="8393" xr:uid="{00000000-0005-0000-0000-0000D8660000}"/>
    <cellStyle name="Normal 3 3 3 3 2 3 3 2" xfId="21081" xr:uid="{00000000-0005-0000-0000-0000D9660000}"/>
    <cellStyle name="Normal 3 3 3 3 2 3 3 2 2" xfId="37166" xr:uid="{00000000-0005-0000-0000-0000DA660000}"/>
    <cellStyle name="Normal 3 3 3 3 2 3 3 3" xfId="29405" xr:uid="{00000000-0005-0000-0000-0000DB660000}"/>
    <cellStyle name="Normal 3 3 3 3 2 3 3 4" xfId="44080" xr:uid="{00000000-0005-0000-0000-0000DC660000}"/>
    <cellStyle name="Normal 3 3 3 3 2 3 4" xfId="16532" xr:uid="{00000000-0005-0000-0000-0000DD660000}"/>
    <cellStyle name="Normal 3 3 3 3 2 3 4 2" xfId="35476" xr:uid="{00000000-0005-0000-0000-0000DE660000}"/>
    <cellStyle name="Normal 3 3 3 3 2 3 5" xfId="25138" xr:uid="{00000000-0005-0000-0000-0000DF660000}"/>
    <cellStyle name="Normal 3 3 3 3 2 3 6" xfId="25465" xr:uid="{00000000-0005-0000-0000-0000E0660000}"/>
    <cellStyle name="Normal 3 3 3 3 2 3 7" xfId="32796" xr:uid="{00000000-0005-0000-0000-0000E1660000}"/>
    <cellStyle name="Normal 3 3 3 3 2 3 8" xfId="43842" xr:uid="{00000000-0005-0000-0000-0000E2660000}"/>
    <cellStyle name="Normal 3 3 3 3 2 3 9" xfId="46767" xr:uid="{00000000-0005-0000-0000-0000E3660000}"/>
    <cellStyle name="Normal 3 3 3 3 2 4" xfId="5525" xr:uid="{00000000-0005-0000-0000-0000E4660000}"/>
    <cellStyle name="Normal 3 3 3 3 2 4 2" xfId="8940" xr:uid="{00000000-0005-0000-0000-0000E5660000}"/>
    <cellStyle name="Normal 3 3 3 3 2 4 2 2" xfId="21224" xr:uid="{00000000-0005-0000-0000-0000E6660000}"/>
    <cellStyle name="Normal 3 3 3 3 2 4 2 2 2" xfId="37304" xr:uid="{00000000-0005-0000-0000-0000E7660000}"/>
    <cellStyle name="Normal 3 3 3 3 2 4 2 3" xfId="28858" xr:uid="{00000000-0005-0000-0000-0000E8660000}"/>
    <cellStyle name="Normal 3 3 3 3 2 4 3" xfId="22250" xr:uid="{00000000-0005-0000-0000-0000E9660000}"/>
    <cellStyle name="Normal 3 3 3 3 2 4 3 2" xfId="38324" xr:uid="{00000000-0005-0000-0000-0000EA660000}"/>
    <cellStyle name="Normal 3 3 3 3 2 4 4" xfId="32249" xr:uid="{00000000-0005-0000-0000-0000EB660000}"/>
    <cellStyle name="Normal 3 3 3 3 2 5" xfId="7243" xr:uid="{00000000-0005-0000-0000-0000EC660000}"/>
    <cellStyle name="Normal 3 3 3 3 2 5 2" xfId="20708" xr:uid="{00000000-0005-0000-0000-0000ED660000}"/>
    <cellStyle name="Normal 3 3 3 3 2 5 2 2" xfId="36807" xr:uid="{00000000-0005-0000-0000-0000EE660000}"/>
    <cellStyle name="Normal 3 3 3 3 2 5 3" xfId="30555" xr:uid="{00000000-0005-0000-0000-0000EF660000}"/>
    <cellStyle name="Normal 3 3 3 3 2 6" xfId="12394" xr:uid="{00000000-0005-0000-0000-0000F0660000}"/>
    <cellStyle name="Normal 3 3 3 3 2 7" xfId="33942" xr:uid="{00000000-0005-0000-0000-0000F1660000}"/>
    <cellStyle name="Normal 3 3 3 3 2 8" xfId="43633" xr:uid="{00000000-0005-0000-0000-0000F2660000}"/>
    <cellStyle name="Normal 3 3 3 3 2 9" xfId="46539" xr:uid="{00000000-0005-0000-0000-0000F3660000}"/>
    <cellStyle name="Normal 3 3 3 3 2_Avviksanalyse løpende RNB15 (1)" xfId="16749" xr:uid="{00000000-0005-0000-0000-0000F4660000}"/>
    <cellStyle name="Normal 3 3 3 3 3" xfId="3851" xr:uid="{00000000-0005-0000-0000-0000F5660000}"/>
    <cellStyle name="Normal 3 3 3 3 3 2" xfId="5739" xr:uid="{00000000-0005-0000-0000-0000F6660000}"/>
    <cellStyle name="Normal 3 3 3 3 3 2 2" xfId="9154" xr:uid="{00000000-0005-0000-0000-0000F7660000}"/>
    <cellStyle name="Normal 3 3 3 3 3 2 2 2" xfId="21920" xr:uid="{00000000-0005-0000-0000-0000F8660000}"/>
    <cellStyle name="Normal 3 3 3 3 3 2 2 2 2" xfId="37995" xr:uid="{00000000-0005-0000-0000-0000F9660000}"/>
    <cellStyle name="Normal 3 3 3 3 3 2 2 3" xfId="28644" xr:uid="{00000000-0005-0000-0000-0000FA660000}"/>
    <cellStyle name="Normal 3 3 3 3 3 2 3" xfId="11984" xr:uid="{00000000-0005-0000-0000-0000FB660000}"/>
    <cellStyle name="Normal 3 3 3 3 3 2 3 2" xfId="35006" xr:uid="{00000000-0005-0000-0000-0000FC660000}"/>
    <cellStyle name="Normal 3 3 3 3 3 2 4" xfId="32035" xr:uid="{00000000-0005-0000-0000-0000FD660000}"/>
    <cellStyle name="Normal 3 3 3 3 3 3" xfId="7457" xr:uid="{00000000-0005-0000-0000-0000FE660000}"/>
    <cellStyle name="Normal 3 3 3 3 3 3 2" xfId="23210" xr:uid="{00000000-0005-0000-0000-0000FF660000}"/>
    <cellStyle name="Normal 3 3 3 3 3 3 2 2" xfId="39279" xr:uid="{00000000-0005-0000-0000-000000670000}"/>
    <cellStyle name="Normal 3 3 3 3 3 3 3" xfId="30341" xr:uid="{00000000-0005-0000-0000-000001670000}"/>
    <cellStyle name="Normal 3 3 3 3 3 4" xfId="12518" xr:uid="{00000000-0005-0000-0000-000002670000}"/>
    <cellStyle name="Normal 3 3 3 3 3 4 2" xfId="35269" xr:uid="{00000000-0005-0000-0000-000003670000}"/>
    <cellStyle name="Normal 3 3 3 3 3 5" xfId="33728" xr:uid="{00000000-0005-0000-0000-000004670000}"/>
    <cellStyle name="Normal 3 3 3 3 4" xfId="4336" xr:uid="{00000000-0005-0000-0000-000005670000}"/>
    <cellStyle name="Normal 3 3 3 3 4 2" xfId="6165" xr:uid="{00000000-0005-0000-0000-000006670000}"/>
    <cellStyle name="Normal 3 3 3 3 4 2 2" xfId="9579" xr:uid="{00000000-0005-0000-0000-000007670000}"/>
    <cellStyle name="Normal 3 3 3 3 4 2 2 2" xfId="24533" xr:uid="{00000000-0005-0000-0000-000008670000}"/>
    <cellStyle name="Normal 3 3 3 3 4 2 2 2 2" xfId="40577" xr:uid="{00000000-0005-0000-0000-000009670000}"/>
    <cellStyle name="Normal 3 3 3 3 4 2 2 3" xfId="28219" xr:uid="{00000000-0005-0000-0000-00000A670000}"/>
    <cellStyle name="Normal 3 3 3 3 4 2 3" xfId="22322" xr:uid="{00000000-0005-0000-0000-00000B670000}"/>
    <cellStyle name="Normal 3 3 3 3 4 2 3 2" xfId="38394" xr:uid="{00000000-0005-0000-0000-00000C670000}"/>
    <cellStyle name="Normal 3 3 3 3 4 2 4" xfId="31616" xr:uid="{00000000-0005-0000-0000-00000D670000}"/>
    <cellStyle name="Normal 3 3 3 3 4 3" xfId="7898" xr:uid="{00000000-0005-0000-0000-00000E670000}"/>
    <cellStyle name="Normal 3 3 3 3 4 3 2" xfId="20936" xr:uid="{00000000-0005-0000-0000-00000F670000}"/>
    <cellStyle name="Normal 3 3 3 3 4 3 2 2" xfId="37033" xr:uid="{00000000-0005-0000-0000-000010670000}"/>
    <cellStyle name="Normal 3 3 3 3 4 3 3" xfId="29901" xr:uid="{00000000-0005-0000-0000-000011670000}"/>
    <cellStyle name="Normal 3 3 3 3 4 4" xfId="12369" xr:uid="{00000000-0005-0000-0000-000012670000}"/>
    <cellStyle name="Normal 3 3 3 3 4 4 2" xfId="35209" xr:uid="{00000000-0005-0000-0000-000013670000}"/>
    <cellStyle name="Normal 3 3 3 3 4 5" xfId="33289" xr:uid="{00000000-0005-0000-0000-000014670000}"/>
    <cellStyle name="Normal 3 3 3 3 5" xfId="4791" xr:uid="{00000000-0005-0000-0000-000015670000}"/>
    <cellStyle name="Normal 3 3 3 3 5 2" xfId="6511" xr:uid="{00000000-0005-0000-0000-000016670000}"/>
    <cellStyle name="Normal 3 3 3 3 5 2 2" xfId="9917" xr:uid="{00000000-0005-0000-0000-000017670000}"/>
    <cellStyle name="Normal 3 3 3 3 5 2 2 2" xfId="19884" xr:uid="{00000000-0005-0000-0000-000018670000}"/>
    <cellStyle name="Normal 3 3 3 3 5 2 2 2 2" xfId="35997" xr:uid="{00000000-0005-0000-0000-000019670000}"/>
    <cellStyle name="Normal 3 3 3 3 5 2 2 3" xfId="27882" xr:uid="{00000000-0005-0000-0000-00001A670000}"/>
    <cellStyle name="Normal 3 3 3 3 5 2 3" xfId="10358" xr:uid="{00000000-0005-0000-0000-00001B670000}"/>
    <cellStyle name="Normal 3 3 3 3 5 2 3 2" xfId="34326" xr:uid="{00000000-0005-0000-0000-00001C670000}"/>
    <cellStyle name="Normal 3 3 3 3 5 2 4" xfId="31283" xr:uid="{00000000-0005-0000-0000-00001D670000}"/>
    <cellStyle name="Normal 3 3 3 3 5 3" xfId="8213" xr:uid="{00000000-0005-0000-0000-00001E670000}"/>
    <cellStyle name="Normal 3 3 3 3 5 3 2" xfId="21032" xr:uid="{00000000-0005-0000-0000-00001F670000}"/>
    <cellStyle name="Normal 3 3 3 3 5 3 2 2" xfId="37124" xr:uid="{00000000-0005-0000-0000-000020670000}"/>
    <cellStyle name="Normal 3 3 3 3 5 3 3" xfId="29584" xr:uid="{00000000-0005-0000-0000-000021670000}"/>
    <cellStyle name="Normal 3 3 3 3 5 4" xfId="22734" xr:uid="{00000000-0005-0000-0000-000022670000}"/>
    <cellStyle name="Normal 3 3 3 3 5 4 2" xfId="38803" xr:uid="{00000000-0005-0000-0000-000023670000}"/>
    <cellStyle name="Normal 3 3 3 3 5 5" xfId="32976" xr:uid="{00000000-0005-0000-0000-000024670000}"/>
    <cellStyle name="Normal 3 3 3 3 6" xfId="5151" xr:uid="{00000000-0005-0000-0000-000025670000}"/>
    <cellStyle name="Normal 3 3 3 3 6 2" xfId="6870" xr:uid="{00000000-0005-0000-0000-000026670000}"/>
    <cellStyle name="Normal 3 3 3 3 6 2 2" xfId="10276" xr:uid="{00000000-0005-0000-0000-000027670000}"/>
    <cellStyle name="Normal 3 3 3 3 6 2 2 2" xfId="24719" xr:uid="{00000000-0005-0000-0000-000028670000}"/>
    <cellStyle name="Normal 3 3 3 3 6 2 2 2 2" xfId="40762" xr:uid="{00000000-0005-0000-0000-000029670000}"/>
    <cellStyle name="Normal 3 3 3 3 6 2 2 3" xfId="27523" xr:uid="{00000000-0005-0000-0000-00002A670000}"/>
    <cellStyle name="Normal 3 3 3 3 6 2 3" xfId="22158" xr:uid="{00000000-0005-0000-0000-00002B670000}"/>
    <cellStyle name="Normal 3 3 3 3 6 2 3 2" xfId="38232" xr:uid="{00000000-0005-0000-0000-00002C670000}"/>
    <cellStyle name="Normal 3 3 3 3 6 2 4" xfId="30924" xr:uid="{00000000-0005-0000-0000-00002D670000}"/>
    <cellStyle name="Normal 3 3 3 3 6 3" xfId="8573" xr:uid="{00000000-0005-0000-0000-00002E670000}"/>
    <cellStyle name="Normal 3 3 3 3 6 3 2" xfId="21688" xr:uid="{00000000-0005-0000-0000-00002F670000}"/>
    <cellStyle name="Normal 3 3 3 3 6 3 2 2" xfId="37767" xr:uid="{00000000-0005-0000-0000-000030670000}"/>
    <cellStyle name="Normal 3 3 3 3 6 3 3" xfId="29225" xr:uid="{00000000-0005-0000-0000-000031670000}"/>
    <cellStyle name="Normal 3 3 3 3 6 4" xfId="19761" xr:uid="{00000000-0005-0000-0000-000032670000}"/>
    <cellStyle name="Normal 3 3 3 3 6 4 2" xfId="35875" xr:uid="{00000000-0005-0000-0000-000033670000}"/>
    <cellStyle name="Normal 3 3 3 3 6 5" xfId="32616" xr:uid="{00000000-0005-0000-0000-000034670000}"/>
    <cellStyle name="Normal 3 3 3 3 7" xfId="5330" xr:uid="{00000000-0005-0000-0000-000035670000}"/>
    <cellStyle name="Normal 3 3 3 3 7 2" xfId="8745" xr:uid="{00000000-0005-0000-0000-000036670000}"/>
    <cellStyle name="Normal 3 3 3 3 7 2 2" xfId="21779" xr:uid="{00000000-0005-0000-0000-000037670000}"/>
    <cellStyle name="Normal 3 3 3 3 7 2 2 2" xfId="37855" xr:uid="{00000000-0005-0000-0000-000038670000}"/>
    <cellStyle name="Normal 3 3 3 3 7 2 3" xfId="29053" xr:uid="{00000000-0005-0000-0000-000039670000}"/>
    <cellStyle name="Normal 3 3 3 3 7 3" xfId="10736" xr:uid="{00000000-0005-0000-0000-00003A670000}"/>
    <cellStyle name="Normal 3 3 3 3 7 3 2" xfId="34579" xr:uid="{00000000-0005-0000-0000-00003B670000}"/>
    <cellStyle name="Normal 3 3 3 3 7 4" xfId="32444" xr:uid="{00000000-0005-0000-0000-00003C670000}"/>
    <cellStyle name="Normal 3 3 3 3 8" xfId="7063" xr:uid="{00000000-0005-0000-0000-00003D670000}"/>
    <cellStyle name="Normal 3 3 3 3 8 2" xfId="23141" xr:uid="{00000000-0005-0000-0000-00003E670000}"/>
    <cellStyle name="Normal 3 3 3 3 8 2 2" xfId="39210" xr:uid="{00000000-0005-0000-0000-00003F670000}"/>
    <cellStyle name="Normal 3 3 3 3 8 3" xfId="30735" xr:uid="{00000000-0005-0000-0000-000040670000}"/>
    <cellStyle name="Normal 3 3 3 3 9" xfId="12393" xr:uid="{00000000-0005-0000-0000-000041670000}"/>
    <cellStyle name="Normal 3 3 3 4" xfId="3517" xr:uid="{00000000-0005-0000-0000-000042670000}"/>
    <cellStyle name="Normal 3 3 3 4 2" xfId="3952" xr:uid="{00000000-0005-0000-0000-000043670000}"/>
    <cellStyle name="Normal 3 3 3 4 2 2" xfId="5840" xr:uid="{00000000-0005-0000-0000-000044670000}"/>
    <cellStyle name="Normal 3 3 3 4 2 2 2" xfId="9255" xr:uid="{00000000-0005-0000-0000-000045670000}"/>
    <cellStyle name="Normal 3 3 3 4 2 2 2 2" xfId="19397" xr:uid="{00000000-0005-0000-0000-000046670000}"/>
    <cellStyle name="Normal 3 3 3 4 2 2 2 2 2" xfId="35511" xr:uid="{00000000-0005-0000-0000-000047670000}"/>
    <cellStyle name="Normal 3 3 3 4 2 2 2 3" xfId="28543" xr:uid="{00000000-0005-0000-0000-000048670000}"/>
    <cellStyle name="Normal 3 3 3 4 2 2 3" xfId="18172" xr:uid="{00000000-0005-0000-0000-000049670000}"/>
    <cellStyle name="Normal 3 3 3 4 2 2 4" xfId="20223" xr:uid="{00000000-0005-0000-0000-00004A670000}"/>
    <cellStyle name="Normal 3 3 3 4 2 2 4 2" xfId="36322" xr:uid="{00000000-0005-0000-0000-00004B670000}"/>
    <cellStyle name="Normal 3 3 3 4 2 2 5" xfId="31934" xr:uid="{00000000-0005-0000-0000-00004C670000}"/>
    <cellStyle name="Normal 3 3 3 4 2 3" xfId="7558" xr:uid="{00000000-0005-0000-0000-00004D670000}"/>
    <cellStyle name="Normal 3 3 3 4 2 3 2" xfId="16385" xr:uid="{00000000-0005-0000-0000-00004E670000}"/>
    <cellStyle name="Normal 3 3 3 4 2 3 2 2" xfId="35409" xr:uid="{00000000-0005-0000-0000-00004F670000}"/>
    <cellStyle name="Normal 3 3 3 4 2 3 2 3" xfId="42940" xr:uid="{00000000-0005-0000-0000-000050670000}"/>
    <cellStyle name="Normal 3 3 3 4 2 3 2 4" xfId="43314" xr:uid="{00000000-0005-0000-0000-000051670000}"/>
    <cellStyle name="Normal 3 3 3 4 2 3 2 5" xfId="46162" xr:uid="{00000000-0005-0000-0000-000052670000}"/>
    <cellStyle name="Normal 3 3 3 4 2 3 2 6" xfId="46934" xr:uid="{00000000-0005-0000-0000-000053670000}"/>
    <cellStyle name="Normal 3 3 3 4 2 3 2 7" xfId="47517" xr:uid="{00000000-0005-0000-0000-000054670000}"/>
    <cellStyle name="Normal 3 3 3 4 2 3 3" xfId="25069" xr:uid="{00000000-0005-0000-0000-000055670000}"/>
    <cellStyle name="Normal 3 3 3 4 2 3 3 2" xfId="44081" xr:uid="{00000000-0005-0000-0000-000056670000}"/>
    <cellStyle name="Normal 3 3 3 4 2 3 4" xfId="25466" xr:uid="{00000000-0005-0000-0000-000057670000}"/>
    <cellStyle name="Normal 3 3 3 4 2 3 5" xfId="30240" xr:uid="{00000000-0005-0000-0000-000058670000}"/>
    <cellStyle name="Normal 3 3 3 4 2 3 6" xfId="43774" xr:uid="{00000000-0005-0000-0000-000059670000}"/>
    <cellStyle name="Normal 3 3 3 4 2 3 7" xfId="46700" xr:uid="{00000000-0005-0000-0000-00005A670000}"/>
    <cellStyle name="Normal 3 3 3 4 2 3 8" xfId="47321" xr:uid="{00000000-0005-0000-0000-00005B670000}"/>
    <cellStyle name="Normal 3 3 3 4 2 4" xfId="12396" xr:uid="{00000000-0005-0000-0000-00005C670000}"/>
    <cellStyle name="Normal 3 3 3 4 2 5" xfId="33627" xr:uid="{00000000-0005-0000-0000-00005D670000}"/>
    <cellStyle name="Normal 3 3 3 4 2 6" xfId="43566" xr:uid="{00000000-0005-0000-0000-00005E670000}"/>
    <cellStyle name="Normal 3 3 3 4 2 7" xfId="46472" xr:uid="{00000000-0005-0000-0000-00005F670000}"/>
    <cellStyle name="Normal 3 3 3 4 2 8" xfId="47131" xr:uid="{00000000-0005-0000-0000-000060670000}"/>
    <cellStyle name="Normal 3 3 3 4 2_Avviksanalyse løpende RNB15 (1)" xfId="16750" xr:uid="{00000000-0005-0000-0000-000061670000}"/>
    <cellStyle name="Normal 3 3 3 4 3" xfId="4892" xr:uid="{00000000-0005-0000-0000-000062670000}"/>
    <cellStyle name="Normal 3 3 3 4 3 2" xfId="6611" xr:uid="{00000000-0005-0000-0000-000063670000}"/>
    <cellStyle name="Normal 3 3 3 4 3 2 2" xfId="10017" xr:uid="{00000000-0005-0000-0000-000064670000}"/>
    <cellStyle name="Normal 3 3 3 4 3 2 2 2" xfId="23602" xr:uid="{00000000-0005-0000-0000-000065670000}"/>
    <cellStyle name="Normal 3 3 3 4 3 2 2 2 2" xfId="39658" xr:uid="{00000000-0005-0000-0000-000066670000}"/>
    <cellStyle name="Normal 3 3 3 4 3 2 2 3" xfId="27782" xr:uid="{00000000-0005-0000-0000-000067670000}"/>
    <cellStyle name="Normal 3 3 3 4 3 2 3" xfId="20517" xr:uid="{00000000-0005-0000-0000-000068670000}"/>
    <cellStyle name="Normal 3 3 3 4 3 2 3 2" xfId="36616" xr:uid="{00000000-0005-0000-0000-000069670000}"/>
    <cellStyle name="Normal 3 3 3 4 3 2 4" xfId="31183" xr:uid="{00000000-0005-0000-0000-00006A670000}"/>
    <cellStyle name="Normal 3 3 3 4 3 3" xfId="8314" xr:uid="{00000000-0005-0000-0000-00006B670000}"/>
    <cellStyle name="Normal 3 3 3 4 3 3 2" xfId="22577" xr:uid="{00000000-0005-0000-0000-00006C670000}"/>
    <cellStyle name="Normal 3 3 3 4 3 3 2 2" xfId="38646" xr:uid="{00000000-0005-0000-0000-00006D670000}"/>
    <cellStyle name="Normal 3 3 3 4 3 3 3" xfId="34305" xr:uid="{00000000-0005-0000-0000-00006E670000}"/>
    <cellStyle name="Normal 3 3 3 4 3 4" xfId="23665" xr:uid="{00000000-0005-0000-0000-00006F670000}"/>
    <cellStyle name="Normal 3 3 3 4 3 4 2" xfId="39721" xr:uid="{00000000-0005-0000-0000-000070670000}"/>
    <cellStyle name="Normal 3 3 3 4 3 5" xfId="32875" xr:uid="{00000000-0005-0000-0000-000071670000}"/>
    <cellStyle name="Normal 3 3 3 4 4" xfId="5446" xr:uid="{00000000-0005-0000-0000-000072670000}"/>
    <cellStyle name="Normal 3 3 3 4 4 2" xfId="8861" xr:uid="{00000000-0005-0000-0000-000073670000}"/>
    <cellStyle name="Normal 3 3 3 4 4 2 2" xfId="24425" xr:uid="{00000000-0005-0000-0000-000074670000}"/>
    <cellStyle name="Normal 3 3 3 4 4 2 2 2" xfId="40469" xr:uid="{00000000-0005-0000-0000-000075670000}"/>
    <cellStyle name="Normal 3 3 3 4 4 2 3" xfId="28937" xr:uid="{00000000-0005-0000-0000-000076670000}"/>
    <cellStyle name="Normal 3 3 3 4 4 3" xfId="10703" xr:uid="{00000000-0005-0000-0000-000077670000}"/>
    <cellStyle name="Normal 3 3 3 4 4 3 2" xfId="34551" xr:uid="{00000000-0005-0000-0000-000078670000}"/>
    <cellStyle name="Normal 3 3 3 4 4 4" xfId="32328" xr:uid="{00000000-0005-0000-0000-000079670000}"/>
    <cellStyle name="Normal 3 3 3 4 5" xfId="7164" xr:uid="{00000000-0005-0000-0000-00007A670000}"/>
    <cellStyle name="Normal 3 3 3 4 5 2" xfId="22654" xr:uid="{00000000-0005-0000-0000-00007B670000}"/>
    <cellStyle name="Normal 3 3 3 4 5 2 2" xfId="38723" xr:uid="{00000000-0005-0000-0000-00007C670000}"/>
    <cellStyle name="Normal 3 3 3 4 5 3" xfId="30634" xr:uid="{00000000-0005-0000-0000-00007D670000}"/>
    <cellStyle name="Normal 3 3 3 4 6" xfId="12395" xr:uid="{00000000-0005-0000-0000-00007E670000}"/>
    <cellStyle name="Normal 3 3 3 4 7" xfId="34021" xr:uid="{00000000-0005-0000-0000-00007F670000}"/>
    <cellStyle name="Normal 3 3 3 5" xfId="3773" xr:uid="{00000000-0005-0000-0000-000080670000}"/>
    <cellStyle name="Normal 3 3 3 5 2" xfId="5661" xr:uid="{00000000-0005-0000-0000-000081670000}"/>
    <cellStyle name="Normal 3 3 3 5 2 2" xfId="9076" xr:uid="{00000000-0005-0000-0000-000082670000}"/>
    <cellStyle name="Normal 3 3 3 5 2 2 2" xfId="24454" xr:uid="{00000000-0005-0000-0000-000083670000}"/>
    <cellStyle name="Normal 3 3 3 5 2 2 2 2" xfId="40498" xr:uid="{00000000-0005-0000-0000-000084670000}"/>
    <cellStyle name="Normal 3 3 3 5 2 2 3" xfId="28722" xr:uid="{00000000-0005-0000-0000-000085670000}"/>
    <cellStyle name="Normal 3 3 3 5 2 3" xfId="20159" xr:uid="{00000000-0005-0000-0000-000086670000}"/>
    <cellStyle name="Normal 3 3 3 5 2 3 2" xfId="36260" xr:uid="{00000000-0005-0000-0000-000087670000}"/>
    <cellStyle name="Normal 3 3 3 5 2 4" xfId="32113" xr:uid="{00000000-0005-0000-0000-000088670000}"/>
    <cellStyle name="Normal 3 3 3 5 3" xfId="7379" xr:uid="{00000000-0005-0000-0000-000089670000}"/>
    <cellStyle name="Normal 3 3 3 5 3 2" xfId="22445" xr:uid="{00000000-0005-0000-0000-00008A670000}"/>
    <cellStyle name="Normal 3 3 3 5 3 2 2" xfId="38517" xr:uid="{00000000-0005-0000-0000-00008B670000}"/>
    <cellStyle name="Normal 3 3 3 5 3 3" xfId="30419" xr:uid="{00000000-0005-0000-0000-00008C670000}"/>
    <cellStyle name="Normal 3 3 3 5 4" xfId="22681" xr:uid="{00000000-0005-0000-0000-00008D670000}"/>
    <cellStyle name="Normal 3 3 3 5 4 2" xfId="38750" xr:uid="{00000000-0005-0000-0000-00008E670000}"/>
    <cellStyle name="Normal 3 3 3 5 5" xfId="33806" xr:uid="{00000000-0005-0000-0000-00008F670000}"/>
    <cellStyle name="Normal 3 3 3 6" xfId="4225" xr:uid="{00000000-0005-0000-0000-000090670000}"/>
    <cellStyle name="Normal 3 3 3 6 2" xfId="6060" xr:uid="{00000000-0005-0000-0000-000091670000}"/>
    <cellStyle name="Normal 3 3 3 6 2 2" xfId="9475" xr:uid="{00000000-0005-0000-0000-000092670000}"/>
    <cellStyle name="Normal 3 3 3 6 2 2 2" xfId="24518" xr:uid="{00000000-0005-0000-0000-000093670000}"/>
    <cellStyle name="Normal 3 3 3 6 2 2 2 2" xfId="40562" xr:uid="{00000000-0005-0000-0000-000094670000}"/>
    <cellStyle name="Normal 3 3 3 6 2 2 3" xfId="28323" xr:uid="{00000000-0005-0000-0000-000095670000}"/>
    <cellStyle name="Normal 3 3 3 6 2 3" xfId="20305" xr:uid="{00000000-0005-0000-0000-000096670000}"/>
    <cellStyle name="Normal 3 3 3 6 2 3 2" xfId="36404" xr:uid="{00000000-0005-0000-0000-000097670000}"/>
    <cellStyle name="Normal 3 3 3 6 2 4" xfId="31718" xr:uid="{00000000-0005-0000-0000-000098670000}"/>
    <cellStyle name="Normal 3 3 3 6 3" xfId="7794" xr:uid="{00000000-0005-0000-0000-000099670000}"/>
    <cellStyle name="Normal 3 3 3 6 3 2" xfId="24272" xr:uid="{00000000-0005-0000-0000-00009A670000}"/>
    <cellStyle name="Normal 3 3 3 6 3 2 2" xfId="40325" xr:uid="{00000000-0005-0000-0000-00009B670000}"/>
    <cellStyle name="Normal 3 3 3 6 3 3" xfId="30005" xr:uid="{00000000-0005-0000-0000-00009C670000}"/>
    <cellStyle name="Normal 3 3 3 6 4" xfId="12392" xr:uid="{00000000-0005-0000-0000-00009D670000}"/>
    <cellStyle name="Normal 3 3 3 6 4 2" xfId="35221" xr:uid="{00000000-0005-0000-0000-00009E670000}"/>
    <cellStyle name="Normal 3 3 3 6 5" xfId="33393" xr:uid="{00000000-0005-0000-0000-00009F670000}"/>
    <cellStyle name="Normal 3 3 3 7" xfId="4708" xr:uid="{00000000-0005-0000-0000-0000A0670000}"/>
    <cellStyle name="Normal 3 3 3 7 2" xfId="6428" xr:uid="{00000000-0005-0000-0000-0000A1670000}"/>
    <cellStyle name="Normal 3 3 3 7 2 2" xfId="9838" xr:uid="{00000000-0005-0000-0000-0000A2670000}"/>
    <cellStyle name="Normal 3 3 3 7 2 2 2" xfId="21503" xr:uid="{00000000-0005-0000-0000-0000A3670000}"/>
    <cellStyle name="Normal 3 3 3 7 2 2 2 2" xfId="37583" xr:uid="{00000000-0005-0000-0000-0000A4670000}"/>
    <cellStyle name="Normal 3 3 3 7 2 2 3" xfId="27961" xr:uid="{00000000-0005-0000-0000-0000A5670000}"/>
    <cellStyle name="Normal 3 3 3 7 2 3" xfId="20449" xr:uid="{00000000-0005-0000-0000-0000A6670000}"/>
    <cellStyle name="Normal 3 3 3 7 2 3 2" xfId="36548" xr:uid="{00000000-0005-0000-0000-0000A7670000}"/>
    <cellStyle name="Normal 3 3 3 7 2 4" xfId="31362" xr:uid="{00000000-0005-0000-0000-0000A8670000}"/>
    <cellStyle name="Normal 3 3 3 7 3" xfId="8134" xr:uid="{00000000-0005-0000-0000-0000A9670000}"/>
    <cellStyle name="Normal 3 3 3 7 3 2" xfId="19468" xr:uid="{00000000-0005-0000-0000-0000AA670000}"/>
    <cellStyle name="Normal 3 3 3 7 3 2 2" xfId="35582" xr:uid="{00000000-0005-0000-0000-0000AB670000}"/>
    <cellStyle name="Normal 3 3 3 7 3 3" xfId="29664" xr:uid="{00000000-0005-0000-0000-0000AC670000}"/>
    <cellStyle name="Normal 3 3 3 7 4" xfId="22226" xr:uid="{00000000-0005-0000-0000-0000AD670000}"/>
    <cellStyle name="Normal 3 3 3 7 4 2" xfId="38300" xr:uid="{00000000-0005-0000-0000-0000AE670000}"/>
    <cellStyle name="Normal 3 3 3 7 5" xfId="33055" xr:uid="{00000000-0005-0000-0000-0000AF670000}"/>
    <cellStyle name="Normal 3 3 3 8" xfId="5072" xr:uid="{00000000-0005-0000-0000-0000B0670000}"/>
    <cellStyle name="Normal 3 3 3 8 2" xfId="6791" xr:uid="{00000000-0005-0000-0000-0000B1670000}"/>
    <cellStyle name="Normal 3 3 3 8 2 2" xfId="10197" xr:uid="{00000000-0005-0000-0000-0000B2670000}"/>
    <cellStyle name="Normal 3 3 3 8 2 2 2" xfId="23638" xr:uid="{00000000-0005-0000-0000-0000B3670000}"/>
    <cellStyle name="Normal 3 3 3 8 2 2 2 2" xfId="39694" xr:uid="{00000000-0005-0000-0000-0000B4670000}"/>
    <cellStyle name="Normal 3 3 3 8 2 2 3" xfId="27602" xr:uid="{00000000-0005-0000-0000-0000B5670000}"/>
    <cellStyle name="Normal 3 3 3 8 2 3" xfId="22387" xr:uid="{00000000-0005-0000-0000-0000B6670000}"/>
    <cellStyle name="Normal 3 3 3 8 2 3 2" xfId="38459" xr:uid="{00000000-0005-0000-0000-0000B7670000}"/>
    <cellStyle name="Normal 3 3 3 8 2 4" xfId="31003" xr:uid="{00000000-0005-0000-0000-0000B8670000}"/>
    <cellStyle name="Normal 3 3 3 8 3" xfId="8494" xr:uid="{00000000-0005-0000-0000-0000B9670000}"/>
    <cellStyle name="Normal 3 3 3 8 3 2" xfId="10537" xr:uid="{00000000-0005-0000-0000-0000BA670000}"/>
    <cellStyle name="Normal 3 3 3 8 3 2 2" xfId="34413" xr:uid="{00000000-0005-0000-0000-0000BB670000}"/>
    <cellStyle name="Normal 3 3 3 8 3 3" xfId="29304" xr:uid="{00000000-0005-0000-0000-0000BC670000}"/>
    <cellStyle name="Normal 3 3 3 8 4" xfId="12186" xr:uid="{00000000-0005-0000-0000-0000BD670000}"/>
    <cellStyle name="Normal 3 3 3 8 4 2" xfId="35116" xr:uid="{00000000-0005-0000-0000-0000BE670000}"/>
    <cellStyle name="Normal 3 3 3 8 5" xfId="32695" xr:uid="{00000000-0005-0000-0000-0000BF670000}"/>
    <cellStyle name="Normal 3 3 3 9" xfId="5213" xr:uid="{00000000-0005-0000-0000-0000C0670000}"/>
    <cellStyle name="Normal 3 3 3 9 2" xfId="8632" xr:uid="{00000000-0005-0000-0000-0000C1670000}"/>
    <cellStyle name="Normal 3 3 3 9 2 2" xfId="21143" xr:uid="{00000000-0005-0000-0000-0000C2670000}"/>
    <cellStyle name="Normal 3 3 3 9 2 2 2" xfId="37223" xr:uid="{00000000-0005-0000-0000-0000C3670000}"/>
    <cellStyle name="Normal 3 3 3 9 2 3" xfId="29166" xr:uid="{00000000-0005-0000-0000-0000C4670000}"/>
    <cellStyle name="Normal 3 3 3 9 3" xfId="20068" xr:uid="{00000000-0005-0000-0000-0000C5670000}"/>
    <cellStyle name="Normal 3 3 3 9 3 2" xfId="36172" xr:uid="{00000000-0005-0000-0000-0000C6670000}"/>
    <cellStyle name="Normal 3 3 3 9 4" xfId="32557" xr:uid="{00000000-0005-0000-0000-0000C7670000}"/>
    <cellStyle name="Normal 3 3 4" xfId="1727" xr:uid="{00000000-0005-0000-0000-0000C8670000}"/>
    <cellStyle name="Normal 3 3 4 10" xfId="12397" xr:uid="{00000000-0005-0000-0000-0000C9670000}"/>
    <cellStyle name="Normal 3 3 4 11" xfId="34204" xr:uid="{00000000-0005-0000-0000-0000CA670000}"/>
    <cellStyle name="Normal 3 3 4 2" xfId="3376" xr:uid="{00000000-0005-0000-0000-0000CB670000}"/>
    <cellStyle name="Normal 3 3 4 2 10" xfId="34121" xr:uid="{00000000-0005-0000-0000-0000CC670000}"/>
    <cellStyle name="Normal 3 3 4 2 2" xfId="3602" xr:uid="{00000000-0005-0000-0000-0000CD670000}"/>
    <cellStyle name="Normal 3 3 4 2 2 10" xfId="47201" xr:uid="{00000000-0005-0000-0000-0000CE670000}"/>
    <cellStyle name="Normal 3 3 4 2 2 2" xfId="4032" xr:uid="{00000000-0005-0000-0000-0000CF670000}"/>
    <cellStyle name="Normal 3 3 4 2 2 2 2" xfId="5920" xr:uid="{00000000-0005-0000-0000-0000D0670000}"/>
    <cellStyle name="Normal 3 3 4 2 2 2 2 2" xfId="9335" xr:uid="{00000000-0005-0000-0000-0000D1670000}"/>
    <cellStyle name="Normal 3 3 4 2 2 2 2 2 2" xfId="23493" xr:uid="{00000000-0005-0000-0000-0000D2670000}"/>
    <cellStyle name="Normal 3 3 4 2 2 2 2 2 2 2" xfId="39549" xr:uid="{00000000-0005-0000-0000-0000D3670000}"/>
    <cellStyle name="Normal 3 3 4 2 2 2 2 2 3" xfId="28463" xr:uid="{00000000-0005-0000-0000-0000D4670000}"/>
    <cellStyle name="Normal 3 3 4 2 2 2 2 3" xfId="20252" xr:uid="{00000000-0005-0000-0000-0000D5670000}"/>
    <cellStyle name="Normal 3 3 4 2 2 2 2 3 2" xfId="36351" xr:uid="{00000000-0005-0000-0000-0000D6670000}"/>
    <cellStyle name="Normal 3 3 4 2 2 2 2 4" xfId="31856" xr:uid="{00000000-0005-0000-0000-0000D7670000}"/>
    <cellStyle name="Normal 3 3 4 2 2 2 3" xfId="7638" xr:uid="{00000000-0005-0000-0000-0000D8670000}"/>
    <cellStyle name="Normal 3 3 4 2 2 2 3 2" xfId="24241" xr:uid="{00000000-0005-0000-0000-0000D9670000}"/>
    <cellStyle name="Normal 3 3 4 2 2 2 3 2 2" xfId="40294" xr:uid="{00000000-0005-0000-0000-0000DA670000}"/>
    <cellStyle name="Normal 3 3 4 2 2 2 3 3" xfId="30160" xr:uid="{00000000-0005-0000-0000-0000DB670000}"/>
    <cellStyle name="Normal 3 3 4 2 2 2 4" xfId="18173" xr:uid="{00000000-0005-0000-0000-0000DC670000}"/>
    <cellStyle name="Normal 3 3 4 2 2 2 5" xfId="19965" xr:uid="{00000000-0005-0000-0000-0000DD670000}"/>
    <cellStyle name="Normal 3 3 4 2 2 2 5 2" xfId="36069" xr:uid="{00000000-0005-0000-0000-0000DE670000}"/>
    <cellStyle name="Normal 3 3 4 2 2 2 6" xfId="33547" xr:uid="{00000000-0005-0000-0000-0000DF670000}"/>
    <cellStyle name="Normal 3 3 4 2 2 3" xfId="4972" xr:uid="{00000000-0005-0000-0000-0000E0670000}"/>
    <cellStyle name="Normal 3 3 4 2 2 3 10" xfId="47391" xr:uid="{00000000-0005-0000-0000-0000E1670000}"/>
    <cellStyle name="Normal 3 3 4 2 2 3 2" xfId="6691" xr:uid="{00000000-0005-0000-0000-0000E2670000}"/>
    <cellStyle name="Normal 3 3 4 2 2 3 2 2" xfId="10097" xr:uid="{00000000-0005-0000-0000-0000E3670000}"/>
    <cellStyle name="Normal 3 3 4 2 2 3 2 2 2" xfId="23618" xr:uid="{00000000-0005-0000-0000-0000E4670000}"/>
    <cellStyle name="Normal 3 3 4 2 2 3 2 2 2 2" xfId="39674" xr:uid="{00000000-0005-0000-0000-0000E5670000}"/>
    <cellStyle name="Normal 3 3 4 2 2 3 2 2 3" xfId="27702" xr:uid="{00000000-0005-0000-0000-0000E6670000}"/>
    <cellStyle name="Normal 3 3 4 2 2 3 2 3" xfId="20542" xr:uid="{00000000-0005-0000-0000-0000E7670000}"/>
    <cellStyle name="Normal 3 3 4 2 2 3 2 3 2" xfId="36641" xr:uid="{00000000-0005-0000-0000-0000E8670000}"/>
    <cellStyle name="Normal 3 3 4 2 2 3 2 4" xfId="31103" xr:uid="{00000000-0005-0000-0000-0000E9670000}"/>
    <cellStyle name="Normal 3 3 4 2 2 3 2 5" xfId="43088" xr:uid="{00000000-0005-0000-0000-0000EA670000}"/>
    <cellStyle name="Normal 3 3 4 2 2 3 2 6" xfId="43382" xr:uid="{00000000-0005-0000-0000-0000EB670000}"/>
    <cellStyle name="Normal 3 3 4 2 2 3 2 7" xfId="46230" xr:uid="{00000000-0005-0000-0000-0000EC670000}"/>
    <cellStyle name="Normal 3 3 4 2 2 3 2 8" xfId="47002" xr:uid="{00000000-0005-0000-0000-0000ED670000}"/>
    <cellStyle name="Normal 3 3 4 2 2 3 2 9" xfId="47587" xr:uid="{00000000-0005-0000-0000-0000EE670000}"/>
    <cellStyle name="Normal 3 3 4 2 2 3 3" xfId="8394" xr:uid="{00000000-0005-0000-0000-0000EF670000}"/>
    <cellStyle name="Normal 3 3 4 2 2 3 3 2" xfId="24358" xr:uid="{00000000-0005-0000-0000-0000F0670000}"/>
    <cellStyle name="Normal 3 3 4 2 2 3 3 2 2" xfId="40405" xr:uid="{00000000-0005-0000-0000-0000F1670000}"/>
    <cellStyle name="Normal 3 3 4 2 2 3 3 3" xfId="29404" xr:uid="{00000000-0005-0000-0000-0000F2670000}"/>
    <cellStyle name="Normal 3 3 4 2 2 3 3 4" xfId="44082" xr:uid="{00000000-0005-0000-0000-0000F3670000}"/>
    <cellStyle name="Normal 3 3 4 2 2 3 4" xfId="16533" xr:uid="{00000000-0005-0000-0000-0000F4670000}"/>
    <cellStyle name="Normal 3 3 4 2 2 3 4 2" xfId="35477" xr:uid="{00000000-0005-0000-0000-0000F5670000}"/>
    <cellStyle name="Normal 3 3 4 2 2 3 5" xfId="25139" xr:uid="{00000000-0005-0000-0000-0000F6670000}"/>
    <cellStyle name="Normal 3 3 4 2 2 3 6" xfId="25467" xr:uid="{00000000-0005-0000-0000-0000F7670000}"/>
    <cellStyle name="Normal 3 3 4 2 2 3 7" xfId="32795" xr:uid="{00000000-0005-0000-0000-0000F8670000}"/>
    <cellStyle name="Normal 3 3 4 2 2 3 8" xfId="43843" xr:uid="{00000000-0005-0000-0000-0000F9670000}"/>
    <cellStyle name="Normal 3 3 4 2 2 3 9" xfId="46768" xr:uid="{00000000-0005-0000-0000-0000FA670000}"/>
    <cellStyle name="Normal 3 3 4 2 2 4" xfId="5526" xr:uid="{00000000-0005-0000-0000-0000FB670000}"/>
    <cellStyle name="Normal 3 3 4 2 2 4 2" xfId="8941" xr:uid="{00000000-0005-0000-0000-0000FC670000}"/>
    <cellStyle name="Normal 3 3 4 2 2 4 2 2" xfId="21225" xr:uid="{00000000-0005-0000-0000-0000FD670000}"/>
    <cellStyle name="Normal 3 3 4 2 2 4 2 2 2" xfId="37305" xr:uid="{00000000-0005-0000-0000-0000FE670000}"/>
    <cellStyle name="Normal 3 3 4 2 2 4 2 3" xfId="28857" xr:uid="{00000000-0005-0000-0000-0000FF670000}"/>
    <cellStyle name="Normal 3 3 4 2 2 4 3" xfId="22866" xr:uid="{00000000-0005-0000-0000-000000680000}"/>
    <cellStyle name="Normal 3 3 4 2 2 4 3 2" xfId="38935" xr:uid="{00000000-0005-0000-0000-000001680000}"/>
    <cellStyle name="Normal 3 3 4 2 2 4 4" xfId="32248" xr:uid="{00000000-0005-0000-0000-000002680000}"/>
    <cellStyle name="Normal 3 3 4 2 2 5" xfId="7244" xr:uid="{00000000-0005-0000-0000-000003680000}"/>
    <cellStyle name="Normal 3 3 4 2 2 5 2" xfId="24170" xr:uid="{00000000-0005-0000-0000-000004680000}"/>
    <cellStyle name="Normal 3 3 4 2 2 5 2 2" xfId="40223" xr:uid="{00000000-0005-0000-0000-000005680000}"/>
    <cellStyle name="Normal 3 3 4 2 2 5 3" xfId="30554" xr:uid="{00000000-0005-0000-0000-000006680000}"/>
    <cellStyle name="Normal 3 3 4 2 2 6" xfId="12399" xr:uid="{00000000-0005-0000-0000-000007680000}"/>
    <cellStyle name="Normal 3 3 4 2 2 7" xfId="33941" xr:uid="{00000000-0005-0000-0000-000008680000}"/>
    <cellStyle name="Normal 3 3 4 2 2 8" xfId="43634" xr:uid="{00000000-0005-0000-0000-000009680000}"/>
    <cellStyle name="Normal 3 3 4 2 2 9" xfId="46540" xr:uid="{00000000-0005-0000-0000-00000A680000}"/>
    <cellStyle name="Normal 3 3 4 2 2_Avviksanalyse løpende RNB15 (1)" xfId="16751" xr:uid="{00000000-0005-0000-0000-00000B680000}"/>
    <cellStyle name="Normal 3 3 4 2 3" xfId="3852" xr:uid="{00000000-0005-0000-0000-00000C680000}"/>
    <cellStyle name="Normal 3 3 4 2 3 2" xfId="5740" xr:uid="{00000000-0005-0000-0000-00000D680000}"/>
    <cellStyle name="Normal 3 3 4 2 3 2 2" xfId="9155" xr:uid="{00000000-0005-0000-0000-00000E680000}"/>
    <cellStyle name="Normal 3 3 4 2 3 2 2 2" xfId="23464" xr:uid="{00000000-0005-0000-0000-00000F680000}"/>
    <cellStyle name="Normal 3 3 4 2 3 2 2 2 2" xfId="39520" xr:uid="{00000000-0005-0000-0000-000010680000}"/>
    <cellStyle name="Normal 3 3 4 2 3 2 2 3" xfId="28643" xr:uid="{00000000-0005-0000-0000-000011680000}"/>
    <cellStyle name="Normal 3 3 4 2 3 2 3" xfId="22906" xr:uid="{00000000-0005-0000-0000-000012680000}"/>
    <cellStyle name="Normal 3 3 4 2 3 2 3 2" xfId="38975" xr:uid="{00000000-0005-0000-0000-000013680000}"/>
    <cellStyle name="Normal 3 3 4 2 3 2 4" xfId="32034" xr:uid="{00000000-0005-0000-0000-000014680000}"/>
    <cellStyle name="Normal 3 3 4 2 3 3" xfId="7458" xr:uid="{00000000-0005-0000-0000-000015680000}"/>
    <cellStyle name="Normal 3 3 4 2 3 3 2" xfId="20790" xr:uid="{00000000-0005-0000-0000-000016680000}"/>
    <cellStyle name="Normal 3 3 4 2 3 3 2 2" xfId="36889" xr:uid="{00000000-0005-0000-0000-000017680000}"/>
    <cellStyle name="Normal 3 3 4 2 3 3 3" xfId="30340" xr:uid="{00000000-0005-0000-0000-000018680000}"/>
    <cellStyle name="Normal 3 3 4 2 3 4" xfId="23782" xr:uid="{00000000-0005-0000-0000-000019680000}"/>
    <cellStyle name="Normal 3 3 4 2 3 4 2" xfId="39838" xr:uid="{00000000-0005-0000-0000-00001A680000}"/>
    <cellStyle name="Normal 3 3 4 2 3 5" xfId="33727" xr:uid="{00000000-0005-0000-0000-00001B680000}"/>
    <cellStyle name="Normal 3 3 4 2 4" xfId="4337" xr:uid="{00000000-0005-0000-0000-00001C680000}"/>
    <cellStyle name="Normal 3 3 4 2 4 2" xfId="6166" xr:uid="{00000000-0005-0000-0000-00001D680000}"/>
    <cellStyle name="Normal 3 3 4 2 4 2 2" xfId="9580" xr:uid="{00000000-0005-0000-0000-00001E680000}"/>
    <cellStyle name="Normal 3 3 4 2 4 2 2 2" xfId="21799" xr:uid="{00000000-0005-0000-0000-00001F680000}"/>
    <cellStyle name="Normal 3 3 4 2 4 2 2 2 2" xfId="37875" xr:uid="{00000000-0005-0000-0000-000020680000}"/>
    <cellStyle name="Normal 3 3 4 2 4 2 2 3" xfId="28218" xr:uid="{00000000-0005-0000-0000-000021680000}"/>
    <cellStyle name="Normal 3 3 4 2 4 2 3" xfId="22987" xr:uid="{00000000-0005-0000-0000-000022680000}"/>
    <cellStyle name="Normal 3 3 4 2 4 2 3 2" xfId="39056" xr:uid="{00000000-0005-0000-0000-000023680000}"/>
    <cellStyle name="Normal 3 3 4 2 4 2 4" xfId="31615" xr:uid="{00000000-0005-0000-0000-000024680000}"/>
    <cellStyle name="Normal 3 3 4 2 4 3" xfId="7899" xr:uid="{00000000-0005-0000-0000-000025680000}"/>
    <cellStyle name="Normal 3 3 4 2 4 3 2" xfId="10617" xr:uid="{00000000-0005-0000-0000-000026680000}"/>
    <cellStyle name="Normal 3 3 4 2 4 3 2 2" xfId="34465" xr:uid="{00000000-0005-0000-0000-000027680000}"/>
    <cellStyle name="Normal 3 3 4 2 4 3 3" xfId="29900" xr:uid="{00000000-0005-0000-0000-000028680000}"/>
    <cellStyle name="Normal 3 3 4 2 4 4" xfId="22816" xr:uid="{00000000-0005-0000-0000-000029680000}"/>
    <cellStyle name="Normal 3 3 4 2 4 4 2" xfId="38885" xr:uid="{00000000-0005-0000-0000-00002A680000}"/>
    <cellStyle name="Normal 3 3 4 2 4 5" xfId="33288" xr:uid="{00000000-0005-0000-0000-00002B680000}"/>
    <cellStyle name="Normal 3 3 4 2 5" xfId="4792" xr:uid="{00000000-0005-0000-0000-00002C680000}"/>
    <cellStyle name="Normal 3 3 4 2 5 2" xfId="6512" xr:uid="{00000000-0005-0000-0000-00002D680000}"/>
    <cellStyle name="Normal 3 3 4 2 5 2 2" xfId="9918" xr:uid="{00000000-0005-0000-0000-00002E680000}"/>
    <cellStyle name="Normal 3 3 4 2 5 2 2 2" xfId="21533" xr:uid="{00000000-0005-0000-0000-00002F680000}"/>
    <cellStyle name="Normal 3 3 4 2 5 2 2 2 2" xfId="37613" xr:uid="{00000000-0005-0000-0000-000030680000}"/>
    <cellStyle name="Normal 3 3 4 2 5 2 2 3" xfId="27881" xr:uid="{00000000-0005-0000-0000-000031680000}"/>
    <cellStyle name="Normal 3 3 4 2 5 2 3" xfId="11970" xr:uid="{00000000-0005-0000-0000-000032680000}"/>
    <cellStyle name="Normal 3 3 4 2 5 2 3 2" xfId="34992" xr:uid="{00000000-0005-0000-0000-000033680000}"/>
    <cellStyle name="Normal 3 3 4 2 5 2 4" xfId="31282" xr:uid="{00000000-0005-0000-0000-000034680000}"/>
    <cellStyle name="Normal 3 3 4 2 5 3" xfId="8214" xr:uid="{00000000-0005-0000-0000-000035680000}"/>
    <cellStyle name="Normal 3 3 4 2 5 3 2" xfId="10593" xr:uid="{00000000-0005-0000-0000-000036680000}"/>
    <cellStyle name="Normal 3 3 4 2 5 3 2 2" xfId="34442" xr:uid="{00000000-0005-0000-0000-000037680000}"/>
    <cellStyle name="Normal 3 3 4 2 5 3 3" xfId="29583" xr:uid="{00000000-0005-0000-0000-000038680000}"/>
    <cellStyle name="Normal 3 3 4 2 5 4" xfId="19708" xr:uid="{00000000-0005-0000-0000-000039680000}"/>
    <cellStyle name="Normal 3 3 4 2 5 4 2" xfId="35822" xr:uid="{00000000-0005-0000-0000-00003A680000}"/>
    <cellStyle name="Normal 3 3 4 2 5 5" xfId="32975" xr:uid="{00000000-0005-0000-0000-00003B680000}"/>
    <cellStyle name="Normal 3 3 4 2 6" xfId="5152" xr:uid="{00000000-0005-0000-0000-00003C680000}"/>
    <cellStyle name="Normal 3 3 4 2 6 2" xfId="6871" xr:uid="{00000000-0005-0000-0000-00003D680000}"/>
    <cellStyle name="Normal 3 3 4 2 6 2 2" xfId="10277" xr:uid="{00000000-0005-0000-0000-00003E680000}"/>
    <cellStyle name="Normal 3 3 4 2 6 2 2 2" xfId="24720" xr:uid="{00000000-0005-0000-0000-00003F680000}"/>
    <cellStyle name="Normal 3 3 4 2 6 2 2 2 2" xfId="40763" xr:uid="{00000000-0005-0000-0000-000040680000}"/>
    <cellStyle name="Normal 3 3 4 2 6 2 2 3" xfId="27522" xr:uid="{00000000-0005-0000-0000-000041680000}"/>
    <cellStyle name="Normal 3 3 4 2 6 2 3" xfId="23107" xr:uid="{00000000-0005-0000-0000-000042680000}"/>
    <cellStyle name="Normal 3 3 4 2 6 2 3 2" xfId="39176" xr:uid="{00000000-0005-0000-0000-000043680000}"/>
    <cellStyle name="Normal 3 3 4 2 6 2 4" xfId="30923" xr:uid="{00000000-0005-0000-0000-000044680000}"/>
    <cellStyle name="Normal 3 3 4 2 6 3" xfId="8574" xr:uid="{00000000-0005-0000-0000-000045680000}"/>
    <cellStyle name="Normal 3 3 4 2 6 3 2" xfId="10519" xr:uid="{00000000-0005-0000-0000-000046680000}"/>
    <cellStyle name="Normal 3 3 4 2 6 3 2 2" xfId="34404" xr:uid="{00000000-0005-0000-0000-000047680000}"/>
    <cellStyle name="Normal 3 3 4 2 6 3 3" xfId="29224" xr:uid="{00000000-0005-0000-0000-000048680000}"/>
    <cellStyle name="Normal 3 3 4 2 6 4" xfId="12154" xr:uid="{00000000-0005-0000-0000-000049680000}"/>
    <cellStyle name="Normal 3 3 4 2 6 4 2" xfId="35097" xr:uid="{00000000-0005-0000-0000-00004A680000}"/>
    <cellStyle name="Normal 3 3 4 2 6 5" xfId="32615" xr:uid="{00000000-0005-0000-0000-00004B680000}"/>
    <cellStyle name="Normal 3 3 4 2 7" xfId="5331" xr:uid="{00000000-0005-0000-0000-00004C680000}"/>
    <cellStyle name="Normal 3 3 4 2 7 2" xfId="8746" xr:uid="{00000000-0005-0000-0000-00004D680000}"/>
    <cellStyle name="Normal 3 3 4 2 7 2 2" xfId="23404" xr:uid="{00000000-0005-0000-0000-00004E680000}"/>
    <cellStyle name="Normal 3 3 4 2 7 2 2 2" xfId="39460" xr:uid="{00000000-0005-0000-0000-00004F680000}"/>
    <cellStyle name="Normal 3 3 4 2 7 2 3" xfId="29052" xr:uid="{00000000-0005-0000-0000-000050680000}"/>
    <cellStyle name="Normal 3 3 4 2 7 3" xfId="19803" xr:uid="{00000000-0005-0000-0000-000051680000}"/>
    <cellStyle name="Normal 3 3 4 2 7 3 2" xfId="35916" xr:uid="{00000000-0005-0000-0000-000052680000}"/>
    <cellStyle name="Normal 3 3 4 2 7 4" xfId="32443" xr:uid="{00000000-0005-0000-0000-000053680000}"/>
    <cellStyle name="Normal 3 3 4 2 8" xfId="7064" xr:uid="{00000000-0005-0000-0000-000054680000}"/>
    <cellStyle name="Normal 3 3 4 2 8 2" xfId="20651" xr:uid="{00000000-0005-0000-0000-000055680000}"/>
    <cellStyle name="Normal 3 3 4 2 8 2 2" xfId="36750" xr:uid="{00000000-0005-0000-0000-000056680000}"/>
    <cellStyle name="Normal 3 3 4 2 8 3" xfId="30734" xr:uid="{00000000-0005-0000-0000-000057680000}"/>
    <cellStyle name="Normal 3 3 4 2 9" xfId="12398" xr:uid="{00000000-0005-0000-0000-000058680000}"/>
    <cellStyle name="Normal 3 3 4 3" xfId="3518" xr:uid="{00000000-0005-0000-0000-000059680000}"/>
    <cellStyle name="Normal 3 3 4 3 10" xfId="47132" xr:uid="{00000000-0005-0000-0000-00005A680000}"/>
    <cellStyle name="Normal 3 3 4 3 2" xfId="3953" xr:uid="{00000000-0005-0000-0000-00005B680000}"/>
    <cellStyle name="Normal 3 3 4 3 2 2" xfId="5841" xr:uid="{00000000-0005-0000-0000-00005C680000}"/>
    <cellStyle name="Normal 3 3 4 3 2 2 2" xfId="9256" xr:uid="{00000000-0005-0000-0000-00005D680000}"/>
    <cellStyle name="Normal 3 3 4 3 2 2 2 2" xfId="22535" xr:uid="{00000000-0005-0000-0000-00005E680000}"/>
    <cellStyle name="Normal 3 3 4 3 2 2 2 2 2" xfId="38605" xr:uid="{00000000-0005-0000-0000-00005F680000}"/>
    <cellStyle name="Normal 3 3 4 3 2 2 2 3" xfId="28542" xr:uid="{00000000-0005-0000-0000-000060680000}"/>
    <cellStyle name="Normal 3 3 4 3 2 2 3" xfId="20224" xr:uid="{00000000-0005-0000-0000-000061680000}"/>
    <cellStyle name="Normal 3 3 4 3 2 2 3 2" xfId="36323" xr:uid="{00000000-0005-0000-0000-000062680000}"/>
    <cellStyle name="Normal 3 3 4 3 2 2 4" xfId="31933" xr:uid="{00000000-0005-0000-0000-000063680000}"/>
    <cellStyle name="Normal 3 3 4 3 2 3" xfId="7559" xr:uid="{00000000-0005-0000-0000-000064680000}"/>
    <cellStyle name="Normal 3 3 4 3 2 3 2" xfId="24225" xr:uid="{00000000-0005-0000-0000-000065680000}"/>
    <cellStyle name="Normal 3 3 4 3 2 3 2 2" xfId="40278" xr:uid="{00000000-0005-0000-0000-000066680000}"/>
    <cellStyle name="Normal 3 3 4 3 2 3 3" xfId="30239" xr:uid="{00000000-0005-0000-0000-000067680000}"/>
    <cellStyle name="Normal 3 3 4 3 2 4" xfId="18174" xr:uid="{00000000-0005-0000-0000-000068680000}"/>
    <cellStyle name="Normal 3 3 4 3 2 5" xfId="11047" xr:uid="{00000000-0005-0000-0000-000069680000}"/>
    <cellStyle name="Normal 3 3 4 3 2 5 2" xfId="34755" xr:uid="{00000000-0005-0000-0000-00006A680000}"/>
    <cellStyle name="Normal 3 3 4 3 2 6" xfId="33626" xr:uid="{00000000-0005-0000-0000-00006B680000}"/>
    <cellStyle name="Normal 3 3 4 3 3" xfId="4893" xr:uid="{00000000-0005-0000-0000-00006C680000}"/>
    <cellStyle name="Normal 3 3 4 3 3 10" xfId="47322" xr:uid="{00000000-0005-0000-0000-00006D680000}"/>
    <cellStyle name="Normal 3 3 4 3 3 2" xfId="6612" xr:uid="{00000000-0005-0000-0000-00006E680000}"/>
    <cellStyle name="Normal 3 3 4 3 3 2 2" xfId="10018" xr:uid="{00000000-0005-0000-0000-00006F680000}"/>
    <cellStyle name="Normal 3 3 4 3 3 2 2 2" xfId="21573" xr:uid="{00000000-0005-0000-0000-000070680000}"/>
    <cellStyle name="Normal 3 3 4 3 3 2 2 2 2" xfId="37653" xr:uid="{00000000-0005-0000-0000-000071680000}"/>
    <cellStyle name="Normal 3 3 4 3 3 2 2 3" xfId="27781" xr:uid="{00000000-0005-0000-0000-000072680000}"/>
    <cellStyle name="Normal 3 3 4 3 3 2 3" xfId="20518" xr:uid="{00000000-0005-0000-0000-000073680000}"/>
    <cellStyle name="Normal 3 3 4 3 3 2 3 2" xfId="36617" xr:uid="{00000000-0005-0000-0000-000074680000}"/>
    <cellStyle name="Normal 3 3 4 3 3 2 4" xfId="31182" xr:uid="{00000000-0005-0000-0000-000075680000}"/>
    <cellStyle name="Normal 3 3 4 3 3 2 5" xfId="42941" xr:uid="{00000000-0005-0000-0000-000076680000}"/>
    <cellStyle name="Normal 3 3 4 3 3 2 6" xfId="43315" xr:uid="{00000000-0005-0000-0000-000077680000}"/>
    <cellStyle name="Normal 3 3 4 3 3 2 7" xfId="46163" xr:uid="{00000000-0005-0000-0000-000078680000}"/>
    <cellStyle name="Normal 3 3 4 3 3 2 8" xfId="46935" xr:uid="{00000000-0005-0000-0000-000079680000}"/>
    <cellStyle name="Normal 3 3 4 3 3 2 9" xfId="47518" xr:uid="{00000000-0005-0000-0000-00007A680000}"/>
    <cellStyle name="Normal 3 3 4 3 3 3" xfId="8315" xr:uid="{00000000-0005-0000-0000-00007B680000}"/>
    <cellStyle name="Normal 3 3 4 3 3 3 2" xfId="23345" xr:uid="{00000000-0005-0000-0000-00007C680000}"/>
    <cellStyle name="Normal 3 3 4 3 3 3 2 2" xfId="39406" xr:uid="{00000000-0005-0000-0000-00007D680000}"/>
    <cellStyle name="Normal 3 3 4 3 3 3 3" xfId="29483" xr:uid="{00000000-0005-0000-0000-00007E680000}"/>
    <cellStyle name="Normal 3 3 4 3 3 3 4" xfId="44083" xr:uid="{00000000-0005-0000-0000-00007F680000}"/>
    <cellStyle name="Normal 3 3 4 3 3 4" xfId="16386" xr:uid="{00000000-0005-0000-0000-000080680000}"/>
    <cellStyle name="Normal 3 3 4 3 3 4 2" xfId="35410" xr:uid="{00000000-0005-0000-0000-000081680000}"/>
    <cellStyle name="Normal 3 3 4 3 3 5" xfId="25070" xr:uid="{00000000-0005-0000-0000-000082680000}"/>
    <cellStyle name="Normal 3 3 4 3 3 6" xfId="25468" xr:uid="{00000000-0005-0000-0000-000083680000}"/>
    <cellStyle name="Normal 3 3 4 3 3 7" xfId="32874" xr:uid="{00000000-0005-0000-0000-000084680000}"/>
    <cellStyle name="Normal 3 3 4 3 3 8" xfId="43775" xr:uid="{00000000-0005-0000-0000-000085680000}"/>
    <cellStyle name="Normal 3 3 4 3 3 9" xfId="46701" xr:uid="{00000000-0005-0000-0000-000086680000}"/>
    <cellStyle name="Normal 3 3 4 3 4" xfId="5447" xr:uid="{00000000-0005-0000-0000-000087680000}"/>
    <cellStyle name="Normal 3 3 4 3 4 2" xfId="8862" xr:uid="{00000000-0005-0000-0000-000088680000}"/>
    <cellStyle name="Normal 3 3 4 3 4 2 2" xfId="21899" xr:uid="{00000000-0005-0000-0000-000089680000}"/>
    <cellStyle name="Normal 3 3 4 3 4 2 2 2" xfId="37974" xr:uid="{00000000-0005-0000-0000-00008A680000}"/>
    <cellStyle name="Normal 3 3 4 3 4 2 3" xfId="28936" xr:uid="{00000000-0005-0000-0000-00008B680000}"/>
    <cellStyle name="Normal 3 3 4 3 4 3" xfId="19831" xr:uid="{00000000-0005-0000-0000-00008C680000}"/>
    <cellStyle name="Normal 3 3 4 3 4 3 2" xfId="35944" xr:uid="{00000000-0005-0000-0000-00008D680000}"/>
    <cellStyle name="Normal 3 3 4 3 4 4" xfId="32327" xr:uid="{00000000-0005-0000-0000-00008E680000}"/>
    <cellStyle name="Normal 3 3 4 3 5" xfId="7165" xr:uid="{00000000-0005-0000-0000-00008F680000}"/>
    <cellStyle name="Normal 3 3 4 3 5 2" xfId="11944" xr:uid="{00000000-0005-0000-0000-000090680000}"/>
    <cellStyle name="Normal 3 3 4 3 5 2 2" xfId="34966" xr:uid="{00000000-0005-0000-0000-000091680000}"/>
    <cellStyle name="Normal 3 3 4 3 5 3" xfId="30633" xr:uid="{00000000-0005-0000-0000-000092680000}"/>
    <cellStyle name="Normal 3 3 4 3 6" xfId="12400" xr:uid="{00000000-0005-0000-0000-000093680000}"/>
    <cellStyle name="Normal 3 3 4 3 7" xfId="34020" xr:uid="{00000000-0005-0000-0000-000094680000}"/>
    <cellStyle name="Normal 3 3 4 3 8" xfId="43567" xr:uid="{00000000-0005-0000-0000-000095680000}"/>
    <cellStyle name="Normal 3 3 4 3 9" xfId="46473" xr:uid="{00000000-0005-0000-0000-000096680000}"/>
    <cellStyle name="Normal 3 3 4 3_Avviksanalyse løpende RNB15 (1)" xfId="16752" xr:uid="{00000000-0005-0000-0000-000097680000}"/>
    <cellStyle name="Normal 3 3 4 4" xfId="3774" xr:uid="{00000000-0005-0000-0000-000098680000}"/>
    <cellStyle name="Normal 3 3 4 4 2" xfId="5662" xr:uid="{00000000-0005-0000-0000-000099680000}"/>
    <cellStyle name="Normal 3 3 4 4 2 2" xfId="9077" xr:uid="{00000000-0005-0000-0000-00009A680000}"/>
    <cellStyle name="Normal 3 3 4 4 2 2 2" xfId="10470" xr:uid="{00000000-0005-0000-0000-00009B680000}"/>
    <cellStyle name="Normal 3 3 4 4 2 2 2 2" xfId="34380" xr:uid="{00000000-0005-0000-0000-00009C680000}"/>
    <cellStyle name="Normal 3 3 4 4 2 2 3" xfId="28721" xr:uid="{00000000-0005-0000-0000-00009D680000}"/>
    <cellStyle name="Normal 3 3 4 4 2 3" xfId="20160" xr:uid="{00000000-0005-0000-0000-00009E680000}"/>
    <cellStyle name="Normal 3 3 4 4 2 3 2" xfId="36261" xr:uid="{00000000-0005-0000-0000-00009F680000}"/>
    <cellStyle name="Normal 3 3 4 4 2 4" xfId="32112" xr:uid="{00000000-0005-0000-0000-0000A0680000}"/>
    <cellStyle name="Normal 3 3 4 4 3" xfId="7380" xr:uid="{00000000-0005-0000-0000-0000A1680000}"/>
    <cellStyle name="Normal 3 3 4 4 3 2" xfId="23196" xr:uid="{00000000-0005-0000-0000-0000A2680000}"/>
    <cellStyle name="Normal 3 3 4 4 3 2 2" xfId="39265" xr:uid="{00000000-0005-0000-0000-0000A3680000}"/>
    <cellStyle name="Normal 3 3 4 4 3 3" xfId="30418" xr:uid="{00000000-0005-0000-0000-0000A4680000}"/>
    <cellStyle name="Normal 3 3 4 4 4" xfId="21719" xr:uid="{00000000-0005-0000-0000-0000A5680000}"/>
    <cellStyle name="Normal 3 3 4 4 4 2" xfId="37797" xr:uid="{00000000-0005-0000-0000-0000A6680000}"/>
    <cellStyle name="Normal 3 3 4 4 5" xfId="33805" xr:uid="{00000000-0005-0000-0000-0000A7680000}"/>
    <cellStyle name="Normal 3 3 4 5" xfId="4265" xr:uid="{00000000-0005-0000-0000-0000A8680000}"/>
    <cellStyle name="Normal 3 3 4 5 2" xfId="6097" xr:uid="{00000000-0005-0000-0000-0000A9680000}"/>
    <cellStyle name="Normal 3 3 4 5 2 2" xfId="9512" xr:uid="{00000000-0005-0000-0000-0000AA680000}"/>
    <cellStyle name="Normal 3 3 4 5 2 2 2" xfId="21409" xr:uid="{00000000-0005-0000-0000-0000AB680000}"/>
    <cellStyle name="Normal 3 3 4 5 2 2 2 2" xfId="37489" xr:uid="{00000000-0005-0000-0000-0000AC680000}"/>
    <cellStyle name="Normal 3 3 4 5 2 2 3" xfId="28286" xr:uid="{00000000-0005-0000-0000-0000AD680000}"/>
    <cellStyle name="Normal 3 3 4 5 2 3" xfId="22974" xr:uid="{00000000-0005-0000-0000-0000AE680000}"/>
    <cellStyle name="Normal 3 3 4 5 2 3 2" xfId="39043" xr:uid="{00000000-0005-0000-0000-0000AF680000}"/>
    <cellStyle name="Normal 3 3 4 5 2 4" xfId="31681" xr:uid="{00000000-0005-0000-0000-0000B0680000}"/>
    <cellStyle name="Normal 3 3 4 5 3" xfId="7831" xr:uid="{00000000-0005-0000-0000-0000B1680000}"/>
    <cellStyle name="Normal 3 3 4 5 3 2" xfId="20918" xr:uid="{00000000-0005-0000-0000-0000B2680000}"/>
    <cellStyle name="Normal 3 3 4 5 3 2 2" xfId="37017" xr:uid="{00000000-0005-0000-0000-0000B3680000}"/>
    <cellStyle name="Normal 3 3 4 5 3 3" xfId="29968" xr:uid="{00000000-0005-0000-0000-0000B4680000}"/>
    <cellStyle name="Normal 3 3 4 5 4" xfId="12386" xr:uid="{00000000-0005-0000-0000-0000B5680000}"/>
    <cellStyle name="Normal 3 3 4 5 4 2" xfId="35217" xr:uid="{00000000-0005-0000-0000-0000B6680000}"/>
    <cellStyle name="Normal 3 3 4 5 5" xfId="33356" xr:uid="{00000000-0005-0000-0000-0000B7680000}"/>
    <cellStyle name="Normal 3 3 4 6" xfId="4709" xr:uid="{00000000-0005-0000-0000-0000B8680000}"/>
    <cellStyle name="Normal 3 3 4 6 2" xfId="6429" xr:uid="{00000000-0005-0000-0000-0000B9680000}"/>
    <cellStyle name="Normal 3 3 4 6 2 2" xfId="9839" xr:uid="{00000000-0005-0000-0000-0000BA680000}"/>
    <cellStyle name="Normal 3 3 4 6 2 2 2" xfId="21504" xr:uid="{00000000-0005-0000-0000-0000BB680000}"/>
    <cellStyle name="Normal 3 3 4 6 2 2 2 2" xfId="37584" xr:uid="{00000000-0005-0000-0000-0000BC680000}"/>
    <cellStyle name="Normal 3 3 4 6 2 2 3" xfId="27960" xr:uid="{00000000-0005-0000-0000-0000BD680000}"/>
    <cellStyle name="Normal 3 3 4 6 2 3" xfId="24040" xr:uid="{00000000-0005-0000-0000-0000BE680000}"/>
    <cellStyle name="Normal 3 3 4 6 2 3 2" xfId="40093" xr:uid="{00000000-0005-0000-0000-0000BF680000}"/>
    <cellStyle name="Normal 3 3 4 6 2 4" xfId="31361" xr:uid="{00000000-0005-0000-0000-0000C0680000}"/>
    <cellStyle name="Normal 3 3 4 6 3" xfId="8135" xr:uid="{00000000-0005-0000-0000-0000C1680000}"/>
    <cellStyle name="Normal 3 3 4 6 3 2" xfId="11889" xr:uid="{00000000-0005-0000-0000-0000C2680000}"/>
    <cellStyle name="Normal 3 3 4 6 3 2 2" xfId="34926" xr:uid="{00000000-0005-0000-0000-0000C3680000}"/>
    <cellStyle name="Normal 3 3 4 6 3 3" xfId="29663" xr:uid="{00000000-0005-0000-0000-0000C4680000}"/>
    <cellStyle name="Normal 3 3 4 6 4" xfId="22828" xr:uid="{00000000-0005-0000-0000-0000C5680000}"/>
    <cellStyle name="Normal 3 3 4 6 4 2" xfId="38897" xr:uid="{00000000-0005-0000-0000-0000C6680000}"/>
    <cellStyle name="Normal 3 3 4 6 5" xfId="33054" xr:uid="{00000000-0005-0000-0000-0000C7680000}"/>
    <cellStyle name="Normal 3 3 4 7" xfId="5073" xr:uid="{00000000-0005-0000-0000-0000C8680000}"/>
    <cellStyle name="Normal 3 3 4 7 2" xfId="6792" xr:uid="{00000000-0005-0000-0000-0000C9680000}"/>
    <cellStyle name="Normal 3 3 4 7 2 2" xfId="10198" xr:uid="{00000000-0005-0000-0000-0000CA680000}"/>
    <cellStyle name="Normal 3 3 4 7 2 2 2" xfId="21645" xr:uid="{00000000-0005-0000-0000-0000CB680000}"/>
    <cellStyle name="Normal 3 3 4 7 2 2 2 2" xfId="37725" xr:uid="{00000000-0005-0000-0000-0000CC680000}"/>
    <cellStyle name="Normal 3 3 4 7 2 2 3" xfId="27601" xr:uid="{00000000-0005-0000-0000-0000CD680000}"/>
    <cellStyle name="Normal 3 3 4 7 2 3" xfId="23098" xr:uid="{00000000-0005-0000-0000-0000CE680000}"/>
    <cellStyle name="Normal 3 3 4 7 2 3 2" xfId="39167" xr:uid="{00000000-0005-0000-0000-0000CF680000}"/>
    <cellStyle name="Normal 3 3 4 7 2 4" xfId="31002" xr:uid="{00000000-0005-0000-0000-0000D0680000}"/>
    <cellStyle name="Normal 3 3 4 7 3" xfId="8495" xr:uid="{00000000-0005-0000-0000-0000D1680000}"/>
    <cellStyle name="Normal 3 3 4 7 3 2" xfId="19502" xr:uid="{00000000-0005-0000-0000-0000D2680000}"/>
    <cellStyle name="Normal 3 3 4 7 3 2 2" xfId="35616" xr:uid="{00000000-0005-0000-0000-0000D3680000}"/>
    <cellStyle name="Normal 3 3 4 7 3 3" xfId="29303" xr:uid="{00000000-0005-0000-0000-0000D4680000}"/>
    <cellStyle name="Normal 3 3 4 7 4" xfId="20057" xr:uid="{00000000-0005-0000-0000-0000D5680000}"/>
    <cellStyle name="Normal 3 3 4 7 4 2" xfId="36161" xr:uid="{00000000-0005-0000-0000-0000D6680000}"/>
    <cellStyle name="Normal 3 3 4 7 5" xfId="32694" xr:uid="{00000000-0005-0000-0000-0000D7680000}"/>
    <cellStyle name="Normal 3 3 4 8" xfId="5264" xr:uid="{00000000-0005-0000-0000-0000D8680000}"/>
    <cellStyle name="Normal 3 3 4 8 2" xfId="8679" xr:uid="{00000000-0005-0000-0000-0000D9680000}"/>
    <cellStyle name="Normal 3 3 4 8 2 2" xfId="21160" xr:uid="{00000000-0005-0000-0000-0000DA680000}"/>
    <cellStyle name="Normal 3 3 4 8 2 2 2" xfId="37240" xr:uid="{00000000-0005-0000-0000-0000DB680000}"/>
    <cellStyle name="Normal 3 3 4 8 2 3" xfId="29119" xr:uid="{00000000-0005-0000-0000-0000DC680000}"/>
    <cellStyle name="Normal 3 3 4 8 3" xfId="19790" xr:uid="{00000000-0005-0000-0000-0000DD680000}"/>
    <cellStyle name="Normal 3 3 4 8 3 2" xfId="35904" xr:uid="{00000000-0005-0000-0000-0000DE680000}"/>
    <cellStyle name="Normal 3 3 4 8 4" xfId="32510" xr:uid="{00000000-0005-0000-0000-0000DF680000}"/>
    <cellStyle name="Normal 3 3 4 9" xfId="6982" xr:uid="{00000000-0005-0000-0000-0000E0680000}"/>
    <cellStyle name="Normal 3 3 4 9 2" xfId="20620" xr:uid="{00000000-0005-0000-0000-0000E1680000}"/>
    <cellStyle name="Normal 3 3 4 9 2 2" xfId="36719" xr:uid="{00000000-0005-0000-0000-0000E2680000}"/>
    <cellStyle name="Normal 3 3 4 9 3" xfId="30816" xr:uid="{00000000-0005-0000-0000-0000E3680000}"/>
    <cellStyle name="Normal 3 3 5" xfId="1728" xr:uid="{00000000-0005-0000-0000-0000E4680000}"/>
    <cellStyle name="Normal 3 3 5 10" xfId="12401" xr:uid="{00000000-0005-0000-0000-0000E5680000}"/>
    <cellStyle name="Normal 3 3 5 11" xfId="34203" xr:uid="{00000000-0005-0000-0000-0000E6680000}"/>
    <cellStyle name="Normal 3 3 5 2" xfId="3377" xr:uid="{00000000-0005-0000-0000-0000E7680000}"/>
    <cellStyle name="Normal 3 3 5 2 10" xfId="34120" xr:uid="{00000000-0005-0000-0000-0000E8680000}"/>
    <cellStyle name="Normal 3 3 5 2 2" xfId="3603" xr:uid="{00000000-0005-0000-0000-0000E9680000}"/>
    <cellStyle name="Normal 3 3 5 2 2 10" xfId="47202" xr:uid="{00000000-0005-0000-0000-0000EA680000}"/>
    <cellStyle name="Normal 3 3 5 2 2 2" xfId="4033" xr:uid="{00000000-0005-0000-0000-0000EB680000}"/>
    <cellStyle name="Normal 3 3 5 2 2 2 2" xfId="5921" xr:uid="{00000000-0005-0000-0000-0000EC680000}"/>
    <cellStyle name="Normal 3 3 5 2 2 2 2 2" xfId="9336" xr:uid="{00000000-0005-0000-0000-0000ED680000}"/>
    <cellStyle name="Normal 3 3 5 2 2 2 2 2 2" xfId="21353" xr:uid="{00000000-0005-0000-0000-0000EE680000}"/>
    <cellStyle name="Normal 3 3 5 2 2 2 2 2 2 2" xfId="37433" xr:uid="{00000000-0005-0000-0000-0000EF680000}"/>
    <cellStyle name="Normal 3 3 5 2 2 2 2 2 3" xfId="28462" xr:uid="{00000000-0005-0000-0000-0000F0680000}"/>
    <cellStyle name="Normal 3 3 5 2 2 2 2 3" xfId="23942" xr:uid="{00000000-0005-0000-0000-0000F1680000}"/>
    <cellStyle name="Normal 3 3 5 2 2 2 2 3 2" xfId="39996" xr:uid="{00000000-0005-0000-0000-0000F2680000}"/>
    <cellStyle name="Normal 3 3 5 2 2 2 2 4" xfId="31855" xr:uid="{00000000-0005-0000-0000-0000F3680000}"/>
    <cellStyle name="Normal 3 3 5 2 2 2 3" xfId="7639" xr:uid="{00000000-0005-0000-0000-0000F4680000}"/>
    <cellStyle name="Normal 3 3 5 2 2 2 3 2" xfId="22210" xr:uid="{00000000-0005-0000-0000-0000F5680000}"/>
    <cellStyle name="Normal 3 3 5 2 2 2 3 2 2" xfId="38284" xr:uid="{00000000-0005-0000-0000-0000F6680000}"/>
    <cellStyle name="Normal 3 3 5 2 2 2 3 3" xfId="30159" xr:uid="{00000000-0005-0000-0000-0000F7680000}"/>
    <cellStyle name="Normal 3 3 5 2 2 2 4" xfId="18175" xr:uid="{00000000-0005-0000-0000-0000F8680000}"/>
    <cellStyle name="Normal 3 3 5 2 2 2 5" xfId="23796" xr:uid="{00000000-0005-0000-0000-0000F9680000}"/>
    <cellStyle name="Normal 3 3 5 2 2 2 5 2" xfId="39852" xr:uid="{00000000-0005-0000-0000-0000FA680000}"/>
    <cellStyle name="Normal 3 3 5 2 2 2 6" xfId="33546" xr:uid="{00000000-0005-0000-0000-0000FB680000}"/>
    <cellStyle name="Normal 3 3 5 2 2 3" xfId="4973" xr:uid="{00000000-0005-0000-0000-0000FC680000}"/>
    <cellStyle name="Normal 3 3 5 2 2 3 10" xfId="47392" xr:uid="{00000000-0005-0000-0000-0000FD680000}"/>
    <cellStyle name="Normal 3 3 5 2 2 3 2" xfId="6692" xr:uid="{00000000-0005-0000-0000-0000FE680000}"/>
    <cellStyle name="Normal 3 3 5 2 2 3 2 2" xfId="10098" xr:uid="{00000000-0005-0000-0000-0000FF680000}"/>
    <cellStyle name="Normal 3 3 5 2 2 3 2 2 2" xfId="21605" xr:uid="{00000000-0005-0000-0000-000000690000}"/>
    <cellStyle name="Normal 3 3 5 2 2 3 2 2 2 2" xfId="37685" xr:uid="{00000000-0005-0000-0000-000001690000}"/>
    <cellStyle name="Normal 3 3 5 2 2 3 2 2 3" xfId="27701" xr:uid="{00000000-0005-0000-0000-000002690000}"/>
    <cellStyle name="Normal 3 3 5 2 2 3 2 3" xfId="10664" xr:uid="{00000000-0005-0000-0000-000003690000}"/>
    <cellStyle name="Normal 3 3 5 2 2 3 2 3 2" xfId="34512" xr:uid="{00000000-0005-0000-0000-000004690000}"/>
    <cellStyle name="Normal 3 3 5 2 2 3 2 4" xfId="31102" xr:uid="{00000000-0005-0000-0000-000005690000}"/>
    <cellStyle name="Normal 3 3 5 2 2 3 2 5" xfId="43089" xr:uid="{00000000-0005-0000-0000-000006690000}"/>
    <cellStyle name="Normal 3 3 5 2 2 3 2 6" xfId="43383" xr:uid="{00000000-0005-0000-0000-000007690000}"/>
    <cellStyle name="Normal 3 3 5 2 2 3 2 7" xfId="46231" xr:uid="{00000000-0005-0000-0000-000008690000}"/>
    <cellStyle name="Normal 3 3 5 2 2 3 2 8" xfId="47003" xr:uid="{00000000-0005-0000-0000-000009690000}"/>
    <cellStyle name="Normal 3 3 5 2 2 3 2 9" xfId="47588" xr:uid="{00000000-0005-0000-0000-00000A690000}"/>
    <cellStyle name="Normal 3 3 5 2 2 3 3" xfId="8395" xr:uid="{00000000-0005-0000-0000-00000B690000}"/>
    <cellStyle name="Normal 3 3 5 2 2 3 3 2" xfId="21866" xr:uid="{00000000-0005-0000-0000-00000C690000}"/>
    <cellStyle name="Normal 3 3 5 2 2 3 3 2 2" xfId="37942" xr:uid="{00000000-0005-0000-0000-00000D690000}"/>
    <cellStyle name="Normal 3 3 5 2 2 3 3 3" xfId="29403" xr:uid="{00000000-0005-0000-0000-00000E690000}"/>
    <cellStyle name="Normal 3 3 5 2 2 3 3 4" xfId="44084" xr:uid="{00000000-0005-0000-0000-00000F690000}"/>
    <cellStyle name="Normal 3 3 5 2 2 3 4" xfId="16534" xr:uid="{00000000-0005-0000-0000-000010690000}"/>
    <cellStyle name="Normal 3 3 5 2 2 3 4 2" xfId="35478" xr:uid="{00000000-0005-0000-0000-000011690000}"/>
    <cellStyle name="Normal 3 3 5 2 2 3 5" xfId="25140" xr:uid="{00000000-0005-0000-0000-000012690000}"/>
    <cellStyle name="Normal 3 3 5 2 2 3 6" xfId="25469" xr:uid="{00000000-0005-0000-0000-000013690000}"/>
    <cellStyle name="Normal 3 3 5 2 2 3 7" xfId="32794" xr:uid="{00000000-0005-0000-0000-000014690000}"/>
    <cellStyle name="Normal 3 3 5 2 2 3 8" xfId="43844" xr:uid="{00000000-0005-0000-0000-000015690000}"/>
    <cellStyle name="Normal 3 3 5 2 2 3 9" xfId="46769" xr:uid="{00000000-0005-0000-0000-000016690000}"/>
    <cellStyle name="Normal 3 3 5 2 2 4" xfId="5527" xr:uid="{00000000-0005-0000-0000-000017690000}"/>
    <cellStyle name="Normal 3 3 5 2 2 4 2" xfId="8942" xr:uid="{00000000-0005-0000-0000-000018690000}"/>
    <cellStyle name="Normal 3 3 5 2 2 4 2 2" xfId="24433" xr:uid="{00000000-0005-0000-0000-000019690000}"/>
    <cellStyle name="Normal 3 3 5 2 2 4 2 2 2" xfId="40477" xr:uid="{00000000-0005-0000-0000-00001A690000}"/>
    <cellStyle name="Normal 3 3 5 2 2 4 2 3" xfId="28856" xr:uid="{00000000-0005-0000-0000-00001B690000}"/>
    <cellStyle name="Normal 3 3 5 2 2 4 3" xfId="20107" xr:uid="{00000000-0005-0000-0000-00001C690000}"/>
    <cellStyle name="Normal 3 3 5 2 2 4 3 2" xfId="36211" xr:uid="{00000000-0005-0000-0000-00001D690000}"/>
    <cellStyle name="Normal 3 3 5 2 2 4 4" xfId="32247" xr:uid="{00000000-0005-0000-0000-00001E690000}"/>
    <cellStyle name="Normal 3 3 5 2 2 5" xfId="7245" xr:uid="{00000000-0005-0000-0000-00001F690000}"/>
    <cellStyle name="Normal 3 3 5 2 2 5 2" xfId="22184" xr:uid="{00000000-0005-0000-0000-000020690000}"/>
    <cellStyle name="Normal 3 3 5 2 2 5 2 2" xfId="38258" xr:uid="{00000000-0005-0000-0000-000021690000}"/>
    <cellStyle name="Normal 3 3 5 2 2 5 3" xfId="30553" xr:uid="{00000000-0005-0000-0000-000022690000}"/>
    <cellStyle name="Normal 3 3 5 2 2 6" xfId="12403" xr:uid="{00000000-0005-0000-0000-000023690000}"/>
    <cellStyle name="Normal 3 3 5 2 2 7" xfId="33940" xr:uid="{00000000-0005-0000-0000-000024690000}"/>
    <cellStyle name="Normal 3 3 5 2 2 8" xfId="43635" xr:uid="{00000000-0005-0000-0000-000025690000}"/>
    <cellStyle name="Normal 3 3 5 2 2 9" xfId="46541" xr:uid="{00000000-0005-0000-0000-000026690000}"/>
    <cellStyle name="Normal 3 3 5 2 2_Avviksanalyse løpende RNB15 (1)" xfId="16753" xr:uid="{00000000-0005-0000-0000-000027690000}"/>
    <cellStyle name="Normal 3 3 5 2 3" xfId="3853" xr:uid="{00000000-0005-0000-0000-000028690000}"/>
    <cellStyle name="Normal 3 3 5 2 3 2" xfId="5741" xr:uid="{00000000-0005-0000-0000-000029690000}"/>
    <cellStyle name="Normal 3 3 5 2 3 2 2" xfId="9156" xr:uid="{00000000-0005-0000-0000-00002A690000}"/>
    <cellStyle name="Normal 3 3 5 2 3 2 2 2" xfId="21295" xr:uid="{00000000-0005-0000-0000-00002B690000}"/>
    <cellStyle name="Normal 3 3 5 2 3 2 2 2 2" xfId="37375" xr:uid="{00000000-0005-0000-0000-00002C690000}"/>
    <cellStyle name="Normal 3 3 5 2 3 2 2 3" xfId="28642" xr:uid="{00000000-0005-0000-0000-00002D690000}"/>
    <cellStyle name="Normal 3 3 5 2 3 2 3" xfId="20187" xr:uid="{00000000-0005-0000-0000-00002E690000}"/>
    <cellStyle name="Normal 3 3 5 2 3 2 3 2" xfId="36287" xr:uid="{00000000-0005-0000-0000-00002F690000}"/>
    <cellStyle name="Normal 3 3 5 2 3 2 4" xfId="32033" xr:uid="{00000000-0005-0000-0000-000030690000}"/>
    <cellStyle name="Normal 3 3 5 2 3 3" xfId="7459" xr:uid="{00000000-0005-0000-0000-000031690000}"/>
    <cellStyle name="Normal 3 3 5 2 3 3 2" xfId="20791" xr:uid="{00000000-0005-0000-0000-000032690000}"/>
    <cellStyle name="Normal 3 3 5 2 3 3 2 2" xfId="36890" xr:uid="{00000000-0005-0000-0000-000033690000}"/>
    <cellStyle name="Normal 3 3 5 2 3 3 3" xfId="30339" xr:uid="{00000000-0005-0000-0000-000034690000}"/>
    <cellStyle name="Normal 3 3 5 2 3 4" xfId="22543" xr:uid="{00000000-0005-0000-0000-000035690000}"/>
    <cellStyle name="Normal 3 3 5 2 3 4 2" xfId="38612" xr:uid="{00000000-0005-0000-0000-000036690000}"/>
    <cellStyle name="Normal 3 3 5 2 3 5" xfId="33726" xr:uid="{00000000-0005-0000-0000-000037690000}"/>
    <cellStyle name="Normal 3 3 5 2 4" xfId="4338" xr:uid="{00000000-0005-0000-0000-000038690000}"/>
    <cellStyle name="Normal 3 3 5 2 4 2" xfId="6167" xr:uid="{00000000-0005-0000-0000-000039690000}"/>
    <cellStyle name="Normal 3 3 5 2 4 2 2" xfId="9581" xr:uid="{00000000-0005-0000-0000-00003A690000}"/>
    <cellStyle name="Normal 3 3 5 2 4 2 2 2" xfId="23529" xr:uid="{00000000-0005-0000-0000-00003B690000}"/>
    <cellStyle name="Normal 3 3 5 2 4 2 2 2 2" xfId="39585" xr:uid="{00000000-0005-0000-0000-00003C690000}"/>
    <cellStyle name="Normal 3 3 5 2 4 2 2 3" xfId="28217" xr:uid="{00000000-0005-0000-0000-00003D690000}"/>
    <cellStyle name="Normal 3 3 5 2 4 2 3" xfId="20348" xr:uid="{00000000-0005-0000-0000-00003E690000}"/>
    <cellStyle name="Normal 3 3 5 2 4 2 3 2" xfId="36447" xr:uid="{00000000-0005-0000-0000-00003F690000}"/>
    <cellStyle name="Normal 3 3 5 2 4 2 4" xfId="31614" xr:uid="{00000000-0005-0000-0000-000040690000}"/>
    <cellStyle name="Normal 3 3 5 2 4 3" xfId="7900" xr:uid="{00000000-0005-0000-0000-000041690000}"/>
    <cellStyle name="Normal 3 3 5 2 4 3 2" xfId="19453" xr:uid="{00000000-0005-0000-0000-000042690000}"/>
    <cellStyle name="Normal 3 3 5 2 4 3 2 2" xfId="35567" xr:uid="{00000000-0005-0000-0000-000043690000}"/>
    <cellStyle name="Normal 3 3 5 2 4 3 3" xfId="29899" xr:uid="{00000000-0005-0000-0000-000044690000}"/>
    <cellStyle name="Normal 3 3 5 2 4 4" xfId="20006" xr:uid="{00000000-0005-0000-0000-000045690000}"/>
    <cellStyle name="Normal 3 3 5 2 4 4 2" xfId="36110" xr:uid="{00000000-0005-0000-0000-000046690000}"/>
    <cellStyle name="Normal 3 3 5 2 4 5" xfId="33287" xr:uid="{00000000-0005-0000-0000-000047690000}"/>
    <cellStyle name="Normal 3 3 5 2 5" xfId="4793" xr:uid="{00000000-0005-0000-0000-000048690000}"/>
    <cellStyle name="Normal 3 3 5 2 5 2" xfId="6513" xr:uid="{00000000-0005-0000-0000-000049690000}"/>
    <cellStyle name="Normal 3 3 5 2 5 2 2" xfId="9919" xr:uid="{00000000-0005-0000-0000-00004A690000}"/>
    <cellStyle name="Normal 3 3 5 2 5 2 2 2" xfId="21534" xr:uid="{00000000-0005-0000-0000-00004B690000}"/>
    <cellStyle name="Normal 3 3 5 2 5 2 2 2 2" xfId="37614" xr:uid="{00000000-0005-0000-0000-00004C690000}"/>
    <cellStyle name="Normal 3 3 5 2 5 2 2 3" xfId="27880" xr:uid="{00000000-0005-0000-0000-00004D690000}"/>
    <cellStyle name="Normal 3 3 5 2 5 2 3" xfId="20479" xr:uid="{00000000-0005-0000-0000-00004E690000}"/>
    <cellStyle name="Normal 3 3 5 2 5 2 3 2" xfId="36578" xr:uid="{00000000-0005-0000-0000-00004F690000}"/>
    <cellStyle name="Normal 3 3 5 2 5 2 4" xfId="31281" xr:uid="{00000000-0005-0000-0000-000050690000}"/>
    <cellStyle name="Normal 3 3 5 2 5 3" xfId="8215" xr:uid="{00000000-0005-0000-0000-000051690000}"/>
    <cellStyle name="Normal 3 3 5 2 5 3 2" xfId="19473" xr:uid="{00000000-0005-0000-0000-000052690000}"/>
    <cellStyle name="Normal 3 3 5 2 5 3 2 2" xfId="35587" xr:uid="{00000000-0005-0000-0000-000053690000}"/>
    <cellStyle name="Normal 3 3 5 2 5 3 3" xfId="29582" xr:uid="{00000000-0005-0000-0000-000054690000}"/>
    <cellStyle name="Normal 3 3 5 2 5 4" xfId="12262" xr:uid="{00000000-0005-0000-0000-000055690000}"/>
    <cellStyle name="Normal 3 3 5 2 5 4 2" xfId="35138" xr:uid="{00000000-0005-0000-0000-000056690000}"/>
    <cellStyle name="Normal 3 3 5 2 5 5" xfId="32974" xr:uid="{00000000-0005-0000-0000-000057690000}"/>
    <cellStyle name="Normal 3 3 5 2 6" xfId="5153" xr:uid="{00000000-0005-0000-0000-000058690000}"/>
    <cellStyle name="Normal 3 3 5 2 6 2" xfId="6872" xr:uid="{00000000-0005-0000-0000-000059690000}"/>
    <cellStyle name="Normal 3 3 5 2 6 2 2" xfId="10278" xr:uid="{00000000-0005-0000-0000-00005A690000}"/>
    <cellStyle name="Normal 3 3 5 2 6 2 2 2" xfId="24721" xr:uid="{00000000-0005-0000-0000-00005B690000}"/>
    <cellStyle name="Normal 3 3 5 2 6 2 2 2 2" xfId="40764" xr:uid="{00000000-0005-0000-0000-00005C690000}"/>
    <cellStyle name="Normal 3 3 5 2 6 2 2 3" xfId="27521" xr:uid="{00000000-0005-0000-0000-00005D690000}"/>
    <cellStyle name="Normal 3 3 5 2 6 2 3" xfId="20587" xr:uid="{00000000-0005-0000-0000-00005E690000}"/>
    <cellStyle name="Normal 3 3 5 2 6 2 3 2" xfId="36686" xr:uid="{00000000-0005-0000-0000-00005F690000}"/>
    <cellStyle name="Normal 3 3 5 2 6 2 4" xfId="30922" xr:uid="{00000000-0005-0000-0000-000060690000}"/>
    <cellStyle name="Normal 3 3 5 2 6 3" xfId="8575" xr:uid="{00000000-0005-0000-0000-000061690000}"/>
    <cellStyle name="Normal 3 3 5 2 6 3 2" xfId="10306" xr:uid="{00000000-0005-0000-0000-000062690000}"/>
    <cellStyle name="Normal 3 3 5 2 6 3 2 2" xfId="27497" xr:uid="{00000000-0005-0000-0000-000063690000}"/>
    <cellStyle name="Normal 3 3 5 2 6 3 3" xfId="29223" xr:uid="{00000000-0005-0000-0000-000064690000}"/>
    <cellStyle name="Normal 3 3 5 2 6 4" xfId="22235" xr:uid="{00000000-0005-0000-0000-000065690000}"/>
    <cellStyle name="Normal 3 3 5 2 6 4 2" xfId="38309" xr:uid="{00000000-0005-0000-0000-000066690000}"/>
    <cellStyle name="Normal 3 3 5 2 6 5" xfId="32614" xr:uid="{00000000-0005-0000-0000-000067690000}"/>
    <cellStyle name="Normal 3 3 5 2 7" xfId="5332" xr:uid="{00000000-0005-0000-0000-000068690000}"/>
    <cellStyle name="Normal 3 3 5 2 7 2" xfId="8747" xr:uid="{00000000-0005-0000-0000-000069690000}"/>
    <cellStyle name="Normal 3 3 5 2 7 2 2" xfId="21177" xr:uid="{00000000-0005-0000-0000-00006A690000}"/>
    <cellStyle name="Normal 3 3 5 2 7 2 2 2" xfId="37257" xr:uid="{00000000-0005-0000-0000-00006B690000}"/>
    <cellStyle name="Normal 3 3 5 2 7 2 3" xfId="29051" xr:uid="{00000000-0005-0000-0000-00006C690000}"/>
    <cellStyle name="Normal 3 3 5 2 7 3" xfId="12066" xr:uid="{00000000-0005-0000-0000-00006D690000}"/>
    <cellStyle name="Normal 3 3 5 2 7 3 2" xfId="35053" xr:uid="{00000000-0005-0000-0000-00006E690000}"/>
    <cellStyle name="Normal 3 3 5 2 7 4" xfId="32442" xr:uid="{00000000-0005-0000-0000-00006F690000}"/>
    <cellStyle name="Normal 3 3 5 2 8" xfId="7065" xr:uid="{00000000-0005-0000-0000-000070690000}"/>
    <cellStyle name="Normal 3 3 5 2 8 2" xfId="20652" xr:uid="{00000000-0005-0000-0000-000071690000}"/>
    <cellStyle name="Normal 3 3 5 2 8 2 2" xfId="36751" xr:uid="{00000000-0005-0000-0000-000072690000}"/>
    <cellStyle name="Normal 3 3 5 2 8 3" xfId="30733" xr:uid="{00000000-0005-0000-0000-000073690000}"/>
    <cellStyle name="Normal 3 3 5 2 9" xfId="12402" xr:uid="{00000000-0005-0000-0000-000074690000}"/>
    <cellStyle name="Normal 3 3 5 3" xfId="3519" xr:uid="{00000000-0005-0000-0000-000075690000}"/>
    <cellStyle name="Normal 3 3 5 3 10" xfId="47133" xr:uid="{00000000-0005-0000-0000-000076690000}"/>
    <cellStyle name="Normal 3 3 5 3 2" xfId="3954" xr:uid="{00000000-0005-0000-0000-000077690000}"/>
    <cellStyle name="Normal 3 3 5 3 2 2" xfId="5842" xr:uid="{00000000-0005-0000-0000-000078690000}"/>
    <cellStyle name="Normal 3 3 5 3 2 2 2" xfId="9257" xr:uid="{00000000-0005-0000-0000-000079690000}"/>
    <cellStyle name="Normal 3 3 5 3 2 2 2 2" xfId="21331" xr:uid="{00000000-0005-0000-0000-00007A690000}"/>
    <cellStyle name="Normal 3 3 5 3 2 2 2 2 2" xfId="37411" xr:uid="{00000000-0005-0000-0000-00007B690000}"/>
    <cellStyle name="Normal 3 3 5 3 2 2 2 3" xfId="28541" xr:uid="{00000000-0005-0000-0000-00007C690000}"/>
    <cellStyle name="Normal 3 3 5 3 2 2 3" xfId="23929" xr:uid="{00000000-0005-0000-0000-00007D690000}"/>
    <cellStyle name="Normal 3 3 5 3 2 2 3 2" xfId="39983" xr:uid="{00000000-0005-0000-0000-00007E690000}"/>
    <cellStyle name="Normal 3 3 5 3 2 2 4" xfId="31932" xr:uid="{00000000-0005-0000-0000-00007F690000}"/>
    <cellStyle name="Normal 3 3 5 3 2 3" xfId="7560" xr:uid="{00000000-0005-0000-0000-000080690000}"/>
    <cellStyle name="Normal 3 3 5 3 2 3 2" xfId="22463" xr:uid="{00000000-0005-0000-0000-000081690000}"/>
    <cellStyle name="Normal 3 3 5 3 2 3 2 2" xfId="38535" xr:uid="{00000000-0005-0000-0000-000082690000}"/>
    <cellStyle name="Normal 3 3 5 3 2 3 3" xfId="30238" xr:uid="{00000000-0005-0000-0000-000083690000}"/>
    <cellStyle name="Normal 3 3 5 3 2 4" xfId="18176" xr:uid="{00000000-0005-0000-0000-000084690000}"/>
    <cellStyle name="Normal 3 3 5 3 2 5" xfId="22758" xr:uid="{00000000-0005-0000-0000-000085690000}"/>
    <cellStyle name="Normal 3 3 5 3 2 5 2" xfId="38827" xr:uid="{00000000-0005-0000-0000-000086690000}"/>
    <cellStyle name="Normal 3 3 5 3 2 6" xfId="33625" xr:uid="{00000000-0005-0000-0000-000087690000}"/>
    <cellStyle name="Normal 3 3 5 3 3" xfId="4894" xr:uid="{00000000-0005-0000-0000-000088690000}"/>
    <cellStyle name="Normal 3 3 5 3 3 10" xfId="47323" xr:uid="{00000000-0005-0000-0000-000089690000}"/>
    <cellStyle name="Normal 3 3 5 3 3 2" xfId="6613" xr:uid="{00000000-0005-0000-0000-00008A690000}"/>
    <cellStyle name="Normal 3 3 5 3 3 2 2" xfId="10019" xr:uid="{00000000-0005-0000-0000-00008B690000}"/>
    <cellStyle name="Normal 3 3 5 3 3 2 2 2" xfId="21574" xr:uid="{00000000-0005-0000-0000-00008C690000}"/>
    <cellStyle name="Normal 3 3 5 3 3 2 2 2 2" xfId="37654" xr:uid="{00000000-0005-0000-0000-00008D690000}"/>
    <cellStyle name="Normal 3 3 5 3 3 2 2 3" xfId="27780" xr:uid="{00000000-0005-0000-0000-00008E690000}"/>
    <cellStyle name="Normal 3 3 5 3 3 2 3" xfId="20519" xr:uid="{00000000-0005-0000-0000-00008F690000}"/>
    <cellStyle name="Normal 3 3 5 3 3 2 3 2" xfId="36618" xr:uid="{00000000-0005-0000-0000-000090690000}"/>
    <cellStyle name="Normal 3 3 5 3 3 2 4" xfId="31181" xr:uid="{00000000-0005-0000-0000-000091690000}"/>
    <cellStyle name="Normal 3 3 5 3 3 2 5" xfId="42942" xr:uid="{00000000-0005-0000-0000-000092690000}"/>
    <cellStyle name="Normal 3 3 5 3 3 2 6" xfId="43316" xr:uid="{00000000-0005-0000-0000-000093690000}"/>
    <cellStyle name="Normal 3 3 5 3 3 2 7" xfId="46164" xr:uid="{00000000-0005-0000-0000-000094690000}"/>
    <cellStyle name="Normal 3 3 5 3 3 2 8" xfId="46936" xr:uid="{00000000-0005-0000-0000-000095690000}"/>
    <cellStyle name="Normal 3 3 5 3 3 2 9" xfId="47519" xr:uid="{00000000-0005-0000-0000-000096690000}"/>
    <cellStyle name="Normal 3 3 5 3 3 3" xfId="8316" xr:uid="{00000000-0005-0000-0000-000097690000}"/>
    <cellStyle name="Normal 3 3 5 3 3 3 2" xfId="21060" xr:uid="{00000000-0005-0000-0000-000098690000}"/>
    <cellStyle name="Normal 3 3 5 3 3 3 2 2" xfId="37149" xr:uid="{00000000-0005-0000-0000-000099690000}"/>
    <cellStyle name="Normal 3 3 5 3 3 3 3" xfId="29482" xr:uid="{00000000-0005-0000-0000-00009A690000}"/>
    <cellStyle name="Normal 3 3 5 3 3 3 4" xfId="44085" xr:uid="{00000000-0005-0000-0000-00009B690000}"/>
    <cellStyle name="Normal 3 3 5 3 3 4" xfId="16387" xr:uid="{00000000-0005-0000-0000-00009C690000}"/>
    <cellStyle name="Normal 3 3 5 3 3 4 2" xfId="35411" xr:uid="{00000000-0005-0000-0000-00009D690000}"/>
    <cellStyle name="Normal 3 3 5 3 3 5" xfId="25071" xr:uid="{00000000-0005-0000-0000-00009E690000}"/>
    <cellStyle name="Normal 3 3 5 3 3 6" xfId="25470" xr:uid="{00000000-0005-0000-0000-00009F690000}"/>
    <cellStyle name="Normal 3 3 5 3 3 7" xfId="32873" xr:uid="{00000000-0005-0000-0000-0000A0690000}"/>
    <cellStyle name="Normal 3 3 5 3 3 8" xfId="43776" xr:uid="{00000000-0005-0000-0000-0000A1690000}"/>
    <cellStyle name="Normal 3 3 5 3 3 9" xfId="46702" xr:uid="{00000000-0005-0000-0000-0000A2690000}"/>
    <cellStyle name="Normal 3 3 5 3 4" xfId="5448" xr:uid="{00000000-0005-0000-0000-0000A3690000}"/>
    <cellStyle name="Normal 3 3 5 3 4 2" xfId="8863" xr:uid="{00000000-0005-0000-0000-0000A4690000}"/>
    <cellStyle name="Normal 3 3 5 3 4 2 2" xfId="23421" xr:uid="{00000000-0005-0000-0000-0000A5690000}"/>
    <cellStyle name="Normal 3 3 5 3 4 2 2 2" xfId="39477" xr:uid="{00000000-0005-0000-0000-0000A6690000}"/>
    <cellStyle name="Normal 3 3 5 3 4 2 3" xfId="28935" xr:uid="{00000000-0005-0000-0000-0000A7690000}"/>
    <cellStyle name="Normal 3 3 5 3 4 3" xfId="12008" xr:uid="{00000000-0005-0000-0000-0000A8690000}"/>
    <cellStyle name="Normal 3 3 5 3 4 3 2" xfId="35027" xr:uid="{00000000-0005-0000-0000-0000A9690000}"/>
    <cellStyle name="Normal 3 3 5 3 4 4" xfId="32326" xr:uid="{00000000-0005-0000-0000-0000AA690000}"/>
    <cellStyle name="Normal 3 3 5 3 5" xfId="7166" xr:uid="{00000000-0005-0000-0000-0000AB690000}"/>
    <cellStyle name="Normal 3 3 5 3 5 2" xfId="23685" xr:uid="{00000000-0005-0000-0000-0000AC690000}"/>
    <cellStyle name="Normal 3 3 5 3 5 2 2" xfId="39741" xr:uid="{00000000-0005-0000-0000-0000AD690000}"/>
    <cellStyle name="Normal 3 3 5 3 5 3" xfId="30632" xr:uid="{00000000-0005-0000-0000-0000AE690000}"/>
    <cellStyle name="Normal 3 3 5 3 6" xfId="12404" xr:uid="{00000000-0005-0000-0000-0000AF690000}"/>
    <cellStyle name="Normal 3 3 5 3 7" xfId="34019" xr:uid="{00000000-0005-0000-0000-0000B0690000}"/>
    <cellStyle name="Normal 3 3 5 3 8" xfId="43568" xr:uid="{00000000-0005-0000-0000-0000B1690000}"/>
    <cellStyle name="Normal 3 3 5 3 9" xfId="46474" xr:uid="{00000000-0005-0000-0000-0000B2690000}"/>
    <cellStyle name="Normal 3 3 5 3_Avviksanalyse løpende RNB15 (1)" xfId="16754" xr:uid="{00000000-0005-0000-0000-0000B3690000}"/>
    <cellStyle name="Normal 3 3 5 4" xfId="3775" xr:uid="{00000000-0005-0000-0000-0000B4690000}"/>
    <cellStyle name="Normal 3 3 5 4 2" xfId="5663" xr:uid="{00000000-0005-0000-0000-0000B5690000}"/>
    <cellStyle name="Normal 3 3 5 4 2 2" xfId="9078" xr:uid="{00000000-0005-0000-0000-0000B6690000}"/>
    <cellStyle name="Normal 3 3 5 4 2 2 2" xfId="19520" xr:uid="{00000000-0005-0000-0000-0000B7690000}"/>
    <cellStyle name="Normal 3 3 5 4 2 2 2 2" xfId="35634" xr:uid="{00000000-0005-0000-0000-0000B8690000}"/>
    <cellStyle name="Normal 3 3 5 4 2 2 3" xfId="28720" xr:uid="{00000000-0005-0000-0000-0000B9690000}"/>
    <cellStyle name="Normal 3 3 5 4 2 3" xfId="20161" xr:uid="{00000000-0005-0000-0000-0000BA690000}"/>
    <cellStyle name="Normal 3 3 5 4 2 3 2" xfId="36262" xr:uid="{00000000-0005-0000-0000-0000BB690000}"/>
    <cellStyle name="Normal 3 3 5 4 2 4" xfId="32111" xr:uid="{00000000-0005-0000-0000-0000BC690000}"/>
    <cellStyle name="Normal 3 3 5 4 3" xfId="7381" xr:uid="{00000000-0005-0000-0000-0000BD690000}"/>
    <cellStyle name="Normal 3 3 5 4 3 2" xfId="20762" xr:uid="{00000000-0005-0000-0000-0000BE690000}"/>
    <cellStyle name="Normal 3 3 5 4 3 2 2" xfId="36861" xr:uid="{00000000-0005-0000-0000-0000BF690000}"/>
    <cellStyle name="Normal 3 3 5 4 3 3" xfId="30417" xr:uid="{00000000-0005-0000-0000-0000C0690000}"/>
    <cellStyle name="Normal 3 3 5 4 4" xfId="22778" xr:uid="{00000000-0005-0000-0000-0000C1690000}"/>
    <cellStyle name="Normal 3 3 5 4 4 2" xfId="38847" xr:uid="{00000000-0005-0000-0000-0000C2690000}"/>
    <cellStyle name="Normal 3 3 5 4 5" xfId="33804" xr:uid="{00000000-0005-0000-0000-0000C3690000}"/>
    <cellStyle name="Normal 3 3 5 5" xfId="4266" xr:uid="{00000000-0005-0000-0000-0000C4690000}"/>
    <cellStyle name="Normal 3 3 5 5 2" xfId="6098" xr:uid="{00000000-0005-0000-0000-0000C5690000}"/>
    <cellStyle name="Normal 3 3 5 5 2 2" xfId="9513" xr:uid="{00000000-0005-0000-0000-0000C6690000}"/>
    <cellStyle name="Normal 3 3 5 5 2 2 2" xfId="10437" xr:uid="{00000000-0005-0000-0000-0000C7690000}"/>
    <cellStyle name="Normal 3 3 5 5 2 2 2 2" xfId="34363" xr:uid="{00000000-0005-0000-0000-0000C8690000}"/>
    <cellStyle name="Normal 3 3 5 5 2 2 3" xfId="28285" xr:uid="{00000000-0005-0000-0000-0000C9690000}"/>
    <cellStyle name="Normal 3 3 5 5 2 3" xfId="20322" xr:uid="{00000000-0005-0000-0000-0000CA690000}"/>
    <cellStyle name="Normal 3 3 5 5 2 3 2" xfId="36421" xr:uid="{00000000-0005-0000-0000-0000CB690000}"/>
    <cellStyle name="Normal 3 3 5 5 2 4" xfId="31680" xr:uid="{00000000-0005-0000-0000-0000CC690000}"/>
    <cellStyle name="Normal 3 3 5 5 3" xfId="7832" xr:uid="{00000000-0005-0000-0000-0000CD690000}"/>
    <cellStyle name="Normal 3 3 5 5 3 2" xfId="20919" xr:uid="{00000000-0005-0000-0000-0000CE690000}"/>
    <cellStyle name="Normal 3 3 5 5 3 2 2" xfId="37018" xr:uid="{00000000-0005-0000-0000-0000CF690000}"/>
    <cellStyle name="Normal 3 3 5 5 3 3" xfId="29967" xr:uid="{00000000-0005-0000-0000-0000D0690000}"/>
    <cellStyle name="Normal 3 3 5 5 4" xfId="19994" xr:uid="{00000000-0005-0000-0000-0000D1690000}"/>
    <cellStyle name="Normal 3 3 5 5 4 2" xfId="36098" xr:uid="{00000000-0005-0000-0000-0000D2690000}"/>
    <cellStyle name="Normal 3 3 5 5 5" xfId="33355" xr:uid="{00000000-0005-0000-0000-0000D3690000}"/>
    <cellStyle name="Normal 3 3 5 6" xfId="4710" xr:uid="{00000000-0005-0000-0000-0000D4690000}"/>
    <cellStyle name="Normal 3 3 5 6 2" xfId="6430" xr:uid="{00000000-0005-0000-0000-0000D5690000}"/>
    <cellStyle name="Normal 3 3 5 6 2 2" xfId="9840" xr:uid="{00000000-0005-0000-0000-0000D6690000}"/>
    <cellStyle name="Normal 3 3 5 6 2 2 2" xfId="24573" xr:uid="{00000000-0005-0000-0000-0000D7690000}"/>
    <cellStyle name="Normal 3 3 5 6 2 2 2 2" xfId="40617" xr:uid="{00000000-0005-0000-0000-0000D8690000}"/>
    <cellStyle name="Normal 3 3 5 6 2 2 3" xfId="27959" xr:uid="{00000000-0005-0000-0000-0000D9690000}"/>
    <cellStyle name="Normal 3 3 5 6 2 3" xfId="22355" xr:uid="{00000000-0005-0000-0000-0000DA690000}"/>
    <cellStyle name="Normal 3 3 5 6 2 3 2" xfId="38427" xr:uid="{00000000-0005-0000-0000-0000DB690000}"/>
    <cellStyle name="Normal 3 3 5 6 2 4" xfId="31360" xr:uid="{00000000-0005-0000-0000-0000DC690000}"/>
    <cellStyle name="Normal 3 3 5 6 3" xfId="8136" xr:uid="{00000000-0005-0000-0000-0000DD690000}"/>
    <cellStyle name="Normal 3 3 5 6 3 2" xfId="23318" xr:uid="{00000000-0005-0000-0000-0000DE690000}"/>
    <cellStyle name="Normal 3 3 5 6 3 2 2" xfId="39384" xr:uid="{00000000-0005-0000-0000-0000DF690000}"/>
    <cellStyle name="Normal 3 3 5 6 3 3" xfId="29662" xr:uid="{00000000-0005-0000-0000-0000E0690000}"/>
    <cellStyle name="Normal 3 3 5 6 4" xfId="22730" xr:uid="{00000000-0005-0000-0000-0000E1690000}"/>
    <cellStyle name="Normal 3 3 5 6 4 2" xfId="38799" xr:uid="{00000000-0005-0000-0000-0000E2690000}"/>
    <cellStyle name="Normal 3 3 5 6 5" xfId="33053" xr:uid="{00000000-0005-0000-0000-0000E3690000}"/>
    <cellStyle name="Normal 3 3 5 7" xfId="5074" xr:uid="{00000000-0005-0000-0000-0000E4690000}"/>
    <cellStyle name="Normal 3 3 5 7 2" xfId="6793" xr:uid="{00000000-0005-0000-0000-0000E5690000}"/>
    <cellStyle name="Normal 3 3 5 7 2 2" xfId="10199" xr:uid="{00000000-0005-0000-0000-0000E6690000}"/>
    <cellStyle name="Normal 3 3 5 7 2 2 2" xfId="21646" xr:uid="{00000000-0005-0000-0000-0000E7690000}"/>
    <cellStyle name="Normal 3 3 5 7 2 2 2 2" xfId="37726" xr:uid="{00000000-0005-0000-0000-0000E8690000}"/>
    <cellStyle name="Normal 3 3 5 7 2 2 3" xfId="27600" xr:uid="{00000000-0005-0000-0000-0000E9690000}"/>
    <cellStyle name="Normal 3 3 5 7 2 3" xfId="20569" xr:uid="{00000000-0005-0000-0000-0000EA690000}"/>
    <cellStyle name="Normal 3 3 5 7 2 3 2" xfId="36668" xr:uid="{00000000-0005-0000-0000-0000EB690000}"/>
    <cellStyle name="Normal 3 3 5 7 2 4" xfId="31001" xr:uid="{00000000-0005-0000-0000-0000EC690000}"/>
    <cellStyle name="Normal 3 3 5 7 3" xfId="8496" xr:uid="{00000000-0005-0000-0000-0000ED690000}"/>
    <cellStyle name="Normal 3 3 5 7 3 2" xfId="11846" xr:uid="{00000000-0005-0000-0000-0000EE690000}"/>
    <cellStyle name="Normal 3 3 5 7 3 2 2" xfId="34894" xr:uid="{00000000-0005-0000-0000-0000EF690000}"/>
    <cellStyle name="Normal 3 3 5 7 3 3" xfId="29302" xr:uid="{00000000-0005-0000-0000-0000F0690000}"/>
    <cellStyle name="Normal 3 3 5 7 4" xfId="23844" xr:uid="{00000000-0005-0000-0000-0000F1690000}"/>
    <cellStyle name="Normal 3 3 5 7 4 2" xfId="39900" xr:uid="{00000000-0005-0000-0000-0000F2690000}"/>
    <cellStyle name="Normal 3 3 5 7 5" xfId="32693" xr:uid="{00000000-0005-0000-0000-0000F3690000}"/>
    <cellStyle name="Normal 3 3 5 8" xfId="5265" xr:uid="{00000000-0005-0000-0000-0000F4690000}"/>
    <cellStyle name="Normal 3 3 5 8 2" xfId="8680" xr:uid="{00000000-0005-0000-0000-0000F5690000}"/>
    <cellStyle name="Normal 3 3 5 8 2 2" xfId="24399" xr:uid="{00000000-0005-0000-0000-0000F6690000}"/>
    <cellStyle name="Normal 3 3 5 8 2 2 2" xfId="40443" xr:uid="{00000000-0005-0000-0000-0000F7690000}"/>
    <cellStyle name="Normal 3 3 5 8 2 3" xfId="29118" xr:uid="{00000000-0005-0000-0000-0000F8690000}"/>
    <cellStyle name="Normal 3 3 5 8 3" xfId="12098" xr:uid="{00000000-0005-0000-0000-0000F9690000}"/>
    <cellStyle name="Normal 3 3 5 8 3 2" xfId="35069" xr:uid="{00000000-0005-0000-0000-0000FA690000}"/>
    <cellStyle name="Normal 3 3 5 8 4" xfId="32509" xr:uid="{00000000-0005-0000-0000-0000FB690000}"/>
    <cellStyle name="Normal 3 3 5 9" xfId="6983" xr:uid="{00000000-0005-0000-0000-0000FC690000}"/>
    <cellStyle name="Normal 3 3 5 9 2" xfId="24126" xr:uid="{00000000-0005-0000-0000-0000FD690000}"/>
    <cellStyle name="Normal 3 3 5 9 2 2" xfId="40179" xr:uid="{00000000-0005-0000-0000-0000FE690000}"/>
    <cellStyle name="Normal 3 3 5 9 3" xfId="30815" xr:uid="{00000000-0005-0000-0000-0000FF690000}"/>
    <cellStyle name="Normal 3 3 6" xfId="3416" xr:uid="{00000000-0005-0000-0000-0000006A0000}"/>
    <cellStyle name="Normal 3 3 6 2" xfId="3629" xr:uid="{00000000-0005-0000-0000-0000016A0000}"/>
    <cellStyle name="Normal 3 3 6 2 2" xfId="4057" xr:uid="{00000000-0005-0000-0000-0000026A0000}"/>
    <cellStyle name="Normal 3 3 6 2 2 2" xfId="5945" xr:uid="{00000000-0005-0000-0000-0000036A0000}"/>
    <cellStyle name="Normal 3 3 6 2 2 2 2" xfId="9360" xr:uid="{00000000-0005-0000-0000-0000046A0000}"/>
    <cellStyle name="Normal 3 3 6 2 2 2 2 2" xfId="21942" xr:uid="{00000000-0005-0000-0000-0000056A0000}"/>
    <cellStyle name="Normal 3 3 6 2 2 2 2 2 2" xfId="38017" xr:uid="{00000000-0005-0000-0000-0000066A0000}"/>
    <cellStyle name="Normal 3 3 6 2 2 2 2 3" xfId="28438" xr:uid="{00000000-0005-0000-0000-0000076A0000}"/>
    <cellStyle name="Normal 3 3 6 2 2 2 3" xfId="23947" xr:uid="{00000000-0005-0000-0000-0000086A0000}"/>
    <cellStyle name="Normal 3 3 6 2 2 2 3 2" xfId="40001" xr:uid="{00000000-0005-0000-0000-0000096A0000}"/>
    <cellStyle name="Normal 3 3 6 2 2 2 4" xfId="31833" xr:uid="{00000000-0005-0000-0000-00000A6A0000}"/>
    <cellStyle name="Normal 3 3 6 2 2 3" xfId="7663" xr:uid="{00000000-0005-0000-0000-00000B6A0000}"/>
    <cellStyle name="Normal 3 3 6 2 2 3 2" xfId="24246" xr:uid="{00000000-0005-0000-0000-00000C6A0000}"/>
    <cellStyle name="Normal 3 3 6 2 2 3 2 2" xfId="40299" xr:uid="{00000000-0005-0000-0000-00000D6A0000}"/>
    <cellStyle name="Normal 3 3 6 2 2 3 3" xfId="30135" xr:uid="{00000000-0005-0000-0000-00000E6A0000}"/>
    <cellStyle name="Normal 3 3 6 2 2 4" xfId="19969" xr:uid="{00000000-0005-0000-0000-00000F6A0000}"/>
    <cellStyle name="Normal 3 3 6 2 2 4 2" xfId="36073" xr:uid="{00000000-0005-0000-0000-0000106A0000}"/>
    <cellStyle name="Normal 3 3 6 2 2 5" xfId="33522" xr:uid="{00000000-0005-0000-0000-0000116A0000}"/>
    <cellStyle name="Normal 3 3 6 2 3" xfId="4997" xr:uid="{00000000-0005-0000-0000-0000126A0000}"/>
    <cellStyle name="Normal 3 3 6 2 3 2" xfId="6716" xr:uid="{00000000-0005-0000-0000-0000136A0000}"/>
    <cellStyle name="Normal 3 3 6 2 3 2 2" xfId="10122" xr:uid="{00000000-0005-0000-0000-0000146A0000}"/>
    <cellStyle name="Normal 3 3 6 2 3 2 2 2" xfId="23623" xr:uid="{00000000-0005-0000-0000-0000156A0000}"/>
    <cellStyle name="Normal 3 3 6 2 3 2 2 2 2" xfId="39679" xr:uid="{00000000-0005-0000-0000-0000166A0000}"/>
    <cellStyle name="Normal 3 3 6 2 3 2 2 3" xfId="27677" xr:uid="{00000000-0005-0000-0000-0000176A0000}"/>
    <cellStyle name="Normal 3 3 6 2 3 2 3" xfId="24089" xr:uid="{00000000-0005-0000-0000-0000186A0000}"/>
    <cellStyle name="Normal 3 3 6 2 3 2 3 2" xfId="40142" xr:uid="{00000000-0005-0000-0000-0000196A0000}"/>
    <cellStyle name="Normal 3 3 6 2 3 2 4" xfId="31078" xr:uid="{00000000-0005-0000-0000-00001A6A0000}"/>
    <cellStyle name="Normal 3 3 6 2 3 3" xfId="8419" xr:uid="{00000000-0005-0000-0000-00001B6A0000}"/>
    <cellStyle name="Normal 3 3 6 2 3 3 2" xfId="19494" xr:uid="{00000000-0005-0000-0000-00001C6A0000}"/>
    <cellStyle name="Normal 3 3 6 2 3 3 2 2" xfId="35608" xr:uid="{00000000-0005-0000-0000-00001D6A0000}"/>
    <cellStyle name="Normal 3 3 6 2 3 3 3" xfId="29379" xr:uid="{00000000-0005-0000-0000-00001E6A0000}"/>
    <cellStyle name="Normal 3 3 6 2 3 4" xfId="22526" xr:uid="{00000000-0005-0000-0000-00001F6A0000}"/>
    <cellStyle name="Normal 3 3 6 2 3 4 2" xfId="38596" xr:uid="{00000000-0005-0000-0000-0000206A0000}"/>
    <cellStyle name="Normal 3 3 6 2 3 5" xfId="32770" xr:uid="{00000000-0005-0000-0000-0000216A0000}"/>
    <cellStyle name="Normal 3 3 6 2 4" xfId="5551" xr:uid="{00000000-0005-0000-0000-0000226A0000}"/>
    <cellStyle name="Normal 3 3 6 2 4 2" xfId="8966" xr:uid="{00000000-0005-0000-0000-0000236A0000}"/>
    <cellStyle name="Normal 3 3 6 2 4 2 2" xfId="24438" xr:uid="{00000000-0005-0000-0000-0000246A0000}"/>
    <cellStyle name="Normal 3 3 6 2 4 2 2 2" xfId="40482" xr:uid="{00000000-0005-0000-0000-0000256A0000}"/>
    <cellStyle name="Normal 3 3 6 2 4 2 3" xfId="28832" xr:uid="{00000000-0005-0000-0000-0000266A0000}"/>
    <cellStyle name="Normal 3 3 6 2 4 3" xfId="20117" xr:uid="{00000000-0005-0000-0000-0000276A0000}"/>
    <cellStyle name="Normal 3 3 6 2 4 3 2" xfId="36220" xr:uid="{00000000-0005-0000-0000-0000286A0000}"/>
    <cellStyle name="Normal 3 3 6 2 4 4" xfId="32223" xr:uid="{00000000-0005-0000-0000-0000296A0000}"/>
    <cellStyle name="Normal 3 3 6 2 5" xfId="7269" xr:uid="{00000000-0005-0000-0000-00002A6A0000}"/>
    <cellStyle name="Normal 3 3 6 2 5 2" xfId="24175" xr:uid="{00000000-0005-0000-0000-00002B6A0000}"/>
    <cellStyle name="Normal 3 3 6 2 5 2 2" xfId="40228" xr:uid="{00000000-0005-0000-0000-00002C6A0000}"/>
    <cellStyle name="Normal 3 3 6 2 5 3" xfId="30529" xr:uid="{00000000-0005-0000-0000-00002D6A0000}"/>
    <cellStyle name="Normal 3 3 6 2 6" xfId="22767" xr:uid="{00000000-0005-0000-0000-00002E6A0000}"/>
    <cellStyle name="Normal 3 3 6 2 6 2" xfId="38836" xr:uid="{00000000-0005-0000-0000-00002F6A0000}"/>
    <cellStyle name="Normal 3 3 6 2 7" xfId="33916" xr:uid="{00000000-0005-0000-0000-0000306A0000}"/>
    <cellStyle name="Normal 3 3 6 3" xfId="3877" xr:uid="{00000000-0005-0000-0000-0000316A0000}"/>
    <cellStyle name="Normal 3 3 6 3 2" xfId="5765" xr:uid="{00000000-0005-0000-0000-0000326A0000}"/>
    <cellStyle name="Normal 3 3 6 3 2 2" xfId="9180" xr:uid="{00000000-0005-0000-0000-0000336A0000}"/>
    <cellStyle name="Normal 3 3 6 3 2 2 2" xfId="19871" xr:uid="{00000000-0005-0000-0000-0000346A0000}"/>
    <cellStyle name="Normal 3 3 6 3 2 2 2 2" xfId="35984" xr:uid="{00000000-0005-0000-0000-0000356A0000}"/>
    <cellStyle name="Normal 3 3 6 3 2 2 3" xfId="28618" xr:uid="{00000000-0005-0000-0000-0000366A0000}"/>
    <cellStyle name="Normal 3 3 6 3 2 3" xfId="10681" xr:uid="{00000000-0005-0000-0000-0000376A0000}"/>
    <cellStyle name="Normal 3 3 6 3 2 3 2" xfId="34529" xr:uid="{00000000-0005-0000-0000-0000386A0000}"/>
    <cellStyle name="Normal 3 3 6 3 2 4" xfId="32009" xr:uid="{00000000-0005-0000-0000-0000396A0000}"/>
    <cellStyle name="Normal 3 3 6 3 3" xfId="7483" xr:uid="{00000000-0005-0000-0000-00003A6A0000}"/>
    <cellStyle name="Normal 3 3 6 3 3 2" xfId="20800" xr:uid="{00000000-0005-0000-0000-00003B6A0000}"/>
    <cellStyle name="Normal 3 3 6 3 3 2 2" xfId="36899" xr:uid="{00000000-0005-0000-0000-00003C6A0000}"/>
    <cellStyle name="Normal 3 3 6 3 3 3" xfId="30315" xr:uid="{00000000-0005-0000-0000-00003D6A0000}"/>
    <cellStyle name="Normal 3 3 6 3 4" xfId="22544" xr:uid="{00000000-0005-0000-0000-00003E6A0000}"/>
    <cellStyle name="Normal 3 3 6 3 4 2" xfId="38613" xr:uid="{00000000-0005-0000-0000-00003F6A0000}"/>
    <cellStyle name="Normal 3 3 6 3 5" xfId="33702" xr:uid="{00000000-0005-0000-0000-0000406A0000}"/>
    <cellStyle name="Normal 3 3 6 4" xfId="4817" xr:uid="{00000000-0005-0000-0000-0000416A0000}"/>
    <cellStyle name="Normal 3 3 6 4 2" xfId="6536" xr:uid="{00000000-0005-0000-0000-0000426A0000}"/>
    <cellStyle name="Normal 3 3 6 4 2 2" xfId="9942" xr:uid="{00000000-0005-0000-0000-0000436A0000}"/>
    <cellStyle name="Normal 3 3 6 4 2 2 2" xfId="23587" xr:uid="{00000000-0005-0000-0000-0000446A0000}"/>
    <cellStyle name="Normal 3 3 6 4 2 2 2 2" xfId="39643" xr:uid="{00000000-0005-0000-0000-0000456A0000}"/>
    <cellStyle name="Normal 3 3 6 4 2 2 3" xfId="27857" xr:uid="{00000000-0005-0000-0000-0000466A0000}"/>
    <cellStyle name="Normal 3 3 6 4 2 3" xfId="22364" xr:uid="{00000000-0005-0000-0000-0000476A0000}"/>
    <cellStyle name="Normal 3 3 6 4 2 3 2" xfId="38436" xr:uid="{00000000-0005-0000-0000-0000486A0000}"/>
    <cellStyle name="Normal 3 3 6 4 2 4" xfId="31258" xr:uid="{00000000-0005-0000-0000-0000496A0000}"/>
    <cellStyle name="Normal 3 3 6 4 3" xfId="8239" xr:uid="{00000000-0005-0000-0000-00004A6A0000}"/>
    <cellStyle name="Normal 3 3 6 4 3 2" xfId="21040" xr:uid="{00000000-0005-0000-0000-00004B6A0000}"/>
    <cellStyle name="Normal 3 3 6 4 3 2 2" xfId="37131" xr:uid="{00000000-0005-0000-0000-00004C6A0000}"/>
    <cellStyle name="Normal 3 3 6 4 3 3" xfId="29558" xr:uid="{00000000-0005-0000-0000-00004D6A0000}"/>
    <cellStyle name="Normal 3 3 6 4 4" xfId="22834" xr:uid="{00000000-0005-0000-0000-00004E6A0000}"/>
    <cellStyle name="Normal 3 3 6 4 4 2" xfId="38903" xr:uid="{00000000-0005-0000-0000-00004F6A0000}"/>
    <cellStyle name="Normal 3 3 6 4 5" xfId="32950" xr:uid="{00000000-0005-0000-0000-0000506A0000}"/>
    <cellStyle name="Normal 3 3 6 5" xfId="5381" xr:uid="{00000000-0005-0000-0000-0000516A0000}"/>
    <cellStyle name="Normal 3 3 6 5 2" xfId="8796" xr:uid="{00000000-0005-0000-0000-0000526A0000}"/>
    <cellStyle name="Normal 3 3 6 5 2 2" xfId="11765" xr:uid="{00000000-0005-0000-0000-0000536A0000}"/>
    <cellStyle name="Normal 3 3 6 5 2 2 2" xfId="34858" xr:uid="{00000000-0005-0000-0000-0000546A0000}"/>
    <cellStyle name="Normal 3 3 6 5 2 3" xfId="29002" xr:uid="{00000000-0005-0000-0000-0000556A0000}"/>
    <cellStyle name="Normal 3 3 6 5 3" xfId="10719" xr:uid="{00000000-0005-0000-0000-0000566A0000}"/>
    <cellStyle name="Normal 3 3 6 5 3 2" xfId="34567" xr:uid="{00000000-0005-0000-0000-0000576A0000}"/>
    <cellStyle name="Normal 3 3 6 5 4" xfId="32393" xr:uid="{00000000-0005-0000-0000-0000586A0000}"/>
    <cellStyle name="Normal 3 3 6 6" xfId="7089" xr:uid="{00000000-0005-0000-0000-0000596A0000}"/>
    <cellStyle name="Normal 3 3 6 6 2" xfId="22417" xr:uid="{00000000-0005-0000-0000-00005A6A0000}"/>
    <cellStyle name="Normal 3 3 6 6 2 2" xfId="38489" xr:uid="{00000000-0005-0000-0000-00005B6A0000}"/>
    <cellStyle name="Normal 3 3 6 6 3" xfId="30709" xr:uid="{00000000-0005-0000-0000-00005C6A0000}"/>
    <cellStyle name="Normal 3 3 6 7" xfId="12405" xr:uid="{00000000-0005-0000-0000-00005D6A0000}"/>
    <cellStyle name="Normal 3 3 6 8" xfId="12632" xr:uid="{00000000-0005-0000-0000-00005E6A0000}"/>
    <cellStyle name="Normal 3 3 6 8 2" xfId="35296" xr:uid="{00000000-0005-0000-0000-00005F6A0000}"/>
    <cellStyle name="Normal 3 3 6 9" xfId="34096" xr:uid="{00000000-0005-0000-0000-0000606A0000}"/>
    <cellStyle name="Normal 3 3 7" xfId="3667" xr:uid="{00000000-0005-0000-0000-0000616A0000}"/>
    <cellStyle name="Normal 3 3 7 2" xfId="5580" xr:uid="{00000000-0005-0000-0000-0000626A0000}"/>
    <cellStyle name="Normal 3 3 7 2 2" xfId="8995" xr:uid="{00000000-0005-0000-0000-0000636A0000}"/>
    <cellStyle name="Normal 3 3 7 2 2 2" xfId="21243" xr:uid="{00000000-0005-0000-0000-0000646A0000}"/>
    <cellStyle name="Normal 3 3 7 2 2 2 2" xfId="37323" xr:uid="{00000000-0005-0000-0000-0000656A0000}"/>
    <cellStyle name="Normal 3 3 7 2 2 3" xfId="28803" xr:uid="{00000000-0005-0000-0000-0000666A0000}"/>
    <cellStyle name="Normal 3 3 7 2 3" xfId="20128" xr:uid="{00000000-0005-0000-0000-0000676A0000}"/>
    <cellStyle name="Normal 3 3 7 2 3 2" xfId="36231" xr:uid="{00000000-0005-0000-0000-0000686A0000}"/>
    <cellStyle name="Normal 3 3 7 2 4" xfId="32194" xr:uid="{00000000-0005-0000-0000-0000696A0000}"/>
    <cellStyle name="Normal 3 3 7 3" xfId="7298" xr:uid="{00000000-0005-0000-0000-00006A6A0000}"/>
    <cellStyle name="Normal 3 3 7 3 2" xfId="24181" xr:uid="{00000000-0005-0000-0000-00006B6A0000}"/>
    <cellStyle name="Normal 3 3 7 3 2 2" xfId="40234" xr:uid="{00000000-0005-0000-0000-00006C6A0000}"/>
    <cellStyle name="Normal 3 3 7 3 3" xfId="30500" xr:uid="{00000000-0005-0000-0000-00006D6A0000}"/>
    <cellStyle name="Normal 3 3 7 4" xfId="18170" xr:uid="{00000000-0005-0000-0000-00006E6A0000}"/>
    <cellStyle name="Normal 3 3 7 5" xfId="22770" xr:uid="{00000000-0005-0000-0000-00006F6A0000}"/>
    <cellStyle name="Normal 3 3 7 5 2" xfId="38839" xr:uid="{00000000-0005-0000-0000-0000706A0000}"/>
    <cellStyle name="Normal 3 3 7 6" xfId="33887" xr:uid="{00000000-0005-0000-0000-0000716A0000}"/>
    <cellStyle name="Normal 3 3 8" xfId="3707" xr:uid="{00000000-0005-0000-0000-0000726A0000}"/>
    <cellStyle name="Normal 3 3 8 2" xfId="5595" xr:uid="{00000000-0005-0000-0000-0000736A0000}"/>
    <cellStyle name="Normal 3 3 8 2 2" xfId="9010" xr:uid="{00000000-0005-0000-0000-0000746A0000}"/>
    <cellStyle name="Normal 3 3 8 2 2 2" xfId="21249" xr:uid="{00000000-0005-0000-0000-0000756A0000}"/>
    <cellStyle name="Normal 3 3 8 2 2 2 2" xfId="37329" xr:uid="{00000000-0005-0000-0000-0000766A0000}"/>
    <cellStyle name="Normal 3 3 8 2 2 3" xfId="28788" xr:uid="{00000000-0005-0000-0000-0000776A0000}"/>
    <cellStyle name="Normal 3 3 8 2 3" xfId="20133" xr:uid="{00000000-0005-0000-0000-0000786A0000}"/>
    <cellStyle name="Normal 3 3 8 2 3 2" xfId="36236" xr:uid="{00000000-0005-0000-0000-0000796A0000}"/>
    <cellStyle name="Normal 3 3 8 2 4" xfId="32179" xr:uid="{00000000-0005-0000-0000-00007A6A0000}"/>
    <cellStyle name="Normal 3 3 8 3" xfId="7313" xr:uid="{00000000-0005-0000-0000-00007B6A0000}"/>
    <cellStyle name="Normal 3 3 8 3 2" xfId="20736" xr:uid="{00000000-0005-0000-0000-00007C6A0000}"/>
    <cellStyle name="Normal 3 3 8 3 2 2" xfId="36835" xr:uid="{00000000-0005-0000-0000-00007D6A0000}"/>
    <cellStyle name="Normal 3 3 8 3 3" xfId="30485" xr:uid="{00000000-0005-0000-0000-00007E6A0000}"/>
    <cellStyle name="Normal 3 3 8 4" xfId="18133" xr:uid="{00000000-0005-0000-0000-00007F6A0000}"/>
    <cellStyle name="Normal 3 3 8 5" xfId="23693" xr:uid="{00000000-0005-0000-0000-0000806A0000}"/>
    <cellStyle name="Normal 3 3 8 5 2" xfId="39749" xr:uid="{00000000-0005-0000-0000-0000816A0000}"/>
    <cellStyle name="Normal 3 3 8 6" xfId="33872" xr:uid="{00000000-0005-0000-0000-0000826A0000}"/>
    <cellStyle name="Normal 3 3 9" xfId="3653" xr:uid="{00000000-0005-0000-0000-0000836A0000}"/>
    <cellStyle name="Normal 3 3 9 2" xfId="5572" xr:uid="{00000000-0005-0000-0000-0000846A0000}"/>
    <cellStyle name="Normal 3 3 9 2 2" xfId="8987" xr:uid="{00000000-0005-0000-0000-0000856A0000}"/>
    <cellStyle name="Normal 3 3 9 2 2 2" xfId="24441" xr:uid="{00000000-0005-0000-0000-0000866A0000}"/>
    <cellStyle name="Normal 3 3 9 2 2 2 2" xfId="40485" xr:uid="{00000000-0005-0000-0000-0000876A0000}"/>
    <cellStyle name="Normal 3 3 9 2 2 3" xfId="28811" xr:uid="{00000000-0005-0000-0000-0000886A0000}"/>
    <cellStyle name="Normal 3 3 9 2 3" xfId="20126" xr:uid="{00000000-0005-0000-0000-0000896A0000}"/>
    <cellStyle name="Normal 3 3 9 2 3 2" xfId="36229" xr:uid="{00000000-0005-0000-0000-00008A6A0000}"/>
    <cellStyle name="Normal 3 3 9 2 4" xfId="32202" xr:uid="{00000000-0005-0000-0000-00008B6A0000}"/>
    <cellStyle name="Normal 3 3 9 3" xfId="7290" xr:uid="{00000000-0005-0000-0000-00008C6A0000}"/>
    <cellStyle name="Normal 3 3 9 3 2" xfId="20725" xr:uid="{00000000-0005-0000-0000-00008D6A0000}"/>
    <cellStyle name="Normal 3 3 9 3 2 2" xfId="36824" xr:uid="{00000000-0005-0000-0000-00008E6A0000}"/>
    <cellStyle name="Normal 3 3 9 3 3" xfId="30508" xr:uid="{00000000-0005-0000-0000-00008F6A0000}"/>
    <cellStyle name="Normal 3 3 9 4" xfId="18067" xr:uid="{00000000-0005-0000-0000-0000906A0000}"/>
    <cellStyle name="Normal 3 3 9 5" xfId="23768" xr:uid="{00000000-0005-0000-0000-0000916A0000}"/>
    <cellStyle name="Normal 3 3 9 5 2" xfId="39824" xr:uid="{00000000-0005-0000-0000-0000926A0000}"/>
    <cellStyle name="Normal 3 3 9 6" xfId="33895" xr:uid="{00000000-0005-0000-0000-0000936A0000}"/>
    <cellStyle name="Normal 3 3_Ark1" xfId="12406" xr:uid="{00000000-0005-0000-0000-0000946A0000}"/>
    <cellStyle name="Normal 3 30" xfId="1729" xr:uid="{00000000-0005-0000-0000-0000956A0000}"/>
    <cellStyle name="Normal 3 30 2" xfId="12408" xr:uid="{00000000-0005-0000-0000-0000966A0000}"/>
    <cellStyle name="Normal 3 31" xfId="1730" xr:uid="{00000000-0005-0000-0000-0000976A0000}"/>
    <cellStyle name="Normal 3 31 2" xfId="12410" xr:uid="{00000000-0005-0000-0000-0000986A0000}"/>
    <cellStyle name="Normal 3 32" xfId="1731" xr:uid="{00000000-0005-0000-0000-0000996A0000}"/>
    <cellStyle name="Normal 3 32 2" xfId="12412" xr:uid="{00000000-0005-0000-0000-00009A6A0000}"/>
    <cellStyle name="Normal 3 33" xfId="1732" xr:uid="{00000000-0005-0000-0000-00009B6A0000}"/>
    <cellStyle name="Normal 3 33 2" xfId="12414" xr:uid="{00000000-0005-0000-0000-00009C6A0000}"/>
    <cellStyle name="Normal 3 34" xfId="1733" xr:uid="{00000000-0005-0000-0000-00009D6A0000}"/>
    <cellStyle name="Normal 3 34 2" xfId="12415" xr:uid="{00000000-0005-0000-0000-00009E6A0000}"/>
    <cellStyle name="Normal 3 35" xfId="1734" xr:uid="{00000000-0005-0000-0000-00009F6A0000}"/>
    <cellStyle name="Normal 3 35 2" xfId="12417" xr:uid="{00000000-0005-0000-0000-0000A06A0000}"/>
    <cellStyle name="Normal 3 36" xfId="1735" xr:uid="{00000000-0005-0000-0000-0000A16A0000}"/>
    <cellStyle name="Normal 3 36 2" xfId="12419" xr:uid="{00000000-0005-0000-0000-0000A26A0000}"/>
    <cellStyle name="Normal 3 37" xfId="1736" xr:uid="{00000000-0005-0000-0000-0000A36A0000}"/>
    <cellStyle name="Normal 3 37 2" xfId="12420" xr:uid="{00000000-0005-0000-0000-0000A46A0000}"/>
    <cellStyle name="Normal 3 38" xfId="1737" xr:uid="{00000000-0005-0000-0000-0000A56A0000}"/>
    <cellStyle name="Normal 3 38 2" xfId="12421" xr:uid="{00000000-0005-0000-0000-0000A66A0000}"/>
    <cellStyle name="Normal 3 39" xfId="1738" xr:uid="{00000000-0005-0000-0000-0000A76A0000}"/>
    <cellStyle name="Normal 3 39 2" xfId="12422" xr:uid="{00000000-0005-0000-0000-0000A86A0000}"/>
    <cellStyle name="Normal 3 4" xfId="1739" xr:uid="{00000000-0005-0000-0000-0000A96A0000}"/>
    <cellStyle name="Normal 3 4 2" xfId="1740" xr:uid="{00000000-0005-0000-0000-0000AA6A0000}"/>
    <cellStyle name="Normal 3 4 2 2" xfId="12423" xr:uid="{00000000-0005-0000-0000-0000AB6A0000}"/>
    <cellStyle name="Normal 3 4 3" xfId="1741" xr:uid="{00000000-0005-0000-0000-0000AC6A0000}"/>
    <cellStyle name="Normal 3 4 3 2" xfId="1742" xr:uid="{00000000-0005-0000-0000-0000AD6A0000}"/>
    <cellStyle name="Normal 3 4 3 3" xfId="12426" xr:uid="{00000000-0005-0000-0000-0000AE6A0000}"/>
    <cellStyle name="Normal 3 4 4" xfId="12427" xr:uid="{00000000-0005-0000-0000-0000AF6A0000}"/>
    <cellStyle name="Normal 3 4_NGL-pris" xfId="1743" xr:uid="{00000000-0005-0000-0000-0000B06A0000}"/>
    <cellStyle name="Normal 3 40" xfId="1744" xr:uid="{00000000-0005-0000-0000-0000B16A0000}"/>
    <cellStyle name="Normal 3 40 2" xfId="12430" xr:uid="{00000000-0005-0000-0000-0000B26A0000}"/>
    <cellStyle name="Normal 3 41" xfId="1745" xr:uid="{00000000-0005-0000-0000-0000B36A0000}"/>
    <cellStyle name="Normal 3 41 2" xfId="12432" xr:uid="{00000000-0005-0000-0000-0000B46A0000}"/>
    <cellStyle name="Normal 3 42" xfId="1746" xr:uid="{00000000-0005-0000-0000-0000B56A0000}"/>
    <cellStyle name="Normal 3 42 2" xfId="12434" xr:uid="{00000000-0005-0000-0000-0000B66A0000}"/>
    <cellStyle name="Normal 3 43" xfId="1747" xr:uid="{00000000-0005-0000-0000-0000B76A0000}"/>
    <cellStyle name="Normal 3 43 2" xfId="12436" xr:uid="{00000000-0005-0000-0000-0000B86A0000}"/>
    <cellStyle name="Normal 3 44" xfId="1748" xr:uid="{00000000-0005-0000-0000-0000B96A0000}"/>
    <cellStyle name="Normal 3 44 2" xfId="12438" xr:uid="{00000000-0005-0000-0000-0000BA6A0000}"/>
    <cellStyle name="Normal 3 45" xfId="1749" xr:uid="{00000000-0005-0000-0000-0000BB6A0000}"/>
    <cellStyle name="Normal 3 45 2" xfId="1750" xr:uid="{00000000-0005-0000-0000-0000BC6A0000}"/>
    <cellStyle name="Normal 3 45 2 2" xfId="1751" xr:uid="{00000000-0005-0000-0000-0000BD6A0000}"/>
    <cellStyle name="Normal 3 45 2 2 2" xfId="12442" xr:uid="{00000000-0005-0000-0000-0000BE6A0000}"/>
    <cellStyle name="Normal 3 45 2 3" xfId="12443" xr:uid="{00000000-0005-0000-0000-0000BF6A0000}"/>
    <cellStyle name="Normal 3 45 3" xfId="12444" xr:uid="{00000000-0005-0000-0000-0000C06A0000}"/>
    <cellStyle name="Normal 3 46" xfId="1752" xr:uid="{00000000-0005-0000-0000-0000C16A0000}"/>
    <cellStyle name="Normal 3 46 2" xfId="12446" xr:uid="{00000000-0005-0000-0000-0000C26A0000}"/>
    <cellStyle name="Normal 3 47" xfId="1753" xr:uid="{00000000-0005-0000-0000-0000C36A0000}"/>
    <cellStyle name="Normal 3 47 2" xfId="12448" xr:uid="{00000000-0005-0000-0000-0000C46A0000}"/>
    <cellStyle name="Normal 3 48" xfId="1754" xr:uid="{00000000-0005-0000-0000-0000C56A0000}"/>
    <cellStyle name="Normal 3 48 2" xfId="12450" xr:uid="{00000000-0005-0000-0000-0000C66A0000}"/>
    <cellStyle name="Normal 3 49" xfId="1755" xr:uid="{00000000-0005-0000-0000-0000C76A0000}"/>
    <cellStyle name="Normal 3 49 10" xfId="6984" xr:uid="{00000000-0005-0000-0000-0000C86A0000}"/>
    <cellStyle name="Normal 3 49 10 2" xfId="22169" xr:uid="{00000000-0005-0000-0000-0000C96A0000}"/>
    <cellStyle name="Normal 3 49 10 2 2" xfId="38243" xr:uid="{00000000-0005-0000-0000-0000CA6A0000}"/>
    <cellStyle name="Normal 3 49 10 3" xfId="30814" xr:uid="{00000000-0005-0000-0000-0000CB6A0000}"/>
    <cellStyle name="Normal 3 49 11" xfId="12451" xr:uid="{00000000-0005-0000-0000-0000CC6A0000}"/>
    <cellStyle name="Normal 3 49 12" xfId="34202" xr:uid="{00000000-0005-0000-0000-0000CD6A0000}"/>
    <cellStyle name="Normal 3 49 2" xfId="3378" xr:uid="{00000000-0005-0000-0000-0000CE6A0000}"/>
    <cellStyle name="Normal 3 49 2 10" xfId="34119" xr:uid="{00000000-0005-0000-0000-0000CF6A0000}"/>
    <cellStyle name="Normal 3 49 2 2" xfId="3604" xr:uid="{00000000-0005-0000-0000-0000D06A0000}"/>
    <cellStyle name="Normal 3 49 2 2 10" xfId="47203" xr:uid="{00000000-0005-0000-0000-0000D16A0000}"/>
    <cellStyle name="Normal 3 49 2 2 2" xfId="4034" xr:uid="{00000000-0005-0000-0000-0000D26A0000}"/>
    <cellStyle name="Normal 3 49 2 2 2 2" xfId="5922" xr:uid="{00000000-0005-0000-0000-0000D36A0000}"/>
    <cellStyle name="Normal 3 49 2 2 2 2 2" xfId="9337" xr:uid="{00000000-0005-0000-0000-0000D46A0000}"/>
    <cellStyle name="Normal 3 49 2 2 2 2 2 2" xfId="21354" xr:uid="{00000000-0005-0000-0000-0000D56A0000}"/>
    <cellStyle name="Normal 3 49 2 2 2 2 2 2 2" xfId="37434" xr:uid="{00000000-0005-0000-0000-0000D66A0000}"/>
    <cellStyle name="Normal 3 49 2 2 2 2 2 3" xfId="28461" xr:uid="{00000000-0005-0000-0000-0000D76A0000}"/>
    <cellStyle name="Normal 3 49 2 2 2 2 3" xfId="22294" xr:uid="{00000000-0005-0000-0000-0000D86A0000}"/>
    <cellStyle name="Normal 3 49 2 2 2 2 3 2" xfId="38366" xr:uid="{00000000-0005-0000-0000-0000D96A0000}"/>
    <cellStyle name="Normal 3 49 2 2 2 2 4" xfId="31854" xr:uid="{00000000-0005-0000-0000-0000DA6A0000}"/>
    <cellStyle name="Normal 3 49 2 2 2 3" xfId="7640" xr:uid="{00000000-0005-0000-0000-0000DB6A0000}"/>
    <cellStyle name="Normal 3 49 2 2 2 3 2" xfId="23239" xr:uid="{00000000-0005-0000-0000-0000DC6A0000}"/>
    <cellStyle name="Normal 3 49 2 2 2 3 2 2" xfId="39307" xr:uid="{00000000-0005-0000-0000-0000DD6A0000}"/>
    <cellStyle name="Normal 3 49 2 2 2 3 3" xfId="30158" xr:uid="{00000000-0005-0000-0000-0000DE6A0000}"/>
    <cellStyle name="Normal 3 49 2 2 2 4" xfId="18177" xr:uid="{00000000-0005-0000-0000-0000DF6A0000}"/>
    <cellStyle name="Normal 3 49 2 2 2 5" xfId="11034" xr:uid="{00000000-0005-0000-0000-0000E06A0000}"/>
    <cellStyle name="Normal 3 49 2 2 2 5 2" xfId="34742" xr:uid="{00000000-0005-0000-0000-0000E16A0000}"/>
    <cellStyle name="Normal 3 49 2 2 2 6" xfId="33545" xr:uid="{00000000-0005-0000-0000-0000E26A0000}"/>
    <cellStyle name="Normal 3 49 2 2 3" xfId="4974" xr:uid="{00000000-0005-0000-0000-0000E36A0000}"/>
    <cellStyle name="Normal 3 49 2 2 3 10" xfId="47393" xr:uid="{00000000-0005-0000-0000-0000E46A0000}"/>
    <cellStyle name="Normal 3 49 2 2 3 2" xfId="6693" xr:uid="{00000000-0005-0000-0000-0000E56A0000}"/>
    <cellStyle name="Normal 3 49 2 2 3 2 2" xfId="10099" xr:uid="{00000000-0005-0000-0000-0000E66A0000}"/>
    <cellStyle name="Normal 3 49 2 2 3 2 2 2" xfId="21606" xr:uid="{00000000-0005-0000-0000-0000E76A0000}"/>
    <cellStyle name="Normal 3 49 2 2 3 2 2 2 2" xfId="37686" xr:uid="{00000000-0005-0000-0000-0000E86A0000}"/>
    <cellStyle name="Normal 3 49 2 2 3 2 2 3" xfId="27700" xr:uid="{00000000-0005-0000-0000-0000E96A0000}"/>
    <cellStyle name="Normal 3 49 2 2 3 2 3" xfId="10350" xr:uid="{00000000-0005-0000-0000-0000EA6A0000}"/>
    <cellStyle name="Normal 3 49 2 2 3 2 3 2" xfId="34322" xr:uid="{00000000-0005-0000-0000-0000EB6A0000}"/>
    <cellStyle name="Normal 3 49 2 2 3 2 4" xfId="31101" xr:uid="{00000000-0005-0000-0000-0000EC6A0000}"/>
    <cellStyle name="Normal 3 49 2 2 3 2 5" xfId="43090" xr:uid="{00000000-0005-0000-0000-0000ED6A0000}"/>
    <cellStyle name="Normal 3 49 2 2 3 2 6" xfId="43384" xr:uid="{00000000-0005-0000-0000-0000EE6A0000}"/>
    <cellStyle name="Normal 3 49 2 2 3 2 7" xfId="46232" xr:uid="{00000000-0005-0000-0000-0000EF6A0000}"/>
    <cellStyle name="Normal 3 49 2 2 3 2 8" xfId="47004" xr:uid="{00000000-0005-0000-0000-0000F06A0000}"/>
    <cellStyle name="Normal 3 49 2 2 3 2 9" xfId="47589" xr:uid="{00000000-0005-0000-0000-0000F16A0000}"/>
    <cellStyle name="Normal 3 49 2 2 3 3" xfId="8396" xr:uid="{00000000-0005-0000-0000-0000F26A0000}"/>
    <cellStyle name="Normal 3 49 2 2 3 3 2" xfId="23356" xr:uid="{00000000-0005-0000-0000-0000F36A0000}"/>
    <cellStyle name="Normal 3 49 2 2 3 3 2 2" xfId="39415" xr:uid="{00000000-0005-0000-0000-0000F46A0000}"/>
    <cellStyle name="Normal 3 49 2 2 3 3 3" xfId="29402" xr:uid="{00000000-0005-0000-0000-0000F56A0000}"/>
    <cellStyle name="Normal 3 49 2 2 3 3 4" xfId="44086" xr:uid="{00000000-0005-0000-0000-0000F66A0000}"/>
    <cellStyle name="Normal 3 49 2 2 3 4" xfId="16535" xr:uid="{00000000-0005-0000-0000-0000F76A0000}"/>
    <cellStyle name="Normal 3 49 2 2 3 4 2" xfId="35479" xr:uid="{00000000-0005-0000-0000-0000F86A0000}"/>
    <cellStyle name="Normal 3 49 2 2 3 5" xfId="25141" xr:uid="{00000000-0005-0000-0000-0000F96A0000}"/>
    <cellStyle name="Normal 3 49 2 2 3 6" xfId="25471" xr:uid="{00000000-0005-0000-0000-0000FA6A0000}"/>
    <cellStyle name="Normal 3 49 2 2 3 7" xfId="32793" xr:uid="{00000000-0005-0000-0000-0000FB6A0000}"/>
    <cellStyle name="Normal 3 49 2 2 3 8" xfId="43845" xr:uid="{00000000-0005-0000-0000-0000FC6A0000}"/>
    <cellStyle name="Normal 3 49 2 2 3 9" xfId="46770" xr:uid="{00000000-0005-0000-0000-0000FD6A0000}"/>
    <cellStyle name="Normal 3 49 2 2 4" xfId="5528" xr:uid="{00000000-0005-0000-0000-0000FE6A0000}"/>
    <cellStyle name="Normal 3 49 2 2 4 2" xfId="8943" xr:uid="{00000000-0005-0000-0000-0000FF6A0000}"/>
    <cellStyle name="Normal 3 49 2 2 4 2 2" xfId="22595" xr:uid="{00000000-0005-0000-0000-0000006B0000}"/>
    <cellStyle name="Normal 3 49 2 2 4 2 2 2" xfId="38664" xr:uid="{00000000-0005-0000-0000-0000016B0000}"/>
    <cellStyle name="Normal 3 49 2 2 4 2 3" xfId="28855" xr:uid="{00000000-0005-0000-0000-0000026B0000}"/>
    <cellStyle name="Normal 3 49 2 2 4 3" xfId="23870" xr:uid="{00000000-0005-0000-0000-0000036B0000}"/>
    <cellStyle name="Normal 3 49 2 2 4 3 2" xfId="39926" xr:uid="{00000000-0005-0000-0000-0000046B0000}"/>
    <cellStyle name="Normal 3 49 2 2 4 4" xfId="32246" xr:uid="{00000000-0005-0000-0000-0000056B0000}"/>
    <cellStyle name="Normal 3 49 2 2 5" xfId="7246" xr:uid="{00000000-0005-0000-0000-0000066B0000}"/>
    <cellStyle name="Normal 3 49 2 2 5 2" xfId="23169" xr:uid="{00000000-0005-0000-0000-0000076B0000}"/>
    <cellStyle name="Normal 3 49 2 2 5 2 2" xfId="39238" xr:uid="{00000000-0005-0000-0000-0000086B0000}"/>
    <cellStyle name="Normal 3 49 2 2 5 3" xfId="30552" xr:uid="{00000000-0005-0000-0000-0000096B0000}"/>
    <cellStyle name="Normal 3 49 2 2 6" xfId="12453" xr:uid="{00000000-0005-0000-0000-00000A6B0000}"/>
    <cellStyle name="Normal 3 49 2 2 7" xfId="33939" xr:uid="{00000000-0005-0000-0000-00000B6B0000}"/>
    <cellStyle name="Normal 3 49 2 2 8" xfId="43636" xr:uid="{00000000-0005-0000-0000-00000C6B0000}"/>
    <cellStyle name="Normal 3 49 2 2 9" xfId="46542" xr:uid="{00000000-0005-0000-0000-00000D6B0000}"/>
    <cellStyle name="Normal 3 49 2 2_Avviksanalyse løpende RNB15 (1)" xfId="16755" xr:uid="{00000000-0005-0000-0000-00000E6B0000}"/>
    <cellStyle name="Normal 3 49 2 3" xfId="3854" xr:uid="{00000000-0005-0000-0000-00000F6B0000}"/>
    <cellStyle name="Normal 3 49 2 3 2" xfId="5742" xr:uid="{00000000-0005-0000-0000-0000106B0000}"/>
    <cellStyle name="Normal 3 49 2 3 2 2" xfId="9157" xr:uid="{00000000-0005-0000-0000-0000116B0000}"/>
    <cellStyle name="Normal 3 49 2 3 2 2 2" xfId="21296" xr:uid="{00000000-0005-0000-0000-0000126B0000}"/>
    <cellStyle name="Normal 3 49 2 3 2 2 2 2" xfId="37376" xr:uid="{00000000-0005-0000-0000-0000136B0000}"/>
    <cellStyle name="Normal 3 49 2 3 2 2 3" xfId="28641" xr:uid="{00000000-0005-0000-0000-0000146B0000}"/>
    <cellStyle name="Normal 3 49 2 3 2 3" xfId="23910" xr:uid="{00000000-0005-0000-0000-0000156B0000}"/>
    <cellStyle name="Normal 3 49 2 3 2 3 2" xfId="39966" xr:uid="{00000000-0005-0000-0000-0000166B0000}"/>
    <cellStyle name="Normal 3 49 2 3 2 4" xfId="32032" xr:uid="{00000000-0005-0000-0000-0000176B0000}"/>
    <cellStyle name="Normal 3 49 2 3 3" xfId="7460" xr:uid="{00000000-0005-0000-0000-0000186B0000}"/>
    <cellStyle name="Normal 3 49 2 3 3 2" xfId="20792" xr:uid="{00000000-0005-0000-0000-0000196B0000}"/>
    <cellStyle name="Normal 3 49 2 3 3 2 2" xfId="36891" xr:uid="{00000000-0005-0000-0000-00001A6B0000}"/>
    <cellStyle name="Normal 3 49 2 3 3 3" xfId="30338" xr:uid="{00000000-0005-0000-0000-00001B6B0000}"/>
    <cellStyle name="Normal 3 49 2 3 4" xfId="19547" xr:uid="{00000000-0005-0000-0000-00001C6B0000}"/>
    <cellStyle name="Normal 3 49 2 3 4 2" xfId="35661" xr:uid="{00000000-0005-0000-0000-00001D6B0000}"/>
    <cellStyle name="Normal 3 49 2 3 5" xfId="33725" xr:uid="{00000000-0005-0000-0000-00001E6B0000}"/>
    <cellStyle name="Normal 3 49 2 4" xfId="4339" xr:uid="{00000000-0005-0000-0000-00001F6B0000}"/>
    <cellStyle name="Normal 3 49 2 4 2" xfId="6168" xr:uid="{00000000-0005-0000-0000-0000206B0000}"/>
    <cellStyle name="Normal 3 49 2 4 2 2" xfId="9582" xr:uid="{00000000-0005-0000-0000-0000216B0000}"/>
    <cellStyle name="Normal 3 49 2 4 2 2 2" xfId="21425" xr:uid="{00000000-0005-0000-0000-0000226B0000}"/>
    <cellStyle name="Normal 3 49 2 4 2 2 2 2" xfId="37505" xr:uid="{00000000-0005-0000-0000-0000236B0000}"/>
    <cellStyle name="Normal 3 49 2 4 2 2 3" xfId="28216" xr:uid="{00000000-0005-0000-0000-0000246B0000}"/>
    <cellStyle name="Normal 3 49 2 4 2 3" xfId="23991" xr:uid="{00000000-0005-0000-0000-0000256B0000}"/>
    <cellStyle name="Normal 3 49 2 4 2 3 2" xfId="40044" xr:uid="{00000000-0005-0000-0000-0000266B0000}"/>
    <cellStyle name="Normal 3 49 2 4 2 4" xfId="31613" xr:uid="{00000000-0005-0000-0000-0000276B0000}"/>
    <cellStyle name="Normal 3 49 2 4 3" xfId="7901" xr:uid="{00000000-0005-0000-0000-0000286B0000}"/>
    <cellStyle name="Normal 3 49 2 4 3 2" xfId="11909" xr:uid="{00000000-0005-0000-0000-0000296B0000}"/>
    <cellStyle name="Normal 3 49 2 4 3 2 2" xfId="34945" xr:uid="{00000000-0005-0000-0000-00002A6B0000}"/>
    <cellStyle name="Normal 3 49 2 4 3 3" xfId="29898" xr:uid="{00000000-0005-0000-0000-00002B6B0000}"/>
    <cellStyle name="Normal 3 49 2 4 4" xfId="22727" xr:uid="{00000000-0005-0000-0000-00002C6B0000}"/>
    <cellStyle name="Normal 3 49 2 4 4 2" xfId="38796" xr:uid="{00000000-0005-0000-0000-00002D6B0000}"/>
    <cellStyle name="Normal 3 49 2 4 5" xfId="33286" xr:uid="{00000000-0005-0000-0000-00002E6B0000}"/>
    <cellStyle name="Normal 3 49 2 5" xfId="4794" xr:uid="{00000000-0005-0000-0000-00002F6B0000}"/>
    <cellStyle name="Normal 3 49 2 5 2" xfId="6514" xr:uid="{00000000-0005-0000-0000-0000306B0000}"/>
    <cellStyle name="Normal 3 49 2 5 2 2" xfId="9920" xr:uid="{00000000-0005-0000-0000-0000316B0000}"/>
    <cellStyle name="Normal 3 49 2 5 2 2 2" xfId="24588" xr:uid="{00000000-0005-0000-0000-0000326B0000}"/>
    <cellStyle name="Normal 3 49 2 5 2 2 2 2" xfId="40632" xr:uid="{00000000-0005-0000-0000-0000336B0000}"/>
    <cellStyle name="Normal 3 49 2 5 2 2 3" xfId="27879" xr:uid="{00000000-0005-0000-0000-0000346B0000}"/>
    <cellStyle name="Normal 3 49 2 5 2 3" xfId="20480" xr:uid="{00000000-0005-0000-0000-0000356B0000}"/>
    <cellStyle name="Normal 3 49 2 5 2 3 2" xfId="36579" xr:uid="{00000000-0005-0000-0000-0000366B0000}"/>
    <cellStyle name="Normal 3 49 2 5 2 4" xfId="31280" xr:uid="{00000000-0005-0000-0000-0000376B0000}"/>
    <cellStyle name="Normal 3 49 2 5 3" xfId="8216" xr:uid="{00000000-0005-0000-0000-0000386B0000}"/>
    <cellStyle name="Normal 3 49 2 5 3 2" xfId="11880" xr:uid="{00000000-0005-0000-0000-0000396B0000}"/>
    <cellStyle name="Normal 3 49 2 5 3 2 2" xfId="34917" xr:uid="{00000000-0005-0000-0000-00003A6B0000}"/>
    <cellStyle name="Normal 3 49 2 5 3 3" xfId="29581" xr:uid="{00000000-0005-0000-0000-00003B6B0000}"/>
    <cellStyle name="Normal 3 49 2 5 4" xfId="23836" xr:uid="{00000000-0005-0000-0000-00003C6B0000}"/>
    <cellStyle name="Normal 3 49 2 5 4 2" xfId="39892" xr:uid="{00000000-0005-0000-0000-00003D6B0000}"/>
    <cellStyle name="Normal 3 49 2 5 5" xfId="32973" xr:uid="{00000000-0005-0000-0000-00003E6B0000}"/>
    <cellStyle name="Normal 3 49 2 6" xfId="5154" xr:uid="{00000000-0005-0000-0000-00003F6B0000}"/>
    <cellStyle name="Normal 3 49 2 6 2" xfId="6873" xr:uid="{00000000-0005-0000-0000-0000406B0000}"/>
    <cellStyle name="Normal 3 49 2 6 2 2" xfId="10279" xr:uid="{00000000-0005-0000-0000-0000416B0000}"/>
    <cellStyle name="Normal 3 49 2 6 2 2 2" xfId="24722" xr:uid="{00000000-0005-0000-0000-0000426B0000}"/>
    <cellStyle name="Normal 3 49 2 6 2 2 2 2" xfId="40765" xr:uid="{00000000-0005-0000-0000-0000436B0000}"/>
    <cellStyle name="Normal 3 49 2 6 2 2 3" xfId="27520" xr:uid="{00000000-0005-0000-0000-0000446B0000}"/>
    <cellStyle name="Normal 3 49 2 6 2 3" xfId="20588" xr:uid="{00000000-0005-0000-0000-0000456B0000}"/>
    <cellStyle name="Normal 3 49 2 6 2 3 2" xfId="36687" xr:uid="{00000000-0005-0000-0000-0000466B0000}"/>
    <cellStyle name="Normal 3 49 2 6 2 4" xfId="30921" xr:uid="{00000000-0005-0000-0000-0000476B0000}"/>
    <cellStyle name="Normal 3 49 2 6 3" xfId="8576" xr:uid="{00000000-0005-0000-0000-0000486B0000}"/>
    <cellStyle name="Normal 3 49 2 6 3 2" xfId="11829" xr:uid="{00000000-0005-0000-0000-0000496B0000}"/>
    <cellStyle name="Normal 3 49 2 6 3 2 2" xfId="34885" xr:uid="{00000000-0005-0000-0000-00004A6B0000}"/>
    <cellStyle name="Normal 3 49 2 6 3 3" xfId="29222" xr:uid="{00000000-0005-0000-0000-00004B6B0000}"/>
    <cellStyle name="Normal 3 49 2 6 4" xfId="22844" xr:uid="{00000000-0005-0000-0000-00004C6B0000}"/>
    <cellStyle name="Normal 3 49 2 6 4 2" xfId="38913" xr:uid="{00000000-0005-0000-0000-00004D6B0000}"/>
    <cellStyle name="Normal 3 49 2 6 5" xfId="32613" xr:uid="{00000000-0005-0000-0000-00004E6B0000}"/>
    <cellStyle name="Normal 3 49 2 7" xfId="5333" xr:uid="{00000000-0005-0000-0000-00004F6B0000}"/>
    <cellStyle name="Normal 3 49 2 7 2" xfId="8748" xr:uid="{00000000-0005-0000-0000-0000506B0000}"/>
    <cellStyle name="Normal 3 49 2 7 2 2" xfId="21178" xr:uid="{00000000-0005-0000-0000-0000516B0000}"/>
    <cellStyle name="Normal 3 49 2 7 2 2 2" xfId="37258" xr:uid="{00000000-0005-0000-0000-0000526B0000}"/>
    <cellStyle name="Normal 3 49 2 7 2 3" xfId="29050" xr:uid="{00000000-0005-0000-0000-0000536B0000}"/>
    <cellStyle name="Normal 3 49 2 7 3" xfId="10737" xr:uid="{00000000-0005-0000-0000-0000546B0000}"/>
    <cellStyle name="Normal 3 49 2 7 3 2" xfId="34580" xr:uid="{00000000-0005-0000-0000-0000556B0000}"/>
    <cellStyle name="Normal 3 49 2 7 4" xfId="32441" xr:uid="{00000000-0005-0000-0000-0000566B0000}"/>
    <cellStyle name="Normal 3 49 2 8" xfId="7066" xr:uid="{00000000-0005-0000-0000-0000576B0000}"/>
    <cellStyle name="Normal 3 49 2 8 2" xfId="20653" xr:uid="{00000000-0005-0000-0000-0000586B0000}"/>
    <cellStyle name="Normal 3 49 2 8 2 2" xfId="36752" xr:uid="{00000000-0005-0000-0000-0000596B0000}"/>
    <cellStyle name="Normal 3 49 2 8 3" xfId="30732" xr:uid="{00000000-0005-0000-0000-00005A6B0000}"/>
    <cellStyle name="Normal 3 49 2 9" xfId="12452" xr:uid="{00000000-0005-0000-0000-00005B6B0000}"/>
    <cellStyle name="Normal 3 49 3" xfId="3520" xr:uid="{00000000-0005-0000-0000-00005C6B0000}"/>
    <cellStyle name="Normal 3 49 3 10" xfId="47068" xr:uid="{00000000-0005-0000-0000-00005D6B0000}"/>
    <cellStyle name="Normal 3 49 3 2" xfId="3955" xr:uid="{00000000-0005-0000-0000-00005E6B0000}"/>
    <cellStyle name="Normal 3 49 3 2 2" xfId="5843" xr:uid="{00000000-0005-0000-0000-00005F6B0000}"/>
    <cellStyle name="Normal 3 49 3 2 2 2" xfId="9258" xr:uid="{00000000-0005-0000-0000-0000606B0000}"/>
    <cellStyle name="Normal 3 49 3 2 2 2 2" xfId="21332" xr:uid="{00000000-0005-0000-0000-0000616B0000}"/>
    <cellStyle name="Normal 3 49 3 2 2 2 2 2" xfId="37412" xr:uid="{00000000-0005-0000-0000-0000626B0000}"/>
    <cellStyle name="Normal 3 49 3 2 2 2 3" xfId="28540" xr:uid="{00000000-0005-0000-0000-0000636B0000}"/>
    <cellStyle name="Normal 3 49 3 2 2 3" xfId="22092" xr:uid="{00000000-0005-0000-0000-0000646B0000}"/>
    <cellStyle name="Normal 3 49 3 2 2 3 2" xfId="38166" xr:uid="{00000000-0005-0000-0000-0000656B0000}"/>
    <cellStyle name="Normal 3 49 3 2 2 4" xfId="31931" xr:uid="{00000000-0005-0000-0000-0000666B0000}"/>
    <cellStyle name="Normal 3 49 3 2 3" xfId="7561" xr:uid="{00000000-0005-0000-0000-0000676B0000}"/>
    <cellStyle name="Normal 3 49 3 2 3 2" xfId="23223" xr:uid="{00000000-0005-0000-0000-0000686B0000}"/>
    <cellStyle name="Normal 3 49 3 2 3 2 2" xfId="39292" xr:uid="{00000000-0005-0000-0000-0000696B0000}"/>
    <cellStyle name="Normal 3 49 3 2 3 3" xfId="30237" xr:uid="{00000000-0005-0000-0000-00006A6B0000}"/>
    <cellStyle name="Normal 3 49 3 2 4" xfId="18178" xr:uid="{00000000-0005-0000-0000-00006B6B0000}"/>
    <cellStyle name="Normal 3 49 3 2 5" xfId="12476" xr:uid="{00000000-0005-0000-0000-00006C6B0000}"/>
    <cellStyle name="Normal 3 49 3 2 5 2" xfId="35248" xr:uid="{00000000-0005-0000-0000-00006D6B0000}"/>
    <cellStyle name="Normal 3 49 3 2 6" xfId="33624" xr:uid="{00000000-0005-0000-0000-00006E6B0000}"/>
    <cellStyle name="Normal 3 49 3 3" xfId="4895" xr:uid="{00000000-0005-0000-0000-00006F6B0000}"/>
    <cellStyle name="Normal 3 49 3 3 10" xfId="47258" xr:uid="{00000000-0005-0000-0000-0000706B0000}"/>
    <cellStyle name="Normal 3 49 3 3 2" xfId="6614" xr:uid="{00000000-0005-0000-0000-0000716B0000}"/>
    <cellStyle name="Normal 3 49 3 3 2 2" xfId="10020" xr:uid="{00000000-0005-0000-0000-0000726B0000}"/>
    <cellStyle name="Normal 3 49 3 3 2 2 2" xfId="24608" xr:uid="{00000000-0005-0000-0000-0000736B0000}"/>
    <cellStyle name="Normal 3 49 3 3 2 2 2 2" xfId="40652" xr:uid="{00000000-0005-0000-0000-0000746B0000}"/>
    <cellStyle name="Normal 3 49 3 3 2 2 3" xfId="27779" xr:uid="{00000000-0005-0000-0000-0000756B0000}"/>
    <cellStyle name="Normal 3 49 3 3 2 3" xfId="24075" xr:uid="{00000000-0005-0000-0000-0000766B0000}"/>
    <cellStyle name="Normal 3 49 3 3 2 3 2" xfId="40128" xr:uid="{00000000-0005-0000-0000-0000776B0000}"/>
    <cellStyle name="Normal 3 49 3 3 2 4" xfId="31180" xr:uid="{00000000-0005-0000-0000-0000786B0000}"/>
    <cellStyle name="Normal 3 49 3 3 2 5" xfId="42501" xr:uid="{00000000-0005-0000-0000-0000796B0000}"/>
    <cellStyle name="Normal 3 49 3 3 2 6" xfId="43252" xr:uid="{00000000-0005-0000-0000-00007A6B0000}"/>
    <cellStyle name="Normal 3 49 3 3 2 7" xfId="46099" xr:uid="{00000000-0005-0000-0000-00007B6B0000}"/>
    <cellStyle name="Normal 3 49 3 3 2 8" xfId="46868" xr:uid="{00000000-0005-0000-0000-00007C6B0000}"/>
    <cellStyle name="Normal 3 49 3 3 2 9" xfId="47454" xr:uid="{00000000-0005-0000-0000-00007D6B0000}"/>
    <cellStyle name="Normal 3 49 3 3 3" xfId="8317" xr:uid="{00000000-0005-0000-0000-00007E6B0000}"/>
    <cellStyle name="Normal 3 49 3 3 3 2" xfId="21061" xr:uid="{00000000-0005-0000-0000-00007F6B0000}"/>
    <cellStyle name="Normal 3 49 3 3 3 2 2" xfId="37150" xr:uid="{00000000-0005-0000-0000-0000806B0000}"/>
    <cellStyle name="Normal 3 49 3 3 3 3" xfId="29481" xr:uid="{00000000-0005-0000-0000-0000816B0000}"/>
    <cellStyle name="Normal 3 49 3 3 3 4" xfId="44087" xr:uid="{00000000-0005-0000-0000-0000826B0000}"/>
    <cellStyle name="Normal 3 49 3 3 4" xfId="15945" xr:uid="{00000000-0005-0000-0000-0000836B0000}"/>
    <cellStyle name="Normal 3 49 3 3 4 2" xfId="35347" xr:uid="{00000000-0005-0000-0000-0000846B0000}"/>
    <cellStyle name="Normal 3 49 3 3 5" xfId="25001" xr:uid="{00000000-0005-0000-0000-0000856B0000}"/>
    <cellStyle name="Normal 3 49 3 3 6" xfId="25472" xr:uid="{00000000-0005-0000-0000-0000866B0000}"/>
    <cellStyle name="Normal 3 49 3 3 7" xfId="32872" xr:uid="{00000000-0005-0000-0000-0000876B0000}"/>
    <cellStyle name="Normal 3 49 3 3 8" xfId="43712" xr:uid="{00000000-0005-0000-0000-0000886B0000}"/>
    <cellStyle name="Normal 3 49 3 3 9" xfId="46636" xr:uid="{00000000-0005-0000-0000-0000896B0000}"/>
    <cellStyle name="Normal 3 49 3 4" xfId="5449" xr:uid="{00000000-0005-0000-0000-00008A6B0000}"/>
    <cellStyle name="Normal 3 49 3 4 2" xfId="8864" xr:uid="{00000000-0005-0000-0000-00008B6B0000}"/>
    <cellStyle name="Normal 3 49 3 4 2 2" xfId="21207" xr:uid="{00000000-0005-0000-0000-00008C6B0000}"/>
    <cellStyle name="Normal 3 49 3 4 2 2 2" xfId="37287" xr:uid="{00000000-0005-0000-0000-00008D6B0000}"/>
    <cellStyle name="Normal 3 49 3 4 2 3" xfId="28934" xr:uid="{00000000-0005-0000-0000-00008E6B0000}"/>
    <cellStyle name="Normal 3 49 3 4 3" xfId="23862" xr:uid="{00000000-0005-0000-0000-00008F6B0000}"/>
    <cellStyle name="Normal 3 49 3 4 3 2" xfId="39918" xr:uid="{00000000-0005-0000-0000-0000906B0000}"/>
    <cellStyle name="Normal 3 49 3 4 4" xfId="32325" xr:uid="{00000000-0005-0000-0000-0000916B0000}"/>
    <cellStyle name="Normal 3 49 3 5" xfId="7167" xr:uid="{00000000-0005-0000-0000-0000926B0000}"/>
    <cellStyle name="Normal 3 49 3 5 2" xfId="11943" xr:uid="{00000000-0005-0000-0000-0000936B0000}"/>
    <cellStyle name="Normal 3 49 3 5 2 2" xfId="34965" xr:uid="{00000000-0005-0000-0000-0000946B0000}"/>
    <cellStyle name="Normal 3 49 3 5 3" xfId="30631" xr:uid="{00000000-0005-0000-0000-0000956B0000}"/>
    <cellStyle name="Normal 3 49 3 6" xfId="12454" xr:uid="{00000000-0005-0000-0000-0000966B0000}"/>
    <cellStyle name="Normal 3 49 3 7" xfId="34018" xr:uid="{00000000-0005-0000-0000-0000976B0000}"/>
    <cellStyle name="Normal 3 49 3 8" xfId="43504" xr:uid="{00000000-0005-0000-0000-0000986B0000}"/>
    <cellStyle name="Normal 3 49 3 9" xfId="46406" xr:uid="{00000000-0005-0000-0000-0000996B0000}"/>
    <cellStyle name="Normal 3 49 3_Avviksanalyse løpende RNB15 (1)" xfId="16756" xr:uid="{00000000-0005-0000-0000-00009A6B0000}"/>
    <cellStyle name="Normal 3 49 4" xfId="3776" xr:uid="{00000000-0005-0000-0000-00009B6B0000}"/>
    <cellStyle name="Normal 3 49 4 2" xfId="5664" xr:uid="{00000000-0005-0000-0000-00009C6B0000}"/>
    <cellStyle name="Normal 3 49 4 2 2" xfId="9079" xr:uid="{00000000-0005-0000-0000-00009D6B0000}"/>
    <cellStyle name="Normal 3 49 4 2 2 2" xfId="11728" xr:uid="{00000000-0005-0000-0000-00009E6B0000}"/>
    <cellStyle name="Normal 3 49 4 2 2 2 2" xfId="34844" xr:uid="{00000000-0005-0000-0000-00009F6B0000}"/>
    <cellStyle name="Normal 3 49 4 2 2 3" xfId="28719" xr:uid="{00000000-0005-0000-0000-0000A06B0000}"/>
    <cellStyle name="Normal 3 49 4 2 3" xfId="23896" xr:uid="{00000000-0005-0000-0000-0000A16B0000}"/>
    <cellStyle name="Normal 3 49 4 2 3 2" xfId="39952" xr:uid="{00000000-0005-0000-0000-0000A26B0000}"/>
    <cellStyle name="Normal 3 49 4 2 4" xfId="32110" xr:uid="{00000000-0005-0000-0000-0000A36B0000}"/>
    <cellStyle name="Normal 3 49 4 3" xfId="7382" xr:uid="{00000000-0005-0000-0000-0000A46B0000}"/>
    <cellStyle name="Normal 3 49 4 3 2" xfId="24198" xr:uid="{00000000-0005-0000-0000-0000A56B0000}"/>
    <cellStyle name="Normal 3 49 4 3 2 2" xfId="40251" xr:uid="{00000000-0005-0000-0000-0000A66B0000}"/>
    <cellStyle name="Normal 3 49 4 3 3" xfId="30416" xr:uid="{00000000-0005-0000-0000-0000A76B0000}"/>
    <cellStyle name="Normal 3 49 4 4" xfId="19929" xr:uid="{00000000-0005-0000-0000-0000A86B0000}"/>
    <cellStyle name="Normal 3 49 4 4 2" xfId="36033" xr:uid="{00000000-0005-0000-0000-0000A96B0000}"/>
    <cellStyle name="Normal 3 49 4 5" xfId="33803" xr:uid="{00000000-0005-0000-0000-0000AA6B0000}"/>
    <cellStyle name="Normal 3 49 5" xfId="4163" xr:uid="{00000000-0005-0000-0000-0000AB6B0000}"/>
    <cellStyle name="Normal 3 49 5 2" xfId="6013" xr:uid="{00000000-0005-0000-0000-0000AC6B0000}"/>
    <cellStyle name="Normal 3 49 5 2 2" xfId="9428" xr:uid="{00000000-0005-0000-0000-0000AD6B0000}"/>
    <cellStyle name="Normal 3 49 5 2 2 2" xfId="10450" xr:uid="{00000000-0005-0000-0000-0000AE6B0000}"/>
    <cellStyle name="Normal 3 49 5 2 2 2 2" xfId="34370" xr:uid="{00000000-0005-0000-0000-0000AF6B0000}"/>
    <cellStyle name="Normal 3 49 5 2 2 3" xfId="28370" xr:uid="{00000000-0005-0000-0000-0000B06B0000}"/>
    <cellStyle name="Normal 3 49 5 2 3" xfId="23961" xr:uid="{00000000-0005-0000-0000-0000B16B0000}"/>
    <cellStyle name="Normal 3 49 5 2 3 2" xfId="40015" xr:uid="{00000000-0005-0000-0000-0000B26B0000}"/>
    <cellStyle name="Normal 3 49 5 2 4" xfId="31765" xr:uid="{00000000-0005-0000-0000-0000B36B0000}"/>
    <cellStyle name="Normal 3 49 5 3" xfId="7744" xr:uid="{00000000-0005-0000-0000-0000B46B0000}"/>
    <cellStyle name="Normal 3 49 5 3 2" xfId="22487" xr:uid="{00000000-0005-0000-0000-0000B56B0000}"/>
    <cellStyle name="Normal 3 49 5 3 2 2" xfId="38559" xr:uid="{00000000-0005-0000-0000-0000B66B0000}"/>
    <cellStyle name="Normal 3 49 5 3 3" xfId="30055" xr:uid="{00000000-0005-0000-0000-0000B76B0000}"/>
    <cellStyle name="Normal 3 49 5 4" xfId="19978" xr:uid="{00000000-0005-0000-0000-0000B86B0000}"/>
    <cellStyle name="Normal 3 49 5 4 2" xfId="36082" xr:uid="{00000000-0005-0000-0000-0000B96B0000}"/>
    <cellStyle name="Normal 3 49 5 5" xfId="33442" xr:uid="{00000000-0005-0000-0000-0000BA6B0000}"/>
    <cellStyle name="Normal 3 49 6" xfId="4619" xr:uid="{00000000-0005-0000-0000-0000BB6B0000}"/>
    <cellStyle name="Normal 3 49 6 2" xfId="6356" xr:uid="{00000000-0005-0000-0000-0000BC6B0000}"/>
    <cellStyle name="Normal 3 49 6 2 2" xfId="9766" xr:uid="{00000000-0005-0000-0000-0000BD6B0000}"/>
    <cellStyle name="Normal 3 49 6 2 2 2" xfId="23553" xr:uid="{00000000-0005-0000-0000-0000BE6B0000}"/>
    <cellStyle name="Normal 3 49 6 2 2 2 2" xfId="39609" xr:uid="{00000000-0005-0000-0000-0000BF6B0000}"/>
    <cellStyle name="Normal 3 49 6 2 2 3" xfId="28033" xr:uid="{00000000-0005-0000-0000-0000C06B0000}"/>
    <cellStyle name="Normal 3 49 6 2 3" xfId="20419" xr:uid="{00000000-0005-0000-0000-0000C16B0000}"/>
    <cellStyle name="Normal 3 49 6 2 3 2" xfId="36518" xr:uid="{00000000-0005-0000-0000-0000C26B0000}"/>
    <cellStyle name="Normal 3 49 6 2 4" xfId="31434" xr:uid="{00000000-0005-0000-0000-0000C36B0000}"/>
    <cellStyle name="Normal 3 49 6 3" xfId="8062" xr:uid="{00000000-0005-0000-0000-0000C46B0000}"/>
    <cellStyle name="Normal 3 49 6 3 2" xfId="23308" xr:uid="{00000000-0005-0000-0000-0000C56B0000}"/>
    <cellStyle name="Normal 3 49 6 3 2 2" xfId="39375" xr:uid="{00000000-0005-0000-0000-0000C66B0000}"/>
    <cellStyle name="Normal 3 49 6 3 3" xfId="29736" xr:uid="{00000000-0005-0000-0000-0000C76B0000}"/>
    <cellStyle name="Normal 3 49 6 4" xfId="10944" xr:uid="{00000000-0005-0000-0000-0000C86B0000}"/>
    <cellStyle name="Normal 3 49 6 4 2" xfId="34686" xr:uid="{00000000-0005-0000-0000-0000C96B0000}"/>
    <cellStyle name="Normal 3 49 6 5" xfId="33127" xr:uid="{00000000-0005-0000-0000-0000CA6B0000}"/>
    <cellStyle name="Normal 3 49 7" xfId="4711" xr:uid="{00000000-0005-0000-0000-0000CB6B0000}"/>
    <cellStyle name="Normal 3 49 7 2" xfId="6431" xr:uid="{00000000-0005-0000-0000-0000CC6B0000}"/>
    <cellStyle name="Normal 3 49 7 2 2" xfId="9841" xr:uid="{00000000-0005-0000-0000-0000CD6B0000}"/>
    <cellStyle name="Normal 3 49 7 2 2 2" xfId="19868" xr:uid="{00000000-0005-0000-0000-0000CE6B0000}"/>
    <cellStyle name="Normal 3 49 7 2 2 2 2" xfId="35981" xr:uid="{00000000-0005-0000-0000-0000CF6B0000}"/>
    <cellStyle name="Normal 3 49 7 2 2 3" xfId="27958" xr:uid="{00000000-0005-0000-0000-0000D06B0000}"/>
    <cellStyle name="Normal 3 49 7 2 3" xfId="23038" xr:uid="{00000000-0005-0000-0000-0000D16B0000}"/>
    <cellStyle name="Normal 3 49 7 2 3 2" xfId="39107" xr:uid="{00000000-0005-0000-0000-0000D26B0000}"/>
    <cellStyle name="Normal 3 49 7 2 4" xfId="31359" xr:uid="{00000000-0005-0000-0000-0000D36B0000}"/>
    <cellStyle name="Normal 3 49 7 3" xfId="8137" xr:uid="{00000000-0005-0000-0000-0000D46B0000}"/>
    <cellStyle name="Normal 3 49 7 3 2" xfId="21010" xr:uid="{00000000-0005-0000-0000-0000D56B0000}"/>
    <cellStyle name="Normal 3 49 7 3 2 2" xfId="37105" xr:uid="{00000000-0005-0000-0000-0000D66B0000}"/>
    <cellStyle name="Normal 3 49 7 3 3" xfId="29661" xr:uid="{00000000-0005-0000-0000-0000D76B0000}"/>
    <cellStyle name="Normal 3 49 7 4" xfId="19689" xr:uid="{00000000-0005-0000-0000-0000D86B0000}"/>
    <cellStyle name="Normal 3 49 7 4 2" xfId="35803" xr:uid="{00000000-0005-0000-0000-0000D96B0000}"/>
    <cellStyle name="Normal 3 49 7 5" xfId="33052" xr:uid="{00000000-0005-0000-0000-0000DA6B0000}"/>
    <cellStyle name="Normal 3 49 8" xfId="5075" xr:uid="{00000000-0005-0000-0000-0000DB6B0000}"/>
    <cellStyle name="Normal 3 49 8 2" xfId="6794" xr:uid="{00000000-0005-0000-0000-0000DC6B0000}"/>
    <cellStyle name="Normal 3 49 8 2 2" xfId="10200" xr:uid="{00000000-0005-0000-0000-0000DD6B0000}"/>
    <cellStyle name="Normal 3 49 8 2 2 2" xfId="24645" xr:uid="{00000000-0005-0000-0000-0000DE6B0000}"/>
    <cellStyle name="Normal 3 49 8 2 2 2 2" xfId="40689" xr:uid="{00000000-0005-0000-0000-0000DF6B0000}"/>
    <cellStyle name="Normal 3 49 8 2 2 3" xfId="27599" xr:uid="{00000000-0005-0000-0000-0000E06B0000}"/>
    <cellStyle name="Normal 3 49 8 2 3" xfId="20570" xr:uid="{00000000-0005-0000-0000-0000E16B0000}"/>
    <cellStyle name="Normal 3 49 8 2 3 2" xfId="36669" xr:uid="{00000000-0005-0000-0000-0000E26B0000}"/>
    <cellStyle name="Normal 3 49 8 2 4" xfId="31000" xr:uid="{00000000-0005-0000-0000-0000E36B0000}"/>
    <cellStyle name="Normal 3 49 8 3" xfId="8497" xr:uid="{00000000-0005-0000-0000-0000E46B0000}"/>
    <cellStyle name="Normal 3 49 8 3 2" xfId="23370" xr:uid="{00000000-0005-0000-0000-0000E56B0000}"/>
    <cellStyle name="Normal 3 49 8 3 2 2" xfId="39428" xr:uid="{00000000-0005-0000-0000-0000E66B0000}"/>
    <cellStyle name="Normal 3 49 8 3 3" xfId="29301" xr:uid="{00000000-0005-0000-0000-0000E76B0000}"/>
    <cellStyle name="Normal 3 49 8 4" xfId="10844" xr:uid="{00000000-0005-0000-0000-0000E86B0000}"/>
    <cellStyle name="Normal 3 49 8 4 2" xfId="34642" xr:uid="{00000000-0005-0000-0000-0000E96B0000}"/>
    <cellStyle name="Normal 3 49 8 5" xfId="32692" xr:uid="{00000000-0005-0000-0000-0000EA6B0000}"/>
    <cellStyle name="Normal 3 49 9" xfId="5175" xr:uid="{00000000-0005-0000-0000-0000EB6B0000}"/>
    <cellStyle name="Normal 3 49 9 2" xfId="8594" xr:uid="{00000000-0005-0000-0000-0000EC6B0000}"/>
    <cellStyle name="Normal 3 49 9 2 2" xfId="11822" xr:uid="{00000000-0005-0000-0000-0000ED6B0000}"/>
    <cellStyle name="Normal 3 49 9 2 2 2" xfId="34882" xr:uid="{00000000-0005-0000-0000-0000EE6B0000}"/>
    <cellStyle name="Normal 3 49 9 2 3" xfId="29204" xr:uid="{00000000-0005-0000-0000-0000EF6B0000}"/>
    <cellStyle name="Normal 3 49 9 3" xfId="22238" xr:uid="{00000000-0005-0000-0000-0000F06B0000}"/>
    <cellStyle name="Normal 3 49 9 3 2" xfId="38312" xr:uid="{00000000-0005-0000-0000-0000F16B0000}"/>
    <cellStyle name="Normal 3 49 9 4" xfId="32595" xr:uid="{00000000-0005-0000-0000-0000F26B0000}"/>
    <cellStyle name="Normal 3 5" xfId="1756" xr:uid="{00000000-0005-0000-0000-0000F36B0000}"/>
    <cellStyle name="Normal 3 5 10" xfId="46337" xr:uid="{00000000-0005-0000-0000-0000F46B0000}"/>
    <cellStyle name="Normal 3 5 11" xfId="47050" xr:uid="{00000000-0005-0000-0000-0000F56B0000}"/>
    <cellStyle name="Normal 3 5 2" xfId="1757" xr:uid="{00000000-0005-0000-0000-0000F66B0000}"/>
    <cellStyle name="Normal 3 5 2 2" xfId="12457" xr:uid="{00000000-0005-0000-0000-0000F76B0000}"/>
    <cellStyle name="Normal 3 5 3" xfId="3668" xr:uid="{00000000-0005-0000-0000-0000F86B0000}"/>
    <cellStyle name="Normal 3 5 3 2" xfId="5581" xr:uid="{00000000-0005-0000-0000-0000F96B0000}"/>
    <cellStyle name="Normal 3 5 3 2 2" xfId="8996" xr:uid="{00000000-0005-0000-0000-0000FA6B0000}"/>
    <cellStyle name="Normal 3 5 3 2 2 2" xfId="21244" xr:uid="{00000000-0005-0000-0000-0000FB6B0000}"/>
    <cellStyle name="Normal 3 5 3 2 2 2 2" xfId="37324" xr:uid="{00000000-0005-0000-0000-0000FC6B0000}"/>
    <cellStyle name="Normal 3 5 3 2 2 3" xfId="28802" xr:uid="{00000000-0005-0000-0000-0000FD6B0000}"/>
    <cellStyle name="Normal 3 5 3 2 3" xfId="20129" xr:uid="{00000000-0005-0000-0000-0000FE6B0000}"/>
    <cellStyle name="Normal 3 5 3 2 3 2" xfId="36232" xr:uid="{00000000-0005-0000-0000-0000FF6B0000}"/>
    <cellStyle name="Normal 3 5 3 2 4" xfId="32193" xr:uid="{00000000-0005-0000-0000-0000006C0000}"/>
    <cellStyle name="Normal 3 5 3 3" xfId="7299" xr:uid="{00000000-0005-0000-0000-0000016C0000}"/>
    <cellStyle name="Normal 3 5 3 3 2" xfId="22191" xr:uid="{00000000-0005-0000-0000-0000026C0000}"/>
    <cellStyle name="Normal 3 5 3 3 2 2" xfId="38265" xr:uid="{00000000-0005-0000-0000-0000036C0000}"/>
    <cellStyle name="Normal 3 5 3 3 3" xfId="30499" xr:uid="{00000000-0005-0000-0000-0000046C0000}"/>
    <cellStyle name="Normal 3 5 3 4" xfId="12458" xr:uid="{00000000-0005-0000-0000-0000056C0000}"/>
    <cellStyle name="Normal 3 5 3 5" xfId="19921" xr:uid="{00000000-0005-0000-0000-0000066C0000}"/>
    <cellStyle name="Normal 3 5 3 5 2" xfId="36025" xr:uid="{00000000-0005-0000-0000-0000076C0000}"/>
    <cellStyle name="Normal 3 5 3 6" xfId="33886" xr:uid="{00000000-0005-0000-0000-0000086C0000}"/>
    <cellStyle name="Normal 3 5 4" xfId="4129" xr:uid="{00000000-0005-0000-0000-0000096C0000}"/>
    <cellStyle name="Normal 3 5 4 2" xfId="5982" xr:uid="{00000000-0005-0000-0000-00000A6C0000}"/>
    <cellStyle name="Normal 3 5 4 2 2" xfId="9397" xr:uid="{00000000-0005-0000-0000-00000B6C0000}"/>
    <cellStyle name="Normal 3 5 4 2 2 2" xfId="21375" xr:uid="{00000000-0005-0000-0000-00000C6C0000}"/>
    <cellStyle name="Normal 3 5 4 2 2 2 2" xfId="37455" xr:uid="{00000000-0005-0000-0000-00000D6C0000}"/>
    <cellStyle name="Normal 3 5 4 2 2 3" xfId="28401" xr:uid="{00000000-0005-0000-0000-00000E6C0000}"/>
    <cellStyle name="Normal 3 5 4 2 3" xfId="20275" xr:uid="{00000000-0005-0000-0000-00000F6C0000}"/>
    <cellStyle name="Normal 3 5 4 2 3 2" xfId="36374" xr:uid="{00000000-0005-0000-0000-0000106C0000}"/>
    <cellStyle name="Normal 3 5 4 2 4" xfId="31796" xr:uid="{00000000-0005-0000-0000-0000116C0000}"/>
    <cellStyle name="Normal 3 5 4 3" xfId="7712" xr:uid="{00000000-0005-0000-0000-0000126C0000}"/>
    <cellStyle name="Normal 3 5 4 3 2" xfId="20876" xr:uid="{00000000-0005-0000-0000-0000136C0000}"/>
    <cellStyle name="Normal 3 5 4 3 2 2" xfId="36975" xr:uid="{00000000-0005-0000-0000-0000146C0000}"/>
    <cellStyle name="Normal 3 5 4 3 3" xfId="30087" xr:uid="{00000000-0005-0000-0000-0000156C0000}"/>
    <cellStyle name="Normal 3 5 4 4" xfId="18179" xr:uid="{00000000-0005-0000-0000-0000166C0000}"/>
    <cellStyle name="Normal 3 5 4 5" xfId="22485" xr:uid="{00000000-0005-0000-0000-0000176C0000}"/>
    <cellStyle name="Normal 3 5 4 5 2" xfId="38557" xr:uid="{00000000-0005-0000-0000-0000186C0000}"/>
    <cellStyle name="Normal 3 5 4 6" xfId="33473" xr:uid="{00000000-0005-0000-0000-0000196C0000}"/>
    <cellStyle name="Normal 3 5 5" xfId="4465" xr:uid="{00000000-0005-0000-0000-00001A6C0000}"/>
    <cellStyle name="Normal 3 5 5 10" xfId="47234" xr:uid="{00000000-0005-0000-0000-00001B6C0000}"/>
    <cellStyle name="Normal 3 5 5 2" xfId="6262" xr:uid="{00000000-0005-0000-0000-00001C6C0000}"/>
    <cellStyle name="Normal 3 5 5 2 2" xfId="9672" xr:uid="{00000000-0005-0000-0000-00001D6C0000}"/>
    <cellStyle name="Normal 3 5 5 2 2 2" xfId="23540" xr:uid="{00000000-0005-0000-0000-00001E6C0000}"/>
    <cellStyle name="Normal 3 5 5 2 2 2 2" xfId="39596" xr:uid="{00000000-0005-0000-0000-00001F6C0000}"/>
    <cellStyle name="Normal 3 5 5 2 2 3" xfId="28127" xr:uid="{00000000-0005-0000-0000-0000206C0000}"/>
    <cellStyle name="Normal 3 5 5 2 3" xfId="24008" xr:uid="{00000000-0005-0000-0000-0000216C0000}"/>
    <cellStyle name="Normal 3 5 5 2 3 2" xfId="40061" xr:uid="{00000000-0005-0000-0000-0000226C0000}"/>
    <cellStyle name="Normal 3 5 5 2 4" xfId="31528" xr:uid="{00000000-0005-0000-0000-0000236C0000}"/>
    <cellStyle name="Normal 3 5 5 2 5" xfId="41707" xr:uid="{00000000-0005-0000-0000-0000246C0000}"/>
    <cellStyle name="Normal 3 5 5 2 6" xfId="43235" xr:uid="{00000000-0005-0000-0000-0000256C0000}"/>
    <cellStyle name="Normal 3 5 5 2 7" xfId="46075" xr:uid="{00000000-0005-0000-0000-0000266C0000}"/>
    <cellStyle name="Normal 3 5 5 2 8" xfId="46838" xr:uid="{00000000-0005-0000-0000-0000276C0000}"/>
    <cellStyle name="Normal 3 5 5 2 9" xfId="47429" xr:uid="{00000000-0005-0000-0000-0000286C0000}"/>
    <cellStyle name="Normal 3 5 5 3" xfId="7968" xr:uid="{00000000-0005-0000-0000-0000296C0000}"/>
    <cellStyle name="Normal 3 5 5 3 2" xfId="24299" xr:uid="{00000000-0005-0000-0000-00002A6C0000}"/>
    <cellStyle name="Normal 3 5 5 3 2 2" xfId="40351" xr:uid="{00000000-0005-0000-0000-00002B6C0000}"/>
    <cellStyle name="Normal 3 5 5 3 3" xfId="29831" xr:uid="{00000000-0005-0000-0000-00002C6C0000}"/>
    <cellStyle name="Normal 3 5 5 3 4" xfId="44088" xr:uid="{00000000-0005-0000-0000-00002D6C0000}"/>
    <cellStyle name="Normal 3 5 5 4" xfId="15150" xr:uid="{00000000-0005-0000-0000-00002E6C0000}"/>
    <cellStyle name="Normal 3 5 5 4 2" xfId="35329" xr:uid="{00000000-0005-0000-0000-00002F6C0000}"/>
    <cellStyle name="Normal 3 5 5 5" xfId="24959" xr:uid="{00000000-0005-0000-0000-0000306C0000}"/>
    <cellStyle name="Normal 3 5 5 6" xfId="25473" xr:uid="{00000000-0005-0000-0000-0000316C0000}"/>
    <cellStyle name="Normal 3 5 5 7" xfId="33221" xr:uid="{00000000-0005-0000-0000-0000326C0000}"/>
    <cellStyle name="Normal 3 5 5 8" xfId="43687" xr:uid="{00000000-0005-0000-0000-0000336C0000}"/>
    <cellStyle name="Normal 3 5 5 9" xfId="46598" xr:uid="{00000000-0005-0000-0000-0000346C0000}"/>
    <cellStyle name="Normal 3 5 6" xfId="4493" xr:uid="{00000000-0005-0000-0000-0000356C0000}"/>
    <cellStyle name="Normal 3 5 6 2" xfId="6286" xr:uid="{00000000-0005-0000-0000-0000366C0000}"/>
    <cellStyle name="Normal 3 5 6 2 2" xfId="9696" xr:uid="{00000000-0005-0000-0000-0000376C0000}"/>
    <cellStyle name="Normal 3 5 6 2 2 2" xfId="23545" xr:uid="{00000000-0005-0000-0000-0000386C0000}"/>
    <cellStyle name="Normal 3 5 6 2 2 2 2" xfId="39601" xr:uid="{00000000-0005-0000-0000-0000396C0000}"/>
    <cellStyle name="Normal 3 5 6 2 2 3" xfId="28103" xr:uid="{00000000-0005-0000-0000-00003A6C0000}"/>
    <cellStyle name="Normal 3 5 6 2 3" xfId="20394" xr:uid="{00000000-0005-0000-0000-00003B6C0000}"/>
    <cellStyle name="Normal 3 5 6 2 3 2" xfId="36493" xr:uid="{00000000-0005-0000-0000-00003C6C0000}"/>
    <cellStyle name="Normal 3 5 6 2 4" xfId="31504" xr:uid="{00000000-0005-0000-0000-00003D6C0000}"/>
    <cellStyle name="Normal 3 5 6 3" xfId="7992" xr:uid="{00000000-0005-0000-0000-00003E6C0000}"/>
    <cellStyle name="Normal 3 5 6 3 2" xfId="20966" xr:uid="{00000000-0005-0000-0000-00003F6C0000}"/>
    <cellStyle name="Normal 3 5 6 3 2 2" xfId="37062" xr:uid="{00000000-0005-0000-0000-0000406C0000}"/>
    <cellStyle name="Normal 3 5 6 3 3" xfId="29806" xr:uid="{00000000-0005-0000-0000-0000416C0000}"/>
    <cellStyle name="Normal 3 5 6 4" xfId="10968" xr:uid="{00000000-0005-0000-0000-0000426C0000}"/>
    <cellStyle name="Normal 3 5 6 4 2" xfId="34705" xr:uid="{00000000-0005-0000-0000-0000436C0000}"/>
    <cellStyle name="Normal 3 5 6 5" xfId="33197" xr:uid="{00000000-0005-0000-0000-0000446C0000}"/>
    <cellStyle name="Normal 3 5 7" xfId="4549" xr:uid="{00000000-0005-0000-0000-0000456C0000}"/>
    <cellStyle name="Normal 3 5 7 2" xfId="6341" xr:uid="{00000000-0005-0000-0000-0000466C0000}"/>
    <cellStyle name="Normal 3 5 7 2 2" xfId="9751" xr:uid="{00000000-0005-0000-0000-0000476C0000}"/>
    <cellStyle name="Normal 3 5 7 2 2 2" xfId="10382" xr:uid="{00000000-0005-0000-0000-0000486C0000}"/>
    <cellStyle name="Normal 3 5 7 2 2 2 2" xfId="34336" xr:uid="{00000000-0005-0000-0000-0000496C0000}"/>
    <cellStyle name="Normal 3 5 7 2 2 3" xfId="28048" xr:uid="{00000000-0005-0000-0000-00004A6C0000}"/>
    <cellStyle name="Normal 3 5 7 2 3" xfId="23020" xr:uid="{00000000-0005-0000-0000-00004B6C0000}"/>
    <cellStyle name="Normal 3 5 7 2 3 2" xfId="39089" xr:uid="{00000000-0005-0000-0000-00004C6C0000}"/>
    <cellStyle name="Normal 3 5 7 2 4" xfId="31449" xr:uid="{00000000-0005-0000-0000-00004D6C0000}"/>
    <cellStyle name="Normal 3 5 7 3" xfId="8047" xr:uid="{00000000-0005-0000-0000-00004E6C0000}"/>
    <cellStyle name="Normal 3 5 7 3 2" xfId="23305" xr:uid="{00000000-0005-0000-0000-00004F6C0000}"/>
    <cellStyle name="Normal 3 5 7 3 2 2" xfId="39372" xr:uid="{00000000-0005-0000-0000-0000506C0000}"/>
    <cellStyle name="Normal 3 5 7 3 3" xfId="29751" xr:uid="{00000000-0005-0000-0000-0000516C0000}"/>
    <cellStyle name="Normal 3 5 7 4" xfId="12303" xr:uid="{00000000-0005-0000-0000-0000526C0000}"/>
    <cellStyle name="Normal 3 5 7 4 2" xfId="35179" xr:uid="{00000000-0005-0000-0000-0000536C0000}"/>
    <cellStyle name="Normal 3 5 7 5" xfId="33142" xr:uid="{00000000-0005-0000-0000-0000546C0000}"/>
    <cellStyle name="Normal 3 5 8" xfId="12455" xr:uid="{00000000-0005-0000-0000-0000556C0000}"/>
    <cellStyle name="Normal 3 5 9" xfId="43453" xr:uid="{00000000-0005-0000-0000-0000566C0000}"/>
    <cellStyle name="Normal 3 5_Ark1" xfId="12459" xr:uid="{00000000-0005-0000-0000-0000576C0000}"/>
    <cellStyle name="Normal 3 50" xfId="1758" xr:uid="{00000000-0005-0000-0000-0000586C0000}"/>
    <cellStyle name="Normal 3 50 2" xfId="12461" xr:uid="{00000000-0005-0000-0000-0000596C0000}"/>
    <cellStyle name="Normal 3 51" xfId="1759" xr:uid="{00000000-0005-0000-0000-00005A6C0000}"/>
    <cellStyle name="Normal 3 52" xfId="1760" xr:uid="{00000000-0005-0000-0000-00005B6C0000}"/>
    <cellStyle name="Normal 3 52 10" xfId="12463" xr:uid="{00000000-0005-0000-0000-00005C6C0000}"/>
    <cellStyle name="Normal 3 52 11" xfId="34201" xr:uid="{00000000-0005-0000-0000-00005D6C0000}"/>
    <cellStyle name="Normal 3 52 2" xfId="3379" xr:uid="{00000000-0005-0000-0000-00005E6C0000}"/>
    <cellStyle name="Normal 3 52 2 10" xfId="34118" xr:uid="{00000000-0005-0000-0000-00005F6C0000}"/>
    <cellStyle name="Normal 3 52 2 2" xfId="3605" xr:uid="{00000000-0005-0000-0000-0000606C0000}"/>
    <cellStyle name="Normal 3 52 2 2 10" xfId="47204" xr:uid="{00000000-0005-0000-0000-0000616C0000}"/>
    <cellStyle name="Normal 3 52 2 2 2" xfId="4035" xr:uid="{00000000-0005-0000-0000-0000626C0000}"/>
    <cellStyle name="Normal 3 52 2 2 2 2" xfId="5923" xr:uid="{00000000-0005-0000-0000-0000636C0000}"/>
    <cellStyle name="Normal 3 52 2 2 2 2 2" xfId="9338" xr:uid="{00000000-0005-0000-0000-0000646C0000}"/>
    <cellStyle name="Normal 3 52 2 2 2 2 2 2" xfId="24498" xr:uid="{00000000-0005-0000-0000-0000656C0000}"/>
    <cellStyle name="Normal 3 52 2 2 2 2 2 2 2" xfId="40542" xr:uid="{00000000-0005-0000-0000-0000666C0000}"/>
    <cellStyle name="Normal 3 52 2 2 2 2 2 3" xfId="28460" xr:uid="{00000000-0005-0000-0000-0000676C0000}"/>
    <cellStyle name="Normal 3 52 2 2 2 2 3" xfId="22939" xr:uid="{00000000-0005-0000-0000-0000686C0000}"/>
    <cellStyle name="Normal 3 52 2 2 2 2 3 2" xfId="39008" xr:uid="{00000000-0005-0000-0000-0000696C0000}"/>
    <cellStyle name="Normal 3 52 2 2 2 2 4" xfId="31853" xr:uid="{00000000-0005-0000-0000-00006A6C0000}"/>
    <cellStyle name="Normal 3 52 2 2 2 3" xfId="7641" xr:uid="{00000000-0005-0000-0000-00006B6C0000}"/>
    <cellStyle name="Normal 3 52 2 2 2 3 2" xfId="20847" xr:uid="{00000000-0005-0000-0000-00006C6C0000}"/>
    <cellStyle name="Normal 3 52 2 2 2 3 2 2" xfId="36946" xr:uid="{00000000-0005-0000-0000-00006D6C0000}"/>
    <cellStyle name="Normal 3 52 2 2 2 3 3" xfId="30157" xr:uid="{00000000-0005-0000-0000-00006E6C0000}"/>
    <cellStyle name="Normal 3 52 2 2 2 4" xfId="18180" xr:uid="{00000000-0005-0000-0000-00006F6C0000}"/>
    <cellStyle name="Normal 3 52 2 2 2 5" xfId="19613" xr:uid="{00000000-0005-0000-0000-0000706C0000}"/>
    <cellStyle name="Normal 3 52 2 2 2 5 2" xfId="35727" xr:uid="{00000000-0005-0000-0000-0000716C0000}"/>
    <cellStyle name="Normal 3 52 2 2 2 6" xfId="33544" xr:uid="{00000000-0005-0000-0000-0000726C0000}"/>
    <cellStyle name="Normal 3 52 2 2 3" xfId="4975" xr:uid="{00000000-0005-0000-0000-0000736C0000}"/>
    <cellStyle name="Normal 3 52 2 2 3 10" xfId="47394" xr:uid="{00000000-0005-0000-0000-0000746C0000}"/>
    <cellStyle name="Normal 3 52 2 2 3 2" xfId="6694" xr:uid="{00000000-0005-0000-0000-0000756C0000}"/>
    <cellStyle name="Normal 3 52 2 2 3 2 2" xfId="10100" xr:uid="{00000000-0005-0000-0000-0000766C0000}"/>
    <cellStyle name="Normal 3 52 2 2 3 2 2 2" xfId="24624" xr:uid="{00000000-0005-0000-0000-0000776C0000}"/>
    <cellStyle name="Normal 3 52 2 2 3 2 2 2 2" xfId="40668" xr:uid="{00000000-0005-0000-0000-0000786C0000}"/>
    <cellStyle name="Normal 3 52 2 2 3 2 2 3" xfId="27699" xr:uid="{00000000-0005-0000-0000-0000796C0000}"/>
    <cellStyle name="Normal 3 52 2 2 3 2 3" xfId="11963" xr:uid="{00000000-0005-0000-0000-00007A6C0000}"/>
    <cellStyle name="Normal 3 52 2 2 3 2 3 2" xfId="34985" xr:uid="{00000000-0005-0000-0000-00007B6C0000}"/>
    <cellStyle name="Normal 3 52 2 2 3 2 4" xfId="31100" xr:uid="{00000000-0005-0000-0000-00007C6C0000}"/>
    <cellStyle name="Normal 3 52 2 2 3 2 5" xfId="43091" xr:uid="{00000000-0005-0000-0000-00007D6C0000}"/>
    <cellStyle name="Normal 3 52 2 2 3 2 6" xfId="43385" xr:uid="{00000000-0005-0000-0000-00007E6C0000}"/>
    <cellStyle name="Normal 3 52 2 2 3 2 7" xfId="46233" xr:uid="{00000000-0005-0000-0000-00007F6C0000}"/>
    <cellStyle name="Normal 3 52 2 2 3 2 8" xfId="47005" xr:uid="{00000000-0005-0000-0000-0000806C0000}"/>
    <cellStyle name="Normal 3 52 2 2 3 2 9" xfId="47590" xr:uid="{00000000-0005-0000-0000-0000816C0000}"/>
    <cellStyle name="Normal 3 52 2 2 3 3" xfId="8397" xr:uid="{00000000-0005-0000-0000-0000826C0000}"/>
    <cellStyle name="Normal 3 52 2 2 3 3 2" xfId="21082" xr:uid="{00000000-0005-0000-0000-0000836C0000}"/>
    <cellStyle name="Normal 3 52 2 2 3 3 2 2" xfId="37167" xr:uid="{00000000-0005-0000-0000-0000846C0000}"/>
    <cellStyle name="Normal 3 52 2 2 3 3 3" xfId="29401" xr:uid="{00000000-0005-0000-0000-0000856C0000}"/>
    <cellStyle name="Normal 3 52 2 2 3 3 4" xfId="44089" xr:uid="{00000000-0005-0000-0000-0000866C0000}"/>
    <cellStyle name="Normal 3 52 2 2 3 4" xfId="16536" xr:uid="{00000000-0005-0000-0000-0000876C0000}"/>
    <cellStyle name="Normal 3 52 2 2 3 4 2" xfId="35480" xr:uid="{00000000-0005-0000-0000-0000886C0000}"/>
    <cellStyle name="Normal 3 52 2 2 3 5" xfId="25142" xr:uid="{00000000-0005-0000-0000-0000896C0000}"/>
    <cellStyle name="Normal 3 52 2 2 3 6" xfId="25474" xr:uid="{00000000-0005-0000-0000-00008A6C0000}"/>
    <cellStyle name="Normal 3 52 2 2 3 7" xfId="32792" xr:uid="{00000000-0005-0000-0000-00008B6C0000}"/>
    <cellStyle name="Normal 3 52 2 2 3 8" xfId="43846" xr:uid="{00000000-0005-0000-0000-00008C6C0000}"/>
    <cellStyle name="Normal 3 52 2 2 3 9" xfId="46771" xr:uid="{00000000-0005-0000-0000-00008D6C0000}"/>
    <cellStyle name="Normal 3 52 2 2 4" xfId="5529" xr:uid="{00000000-0005-0000-0000-00008E6C0000}"/>
    <cellStyle name="Normal 3 52 2 2 4 2" xfId="8944" xr:uid="{00000000-0005-0000-0000-00008F6C0000}"/>
    <cellStyle name="Normal 3 52 2 2 4 2 2" xfId="23429" xr:uid="{00000000-0005-0000-0000-0000906C0000}"/>
    <cellStyle name="Normal 3 52 2 2 4 2 2 2" xfId="39485" xr:uid="{00000000-0005-0000-0000-0000916C0000}"/>
    <cellStyle name="Normal 3 52 2 2 4 2 3" xfId="28854" xr:uid="{00000000-0005-0000-0000-0000926C0000}"/>
    <cellStyle name="Normal 3 52 2 2 4 3" xfId="22249" xr:uid="{00000000-0005-0000-0000-0000936C0000}"/>
    <cellStyle name="Normal 3 52 2 2 4 3 2" xfId="38323" xr:uid="{00000000-0005-0000-0000-0000946C0000}"/>
    <cellStyle name="Normal 3 52 2 2 4 4" xfId="32245" xr:uid="{00000000-0005-0000-0000-0000956C0000}"/>
    <cellStyle name="Normal 3 52 2 2 5" xfId="7247" xr:uid="{00000000-0005-0000-0000-0000966C0000}"/>
    <cellStyle name="Normal 3 52 2 2 5 2" xfId="20709" xr:uid="{00000000-0005-0000-0000-0000976C0000}"/>
    <cellStyle name="Normal 3 52 2 2 5 2 2" xfId="36808" xr:uid="{00000000-0005-0000-0000-0000986C0000}"/>
    <cellStyle name="Normal 3 52 2 2 5 3" xfId="30551" xr:uid="{00000000-0005-0000-0000-0000996C0000}"/>
    <cellStyle name="Normal 3 52 2 2 6" xfId="12465" xr:uid="{00000000-0005-0000-0000-00009A6C0000}"/>
    <cellStyle name="Normal 3 52 2 2 7" xfId="33938" xr:uid="{00000000-0005-0000-0000-00009B6C0000}"/>
    <cellStyle name="Normal 3 52 2 2 8" xfId="43637" xr:uid="{00000000-0005-0000-0000-00009C6C0000}"/>
    <cellStyle name="Normal 3 52 2 2 9" xfId="46543" xr:uid="{00000000-0005-0000-0000-00009D6C0000}"/>
    <cellStyle name="Normal 3 52 2 2_Avviksanalyse løpende RNB15 (1)" xfId="16757" xr:uid="{00000000-0005-0000-0000-00009E6C0000}"/>
    <cellStyle name="Normal 3 52 2 3" xfId="3855" xr:uid="{00000000-0005-0000-0000-00009F6C0000}"/>
    <cellStyle name="Normal 3 52 2 3 2" xfId="5743" xr:uid="{00000000-0005-0000-0000-0000A06C0000}"/>
    <cellStyle name="Normal 3 52 2 3 2 2" xfId="9158" xr:uid="{00000000-0005-0000-0000-0000A16C0000}"/>
    <cellStyle name="Normal 3 52 2 3 2 2 2" xfId="24469" xr:uid="{00000000-0005-0000-0000-0000A26C0000}"/>
    <cellStyle name="Normal 3 52 2 3 2 2 2 2" xfId="40513" xr:uid="{00000000-0005-0000-0000-0000A36C0000}"/>
    <cellStyle name="Normal 3 52 2 3 2 2 3" xfId="28640" xr:uid="{00000000-0005-0000-0000-0000A46C0000}"/>
    <cellStyle name="Normal 3 52 2 3 2 3" xfId="22273" xr:uid="{00000000-0005-0000-0000-0000A56C0000}"/>
    <cellStyle name="Normal 3 52 2 3 2 3 2" xfId="38346" xr:uid="{00000000-0005-0000-0000-0000A66C0000}"/>
    <cellStyle name="Normal 3 52 2 3 2 4" xfId="32031" xr:uid="{00000000-0005-0000-0000-0000A76C0000}"/>
    <cellStyle name="Normal 3 52 2 3 3" xfId="7461" xr:uid="{00000000-0005-0000-0000-0000A86C0000}"/>
    <cellStyle name="Normal 3 52 2 3 3 2" xfId="24212" xr:uid="{00000000-0005-0000-0000-0000A96C0000}"/>
    <cellStyle name="Normal 3 52 2 3 3 2 2" xfId="40265" xr:uid="{00000000-0005-0000-0000-0000AA6C0000}"/>
    <cellStyle name="Normal 3 52 2 3 3 3" xfId="30337" xr:uid="{00000000-0005-0000-0000-0000AB6C0000}"/>
    <cellStyle name="Normal 3 52 2 3 4" xfId="12517" xr:uid="{00000000-0005-0000-0000-0000AC6C0000}"/>
    <cellStyle name="Normal 3 52 2 3 4 2" xfId="35268" xr:uid="{00000000-0005-0000-0000-0000AD6C0000}"/>
    <cellStyle name="Normal 3 52 2 3 5" xfId="33724" xr:uid="{00000000-0005-0000-0000-0000AE6C0000}"/>
    <cellStyle name="Normal 3 52 2 4" xfId="4340" xr:uid="{00000000-0005-0000-0000-0000AF6C0000}"/>
    <cellStyle name="Normal 3 52 2 4 2" xfId="6169" xr:uid="{00000000-0005-0000-0000-0000B06C0000}"/>
    <cellStyle name="Normal 3 52 2 4 2 2" xfId="9583" xr:uid="{00000000-0005-0000-0000-0000B16C0000}"/>
    <cellStyle name="Normal 3 52 2 4 2 2 2" xfId="21426" xr:uid="{00000000-0005-0000-0000-0000B26C0000}"/>
    <cellStyle name="Normal 3 52 2 4 2 2 2 2" xfId="37506" xr:uid="{00000000-0005-0000-0000-0000B36C0000}"/>
    <cellStyle name="Normal 3 52 2 4 2 2 3" xfId="28215" xr:uid="{00000000-0005-0000-0000-0000B46C0000}"/>
    <cellStyle name="Normal 3 52 2 4 2 3" xfId="22321" xr:uid="{00000000-0005-0000-0000-0000B56C0000}"/>
    <cellStyle name="Normal 3 52 2 4 2 3 2" xfId="38393" xr:uid="{00000000-0005-0000-0000-0000B66C0000}"/>
    <cellStyle name="Normal 3 52 2 4 2 4" xfId="31612" xr:uid="{00000000-0005-0000-0000-0000B76C0000}"/>
    <cellStyle name="Normal 3 52 2 4 3" xfId="7902" xr:uid="{00000000-0005-0000-0000-0000B86C0000}"/>
    <cellStyle name="Normal 3 52 2 4 3 2" xfId="24287" xr:uid="{00000000-0005-0000-0000-0000B96C0000}"/>
    <cellStyle name="Normal 3 52 2 4 3 2 2" xfId="40339" xr:uid="{00000000-0005-0000-0000-0000BA6C0000}"/>
    <cellStyle name="Normal 3 52 2 4 3 3" xfId="29897" xr:uid="{00000000-0005-0000-0000-0000BB6C0000}"/>
    <cellStyle name="Normal 3 52 2 4 4" xfId="19635" xr:uid="{00000000-0005-0000-0000-0000BC6C0000}"/>
    <cellStyle name="Normal 3 52 2 4 4 2" xfId="35749" xr:uid="{00000000-0005-0000-0000-0000BD6C0000}"/>
    <cellStyle name="Normal 3 52 2 4 5" xfId="33285" xr:uid="{00000000-0005-0000-0000-0000BE6C0000}"/>
    <cellStyle name="Normal 3 52 2 5" xfId="4795" xr:uid="{00000000-0005-0000-0000-0000BF6C0000}"/>
    <cellStyle name="Normal 3 52 2 5 2" xfId="6515" xr:uid="{00000000-0005-0000-0000-0000C06C0000}"/>
    <cellStyle name="Normal 3 52 2 5 2 2" xfId="9921" xr:uid="{00000000-0005-0000-0000-0000C16C0000}"/>
    <cellStyle name="Normal 3 52 2 5 2 2 2" xfId="21999" xr:uid="{00000000-0005-0000-0000-0000C26C0000}"/>
    <cellStyle name="Normal 3 52 2 5 2 2 2 2" xfId="38074" xr:uid="{00000000-0005-0000-0000-0000C36C0000}"/>
    <cellStyle name="Normal 3 52 2 5 2 2 3" xfId="27878" xr:uid="{00000000-0005-0000-0000-0000C46C0000}"/>
    <cellStyle name="Normal 3 52 2 5 2 3" xfId="20481" xr:uid="{00000000-0005-0000-0000-0000C56C0000}"/>
    <cellStyle name="Normal 3 52 2 5 2 3 2" xfId="36580" xr:uid="{00000000-0005-0000-0000-0000C66C0000}"/>
    <cellStyle name="Normal 3 52 2 5 2 4" xfId="31279" xr:uid="{00000000-0005-0000-0000-0000C76C0000}"/>
    <cellStyle name="Normal 3 52 2 5 3" xfId="8217" xr:uid="{00000000-0005-0000-0000-0000C86C0000}"/>
    <cellStyle name="Normal 3 52 2 5 3 2" xfId="24333" xr:uid="{00000000-0005-0000-0000-0000C96C0000}"/>
    <cellStyle name="Normal 3 52 2 5 3 2 2" xfId="40383" xr:uid="{00000000-0005-0000-0000-0000CA6C0000}"/>
    <cellStyle name="Normal 3 52 2 5 3 3" xfId="29580" xr:uid="{00000000-0005-0000-0000-0000CB6C0000}"/>
    <cellStyle name="Normal 3 52 2 5 4" xfId="10898" xr:uid="{00000000-0005-0000-0000-0000CC6C0000}"/>
    <cellStyle name="Normal 3 52 2 5 4 2" xfId="34670" xr:uid="{00000000-0005-0000-0000-0000CD6C0000}"/>
    <cellStyle name="Normal 3 52 2 5 5" xfId="32972" xr:uid="{00000000-0005-0000-0000-0000CE6C0000}"/>
    <cellStyle name="Normal 3 52 2 6" xfId="5155" xr:uid="{00000000-0005-0000-0000-0000CF6C0000}"/>
    <cellStyle name="Normal 3 52 2 6 2" xfId="6874" xr:uid="{00000000-0005-0000-0000-0000D06C0000}"/>
    <cellStyle name="Normal 3 52 2 6 2 2" xfId="10280" xr:uid="{00000000-0005-0000-0000-0000D16C0000}"/>
    <cellStyle name="Normal 3 52 2 6 2 2 2" xfId="24723" xr:uid="{00000000-0005-0000-0000-0000D26C0000}"/>
    <cellStyle name="Normal 3 52 2 6 2 2 2 2" xfId="40766" xr:uid="{00000000-0005-0000-0000-0000D36C0000}"/>
    <cellStyle name="Normal 3 52 2 6 2 2 3" xfId="27519" xr:uid="{00000000-0005-0000-0000-0000D46C0000}"/>
    <cellStyle name="Normal 3 52 2 6 2 3" xfId="20589" xr:uid="{00000000-0005-0000-0000-0000D56C0000}"/>
    <cellStyle name="Normal 3 52 2 6 2 3 2" xfId="36688" xr:uid="{00000000-0005-0000-0000-0000D66C0000}"/>
    <cellStyle name="Normal 3 52 2 6 2 4" xfId="30920" xr:uid="{00000000-0005-0000-0000-0000D76C0000}"/>
    <cellStyle name="Normal 3 52 2 6 3" xfId="8577" xr:uid="{00000000-0005-0000-0000-0000D86C0000}"/>
    <cellStyle name="Normal 3 52 2 6 3 2" xfId="23381" xr:uid="{00000000-0005-0000-0000-0000D96C0000}"/>
    <cellStyle name="Normal 3 52 2 6 3 2 2" xfId="39437" xr:uid="{00000000-0005-0000-0000-0000DA6C0000}"/>
    <cellStyle name="Normal 3 52 2 6 3 3" xfId="29221" xr:uid="{00000000-0005-0000-0000-0000DB6C0000}"/>
    <cellStyle name="Normal 3 52 2 6 4" xfId="10796" xr:uid="{00000000-0005-0000-0000-0000DC6C0000}"/>
    <cellStyle name="Normal 3 52 2 6 4 2" xfId="34619" xr:uid="{00000000-0005-0000-0000-0000DD6C0000}"/>
    <cellStyle name="Normal 3 52 2 6 5" xfId="32612" xr:uid="{00000000-0005-0000-0000-0000DE6C0000}"/>
    <cellStyle name="Normal 3 52 2 7" xfId="5334" xr:uid="{00000000-0005-0000-0000-0000DF6C0000}"/>
    <cellStyle name="Normal 3 52 2 7 2" xfId="8749" xr:uid="{00000000-0005-0000-0000-0000E06C0000}"/>
    <cellStyle name="Normal 3 52 2 7 2 2" xfId="24408" xr:uid="{00000000-0005-0000-0000-0000E16C0000}"/>
    <cellStyle name="Normal 3 52 2 7 2 2 2" xfId="40452" xr:uid="{00000000-0005-0000-0000-0000E26C0000}"/>
    <cellStyle name="Normal 3 52 2 7 2 3" xfId="29049" xr:uid="{00000000-0005-0000-0000-0000E36C0000}"/>
    <cellStyle name="Normal 3 52 2 7 3" xfId="19802" xr:uid="{00000000-0005-0000-0000-0000E46C0000}"/>
    <cellStyle name="Normal 3 52 2 7 3 2" xfId="35915" xr:uid="{00000000-0005-0000-0000-0000E56C0000}"/>
    <cellStyle name="Normal 3 52 2 7 4" xfId="32440" xr:uid="{00000000-0005-0000-0000-0000E66C0000}"/>
    <cellStyle name="Normal 3 52 2 8" xfId="7067" xr:uid="{00000000-0005-0000-0000-0000E76C0000}"/>
    <cellStyle name="Normal 3 52 2 8 2" xfId="20654" xr:uid="{00000000-0005-0000-0000-0000E86C0000}"/>
    <cellStyle name="Normal 3 52 2 8 2 2" xfId="36753" xr:uid="{00000000-0005-0000-0000-0000E96C0000}"/>
    <cellStyle name="Normal 3 52 2 8 3" xfId="30731" xr:uid="{00000000-0005-0000-0000-0000EA6C0000}"/>
    <cellStyle name="Normal 3 52 2 9" xfId="12464" xr:uid="{00000000-0005-0000-0000-0000EB6C0000}"/>
    <cellStyle name="Normal 3 52 3" xfId="3521" xr:uid="{00000000-0005-0000-0000-0000EC6C0000}"/>
    <cellStyle name="Normal 3 52 3 10" xfId="47134" xr:uid="{00000000-0005-0000-0000-0000ED6C0000}"/>
    <cellStyle name="Normal 3 52 3 2" xfId="3956" xr:uid="{00000000-0005-0000-0000-0000EE6C0000}"/>
    <cellStyle name="Normal 3 52 3 2 2" xfId="5844" xr:uid="{00000000-0005-0000-0000-0000EF6C0000}"/>
    <cellStyle name="Normal 3 52 3 2 2 2" xfId="9259" xr:uid="{00000000-0005-0000-0000-0000F06C0000}"/>
    <cellStyle name="Normal 3 52 3 2 2 2 2" xfId="21333" xr:uid="{00000000-0005-0000-0000-0000F16C0000}"/>
    <cellStyle name="Normal 3 52 3 2 2 2 2 2" xfId="37413" xr:uid="{00000000-0005-0000-0000-0000F26C0000}"/>
    <cellStyle name="Normal 3 52 3 2 2 2 3" xfId="28539" xr:uid="{00000000-0005-0000-0000-0000F36C0000}"/>
    <cellStyle name="Normal 3 52 3 2 2 3" xfId="22926" xr:uid="{00000000-0005-0000-0000-0000F46C0000}"/>
    <cellStyle name="Normal 3 52 3 2 2 3 2" xfId="38995" xr:uid="{00000000-0005-0000-0000-0000F56C0000}"/>
    <cellStyle name="Normal 3 52 3 2 2 4" xfId="31930" xr:uid="{00000000-0005-0000-0000-0000F66C0000}"/>
    <cellStyle name="Normal 3 52 3 2 3" xfId="7562" xr:uid="{00000000-0005-0000-0000-0000F76C0000}"/>
    <cellStyle name="Normal 3 52 3 2 3 2" xfId="20818" xr:uid="{00000000-0005-0000-0000-0000F86C0000}"/>
    <cellStyle name="Normal 3 52 3 2 3 2 2" xfId="36917" xr:uid="{00000000-0005-0000-0000-0000F96C0000}"/>
    <cellStyle name="Normal 3 52 3 2 3 3" xfId="30236" xr:uid="{00000000-0005-0000-0000-0000FA6C0000}"/>
    <cellStyle name="Normal 3 52 3 2 4" xfId="18181" xr:uid="{00000000-0005-0000-0000-0000FB6C0000}"/>
    <cellStyle name="Normal 3 52 3 2 5" xfId="19953" xr:uid="{00000000-0005-0000-0000-0000FC6C0000}"/>
    <cellStyle name="Normal 3 52 3 2 5 2" xfId="36057" xr:uid="{00000000-0005-0000-0000-0000FD6C0000}"/>
    <cellStyle name="Normal 3 52 3 2 6" xfId="33623" xr:uid="{00000000-0005-0000-0000-0000FE6C0000}"/>
    <cellStyle name="Normal 3 52 3 3" xfId="4896" xr:uid="{00000000-0005-0000-0000-0000FF6C0000}"/>
    <cellStyle name="Normal 3 52 3 3 10" xfId="47324" xr:uid="{00000000-0005-0000-0000-0000006D0000}"/>
    <cellStyle name="Normal 3 52 3 3 2" xfId="6615" xr:uid="{00000000-0005-0000-0000-0000016D0000}"/>
    <cellStyle name="Normal 3 52 3 3 2 2" xfId="10021" xr:uid="{00000000-0005-0000-0000-0000026D0000}"/>
    <cellStyle name="Normal 3 52 3 3 2 2 2" xfId="22013" xr:uid="{00000000-0005-0000-0000-0000036D0000}"/>
    <cellStyle name="Normal 3 52 3 3 2 2 2 2" xfId="38088" xr:uid="{00000000-0005-0000-0000-0000046D0000}"/>
    <cellStyle name="Normal 3 52 3 3 2 2 3" xfId="27778" xr:uid="{00000000-0005-0000-0000-0000056D0000}"/>
    <cellStyle name="Normal 3 52 3 3 2 3" xfId="22149" xr:uid="{00000000-0005-0000-0000-0000066D0000}"/>
    <cellStyle name="Normal 3 52 3 3 2 3 2" xfId="38223" xr:uid="{00000000-0005-0000-0000-0000076D0000}"/>
    <cellStyle name="Normal 3 52 3 3 2 4" xfId="31179" xr:uid="{00000000-0005-0000-0000-0000086D0000}"/>
    <cellStyle name="Normal 3 52 3 3 2 5" xfId="42943" xr:uid="{00000000-0005-0000-0000-0000096D0000}"/>
    <cellStyle name="Normal 3 52 3 3 2 6" xfId="43317" xr:uid="{00000000-0005-0000-0000-00000A6D0000}"/>
    <cellStyle name="Normal 3 52 3 3 2 7" xfId="46165" xr:uid="{00000000-0005-0000-0000-00000B6D0000}"/>
    <cellStyle name="Normal 3 52 3 3 2 8" xfId="46937" xr:uid="{00000000-0005-0000-0000-00000C6D0000}"/>
    <cellStyle name="Normal 3 52 3 3 2 9" xfId="47520" xr:uid="{00000000-0005-0000-0000-00000D6D0000}"/>
    <cellStyle name="Normal 3 52 3 3 3" xfId="8318" xr:uid="{00000000-0005-0000-0000-00000E6D0000}"/>
    <cellStyle name="Normal 3 52 3 3 3 2" xfId="24348" xr:uid="{00000000-0005-0000-0000-00000F6D0000}"/>
    <cellStyle name="Normal 3 52 3 3 3 2 2" xfId="40397" xr:uid="{00000000-0005-0000-0000-0000106D0000}"/>
    <cellStyle name="Normal 3 52 3 3 3 3" xfId="29480" xr:uid="{00000000-0005-0000-0000-0000116D0000}"/>
    <cellStyle name="Normal 3 52 3 3 3 4" xfId="44090" xr:uid="{00000000-0005-0000-0000-0000126D0000}"/>
    <cellStyle name="Normal 3 52 3 3 4" xfId="16388" xr:uid="{00000000-0005-0000-0000-0000136D0000}"/>
    <cellStyle name="Normal 3 52 3 3 4 2" xfId="35412" xr:uid="{00000000-0005-0000-0000-0000146D0000}"/>
    <cellStyle name="Normal 3 52 3 3 5" xfId="25072" xr:uid="{00000000-0005-0000-0000-0000156D0000}"/>
    <cellStyle name="Normal 3 52 3 3 6" xfId="25475" xr:uid="{00000000-0005-0000-0000-0000166D0000}"/>
    <cellStyle name="Normal 3 52 3 3 7" xfId="32871" xr:uid="{00000000-0005-0000-0000-0000176D0000}"/>
    <cellStyle name="Normal 3 52 3 3 8" xfId="43777" xr:uid="{00000000-0005-0000-0000-0000186D0000}"/>
    <cellStyle name="Normal 3 52 3 3 9" xfId="46703" xr:uid="{00000000-0005-0000-0000-0000196D0000}"/>
    <cellStyle name="Normal 3 52 3 4" xfId="5450" xr:uid="{00000000-0005-0000-0000-00001A6D0000}"/>
    <cellStyle name="Normal 3 52 3 4 2" xfId="8865" xr:uid="{00000000-0005-0000-0000-00001B6D0000}"/>
    <cellStyle name="Normal 3 52 3 4 2 2" xfId="21208" xr:uid="{00000000-0005-0000-0000-00001C6D0000}"/>
    <cellStyle name="Normal 3 52 3 4 2 2 2" xfId="37288" xr:uid="{00000000-0005-0000-0000-00001D6D0000}"/>
    <cellStyle name="Normal 3 52 3 4 2 3" xfId="28933" xr:uid="{00000000-0005-0000-0000-00001E6D0000}"/>
    <cellStyle name="Normal 3 52 3 4 3" xfId="22244" xr:uid="{00000000-0005-0000-0000-00001F6D0000}"/>
    <cellStyle name="Normal 3 52 3 4 3 2" xfId="38318" xr:uid="{00000000-0005-0000-0000-0000206D0000}"/>
    <cellStyle name="Normal 3 52 3 4 4" xfId="32324" xr:uid="{00000000-0005-0000-0000-0000216D0000}"/>
    <cellStyle name="Normal 3 52 3 5" xfId="7168" xr:uid="{00000000-0005-0000-0000-0000226D0000}"/>
    <cellStyle name="Normal 3 52 3 5 2" xfId="22530" xr:uid="{00000000-0005-0000-0000-0000236D0000}"/>
    <cellStyle name="Normal 3 52 3 5 2 2" xfId="38600" xr:uid="{00000000-0005-0000-0000-0000246D0000}"/>
    <cellStyle name="Normal 3 52 3 5 3" xfId="30630" xr:uid="{00000000-0005-0000-0000-0000256D0000}"/>
    <cellStyle name="Normal 3 52 3 6" xfId="12466" xr:uid="{00000000-0005-0000-0000-0000266D0000}"/>
    <cellStyle name="Normal 3 52 3 7" xfId="34017" xr:uid="{00000000-0005-0000-0000-0000276D0000}"/>
    <cellStyle name="Normal 3 52 3 8" xfId="43569" xr:uid="{00000000-0005-0000-0000-0000286D0000}"/>
    <cellStyle name="Normal 3 52 3 9" xfId="46475" xr:uid="{00000000-0005-0000-0000-0000296D0000}"/>
    <cellStyle name="Normal 3 52 3_Avviksanalyse løpende RNB15 (1)" xfId="16758" xr:uid="{00000000-0005-0000-0000-00002A6D0000}"/>
    <cellStyle name="Normal 3 52 4" xfId="3777" xr:uid="{00000000-0005-0000-0000-00002B6D0000}"/>
    <cellStyle name="Normal 3 52 4 2" xfId="5665" xr:uid="{00000000-0005-0000-0000-00002C6D0000}"/>
    <cellStyle name="Normal 3 52 4 2 2" xfId="9080" xr:uid="{00000000-0005-0000-0000-00002D6D0000}"/>
    <cellStyle name="Normal 3 52 4 2 2 2" xfId="21788" xr:uid="{00000000-0005-0000-0000-00002E6D0000}"/>
    <cellStyle name="Normal 3 52 4 2 2 2 2" xfId="37864" xr:uid="{00000000-0005-0000-0000-00002F6D0000}"/>
    <cellStyle name="Normal 3 52 4 2 2 3" xfId="28718" xr:uid="{00000000-0005-0000-0000-0000306D0000}"/>
    <cellStyle name="Normal 3 52 4 2 3" xfId="22264" xr:uid="{00000000-0005-0000-0000-0000316D0000}"/>
    <cellStyle name="Normal 3 52 4 2 3 2" xfId="38338" xr:uid="{00000000-0005-0000-0000-0000326D0000}"/>
    <cellStyle name="Normal 3 52 4 2 4" xfId="32109" xr:uid="{00000000-0005-0000-0000-0000336D0000}"/>
    <cellStyle name="Normal 3 52 4 3" xfId="7383" xr:uid="{00000000-0005-0000-0000-0000346D0000}"/>
    <cellStyle name="Normal 3 52 4 3 2" xfId="22189" xr:uid="{00000000-0005-0000-0000-0000356D0000}"/>
    <cellStyle name="Normal 3 52 4 3 2 2" xfId="38263" xr:uid="{00000000-0005-0000-0000-0000366D0000}"/>
    <cellStyle name="Normal 3 52 4 3 3" xfId="30415" xr:uid="{00000000-0005-0000-0000-0000376D0000}"/>
    <cellStyle name="Normal 3 52 4 4" xfId="11073" xr:uid="{00000000-0005-0000-0000-0000386D0000}"/>
    <cellStyle name="Normal 3 52 4 4 2" xfId="34777" xr:uid="{00000000-0005-0000-0000-0000396D0000}"/>
    <cellStyle name="Normal 3 52 4 5" xfId="33802" xr:uid="{00000000-0005-0000-0000-00003A6D0000}"/>
    <cellStyle name="Normal 3 52 5" xfId="4267" xr:uid="{00000000-0005-0000-0000-00003B6D0000}"/>
    <cellStyle name="Normal 3 52 5 2" xfId="6099" xr:uid="{00000000-0005-0000-0000-00003C6D0000}"/>
    <cellStyle name="Normal 3 52 5 2 2" xfId="9514" xr:uid="{00000000-0005-0000-0000-00003D6D0000}"/>
    <cellStyle name="Normal 3 52 5 2 2 2" xfId="19529" xr:uid="{00000000-0005-0000-0000-00003E6D0000}"/>
    <cellStyle name="Normal 3 52 5 2 2 2 2" xfId="35643" xr:uid="{00000000-0005-0000-0000-00003F6D0000}"/>
    <cellStyle name="Normal 3 52 5 2 2 3" xfId="28284" xr:uid="{00000000-0005-0000-0000-0000406D0000}"/>
    <cellStyle name="Normal 3 52 5 2 3" xfId="20323" xr:uid="{00000000-0005-0000-0000-0000416D0000}"/>
    <cellStyle name="Normal 3 52 5 2 3 2" xfId="36422" xr:uid="{00000000-0005-0000-0000-0000426D0000}"/>
    <cellStyle name="Normal 3 52 5 2 4" xfId="31679" xr:uid="{00000000-0005-0000-0000-0000436D0000}"/>
    <cellStyle name="Normal 3 52 5 3" xfId="7833" xr:uid="{00000000-0005-0000-0000-0000446D0000}"/>
    <cellStyle name="Normal 3 52 5 3 2" xfId="24279" xr:uid="{00000000-0005-0000-0000-0000456D0000}"/>
    <cellStyle name="Normal 3 52 5 3 2 2" xfId="40332" xr:uid="{00000000-0005-0000-0000-0000466D0000}"/>
    <cellStyle name="Normal 3 52 5 3 3" xfId="29966" xr:uid="{00000000-0005-0000-0000-0000476D0000}"/>
    <cellStyle name="Normal 3 52 5 4" xfId="19995" xr:uid="{00000000-0005-0000-0000-0000486D0000}"/>
    <cellStyle name="Normal 3 52 5 4 2" xfId="36099" xr:uid="{00000000-0005-0000-0000-0000496D0000}"/>
    <cellStyle name="Normal 3 52 5 5" xfId="33354" xr:uid="{00000000-0005-0000-0000-00004A6D0000}"/>
    <cellStyle name="Normal 3 52 6" xfId="4712" xr:uid="{00000000-0005-0000-0000-00004B6D0000}"/>
    <cellStyle name="Normal 3 52 6 2" xfId="6432" xr:uid="{00000000-0005-0000-0000-00004C6D0000}"/>
    <cellStyle name="Normal 3 52 6 2 2" xfId="9842" xr:uid="{00000000-0005-0000-0000-00004D6D0000}"/>
    <cellStyle name="Normal 3 52 6 2 2 2" xfId="21988" xr:uid="{00000000-0005-0000-0000-00004E6D0000}"/>
    <cellStyle name="Normal 3 52 6 2 2 2 2" xfId="38063" xr:uid="{00000000-0005-0000-0000-00004F6D0000}"/>
    <cellStyle name="Normal 3 52 6 2 2 3" xfId="27957" xr:uid="{00000000-0005-0000-0000-0000506D0000}"/>
    <cellStyle name="Normal 3 52 6 2 3" xfId="20450" xr:uid="{00000000-0005-0000-0000-0000516D0000}"/>
    <cellStyle name="Normal 3 52 6 2 3 2" xfId="36549" xr:uid="{00000000-0005-0000-0000-0000526D0000}"/>
    <cellStyle name="Normal 3 52 6 2 4" xfId="31358" xr:uid="{00000000-0005-0000-0000-0000536D0000}"/>
    <cellStyle name="Normal 3 52 6 3" xfId="8138" xr:uid="{00000000-0005-0000-0000-0000546D0000}"/>
    <cellStyle name="Normal 3 52 6 3 2" xfId="10601" xr:uid="{00000000-0005-0000-0000-0000556D0000}"/>
    <cellStyle name="Normal 3 52 6 3 2 2" xfId="34449" xr:uid="{00000000-0005-0000-0000-0000566D0000}"/>
    <cellStyle name="Normal 3 52 6 3 3" xfId="29660" xr:uid="{00000000-0005-0000-0000-0000576D0000}"/>
    <cellStyle name="Normal 3 52 6 4" xfId="12281" xr:uid="{00000000-0005-0000-0000-0000586D0000}"/>
    <cellStyle name="Normal 3 52 6 4 2" xfId="35157" xr:uid="{00000000-0005-0000-0000-0000596D0000}"/>
    <cellStyle name="Normal 3 52 6 5" xfId="33051" xr:uid="{00000000-0005-0000-0000-00005A6D0000}"/>
    <cellStyle name="Normal 3 52 7" xfId="5076" xr:uid="{00000000-0005-0000-0000-00005B6D0000}"/>
    <cellStyle name="Normal 3 52 7 2" xfId="6795" xr:uid="{00000000-0005-0000-0000-00005C6D0000}"/>
    <cellStyle name="Normal 3 52 7 2 2" xfId="10201" xr:uid="{00000000-0005-0000-0000-00005D6D0000}"/>
    <cellStyle name="Normal 3 52 7 2 2 2" xfId="21693" xr:uid="{00000000-0005-0000-0000-00005E6D0000}"/>
    <cellStyle name="Normal 3 52 7 2 2 2 2" xfId="37772" xr:uid="{00000000-0005-0000-0000-00005F6D0000}"/>
    <cellStyle name="Normal 3 52 7 2 2 3" xfId="27598" xr:uid="{00000000-0005-0000-0000-0000606D0000}"/>
    <cellStyle name="Normal 3 52 7 2 3" xfId="20571" xr:uid="{00000000-0005-0000-0000-0000616D0000}"/>
    <cellStyle name="Normal 3 52 7 2 3 2" xfId="36670" xr:uid="{00000000-0005-0000-0000-0000626D0000}"/>
    <cellStyle name="Normal 3 52 7 2 4" xfId="30999" xr:uid="{00000000-0005-0000-0000-0000636D0000}"/>
    <cellStyle name="Normal 3 52 7 3" xfId="8498" xr:uid="{00000000-0005-0000-0000-0000646D0000}"/>
    <cellStyle name="Normal 3 52 7 3 2" xfId="21111" xr:uid="{00000000-0005-0000-0000-0000656D0000}"/>
    <cellStyle name="Normal 3 52 7 3 2 2" xfId="37194" xr:uid="{00000000-0005-0000-0000-0000666D0000}"/>
    <cellStyle name="Normal 3 52 7 3 3" xfId="29300" xr:uid="{00000000-0005-0000-0000-0000676D0000}"/>
    <cellStyle name="Normal 3 52 7 4" xfId="19744" xr:uid="{00000000-0005-0000-0000-0000686D0000}"/>
    <cellStyle name="Normal 3 52 7 4 2" xfId="35858" xr:uid="{00000000-0005-0000-0000-0000696D0000}"/>
    <cellStyle name="Normal 3 52 7 5" xfId="32691" xr:uid="{00000000-0005-0000-0000-00006A6D0000}"/>
    <cellStyle name="Normal 3 52 8" xfId="5266" xr:uid="{00000000-0005-0000-0000-00006B6D0000}"/>
    <cellStyle name="Normal 3 52 8 2" xfId="8681" xr:uid="{00000000-0005-0000-0000-00006C6D0000}"/>
    <cellStyle name="Normal 3 52 8 2 2" xfId="21890" xr:uid="{00000000-0005-0000-0000-00006D6D0000}"/>
    <cellStyle name="Normal 3 52 8 2 2 2" xfId="37965" xr:uid="{00000000-0005-0000-0000-00006E6D0000}"/>
    <cellStyle name="Normal 3 52 8 2 3" xfId="29117" xr:uid="{00000000-0005-0000-0000-00006F6D0000}"/>
    <cellStyle name="Normal 3 52 8 3" xfId="10773" xr:uid="{00000000-0005-0000-0000-0000706D0000}"/>
    <cellStyle name="Normal 3 52 8 3 2" xfId="34596" xr:uid="{00000000-0005-0000-0000-0000716D0000}"/>
    <cellStyle name="Normal 3 52 8 4" xfId="32508" xr:uid="{00000000-0005-0000-0000-0000726D0000}"/>
    <cellStyle name="Normal 3 52 9" xfId="6985" xr:uid="{00000000-0005-0000-0000-0000736D0000}"/>
    <cellStyle name="Normal 3 52 9 2" xfId="23125" xr:uid="{00000000-0005-0000-0000-0000746D0000}"/>
    <cellStyle name="Normal 3 52 9 2 2" xfId="39194" xr:uid="{00000000-0005-0000-0000-0000756D0000}"/>
    <cellStyle name="Normal 3 52 9 3" xfId="30813" xr:uid="{00000000-0005-0000-0000-0000766D0000}"/>
    <cellStyle name="Normal 3 53" xfId="1761" xr:uid="{00000000-0005-0000-0000-0000776D0000}"/>
    <cellStyle name="Normal 3 53 10" xfId="12467" xr:uid="{00000000-0005-0000-0000-0000786D0000}"/>
    <cellStyle name="Normal 3 53 11" xfId="34200" xr:uid="{00000000-0005-0000-0000-0000796D0000}"/>
    <cellStyle name="Normal 3 53 2" xfId="3380" xr:uid="{00000000-0005-0000-0000-00007A6D0000}"/>
    <cellStyle name="Normal 3 53 2 10" xfId="34117" xr:uid="{00000000-0005-0000-0000-00007B6D0000}"/>
    <cellStyle name="Normal 3 53 2 2" xfId="3606" xr:uid="{00000000-0005-0000-0000-00007C6D0000}"/>
    <cellStyle name="Normal 3 53 2 2 10" xfId="47205" xr:uid="{00000000-0005-0000-0000-00007D6D0000}"/>
    <cellStyle name="Normal 3 53 2 2 2" xfId="4036" xr:uid="{00000000-0005-0000-0000-00007E6D0000}"/>
    <cellStyle name="Normal 3 53 2 2 2 2" xfId="5924" xr:uid="{00000000-0005-0000-0000-00007F6D0000}"/>
    <cellStyle name="Normal 3 53 2 2 2 2 2" xfId="9339" xr:uid="{00000000-0005-0000-0000-0000806D0000}"/>
    <cellStyle name="Normal 3 53 2 2 2 2 2 2" xfId="21939" xr:uid="{00000000-0005-0000-0000-0000816D0000}"/>
    <cellStyle name="Normal 3 53 2 2 2 2 2 2 2" xfId="38014" xr:uid="{00000000-0005-0000-0000-0000826D0000}"/>
    <cellStyle name="Normal 3 53 2 2 2 2 2 3" xfId="28459" xr:uid="{00000000-0005-0000-0000-0000836D0000}"/>
    <cellStyle name="Normal 3 53 2 2 2 2 3" xfId="20253" xr:uid="{00000000-0005-0000-0000-0000846D0000}"/>
    <cellStyle name="Normal 3 53 2 2 2 2 3 2" xfId="36352" xr:uid="{00000000-0005-0000-0000-0000856D0000}"/>
    <cellStyle name="Normal 3 53 2 2 2 2 4" xfId="31852" xr:uid="{00000000-0005-0000-0000-0000866D0000}"/>
    <cellStyle name="Normal 3 53 2 2 2 3" xfId="7642" xr:uid="{00000000-0005-0000-0000-0000876D0000}"/>
    <cellStyle name="Normal 3 53 2 2 2 3 2" xfId="20848" xr:uid="{00000000-0005-0000-0000-0000886D0000}"/>
    <cellStyle name="Normal 3 53 2 2 2 3 2 2" xfId="36947" xr:uid="{00000000-0005-0000-0000-0000896D0000}"/>
    <cellStyle name="Normal 3 53 2 2 2 3 3" xfId="30156" xr:uid="{00000000-0005-0000-0000-00008A6D0000}"/>
    <cellStyle name="Normal 3 53 2 2 2 4" xfId="18182" xr:uid="{00000000-0005-0000-0000-00008B6D0000}"/>
    <cellStyle name="Normal 3 53 2 2 2 5" xfId="12431" xr:uid="{00000000-0005-0000-0000-00008C6D0000}"/>
    <cellStyle name="Normal 3 53 2 2 2 5 2" xfId="35232" xr:uid="{00000000-0005-0000-0000-00008D6D0000}"/>
    <cellStyle name="Normal 3 53 2 2 2 6" xfId="33543" xr:uid="{00000000-0005-0000-0000-00008E6D0000}"/>
    <cellStyle name="Normal 3 53 2 2 3" xfId="4976" xr:uid="{00000000-0005-0000-0000-00008F6D0000}"/>
    <cellStyle name="Normal 3 53 2 2 3 10" xfId="47395" xr:uid="{00000000-0005-0000-0000-0000906D0000}"/>
    <cellStyle name="Normal 3 53 2 2 3 2" xfId="6695" xr:uid="{00000000-0005-0000-0000-0000916D0000}"/>
    <cellStyle name="Normal 3 53 2 2 3 2 2" xfId="10101" xr:uid="{00000000-0005-0000-0000-0000926D0000}"/>
    <cellStyle name="Normal 3 53 2 2 3 2 2 2" xfId="22023" xr:uid="{00000000-0005-0000-0000-0000936D0000}"/>
    <cellStyle name="Normal 3 53 2 2 3 2 2 2 2" xfId="38098" xr:uid="{00000000-0005-0000-0000-0000946D0000}"/>
    <cellStyle name="Normal 3 53 2 2 3 2 2 3" xfId="27698" xr:uid="{00000000-0005-0000-0000-0000956D0000}"/>
    <cellStyle name="Normal 3 53 2 2 3 2 3" xfId="20543" xr:uid="{00000000-0005-0000-0000-0000966D0000}"/>
    <cellStyle name="Normal 3 53 2 2 3 2 3 2" xfId="36642" xr:uid="{00000000-0005-0000-0000-0000976D0000}"/>
    <cellStyle name="Normal 3 53 2 2 3 2 4" xfId="31099" xr:uid="{00000000-0005-0000-0000-0000986D0000}"/>
    <cellStyle name="Normal 3 53 2 2 3 2 5" xfId="43092" xr:uid="{00000000-0005-0000-0000-0000996D0000}"/>
    <cellStyle name="Normal 3 53 2 2 3 2 6" xfId="43386" xr:uid="{00000000-0005-0000-0000-00009A6D0000}"/>
    <cellStyle name="Normal 3 53 2 2 3 2 7" xfId="46234" xr:uid="{00000000-0005-0000-0000-00009B6D0000}"/>
    <cellStyle name="Normal 3 53 2 2 3 2 8" xfId="47006" xr:uid="{00000000-0005-0000-0000-00009C6D0000}"/>
    <cellStyle name="Normal 3 53 2 2 3 2 9" xfId="47591" xr:uid="{00000000-0005-0000-0000-00009D6D0000}"/>
    <cellStyle name="Normal 3 53 2 2 3 3" xfId="8398" xr:uid="{00000000-0005-0000-0000-00009E6D0000}"/>
    <cellStyle name="Normal 3 53 2 2 3 3 2" xfId="21083" xr:uid="{00000000-0005-0000-0000-00009F6D0000}"/>
    <cellStyle name="Normal 3 53 2 2 3 3 2 2" xfId="37168" xr:uid="{00000000-0005-0000-0000-0000A06D0000}"/>
    <cellStyle name="Normal 3 53 2 2 3 3 3" xfId="29400" xr:uid="{00000000-0005-0000-0000-0000A16D0000}"/>
    <cellStyle name="Normal 3 53 2 2 3 3 4" xfId="44091" xr:uid="{00000000-0005-0000-0000-0000A26D0000}"/>
    <cellStyle name="Normal 3 53 2 2 3 4" xfId="16537" xr:uid="{00000000-0005-0000-0000-0000A36D0000}"/>
    <cellStyle name="Normal 3 53 2 2 3 4 2" xfId="35481" xr:uid="{00000000-0005-0000-0000-0000A46D0000}"/>
    <cellStyle name="Normal 3 53 2 2 3 5" xfId="25143" xr:uid="{00000000-0005-0000-0000-0000A56D0000}"/>
    <cellStyle name="Normal 3 53 2 2 3 6" xfId="25476" xr:uid="{00000000-0005-0000-0000-0000A66D0000}"/>
    <cellStyle name="Normal 3 53 2 2 3 7" xfId="32791" xr:uid="{00000000-0005-0000-0000-0000A76D0000}"/>
    <cellStyle name="Normal 3 53 2 2 3 8" xfId="43847" xr:uid="{00000000-0005-0000-0000-0000A86D0000}"/>
    <cellStyle name="Normal 3 53 2 2 3 9" xfId="46772" xr:uid="{00000000-0005-0000-0000-0000A96D0000}"/>
    <cellStyle name="Normal 3 53 2 2 4" xfId="5530" xr:uid="{00000000-0005-0000-0000-0000AA6D0000}"/>
    <cellStyle name="Normal 3 53 2 2 4 2" xfId="8945" xr:uid="{00000000-0005-0000-0000-0000AB6D0000}"/>
    <cellStyle name="Normal 3 53 2 2 4 2 2" xfId="21226" xr:uid="{00000000-0005-0000-0000-0000AC6D0000}"/>
    <cellStyle name="Normal 3 53 2 2 4 2 2 2" xfId="37306" xr:uid="{00000000-0005-0000-0000-0000AD6D0000}"/>
    <cellStyle name="Normal 3 53 2 2 4 2 3" xfId="28853" xr:uid="{00000000-0005-0000-0000-0000AE6D0000}"/>
    <cellStyle name="Normal 3 53 2 2 4 3" xfId="22867" xr:uid="{00000000-0005-0000-0000-0000AF6D0000}"/>
    <cellStyle name="Normal 3 53 2 2 4 3 2" xfId="38936" xr:uid="{00000000-0005-0000-0000-0000B06D0000}"/>
    <cellStyle name="Normal 3 53 2 2 4 4" xfId="32244" xr:uid="{00000000-0005-0000-0000-0000B16D0000}"/>
    <cellStyle name="Normal 3 53 2 2 5" xfId="7248" xr:uid="{00000000-0005-0000-0000-0000B26D0000}"/>
    <cellStyle name="Normal 3 53 2 2 5 2" xfId="20710" xr:uid="{00000000-0005-0000-0000-0000B36D0000}"/>
    <cellStyle name="Normal 3 53 2 2 5 2 2" xfId="36809" xr:uid="{00000000-0005-0000-0000-0000B46D0000}"/>
    <cellStyle name="Normal 3 53 2 2 5 3" xfId="30550" xr:uid="{00000000-0005-0000-0000-0000B56D0000}"/>
    <cellStyle name="Normal 3 53 2 2 6" xfId="12469" xr:uid="{00000000-0005-0000-0000-0000B66D0000}"/>
    <cellStyle name="Normal 3 53 2 2 7" xfId="33937" xr:uid="{00000000-0005-0000-0000-0000B76D0000}"/>
    <cellStyle name="Normal 3 53 2 2 8" xfId="43638" xr:uid="{00000000-0005-0000-0000-0000B86D0000}"/>
    <cellStyle name="Normal 3 53 2 2 9" xfId="46544" xr:uid="{00000000-0005-0000-0000-0000B96D0000}"/>
    <cellStyle name="Normal 3 53 2 2_Avviksanalyse løpende RNB15 (1)" xfId="16759" xr:uid="{00000000-0005-0000-0000-0000BA6D0000}"/>
    <cellStyle name="Normal 3 53 2 3" xfId="3856" xr:uid="{00000000-0005-0000-0000-0000BB6D0000}"/>
    <cellStyle name="Normal 3 53 2 3 2" xfId="5744" xr:uid="{00000000-0005-0000-0000-0000BC6D0000}"/>
    <cellStyle name="Normal 3 53 2 3 2 2" xfId="9159" xr:uid="{00000000-0005-0000-0000-0000BD6D0000}"/>
    <cellStyle name="Normal 3 53 2 3 2 2 2" xfId="21921" xr:uid="{00000000-0005-0000-0000-0000BE6D0000}"/>
    <cellStyle name="Normal 3 53 2 3 2 2 2 2" xfId="37996" xr:uid="{00000000-0005-0000-0000-0000BF6D0000}"/>
    <cellStyle name="Normal 3 53 2 3 2 2 3" xfId="28639" xr:uid="{00000000-0005-0000-0000-0000C06D0000}"/>
    <cellStyle name="Normal 3 53 2 3 2 3" xfId="22907" xr:uid="{00000000-0005-0000-0000-0000C16D0000}"/>
    <cellStyle name="Normal 3 53 2 3 2 3 2" xfId="38976" xr:uid="{00000000-0005-0000-0000-0000C26D0000}"/>
    <cellStyle name="Normal 3 53 2 3 2 4" xfId="32030" xr:uid="{00000000-0005-0000-0000-0000C36D0000}"/>
    <cellStyle name="Normal 3 53 2 3 3" xfId="7462" xr:uid="{00000000-0005-0000-0000-0000C46D0000}"/>
    <cellStyle name="Normal 3 53 2 3 3 2" xfId="22456" xr:uid="{00000000-0005-0000-0000-0000C56D0000}"/>
    <cellStyle name="Normal 3 53 2 3 3 2 2" xfId="38528" xr:uid="{00000000-0005-0000-0000-0000C66D0000}"/>
    <cellStyle name="Normal 3 53 2 3 3 3" xfId="30336" xr:uid="{00000000-0005-0000-0000-0000C76D0000}"/>
    <cellStyle name="Normal 3 53 2 3 4" xfId="22219" xr:uid="{00000000-0005-0000-0000-0000C86D0000}"/>
    <cellStyle name="Normal 3 53 2 3 4 2" xfId="38293" xr:uid="{00000000-0005-0000-0000-0000C96D0000}"/>
    <cellStyle name="Normal 3 53 2 3 5" xfId="33723" xr:uid="{00000000-0005-0000-0000-0000CA6D0000}"/>
    <cellStyle name="Normal 3 53 2 4" xfId="4341" xr:uid="{00000000-0005-0000-0000-0000CB6D0000}"/>
    <cellStyle name="Normal 3 53 2 4 2" xfId="6170" xr:uid="{00000000-0005-0000-0000-0000CC6D0000}"/>
    <cellStyle name="Normal 3 53 2 4 2 2" xfId="9584" xr:uid="{00000000-0005-0000-0000-0000CD6D0000}"/>
    <cellStyle name="Normal 3 53 2 4 2 2 2" xfId="24534" xr:uid="{00000000-0005-0000-0000-0000CE6D0000}"/>
    <cellStyle name="Normal 3 53 2 4 2 2 2 2" xfId="40578" xr:uid="{00000000-0005-0000-0000-0000CF6D0000}"/>
    <cellStyle name="Normal 3 53 2 4 2 2 3" xfId="28214" xr:uid="{00000000-0005-0000-0000-0000D06D0000}"/>
    <cellStyle name="Normal 3 53 2 4 2 3" xfId="22988" xr:uid="{00000000-0005-0000-0000-0000D16D0000}"/>
    <cellStyle name="Normal 3 53 2 4 2 3 2" xfId="39057" xr:uid="{00000000-0005-0000-0000-0000D26D0000}"/>
    <cellStyle name="Normal 3 53 2 4 2 4" xfId="31611" xr:uid="{00000000-0005-0000-0000-0000D36D0000}"/>
    <cellStyle name="Normal 3 53 2 4 3" xfId="7903" xr:uid="{00000000-0005-0000-0000-0000D46D0000}"/>
    <cellStyle name="Normal 3 53 2 4 3 2" xfId="22491" xr:uid="{00000000-0005-0000-0000-0000D56D0000}"/>
    <cellStyle name="Normal 3 53 2 4 3 2 2" xfId="38563" xr:uid="{00000000-0005-0000-0000-0000D66D0000}"/>
    <cellStyle name="Normal 3 53 2 4 3 3" xfId="29896" xr:uid="{00000000-0005-0000-0000-0000D76D0000}"/>
    <cellStyle name="Normal 3 53 2 4 4" xfId="12368" xr:uid="{00000000-0005-0000-0000-0000D86D0000}"/>
    <cellStyle name="Normal 3 53 2 4 4 2" xfId="35208" xr:uid="{00000000-0005-0000-0000-0000D96D0000}"/>
    <cellStyle name="Normal 3 53 2 4 5" xfId="33284" xr:uid="{00000000-0005-0000-0000-0000DA6D0000}"/>
    <cellStyle name="Normal 3 53 2 5" xfId="4796" xr:uid="{00000000-0005-0000-0000-0000DB6D0000}"/>
    <cellStyle name="Normal 3 53 2 5 2" xfId="6516" xr:uid="{00000000-0005-0000-0000-0000DC6D0000}"/>
    <cellStyle name="Normal 3 53 2 5 2 2" xfId="9922" xr:uid="{00000000-0005-0000-0000-0000DD6D0000}"/>
    <cellStyle name="Normal 3 53 2 5 2 2 2" xfId="23583" xr:uid="{00000000-0005-0000-0000-0000DE6D0000}"/>
    <cellStyle name="Normal 3 53 2 5 2 2 2 2" xfId="39639" xr:uid="{00000000-0005-0000-0000-0000DF6D0000}"/>
    <cellStyle name="Normal 3 53 2 5 2 2 3" xfId="27877" xr:uid="{00000000-0005-0000-0000-0000E06D0000}"/>
    <cellStyle name="Normal 3 53 2 5 2 3" xfId="24055" xr:uid="{00000000-0005-0000-0000-0000E16D0000}"/>
    <cellStyle name="Normal 3 53 2 5 2 3 2" xfId="40108" xr:uid="{00000000-0005-0000-0000-0000E26D0000}"/>
    <cellStyle name="Normal 3 53 2 5 2 4" xfId="31278" xr:uid="{00000000-0005-0000-0000-0000E36D0000}"/>
    <cellStyle name="Normal 3 53 2 5 3" xfId="8218" xr:uid="{00000000-0005-0000-0000-0000E46D0000}"/>
    <cellStyle name="Normal 3 53 2 5 3 2" xfId="22512" xr:uid="{00000000-0005-0000-0000-0000E56D0000}"/>
    <cellStyle name="Normal 3 53 2 5 3 2 2" xfId="38582" xr:uid="{00000000-0005-0000-0000-0000E66D0000}"/>
    <cellStyle name="Normal 3 53 2 5 3 3" xfId="29579" xr:uid="{00000000-0005-0000-0000-0000E76D0000}"/>
    <cellStyle name="Normal 3 53 2 5 4" xfId="19709" xr:uid="{00000000-0005-0000-0000-0000E86D0000}"/>
    <cellStyle name="Normal 3 53 2 5 4 2" xfId="35823" xr:uid="{00000000-0005-0000-0000-0000E96D0000}"/>
    <cellStyle name="Normal 3 53 2 5 5" xfId="32971" xr:uid="{00000000-0005-0000-0000-0000EA6D0000}"/>
    <cellStyle name="Normal 3 53 2 6" xfId="5156" xr:uid="{00000000-0005-0000-0000-0000EB6D0000}"/>
    <cellStyle name="Normal 3 53 2 6 2" xfId="6875" xr:uid="{00000000-0005-0000-0000-0000EC6D0000}"/>
    <cellStyle name="Normal 3 53 2 6 2 2" xfId="10281" xr:uid="{00000000-0005-0000-0000-0000ED6D0000}"/>
    <cellStyle name="Normal 3 53 2 6 2 2 2" xfId="24724" xr:uid="{00000000-0005-0000-0000-0000EE6D0000}"/>
    <cellStyle name="Normal 3 53 2 6 2 2 2 2" xfId="40767" xr:uid="{00000000-0005-0000-0000-0000EF6D0000}"/>
    <cellStyle name="Normal 3 53 2 6 2 2 3" xfId="27518" xr:uid="{00000000-0005-0000-0000-0000F06D0000}"/>
    <cellStyle name="Normal 3 53 2 6 2 3" xfId="20590" xr:uid="{00000000-0005-0000-0000-0000F16D0000}"/>
    <cellStyle name="Normal 3 53 2 6 2 3 2" xfId="36689" xr:uid="{00000000-0005-0000-0000-0000F26D0000}"/>
    <cellStyle name="Normal 3 53 2 6 2 4" xfId="30919" xr:uid="{00000000-0005-0000-0000-0000F36D0000}"/>
    <cellStyle name="Normal 3 53 2 6 3" xfId="8578" xr:uid="{00000000-0005-0000-0000-0000F46D0000}"/>
    <cellStyle name="Normal 3 53 2 6 3 2" xfId="21131" xr:uid="{00000000-0005-0000-0000-0000F56D0000}"/>
    <cellStyle name="Normal 3 53 2 6 3 2 2" xfId="37211" xr:uid="{00000000-0005-0000-0000-0000F66D0000}"/>
    <cellStyle name="Normal 3 53 2 6 3 3" xfId="29220" xr:uid="{00000000-0005-0000-0000-0000F76D0000}"/>
    <cellStyle name="Normal 3 53 2 6 4" xfId="19767" xr:uid="{00000000-0005-0000-0000-0000F86D0000}"/>
    <cellStyle name="Normal 3 53 2 6 4 2" xfId="35881" xr:uid="{00000000-0005-0000-0000-0000F96D0000}"/>
    <cellStyle name="Normal 3 53 2 6 5" xfId="32611" xr:uid="{00000000-0005-0000-0000-0000FA6D0000}"/>
    <cellStyle name="Normal 3 53 2 7" xfId="5335" xr:uid="{00000000-0005-0000-0000-0000FB6D0000}"/>
    <cellStyle name="Normal 3 53 2 7 2" xfId="8750" xr:uid="{00000000-0005-0000-0000-0000FC6D0000}"/>
    <cellStyle name="Normal 3 53 2 7 2 2" xfId="21894" xr:uid="{00000000-0005-0000-0000-0000FD6D0000}"/>
    <cellStyle name="Normal 3 53 2 7 2 2 2" xfId="37969" xr:uid="{00000000-0005-0000-0000-0000FE6D0000}"/>
    <cellStyle name="Normal 3 53 2 7 2 3" xfId="29048" xr:uid="{00000000-0005-0000-0000-0000FF6D0000}"/>
    <cellStyle name="Normal 3 53 2 7 3" xfId="12068" xr:uid="{00000000-0005-0000-0000-0000006E0000}"/>
    <cellStyle name="Normal 3 53 2 7 3 2" xfId="35054" xr:uid="{00000000-0005-0000-0000-0000016E0000}"/>
    <cellStyle name="Normal 3 53 2 7 4" xfId="32439" xr:uid="{00000000-0005-0000-0000-0000026E0000}"/>
    <cellStyle name="Normal 3 53 2 8" xfId="7068" xr:uid="{00000000-0005-0000-0000-0000036E0000}"/>
    <cellStyle name="Normal 3 53 2 8 2" xfId="24143" xr:uid="{00000000-0005-0000-0000-0000046E0000}"/>
    <cellStyle name="Normal 3 53 2 8 2 2" xfId="40196" xr:uid="{00000000-0005-0000-0000-0000056E0000}"/>
    <cellStyle name="Normal 3 53 2 8 3" xfId="30730" xr:uid="{00000000-0005-0000-0000-0000066E0000}"/>
    <cellStyle name="Normal 3 53 2 9" xfId="12468" xr:uid="{00000000-0005-0000-0000-0000076E0000}"/>
    <cellStyle name="Normal 3 53 3" xfId="3522" xr:uid="{00000000-0005-0000-0000-0000086E0000}"/>
    <cellStyle name="Normal 3 53 3 10" xfId="47135" xr:uid="{00000000-0005-0000-0000-0000096E0000}"/>
    <cellStyle name="Normal 3 53 3 2" xfId="3957" xr:uid="{00000000-0005-0000-0000-00000A6E0000}"/>
    <cellStyle name="Normal 3 53 3 2 2" xfId="5845" xr:uid="{00000000-0005-0000-0000-00000B6E0000}"/>
    <cellStyle name="Normal 3 53 3 2 2 2" xfId="9260" xr:uid="{00000000-0005-0000-0000-00000C6E0000}"/>
    <cellStyle name="Normal 3 53 3 2 2 2 2" xfId="24487" xr:uid="{00000000-0005-0000-0000-00000D6E0000}"/>
    <cellStyle name="Normal 3 53 3 2 2 2 2 2" xfId="40531" xr:uid="{00000000-0005-0000-0000-00000E6E0000}"/>
    <cellStyle name="Normal 3 53 3 2 2 2 3" xfId="28538" xr:uid="{00000000-0005-0000-0000-00000F6E0000}"/>
    <cellStyle name="Normal 3 53 3 2 2 3" xfId="20225" xr:uid="{00000000-0005-0000-0000-0000106E0000}"/>
    <cellStyle name="Normal 3 53 3 2 2 3 2" xfId="36324" xr:uid="{00000000-0005-0000-0000-0000116E0000}"/>
    <cellStyle name="Normal 3 53 3 2 2 4" xfId="31929" xr:uid="{00000000-0005-0000-0000-0000126E0000}"/>
    <cellStyle name="Normal 3 53 3 2 3" xfId="7563" xr:uid="{00000000-0005-0000-0000-0000136E0000}"/>
    <cellStyle name="Normal 3 53 3 2 3 2" xfId="20819" xr:uid="{00000000-0005-0000-0000-0000146E0000}"/>
    <cellStyle name="Normal 3 53 3 2 3 2 2" xfId="36918" xr:uid="{00000000-0005-0000-0000-0000156E0000}"/>
    <cellStyle name="Normal 3 53 3 2 3 3" xfId="30235" xr:uid="{00000000-0005-0000-0000-0000166E0000}"/>
    <cellStyle name="Normal 3 53 3 2 4" xfId="18183" xr:uid="{00000000-0005-0000-0000-0000176E0000}"/>
    <cellStyle name="Normal 3 53 3 2 5" xfId="11046" xr:uid="{00000000-0005-0000-0000-0000186E0000}"/>
    <cellStyle name="Normal 3 53 3 2 5 2" xfId="34754" xr:uid="{00000000-0005-0000-0000-0000196E0000}"/>
    <cellStyle name="Normal 3 53 3 2 6" xfId="33622" xr:uid="{00000000-0005-0000-0000-00001A6E0000}"/>
    <cellStyle name="Normal 3 53 3 3" xfId="4897" xr:uid="{00000000-0005-0000-0000-00001B6E0000}"/>
    <cellStyle name="Normal 3 53 3 3 10" xfId="47325" xr:uid="{00000000-0005-0000-0000-00001C6E0000}"/>
    <cellStyle name="Normal 3 53 3 3 2" xfId="6616" xr:uid="{00000000-0005-0000-0000-00001D6E0000}"/>
    <cellStyle name="Normal 3 53 3 3 2 2" xfId="10022" xr:uid="{00000000-0005-0000-0000-00001E6E0000}"/>
    <cellStyle name="Normal 3 53 3 3 2 2 2" xfId="23603" xr:uid="{00000000-0005-0000-0000-00001F6E0000}"/>
    <cellStyle name="Normal 3 53 3 3 2 2 2 2" xfId="39659" xr:uid="{00000000-0005-0000-0000-0000206E0000}"/>
    <cellStyle name="Normal 3 53 3 3 2 2 3" xfId="27777" xr:uid="{00000000-0005-0000-0000-0000216E0000}"/>
    <cellStyle name="Normal 3 53 3 3 2 3" xfId="23073" xr:uid="{00000000-0005-0000-0000-0000226E0000}"/>
    <cellStyle name="Normal 3 53 3 3 2 3 2" xfId="39142" xr:uid="{00000000-0005-0000-0000-0000236E0000}"/>
    <cellStyle name="Normal 3 53 3 3 2 4" xfId="31178" xr:uid="{00000000-0005-0000-0000-0000246E0000}"/>
    <cellStyle name="Normal 3 53 3 3 2 5" xfId="42944" xr:uid="{00000000-0005-0000-0000-0000256E0000}"/>
    <cellStyle name="Normal 3 53 3 3 2 6" xfId="43318" xr:uid="{00000000-0005-0000-0000-0000266E0000}"/>
    <cellStyle name="Normal 3 53 3 3 2 7" xfId="46166" xr:uid="{00000000-0005-0000-0000-0000276E0000}"/>
    <cellStyle name="Normal 3 53 3 3 2 8" xfId="46938" xr:uid="{00000000-0005-0000-0000-0000286E0000}"/>
    <cellStyle name="Normal 3 53 3 3 2 9" xfId="47521" xr:uid="{00000000-0005-0000-0000-0000296E0000}"/>
    <cellStyle name="Normal 3 53 3 3 3" xfId="8319" xr:uid="{00000000-0005-0000-0000-00002A6E0000}"/>
    <cellStyle name="Normal 3 53 3 3 3 2" xfId="22573" xr:uid="{00000000-0005-0000-0000-00002B6E0000}"/>
    <cellStyle name="Normal 3 53 3 3 3 2 2" xfId="38642" xr:uid="{00000000-0005-0000-0000-00002C6E0000}"/>
    <cellStyle name="Normal 3 53 3 3 3 3" xfId="29479" xr:uid="{00000000-0005-0000-0000-00002D6E0000}"/>
    <cellStyle name="Normal 3 53 3 3 3 4" xfId="44092" xr:uid="{00000000-0005-0000-0000-00002E6E0000}"/>
    <cellStyle name="Normal 3 53 3 3 4" xfId="16389" xr:uid="{00000000-0005-0000-0000-00002F6E0000}"/>
    <cellStyle name="Normal 3 53 3 3 4 2" xfId="35413" xr:uid="{00000000-0005-0000-0000-0000306E0000}"/>
    <cellStyle name="Normal 3 53 3 3 5" xfId="25073" xr:uid="{00000000-0005-0000-0000-0000316E0000}"/>
    <cellStyle name="Normal 3 53 3 3 6" xfId="25477" xr:uid="{00000000-0005-0000-0000-0000326E0000}"/>
    <cellStyle name="Normal 3 53 3 3 7" xfId="32870" xr:uid="{00000000-0005-0000-0000-0000336E0000}"/>
    <cellStyle name="Normal 3 53 3 3 8" xfId="43778" xr:uid="{00000000-0005-0000-0000-0000346E0000}"/>
    <cellStyle name="Normal 3 53 3 3 9" xfId="46704" xr:uid="{00000000-0005-0000-0000-0000356E0000}"/>
    <cellStyle name="Normal 3 53 3 4" xfId="5451" xr:uid="{00000000-0005-0000-0000-0000366E0000}"/>
    <cellStyle name="Normal 3 53 3 4 2" xfId="8866" xr:uid="{00000000-0005-0000-0000-0000376E0000}"/>
    <cellStyle name="Normal 3 53 3 4 2 2" xfId="21209" xr:uid="{00000000-0005-0000-0000-0000386E0000}"/>
    <cellStyle name="Normal 3 53 3 4 2 2 2" xfId="37289" xr:uid="{00000000-0005-0000-0000-0000396E0000}"/>
    <cellStyle name="Normal 3 53 3 4 2 3" xfId="28932" xr:uid="{00000000-0005-0000-0000-00003A6E0000}"/>
    <cellStyle name="Normal 3 53 3 4 3" xfId="10696" xr:uid="{00000000-0005-0000-0000-00003B6E0000}"/>
    <cellStyle name="Normal 3 53 3 4 3 2" xfId="34544" xr:uid="{00000000-0005-0000-0000-00003C6E0000}"/>
    <cellStyle name="Normal 3 53 3 4 4" xfId="32323" xr:uid="{00000000-0005-0000-0000-00003D6E0000}"/>
    <cellStyle name="Normal 3 53 3 5" xfId="7169" xr:uid="{00000000-0005-0000-0000-00003E6E0000}"/>
    <cellStyle name="Normal 3 53 3 5 2" xfId="20685" xr:uid="{00000000-0005-0000-0000-00003F6E0000}"/>
    <cellStyle name="Normal 3 53 3 5 2 2" xfId="36784" xr:uid="{00000000-0005-0000-0000-0000406E0000}"/>
    <cellStyle name="Normal 3 53 3 5 3" xfId="30629" xr:uid="{00000000-0005-0000-0000-0000416E0000}"/>
    <cellStyle name="Normal 3 53 3 6" xfId="12470" xr:uid="{00000000-0005-0000-0000-0000426E0000}"/>
    <cellStyle name="Normal 3 53 3 7" xfId="34016" xr:uid="{00000000-0005-0000-0000-0000436E0000}"/>
    <cellStyle name="Normal 3 53 3 8" xfId="43570" xr:uid="{00000000-0005-0000-0000-0000446E0000}"/>
    <cellStyle name="Normal 3 53 3 9" xfId="46476" xr:uid="{00000000-0005-0000-0000-0000456E0000}"/>
    <cellStyle name="Normal 3 53 3_Avviksanalyse løpende RNB15 (1)" xfId="16760" xr:uid="{00000000-0005-0000-0000-0000466E0000}"/>
    <cellStyle name="Normal 3 53 4" xfId="3778" xr:uid="{00000000-0005-0000-0000-0000476E0000}"/>
    <cellStyle name="Normal 3 53 4 2" xfId="5666" xr:uid="{00000000-0005-0000-0000-0000486E0000}"/>
    <cellStyle name="Normal 3 53 4 2 2" xfId="9081" xr:uid="{00000000-0005-0000-0000-0000496E0000}"/>
    <cellStyle name="Normal 3 53 4 2 2 2" xfId="10469" xr:uid="{00000000-0005-0000-0000-00004A6E0000}"/>
    <cellStyle name="Normal 3 53 4 2 2 2 2" xfId="34379" xr:uid="{00000000-0005-0000-0000-00004B6E0000}"/>
    <cellStyle name="Normal 3 53 4 2 2 3" xfId="28717" xr:uid="{00000000-0005-0000-0000-00004C6E0000}"/>
    <cellStyle name="Normal 3 53 4 2 3" xfId="22893" xr:uid="{00000000-0005-0000-0000-00004D6E0000}"/>
    <cellStyle name="Normal 3 53 4 2 3 2" xfId="38962" xr:uid="{00000000-0005-0000-0000-00004E6E0000}"/>
    <cellStyle name="Normal 3 53 4 2 4" xfId="32108" xr:uid="{00000000-0005-0000-0000-00004F6E0000}"/>
    <cellStyle name="Normal 3 53 4 3" xfId="7384" xr:uid="{00000000-0005-0000-0000-0000506E0000}"/>
    <cellStyle name="Normal 3 53 4 3 2" xfId="23197" xr:uid="{00000000-0005-0000-0000-0000516E0000}"/>
    <cellStyle name="Normal 3 53 4 3 2 2" xfId="39266" xr:uid="{00000000-0005-0000-0000-0000526E0000}"/>
    <cellStyle name="Normal 3 53 4 3 3" xfId="30414" xr:uid="{00000000-0005-0000-0000-0000536E0000}"/>
    <cellStyle name="Normal 3 53 4 4" xfId="21741" xr:uid="{00000000-0005-0000-0000-0000546E0000}"/>
    <cellStyle name="Normal 3 53 4 4 2" xfId="37819" xr:uid="{00000000-0005-0000-0000-0000556E0000}"/>
    <cellStyle name="Normal 3 53 4 5" xfId="33801" xr:uid="{00000000-0005-0000-0000-0000566E0000}"/>
    <cellStyle name="Normal 3 53 5" xfId="4268" xr:uid="{00000000-0005-0000-0000-0000576E0000}"/>
    <cellStyle name="Normal 3 53 5 2" xfId="6100" xr:uid="{00000000-0005-0000-0000-0000586E0000}"/>
    <cellStyle name="Normal 3 53 5 2 2" xfId="9515" xr:uid="{00000000-0005-0000-0000-0000596E0000}"/>
    <cellStyle name="Normal 3 53 5 2 2 2" xfId="11667" xr:uid="{00000000-0005-0000-0000-00005A6E0000}"/>
    <cellStyle name="Normal 3 53 5 2 2 2 2" xfId="34830" xr:uid="{00000000-0005-0000-0000-00005B6E0000}"/>
    <cellStyle name="Normal 3 53 5 2 2 3" xfId="28283" xr:uid="{00000000-0005-0000-0000-00005C6E0000}"/>
    <cellStyle name="Normal 3 53 5 2 3" xfId="20324" xr:uid="{00000000-0005-0000-0000-00005D6E0000}"/>
    <cellStyle name="Normal 3 53 5 2 3 2" xfId="36423" xr:uid="{00000000-0005-0000-0000-00005E6E0000}"/>
    <cellStyle name="Normal 3 53 5 2 4" xfId="31678" xr:uid="{00000000-0005-0000-0000-00005F6E0000}"/>
    <cellStyle name="Normal 3 53 5 3" xfId="7834" xr:uid="{00000000-0005-0000-0000-0000606E0000}"/>
    <cellStyle name="Normal 3 53 5 3 2" xfId="21856" xr:uid="{00000000-0005-0000-0000-0000616E0000}"/>
    <cellStyle name="Normal 3 53 5 3 2 2" xfId="37932" xr:uid="{00000000-0005-0000-0000-0000626E0000}"/>
    <cellStyle name="Normal 3 53 5 3 3" xfId="29965" xr:uid="{00000000-0005-0000-0000-0000636E0000}"/>
    <cellStyle name="Normal 3 53 5 4" xfId="10986" xr:uid="{00000000-0005-0000-0000-0000646E0000}"/>
    <cellStyle name="Normal 3 53 5 4 2" xfId="34720" xr:uid="{00000000-0005-0000-0000-0000656E0000}"/>
    <cellStyle name="Normal 3 53 5 5" xfId="33353" xr:uid="{00000000-0005-0000-0000-0000666E0000}"/>
    <cellStyle name="Normal 3 53 6" xfId="4713" xr:uid="{00000000-0005-0000-0000-0000676E0000}"/>
    <cellStyle name="Normal 3 53 6 2" xfId="6433" xr:uid="{00000000-0005-0000-0000-0000686E0000}"/>
    <cellStyle name="Normal 3 53 6 2 2" xfId="9843" xr:uid="{00000000-0005-0000-0000-0000696E0000}"/>
    <cellStyle name="Normal 3 53 6 2 2 2" xfId="23568" xr:uid="{00000000-0005-0000-0000-00006A6E0000}"/>
    <cellStyle name="Normal 3 53 6 2 2 2 2" xfId="39624" xr:uid="{00000000-0005-0000-0000-00006B6E0000}"/>
    <cellStyle name="Normal 3 53 6 2 2 3" xfId="27956" xr:uid="{00000000-0005-0000-0000-00006C6E0000}"/>
    <cellStyle name="Normal 3 53 6 2 3" xfId="24041" xr:uid="{00000000-0005-0000-0000-00006D6E0000}"/>
    <cellStyle name="Normal 3 53 6 2 3 2" xfId="40094" xr:uid="{00000000-0005-0000-0000-00006E6E0000}"/>
    <cellStyle name="Normal 3 53 6 2 4" xfId="31357" xr:uid="{00000000-0005-0000-0000-00006F6E0000}"/>
    <cellStyle name="Normal 3 53 6 3" xfId="8139" xr:uid="{00000000-0005-0000-0000-0000706E0000}"/>
    <cellStyle name="Normal 3 53 6 3 2" xfId="19469" xr:uid="{00000000-0005-0000-0000-0000716E0000}"/>
    <cellStyle name="Normal 3 53 6 3 2 2" xfId="35583" xr:uid="{00000000-0005-0000-0000-0000726E0000}"/>
    <cellStyle name="Normal 3 53 6 3 3" xfId="29659" xr:uid="{00000000-0005-0000-0000-0000736E0000}"/>
    <cellStyle name="Normal 3 53 6 4" xfId="22552" xr:uid="{00000000-0005-0000-0000-0000746E0000}"/>
    <cellStyle name="Normal 3 53 6 4 2" xfId="38621" xr:uid="{00000000-0005-0000-0000-0000756E0000}"/>
    <cellStyle name="Normal 3 53 6 5" xfId="33050" xr:uid="{00000000-0005-0000-0000-0000766E0000}"/>
    <cellStyle name="Normal 3 53 7" xfId="5077" xr:uid="{00000000-0005-0000-0000-0000776E0000}"/>
    <cellStyle name="Normal 3 53 7 2" xfId="6796" xr:uid="{00000000-0005-0000-0000-0000786E0000}"/>
    <cellStyle name="Normal 3 53 7 2 2" xfId="10202" xr:uid="{00000000-0005-0000-0000-0000796E0000}"/>
    <cellStyle name="Normal 3 53 7 2 2 2" xfId="23640" xr:uid="{00000000-0005-0000-0000-00007A6E0000}"/>
    <cellStyle name="Normal 3 53 7 2 2 2 2" xfId="39696" xr:uid="{00000000-0005-0000-0000-00007B6E0000}"/>
    <cellStyle name="Normal 3 53 7 2 2 3" xfId="27597" xr:uid="{00000000-0005-0000-0000-00007C6E0000}"/>
    <cellStyle name="Normal 3 53 7 2 3" xfId="24101" xr:uid="{00000000-0005-0000-0000-00007D6E0000}"/>
    <cellStyle name="Normal 3 53 7 2 3 2" xfId="40154" xr:uid="{00000000-0005-0000-0000-00007E6E0000}"/>
    <cellStyle name="Normal 3 53 7 2 4" xfId="30998" xr:uid="{00000000-0005-0000-0000-00007F6E0000}"/>
    <cellStyle name="Normal 3 53 7 3" xfId="8499" xr:uid="{00000000-0005-0000-0000-0000806E0000}"/>
    <cellStyle name="Normal 3 53 7 3 2" xfId="10534" xr:uid="{00000000-0005-0000-0000-0000816E0000}"/>
    <cellStyle name="Normal 3 53 7 3 2 2" xfId="34412" xr:uid="{00000000-0005-0000-0000-0000826E0000}"/>
    <cellStyle name="Normal 3 53 7 3 3" xfId="29299" xr:uid="{00000000-0005-0000-0000-0000836E0000}"/>
    <cellStyle name="Normal 3 53 7 4" xfId="12180" xr:uid="{00000000-0005-0000-0000-0000846E0000}"/>
    <cellStyle name="Normal 3 53 7 4 2" xfId="35113" xr:uid="{00000000-0005-0000-0000-0000856E0000}"/>
    <cellStyle name="Normal 3 53 7 5" xfId="32690" xr:uid="{00000000-0005-0000-0000-0000866E0000}"/>
    <cellStyle name="Normal 3 53 8" xfId="5267" xr:uid="{00000000-0005-0000-0000-0000876E0000}"/>
    <cellStyle name="Normal 3 53 8 2" xfId="8682" xr:uid="{00000000-0005-0000-0000-0000886E0000}"/>
    <cellStyle name="Normal 3 53 8 2 2" xfId="23396" xr:uid="{00000000-0005-0000-0000-0000896E0000}"/>
    <cellStyle name="Normal 3 53 8 2 2 2" xfId="39452" xr:uid="{00000000-0005-0000-0000-00008A6E0000}"/>
    <cellStyle name="Normal 3 53 8 2 3" xfId="29116" xr:uid="{00000000-0005-0000-0000-00008B6E0000}"/>
    <cellStyle name="Normal 3 53 8 3" xfId="19789" xr:uid="{00000000-0005-0000-0000-00008C6E0000}"/>
    <cellStyle name="Normal 3 53 8 3 2" xfId="35903" xr:uid="{00000000-0005-0000-0000-00008D6E0000}"/>
    <cellStyle name="Normal 3 53 8 4" xfId="32507" xr:uid="{00000000-0005-0000-0000-00008E6E0000}"/>
    <cellStyle name="Normal 3 53 9" xfId="6986" xr:uid="{00000000-0005-0000-0000-00008F6E0000}"/>
    <cellStyle name="Normal 3 53 9 2" xfId="20621" xr:uid="{00000000-0005-0000-0000-0000906E0000}"/>
    <cellStyle name="Normal 3 53 9 2 2" xfId="36720" xr:uid="{00000000-0005-0000-0000-0000916E0000}"/>
    <cellStyle name="Normal 3 53 9 3" xfId="30812" xr:uid="{00000000-0005-0000-0000-0000926E0000}"/>
    <cellStyle name="Normal 3 54" xfId="3415" xr:uid="{00000000-0005-0000-0000-0000936E0000}"/>
    <cellStyle name="Normal 3 54 2" xfId="3628" xr:uid="{00000000-0005-0000-0000-0000946E0000}"/>
    <cellStyle name="Normal 3 54 2 10" xfId="46573" xr:uid="{00000000-0005-0000-0000-0000956E0000}"/>
    <cellStyle name="Normal 3 54 2 11" xfId="47221" xr:uid="{00000000-0005-0000-0000-0000966E0000}"/>
    <cellStyle name="Normal 3 54 2 2" xfId="4056" xr:uid="{00000000-0005-0000-0000-0000976E0000}"/>
    <cellStyle name="Normal 3 54 2 2 2" xfId="5944" xr:uid="{00000000-0005-0000-0000-0000986E0000}"/>
    <cellStyle name="Normal 3 54 2 2 2 2" xfId="9359" xr:uid="{00000000-0005-0000-0000-0000996E0000}"/>
    <cellStyle name="Normal 3 54 2 2 2 2 2" xfId="11678" xr:uid="{00000000-0005-0000-0000-00009A6E0000}"/>
    <cellStyle name="Normal 3 54 2 2 2 2 2 2" xfId="34835" xr:uid="{00000000-0005-0000-0000-00009B6E0000}"/>
    <cellStyle name="Normal 3 54 2 2 2 2 3" xfId="28439" xr:uid="{00000000-0005-0000-0000-00009C6E0000}"/>
    <cellStyle name="Normal 3 54 2 2 2 3" xfId="20261" xr:uid="{00000000-0005-0000-0000-00009D6E0000}"/>
    <cellStyle name="Normal 3 54 2 2 2 3 2" xfId="36360" xr:uid="{00000000-0005-0000-0000-00009E6E0000}"/>
    <cellStyle name="Normal 3 54 2 2 2 4" xfId="31834" xr:uid="{00000000-0005-0000-0000-00009F6E0000}"/>
    <cellStyle name="Normal 3 54 2 2 3" xfId="7662" xr:uid="{00000000-0005-0000-0000-0000A06E0000}"/>
    <cellStyle name="Normal 3 54 2 2 3 2" xfId="20856" xr:uid="{00000000-0005-0000-0000-0000A16E0000}"/>
    <cellStyle name="Normal 3 54 2 2 3 2 2" xfId="36955" xr:uid="{00000000-0005-0000-0000-0000A26E0000}"/>
    <cellStyle name="Normal 3 54 2 2 3 3" xfId="30136" xr:uid="{00000000-0005-0000-0000-0000A36E0000}"/>
    <cellStyle name="Normal 3 54 2 2 4" xfId="19968" xr:uid="{00000000-0005-0000-0000-0000A46E0000}"/>
    <cellStyle name="Normal 3 54 2 2 4 2" xfId="36072" xr:uid="{00000000-0005-0000-0000-0000A56E0000}"/>
    <cellStyle name="Normal 3 54 2 2 5" xfId="33523" xr:uid="{00000000-0005-0000-0000-0000A66E0000}"/>
    <cellStyle name="Normal 3 54 2 2 6" xfId="44093" xr:uid="{00000000-0005-0000-0000-0000A76E0000}"/>
    <cellStyle name="Normal 3 54 2 3" xfId="4996" xr:uid="{00000000-0005-0000-0000-0000A86E0000}"/>
    <cellStyle name="Normal 3 54 2 3 2" xfId="6715" xr:uid="{00000000-0005-0000-0000-0000A96E0000}"/>
    <cellStyle name="Normal 3 54 2 3 2 2" xfId="10121" xr:uid="{00000000-0005-0000-0000-0000AA6E0000}"/>
    <cellStyle name="Normal 3 54 2 3 2 2 2" xfId="22026" xr:uid="{00000000-0005-0000-0000-0000AB6E0000}"/>
    <cellStyle name="Normal 3 54 2 3 2 2 2 2" xfId="38101" xr:uid="{00000000-0005-0000-0000-0000AC6E0000}"/>
    <cellStyle name="Normal 3 54 2 3 2 2 3" xfId="27678" xr:uid="{00000000-0005-0000-0000-0000AD6E0000}"/>
    <cellStyle name="Normal 3 54 2 3 2 3" xfId="11960" xr:uid="{00000000-0005-0000-0000-0000AE6E0000}"/>
    <cellStyle name="Normal 3 54 2 3 2 3 2" xfId="34982" xr:uid="{00000000-0005-0000-0000-0000AF6E0000}"/>
    <cellStyle name="Normal 3 54 2 3 2 4" xfId="31079" xr:uid="{00000000-0005-0000-0000-0000B06E0000}"/>
    <cellStyle name="Normal 3 54 2 3 3" xfId="8418" xr:uid="{00000000-0005-0000-0000-0000B16E0000}"/>
    <cellStyle name="Normal 3 54 2 3 3 2" xfId="10553" xr:uid="{00000000-0005-0000-0000-0000B26E0000}"/>
    <cellStyle name="Normal 3 54 2 3 3 2 2" xfId="34421" xr:uid="{00000000-0005-0000-0000-0000B36E0000}"/>
    <cellStyle name="Normal 3 54 2 3 3 3" xfId="29380" xr:uid="{00000000-0005-0000-0000-0000B46E0000}"/>
    <cellStyle name="Normal 3 54 2 3 4" xfId="19723" xr:uid="{00000000-0005-0000-0000-0000B56E0000}"/>
    <cellStyle name="Normal 3 54 2 3 4 2" xfId="35837" xr:uid="{00000000-0005-0000-0000-0000B66E0000}"/>
    <cellStyle name="Normal 3 54 2 3 5" xfId="32771" xr:uid="{00000000-0005-0000-0000-0000B76E0000}"/>
    <cellStyle name="Normal 3 54 2 4" xfId="5550" xr:uid="{00000000-0005-0000-0000-0000B86E0000}"/>
    <cellStyle name="Normal 3 54 2 4 2" xfId="8965" xr:uid="{00000000-0005-0000-0000-0000B96E0000}"/>
    <cellStyle name="Normal 3 54 2 4 2 2" xfId="21234" xr:uid="{00000000-0005-0000-0000-0000BA6E0000}"/>
    <cellStyle name="Normal 3 54 2 4 2 2 2" xfId="37314" xr:uid="{00000000-0005-0000-0000-0000BB6E0000}"/>
    <cellStyle name="Normal 3 54 2 4 2 3" xfId="28833" xr:uid="{00000000-0005-0000-0000-0000BC6E0000}"/>
    <cellStyle name="Normal 3 54 2 4 3" xfId="20116" xr:uid="{00000000-0005-0000-0000-0000BD6E0000}"/>
    <cellStyle name="Normal 3 54 2 4 3 2" xfId="36219" xr:uid="{00000000-0005-0000-0000-0000BE6E0000}"/>
    <cellStyle name="Normal 3 54 2 4 4" xfId="32224" xr:uid="{00000000-0005-0000-0000-0000BF6E0000}"/>
    <cellStyle name="Normal 3 54 2 5" xfId="7268" xr:uid="{00000000-0005-0000-0000-0000C06E0000}"/>
    <cellStyle name="Normal 3 54 2 5 2" xfId="20718" xr:uid="{00000000-0005-0000-0000-0000C16E0000}"/>
    <cellStyle name="Normal 3 54 2 5 2 2" xfId="36817" xr:uid="{00000000-0005-0000-0000-0000C26E0000}"/>
    <cellStyle name="Normal 3 54 2 5 3" xfId="30530" xr:uid="{00000000-0005-0000-0000-0000C36E0000}"/>
    <cellStyle name="Normal 3 54 2 6" xfId="21709" xr:uid="{00000000-0005-0000-0000-0000C46E0000}"/>
    <cellStyle name="Normal 3 54 2 6 2" xfId="37787" xr:uid="{00000000-0005-0000-0000-0000C56E0000}"/>
    <cellStyle name="Normal 3 54 2 7" xfId="25478" xr:uid="{00000000-0005-0000-0000-0000C66E0000}"/>
    <cellStyle name="Normal 3 54 2 8" xfId="33917" xr:uid="{00000000-0005-0000-0000-0000C76E0000}"/>
    <cellStyle name="Normal 3 54 2 9" xfId="43665" xr:uid="{00000000-0005-0000-0000-0000C86E0000}"/>
    <cellStyle name="Normal 3 54 3" xfId="3876" xr:uid="{00000000-0005-0000-0000-0000C96E0000}"/>
    <cellStyle name="Normal 3 54 3 2" xfId="5764" xr:uid="{00000000-0005-0000-0000-0000CA6E0000}"/>
    <cellStyle name="Normal 3 54 3 2 2" xfId="9179" xr:uid="{00000000-0005-0000-0000-0000CB6E0000}"/>
    <cellStyle name="Normal 3 54 3 2 2 2" xfId="24473" xr:uid="{00000000-0005-0000-0000-0000CC6E0000}"/>
    <cellStyle name="Normal 3 54 3 2 2 2 2" xfId="40517" xr:uid="{00000000-0005-0000-0000-0000CD6E0000}"/>
    <cellStyle name="Normal 3 54 3 2 2 3" xfId="28619" xr:uid="{00000000-0005-0000-0000-0000CE6E0000}"/>
    <cellStyle name="Normal 3 54 3 2 3" xfId="20195" xr:uid="{00000000-0005-0000-0000-0000CF6E0000}"/>
    <cellStyle name="Normal 3 54 3 2 3 2" xfId="36295" xr:uid="{00000000-0005-0000-0000-0000D06E0000}"/>
    <cellStyle name="Normal 3 54 3 2 4" xfId="32010" xr:uid="{00000000-0005-0000-0000-0000D16E0000}"/>
    <cellStyle name="Normal 3 54 3 3" xfId="7482" xr:uid="{00000000-0005-0000-0000-0000D26E0000}"/>
    <cellStyle name="Normal 3 54 3 3 2" xfId="20799" xr:uid="{00000000-0005-0000-0000-0000D36E0000}"/>
    <cellStyle name="Normal 3 54 3 3 2 2" xfId="36898" xr:uid="{00000000-0005-0000-0000-0000D46E0000}"/>
    <cellStyle name="Normal 3 54 3 3 3" xfId="30316" xr:uid="{00000000-0005-0000-0000-0000D56E0000}"/>
    <cellStyle name="Normal 3 54 3 4" xfId="19942" xr:uid="{00000000-0005-0000-0000-0000D66E0000}"/>
    <cellStyle name="Normal 3 54 3 4 2" xfId="36046" xr:uid="{00000000-0005-0000-0000-0000D76E0000}"/>
    <cellStyle name="Normal 3 54 3 5" xfId="33703" xr:uid="{00000000-0005-0000-0000-0000D86E0000}"/>
    <cellStyle name="Normal 3 54 4" xfId="4816" xr:uid="{00000000-0005-0000-0000-0000D96E0000}"/>
    <cellStyle name="Normal 3 54 4 2" xfId="6535" xr:uid="{00000000-0005-0000-0000-0000DA6E0000}"/>
    <cellStyle name="Normal 3 54 4 2 2" xfId="9941" xr:uid="{00000000-0005-0000-0000-0000DB6E0000}"/>
    <cellStyle name="Normal 3 54 4 2 2 2" xfId="22001" xr:uid="{00000000-0005-0000-0000-0000DC6E0000}"/>
    <cellStyle name="Normal 3 54 4 2 2 2 2" xfId="38076" xr:uid="{00000000-0005-0000-0000-0000DD6E0000}"/>
    <cellStyle name="Normal 3 54 4 2 2 3" xfId="27858" xr:uid="{00000000-0005-0000-0000-0000DE6E0000}"/>
    <cellStyle name="Normal 3 54 4 2 3" xfId="24059" xr:uid="{00000000-0005-0000-0000-0000DF6E0000}"/>
    <cellStyle name="Normal 3 54 4 2 3 2" xfId="40112" xr:uid="{00000000-0005-0000-0000-0000E06E0000}"/>
    <cellStyle name="Normal 3 54 4 2 4" xfId="31259" xr:uid="{00000000-0005-0000-0000-0000E16E0000}"/>
    <cellStyle name="Normal 3 54 4 3" xfId="8238" xr:uid="{00000000-0005-0000-0000-0000E26E0000}"/>
    <cellStyle name="Normal 3 54 4 3 2" xfId="21039" xr:uid="{00000000-0005-0000-0000-0000E36E0000}"/>
    <cellStyle name="Normal 3 54 4 3 2 2" xfId="37130" xr:uid="{00000000-0005-0000-0000-0000E46E0000}"/>
    <cellStyle name="Normal 3 54 4 3 3" xfId="29559" xr:uid="{00000000-0005-0000-0000-0000E56E0000}"/>
    <cellStyle name="Normal 3 54 4 4" xfId="22229" xr:uid="{00000000-0005-0000-0000-0000E66E0000}"/>
    <cellStyle name="Normal 3 54 4 4 2" xfId="38303" xr:uid="{00000000-0005-0000-0000-0000E76E0000}"/>
    <cellStyle name="Normal 3 54 4 5" xfId="32951" xr:uid="{00000000-0005-0000-0000-0000E86E0000}"/>
    <cellStyle name="Normal 3 54 5" xfId="5380" xr:uid="{00000000-0005-0000-0000-0000E96E0000}"/>
    <cellStyle name="Normal 3 54 5 2" xfId="8795" xr:uid="{00000000-0005-0000-0000-0000EA6E0000}"/>
    <cellStyle name="Normal 3 54 5 2 2" xfId="23728" xr:uid="{00000000-0005-0000-0000-0000EB6E0000}"/>
    <cellStyle name="Normal 3 54 5 2 2 2" xfId="39784" xr:uid="{00000000-0005-0000-0000-0000EC6E0000}"/>
    <cellStyle name="Normal 3 54 5 2 3" xfId="29003" xr:uid="{00000000-0005-0000-0000-0000ED6E0000}"/>
    <cellStyle name="Normal 3 54 5 3" xfId="22855" xr:uid="{00000000-0005-0000-0000-0000EE6E0000}"/>
    <cellStyle name="Normal 3 54 5 3 2" xfId="38924" xr:uid="{00000000-0005-0000-0000-0000EF6E0000}"/>
    <cellStyle name="Normal 3 54 5 4" xfId="32394" xr:uid="{00000000-0005-0000-0000-0000F06E0000}"/>
    <cellStyle name="Normal 3 54 6" xfId="7088" xr:uid="{00000000-0005-0000-0000-0000F16E0000}"/>
    <cellStyle name="Normal 3 54 6 2" xfId="24147" xr:uid="{00000000-0005-0000-0000-0000F26E0000}"/>
    <cellStyle name="Normal 3 54 6 2 2" xfId="40200" xr:uid="{00000000-0005-0000-0000-0000F36E0000}"/>
    <cellStyle name="Normal 3 54 6 3" xfId="30710" xr:uid="{00000000-0005-0000-0000-0000F46E0000}"/>
    <cellStyle name="Normal 3 54 7" xfId="18164" xr:uid="{00000000-0005-0000-0000-0000F56E0000}"/>
    <cellStyle name="Normal 3 54 8" xfId="19589" xr:uid="{00000000-0005-0000-0000-0000F66E0000}"/>
    <cellStyle name="Normal 3 54 8 2" xfId="35703" xr:uid="{00000000-0005-0000-0000-0000F76E0000}"/>
    <cellStyle name="Normal 3 54 9" xfId="34097" xr:uid="{00000000-0005-0000-0000-0000F86E0000}"/>
    <cellStyle name="Normal 3 55" xfId="3666" xr:uid="{00000000-0005-0000-0000-0000F96E0000}"/>
    <cellStyle name="Normal 3 55 2" xfId="5579" xr:uid="{00000000-0005-0000-0000-0000FA6E0000}"/>
    <cellStyle name="Normal 3 55 2 2" xfId="8994" xr:uid="{00000000-0005-0000-0000-0000FB6E0000}"/>
    <cellStyle name="Normal 3 55 2 2 2" xfId="23438" xr:uid="{00000000-0005-0000-0000-0000FC6E0000}"/>
    <cellStyle name="Normal 3 55 2 2 2 2" xfId="39494" xr:uid="{00000000-0005-0000-0000-0000FD6E0000}"/>
    <cellStyle name="Normal 3 55 2 2 3" xfId="28804" xr:uid="{00000000-0005-0000-0000-0000FE6E0000}"/>
    <cellStyle name="Normal 3 55 2 3" xfId="22877" xr:uid="{00000000-0005-0000-0000-0000FF6E0000}"/>
    <cellStyle name="Normal 3 55 2 3 2" xfId="38946" xr:uid="{00000000-0005-0000-0000-0000006F0000}"/>
    <cellStyle name="Normal 3 55 2 4" xfId="32195" xr:uid="{00000000-0005-0000-0000-0000016F0000}"/>
    <cellStyle name="Normal 3 55 3" xfId="7297" xr:uid="{00000000-0005-0000-0000-0000026F0000}"/>
    <cellStyle name="Normal 3 55 3 2" xfId="20729" xr:uid="{00000000-0005-0000-0000-0000036F0000}"/>
    <cellStyle name="Normal 3 55 3 2 2" xfId="36828" xr:uid="{00000000-0005-0000-0000-0000046F0000}"/>
    <cellStyle name="Normal 3 55 3 3" xfId="30501" xr:uid="{00000000-0005-0000-0000-0000056F0000}"/>
    <cellStyle name="Normal 3 55 4" xfId="18136" xr:uid="{00000000-0005-0000-0000-0000066F0000}"/>
    <cellStyle name="Normal 3 55 5" xfId="22678" xr:uid="{00000000-0005-0000-0000-0000076F0000}"/>
    <cellStyle name="Normal 3 55 5 2" xfId="38747" xr:uid="{00000000-0005-0000-0000-0000086F0000}"/>
    <cellStyle name="Normal 3 55 6" xfId="33888" xr:uid="{00000000-0005-0000-0000-0000096F0000}"/>
    <cellStyle name="Normal 3 56" xfId="3706" xr:uid="{00000000-0005-0000-0000-00000A6F0000}"/>
    <cellStyle name="Normal 3 56 2" xfId="5594" xr:uid="{00000000-0005-0000-0000-00000B6F0000}"/>
    <cellStyle name="Normal 3 56 2 2" xfId="9009" xr:uid="{00000000-0005-0000-0000-00000C6F0000}"/>
    <cellStyle name="Normal 3 56 2 2 2" xfId="23441" xr:uid="{00000000-0005-0000-0000-00000D6F0000}"/>
    <cellStyle name="Normal 3 56 2 2 2 2" xfId="39497" xr:uid="{00000000-0005-0000-0000-00000E6F0000}"/>
    <cellStyle name="Normal 3 56 2 2 3" xfId="28789" xr:uid="{00000000-0005-0000-0000-00000F6F0000}"/>
    <cellStyle name="Normal 3 56 2 3" xfId="22880" xr:uid="{00000000-0005-0000-0000-0000106F0000}"/>
    <cellStyle name="Normal 3 56 2 3 2" xfId="38949" xr:uid="{00000000-0005-0000-0000-0000116F0000}"/>
    <cellStyle name="Normal 3 56 2 4" xfId="32180" xr:uid="{00000000-0005-0000-0000-0000126F0000}"/>
    <cellStyle name="Normal 3 56 3" xfId="7312" xr:uid="{00000000-0005-0000-0000-0000136F0000}"/>
    <cellStyle name="Normal 3 56 3 2" xfId="23182" xr:uid="{00000000-0005-0000-0000-0000146F0000}"/>
    <cellStyle name="Normal 3 56 3 2 2" xfId="39251" xr:uid="{00000000-0005-0000-0000-0000156F0000}"/>
    <cellStyle name="Normal 3 56 3 3" xfId="30486" xr:uid="{00000000-0005-0000-0000-0000166F0000}"/>
    <cellStyle name="Normal 3 56 4" xfId="18048" xr:uid="{00000000-0005-0000-0000-0000176F0000}"/>
    <cellStyle name="Normal 3 56 5" xfId="19922" xr:uid="{00000000-0005-0000-0000-0000186F0000}"/>
    <cellStyle name="Normal 3 56 5 2" xfId="36026" xr:uid="{00000000-0005-0000-0000-0000196F0000}"/>
    <cellStyle name="Normal 3 56 6" xfId="33873" xr:uid="{00000000-0005-0000-0000-00001A6F0000}"/>
    <cellStyle name="Normal 3 57" xfId="3683" xr:uid="{00000000-0005-0000-0000-00001B6F0000}"/>
    <cellStyle name="Normal 3 57 2" xfId="5584" xr:uid="{00000000-0005-0000-0000-00001C6F0000}"/>
    <cellStyle name="Normal 3 57 2 2" xfId="8999" xr:uid="{00000000-0005-0000-0000-00001D6F0000}"/>
    <cellStyle name="Normal 3 57 2 2 2" xfId="23439" xr:uid="{00000000-0005-0000-0000-00001E6F0000}"/>
    <cellStyle name="Normal 3 57 2 2 2 2" xfId="39495" xr:uid="{00000000-0005-0000-0000-00001F6F0000}"/>
    <cellStyle name="Normal 3 57 2 2 3" xfId="28799" xr:uid="{00000000-0005-0000-0000-0000206F0000}"/>
    <cellStyle name="Normal 3 57 2 3" xfId="22258" xr:uid="{00000000-0005-0000-0000-0000216F0000}"/>
    <cellStyle name="Normal 3 57 2 3 2" xfId="38332" xr:uid="{00000000-0005-0000-0000-0000226F0000}"/>
    <cellStyle name="Normal 3 57 2 4" xfId="32190" xr:uid="{00000000-0005-0000-0000-0000236F0000}"/>
    <cellStyle name="Normal 3 57 3" xfId="7302" xr:uid="{00000000-0005-0000-0000-0000246F0000}"/>
    <cellStyle name="Normal 3 57 3 2" xfId="20731" xr:uid="{00000000-0005-0000-0000-0000256F0000}"/>
    <cellStyle name="Normal 3 57 3 2 2" xfId="36830" xr:uid="{00000000-0005-0000-0000-0000266F0000}"/>
    <cellStyle name="Normal 3 57 3 3" xfId="30496" xr:uid="{00000000-0005-0000-0000-0000276F0000}"/>
    <cellStyle name="Normal 3 57 4" xfId="18137" xr:uid="{00000000-0005-0000-0000-0000286F0000}"/>
    <cellStyle name="Normal 3 57 5" xfId="11081" xr:uid="{00000000-0005-0000-0000-0000296F0000}"/>
    <cellStyle name="Normal 3 57 5 2" xfId="34784" xr:uid="{00000000-0005-0000-0000-00002A6F0000}"/>
    <cellStyle name="Normal 3 57 6" xfId="33883" xr:uid="{00000000-0005-0000-0000-00002B6F0000}"/>
    <cellStyle name="Normal 3 58" xfId="3673" xr:uid="{00000000-0005-0000-0000-00002C6F0000}"/>
    <cellStyle name="Normal 3 58 2" xfId="5583" xr:uid="{00000000-0005-0000-0000-00002D6F0000}"/>
    <cellStyle name="Normal 3 58 2 2" xfId="8998" xr:uid="{00000000-0005-0000-0000-00002E6F0000}"/>
    <cellStyle name="Normal 3 58 2 2 2" xfId="21905" xr:uid="{00000000-0005-0000-0000-00002F6F0000}"/>
    <cellStyle name="Normal 3 58 2 2 2 2" xfId="37980" xr:uid="{00000000-0005-0000-0000-0000306F0000}"/>
    <cellStyle name="Normal 3 58 2 2 3" xfId="28800" xr:uid="{00000000-0005-0000-0000-0000316F0000}"/>
    <cellStyle name="Normal 3 58 2 3" xfId="23881" xr:uid="{00000000-0005-0000-0000-0000326F0000}"/>
    <cellStyle name="Normal 3 58 2 3 2" xfId="39937" xr:uid="{00000000-0005-0000-0000-0000336F0000}"/>
    <cellStyle name="Normal 3 58 2 4" xfId="32191" xr:uid="{00000000-0005-0000-0000-0000346F0000}"/>
    <cellStyle name="Normal 3 58 3" xfId="7301" xr:uid="{00000000-0005-0000-0000-0000356F0000}"/>
    <cellStyle name="Normal 3 58 3 2" xfId="20730" xr:uid="{00000000-0005-0000-0000-0000366F0000}"/>
    <cellStyle name="Normal 3 58 3 2 2" xfId="36829" xr:uid="{00000000-0005-0000-0000-0000376F0000}"/>
    <cellStyle name="Normal 3 58 3 3" xfId="30497" xr:uid="{00000000-0005-0000-0000-0000386F0000}"/>
    <cellStyle name="Normal 3 58 4" xfId="18047" xr:uid="{00000000-0005-0000-0000-0000396F0000}"/>
    <cellStyle name="Normal 3 58 5" xfId="11082" xr:uid="{00000000-0005-0000-0000-00003A6F0000}"/>
    <cellStyle name="Normal 3 58 5 2" xfId="34785" xr:uid="{00000000-0005-0000-0000-00003B6F0000}"/>
    <cellStyle name="Normal 3 58 6" xfId="33884" xr:uid="{00000000-0005-0000-0000-00003C6F0000}"/>
    <cellStyle name="Normal 3 59" xfId="3652" xr:uid="{00000000-0005-0000-0000-00003D6F0000}"/>
    <cellStyle name="Normal 3 59 2" xfId="5571" xr:uid="{00000000-0005-0000-0000-00003E6F0000}"/>
    <cellStyle name="Normal 3 59 2 2" xfId="8986" xr:uid="{00000000-0005-0000-0000-00003F6F0000}"/>
    <cellStyle name="Normal 3 59 2 2 2" xfId="21240" xr:uid="{00000000-0005-0000-0000-0000406F0000}"/>
    <cellStyle name="Normal 3 59 2 2 2 2" xfId="37320" xr:uid="{00000000-0005-0000-0000-0000416F0000}"/>
    <cellStyle name="Normal 3 59 2 2 3" xfId="28812" xr:uid="{00000000-0005-0000-0000-0000426F0000}"/>
    <cellStyle name="Normal 3 59 2 3" xfId="20125" xr:uid="{00000000-0005-0000-0000-0000436F0000}"/>
    <cellStyle name="Normal 3 59 2 3 2" xfId="36228" xr:uid="{00000000-0005-0000-0000-0000446F0000}"/>
    <cellStyle name="Normal 3 59 2 4" xfId="32203" xr:uid="{00000000-0005-0000-0000-0000456F0000}"/>
    <cellStyle name="Normal 3 59 3" xfId="7289" xr:uid="{00000000-0005-0000-0000-0000466F0000}"/>
    <cellStyle name="Normal 3 59 3 2" xfId="23178" xr:uid="{00000000-0005-0000-0000-0000476F0000}"/>
    <cellStyle name="Normal 3 59 3 2 2" xfId="39247" xr:uid="{00000000-0005-0000-0000-0000486F0000}"/>
    <cellStyle name="Normal 3 59 3 3" xfId="30509" xr:uid="{00000000-0005-0000-0000-0000496F0000}"/>
    <cellStyle name="Normal 3 59 4" xfId="18138" xr:uid="{00000000-0005-0000-0000-00004A6F0000}"/>
    <cellStyle name="Normal 3 59 5" xfId="12595" xr:uid="{00000000-0005-0000-0000-00004B6F0000}"/>
    <cellStyle name="Normal 3 59 5 2" xfId="35289" xr:uid="{00000000-0005-0000-0000-00004C6F0000}"/>
    <cellStyle name="Normal 3 59 6" xfId="33896" xr:uid="{00000000-0005-0000-0000-00004D6F0000}"/>
    <cellStyle name="Normal 3 6" xfId="1762" xr:uid="{00000000-0005-0000-0000-00004E6F0000}"/>
    <cellStyle name="Normal 3 6 2" xfId="1763" xr:uid="{00000000-0005-0000-0000-00004F6F0000}"/>
    <cellStyle name="Normal 3 6 2 2" xfId="12473" xr:uid="{00000000-0005-0000-0000-0000506F0000}"/>
    <cellStyle name="Normal 3 6 3" xfId="12474" xr:uid="{00000000-0005-0000-0000-0000516F0000}"/>
    <cellStyle name="Normal 3 60" xfId="3708" xr:uid="{00000000-0005-0000-0000-0000526F0000}"/>
    <cellStyle name="Normal 3 60 2" xfId="5596" xr:uid="{00000000-0005-0000-0000-0000536F0000}"/>
    <cellStyle name="Normal 3 60 2 2" xfId="9011" xr:uid="{00000000-0005-0000-0000-0000546F0000}"/>
    <cellStyle name="Normal 3 60 2 2 2" xfId="21250" xr:uid="{00000000-0005-0000-0000-0000556F0000}"/>
    <cellStyle name="Normal 3 60 2 2 2 2" xfId="37330" xr:uid="{00000000-0005-0000-0000-0000566F0000}"/>
    <cellStyle name="Normal 3 60 2 2 3" xfId="28787" xr:uid="{00000000-0005-0000-0000-0000576F0000}"/>
    <cellStyle name="Normal 3 60 2 3" xfId="20134" xr:uid="{00000000-0005-0000-0000-0000586F0000}"/>
    <cellStyle name="Normal 3 60 2 3 2" xfId="36237" xr:uid="{00000000-0005-0000-0000-0000596F0000}"/>
    <cellStyle name="Normal 3 60 2 4" xfId="32178" xr:uid="{00000000-0005-0000-0000-00005A6F0000}"/>
    <cellStyle name="Normal 3 60 3" xfId="7314" xr:uid="{00000000-0005-0000-0000-00005B6F0000}"/>
    <cellStyle name="Normal 3 60 3 2" xfId="24184" xr:uid="{00000000-0005-0000-0000-00005C6F0000}"/>
    <cellStyle name="Normal 3 60 3 2 2" xfId="40237" xr:uid="{00000000-0005-0000-0000-00005D6F0000}"/>
    <cellStyle name="Normal 3 60 3 3" xfId="30484" xr:uid="{00000000-0005-0000-0000-00005E6F0000}"/>
    <cellStyle name="Normal 3 60 4" xfId="18046" xr:uid="{00000000-0005-0000-0000-00005F6F0000}"/>
    <cellStyle name="Normal 3 60 5" xfId="22751" xr:uid="{00000000-0005-0000-0000-0000606F0000}"/>
    <cellStyle name="Normal 3 60 5 2" xfId="38820" xr:uid="{00000000-0005-0000-0000-0000616F0000}"/>
    <cellStyle name="Normal 3 60 6" xfId="33871" xr:uid="{00000000-0005-0000-0000-0000626F0000}"/>
    <cellStyle name="Normal 3 61" xfId="4114" xr:uid="{00000000-0005-0000-0000-0000636F0000}"/>
    <cellStyle name="Normal 3 61 2" xfId="5967" xr:uid="{00000000-0005-0000-0000-0000646F0000}"/>
    <cellStyle name="Normal 3 61 2 2" xfId="9382" xr:uid="{00000000-0005-0000-0000-0000656F0000}"/>
    <cellStyle name="Normal 3 61 2 2 2" xfId="21369" xr:uid="{00000000-0005-0000-0000-0000666F0000}"/>
    <cellStyle name="Normal 3 61 2 2 2 2" xfId="37449" xr:uid="{00000000-0005-0000-0000-0000676F0000}"/>
    <cellStyle name="Normal 3 61 2 2 3" xfId="28416" xr:uid="{00000000-0005-0000-0000-0000686F0000}"/>
    <cellStyle name="Normal 3 61 2 3" xfId="22948" xr:uid="{00000000-0005-0000-0000-0000696F0000}"/>
    <cellStyle name="Normal 3 61 2 3 2" xfId="39017" xr:uid="{00000000-0005-0000-0000-00006A6F0000}"/>
    <cellStyle name="Normal 3 61 2 4" xfId="31811" xr:uid="{00000000-0005-0000-0000-00006B6F0000}"/>
    <cellStyle name="Normal 3 61 3" xfId="7697" xr:uid="{00000000-0005-0000-0000-00006C6F0000}"/>
    <cellStyle name="Normal 3 61 3 2" xfId="20870" xr:uid="{00000000-0005-0000-0000-00006D6F0000}"/>
    <cellStyle name="Normal 3 61 3 2 2" xfId="36969" xr:uid="{00000000-0005-0000-0000-00006E6F0000}"/>
    <cellStyle name="Normal 3 61 3 3" xfId="30102" xr:uid="{00000000-0005-0000-0000-00006F6F0000}"/>
    <cellStyle name="Normal 3 61 4" xfId="18139" xr:uid="{00000000-0005-0000-0000-0000706F0000}"/>
    <cellStyle name="Normal 3 61 5" xfId="22639" xr:uid="{00000000-0005-0000-0000-0000716F0000}"/>
    <cellStyle name="Normal 3 61 5 2" xfId="38708" xr:uid="{00000000-0005-0000-0000-0000726F0000}"/>
    <cellStyle name="Normal 3 61 6" xfId="33488" xr:uid="{00000000-0005-0000-0000-0000736F0000}"/>
    <cellStyle name="Normal 3 62" xfId="4108" xr:uid="{00000000-0005-0000-0000-0000746F0000}"/>
    <cellStyle name="Normal 3 62 2" xfId="5961" xr:uid="{00000000-0005-0000-0000-0000756F0000}"/>
    <cellStyle name="Normal 3 62 2 2" xfId="9376" xr:uid="{00000000-0005-0000-0000-0000766F0000}"/>
    <cellStyle name="Normal 3 62 2 2 2" xfId="23500" xr:uid="{00000000-0005-0000-0000-0000776F0000}"/>
    <cellStyle name="Normal 3 62 2 2 2 2" xfId="39556" xr:uid="{00000000-0005-0000-0000-0000786F0000}"/>
    <cellStyle name="Normal 3 62 2 2 3" xfId="28422" xr:uid="{00000000-0005-0000-0000-0000796F0000}"/>
    <cellStyle name="Normal 3 62 2 3" xfId="22947" xr:uid="{00000000-0005-0000-0000-00007A6F0000}"/>
    <cellStyle name="Normal 3 62 2 3 2" xfId="39016" xr:uid="{00000000-0005-0000-0000-00007B6F0000}"/>
    <cellStyle name="Normal 3 62 2 4" xfId="31817" xr:uid="{00000000-0005-0000-0000-00007C6F0000}"/>
    <cellStyle name="Normal 3 62 3" xfId="7691" xr:uid="{00000000-0005-0000-0000-00007D6F0000}"/>
    <cellStyle name="Normal 3 62 3 2" xfId="20867" xr:uid="{00000000-0005-0000-0000-00007E6F0000}"/>
    <cellStyle name="Normal 3 62 3 2 2" xfId="36966" xr:uid="{00000000-0005-0000-0000-00007F6F0000}"/>
    <cellStyle name="Normal 3 62 3 3" xfId="30108" xr:uid="{00000000-0005-0000-0000-0000806F0000}"/>
    <cellStyle name="Normal 3 62 4" xfId="18045" xr:uid="{00000000-0005-0000-0000-0000816F0000}"/>
    <cellStyle name="Normal 3 62 5" xfId="23652" xr:uid="{00000000-0005-0000-0000-0000826F0000}"/>
    <cellStyle name="Normal 3 62 5 2" xfId="39708" xr:uid="{00000000-0005-0000-0000-0000836F0000}"/>
    <cellStyle name="Normal 3 62 6" xfId="33494" xr:uid="{00000000-0005-0000-0000-0000846F0000}"/>
    <cellStyle name="Normal 3 63" xfId="4110" xr:uid="{00000000-0005-0000-0000-0000856F0000}"/>
    <cellStyle name="Normal 3 63 2" xfId="5963" xr:uid="{00000000-0005-0000-0000-0000866F0000}"/>
    <cellStyle name="Normal 3 63 2 2" xfId="9378" xr:uid="{00000000-0005-0000-0000-0000876F0000}"/>
    <cellStyle name="Normal 3 63 2 2 2" xfId="21368" xr:uid="{00000000-0005-0000-0000-0000886F0000}"/>
    <cellStyle name="Normal 3 63 2 2 2 2" xfId="37448" xr:uid="{00000000-0005-0000-0000-0000896F0000}"/>
    <cellStyle name="Normal 3 63 2 2 3" xfId="28420" xr:uid="{00000000-0005-0000-0000-00008A6F0000}"/>
    <cellStyle name="Normal 3 63 2 3" xfId="20268" xr:uid="{00000000-0005-0000-0000-00008B6F0000}"/>
    <cellStyle name="Normal 3 63 2 3 2" xfId="36367" xr:uid="{00000000-0005-0000-0000-00008C6F0000}"/>
    <cellStyle name="Normal 3 63 2 4" xfId="31815" xr:uid="{00000000-0005-0000-0000-00008D6F0000}"/>
    <cellStyle name="Normal 3 63 3" xfId="7693" xr:uid="{00000000-0005-0000-0000-00008E6F0000}"/>
    <cellStyle name="Normal 3 63 3 2" xfId="24252" xr:uid="{00000000-0005-0000-0000-00008F6F0000}"/>
    <cellStyle name="Normal 3 63 3 2 2" xfId="40305" xr:uid="{00000000-0005-0000-0000-0000906F0000}"/>
    <cellStyle name="Normal 3 63 3 3" xfId="30106" xr:uid="{00000000-0005-0000-0000-0000916F0000}"/>
    <cellStyle name="Normal 3 63 4" xfId="18140" xr:uid="{00000000-0005-0000-0000-0000926F0000}"/>
    <cellStyle name="Normal 3 63 5" xfId="19973" xr:uid="{00000000-0005-0000-0000-0000936F0000}"/>
    <cellStyle name="Normal 3 63 5 2" xfId="36077" xr:uid="{00000000-0005-0000-0000-0000946F0000}"/>
    <cellStyle name="Normal 3 63 6" xfId="33492" xr:uid="{00000000-0005-0000-0000-0000956F0000}"/>
    <cellStyle name="Normal 3 64" xfId="4138" xr:uid="{00000000-0005-0000-0000-0000966F0000}"/>
    <cellStyle name="Normal 3 64 10" xfId="47224" xr:uid="{00000000-0005-0000-0000-0000976F0000}"/>
    <cellStyle name="Normal 3 64 2" xfId="5991" xr:uid="{00000000-0005-0000-0000-0000986F0000}"/>
    <cellStyle name="Normal 3 64 2 2" xfId="9406" xr:uid="{00000000-0005-0000-0000-0000996F0000}"/>
    <cellStyle name="Normal 3 64 2 2 2" xfId="23506" xr:uid="{00000000-0005-0000-0000-00009A6F0000}"/>
    <cellStyle name="Normal 3 64 2 2 2 2" xfId="39562" xr:uid="{00000000-0005-0000-0000-00009B6F0000}"/>
    <cellStyle name="Normal 3 64 2 2 3" xfId="28392" xr:uid="{00000000-0005-0000-0000-00009C6F0000}"/>
    <cellStyle name="Normal 3 64 2 3" xfId="22953" xr:uid="{00000000-0005-0000-0000-00009D6F0000}"/>
    <cellStyle name="Normal 3 64 2 3 2" xfId="39022" xr:uid="{00000000-0005-0000-0000-00009E6F0000}"/>
    <cellStyle name="Normal 3 64 2 4" xfId="31787" xr:uid="{00000000-0005-0000-0000-00009F6F0000}"/>
    <cellStyle name="Normal 3 64 2 5" xfId="41685" xr:uid="{00000000-0005-0000-0000-0000A06F0000}"/>
    <cellStyle name="Normal 3 64 2 6" xfId="43227" xr:uid="{00000000-0005-0000-0000-0000A16F0000}"/>
    <cellStyle name="Normal 3 64 2 7" xfId="46067" xr:uid="{00000000-0005-0000-0000-0000A26F0000}"/>
    <cellStyle name="Normal 3 64 2 8" xfId="46830" xr:uid="{00000000-0005-0000-0000-0000A36F0000}"/>
    <cellStyle name="Normal 3 64 2 9" xfId="47418" xr:uid="{00000000-0005-0000-0000-0000A46F0000}"/>
    <cellStyle name="Normal 3 64 3" xfId="7721" xr:uid="{00000000-0005-0000-0000-0000A56F0000}"/>
    <cellStyle name="Normal 3 64 3 2" xfId="20879" xr:uid="{00000000-0005-0000-0000-0000A66F0000}"/>
    <cellStyle name="Normal 3 64 3 2 2" xfId="36978" xr:uid="{00000000-0005-0000-0000-0000A76F0000}"/>
    <cellStyle name="Normal 3 64 3 3" xfId="30078" xr:uid="{00000000-0005-0000-0000-0000A86F0000}"/>
    <cellStyle name="Normal 3 64 3 4" xfId="44094" xr:uid="{00000000-0005-0000-0000-0000A96F0000}"/>
    <cellStyle name="Normal 3 64 4" xfId="15128" xr:uid="{00000000-0005-0000-0000-0000AA6F0000}"/>
    <cellStyle name="Normal 3 64 4 2" xfId="35321" xr:uid="{00000000-0005-0000-0000-0000AB6F0000}"/>
    <cellStyle name="Normal 3 64 5" xfId="24950" xr:uid="{00000000-0005-0000-0000-0000AC6F0000}"/>
    <cellStyle name="Normal 3 64 6" xfId="25479" xr:uid="{00000000-0005-0000-0000-0000AD6F0000}"/>
    <cellStyle name="Normal 3 64 7" xfId="33464" xr:uid="{00000000-0005-0000-0000-0000AE6F0000}"/>
    <cellStyle name="Normal 3 64 8" xfId="43679" xr:uid="{00000000-0005-0000-0000-0000AF6F0000}"/>
    <cellStyle name="Normal 3 64 9" xfId="46589" xr:uid="{00000000-0005-0000-0000-0000B06F0000}"/>
    <cellStyle name="Normal 3 65" xfId="4136" xr:uid="{00000000-0005-0000-0000-0000B16F0000}"/>
    <cellStyle name="Normal 3 65 10" xfId="47239" xr:uid="{00000000-0005-0000-0000-0000B26F0000}"/>
    <cellStyle name="Normal 3 65 2" xfId="5989" xr:uid="{00000000-0005-0000-0000-0000B36F0000}"/>
    <cellStyle name="Normal 3 65 2 2" xfId="9404" xr:uid="{00000000-0005-0000-0000-0000B46F0000}"/>
    <cellStyle name="Normal 3 65 2 2 2" xfId="24510" xr:uid="{00000000-0005-0000-0000-0000B56F0000}"/>
    <cellStyle name="Normal 3 65 2 2 2 2" xfId="40554" xr:uid="{00000000-0005-0000-0000-0000B66F0000}"/>
    <cellStyle name="Normal 3 65 2 2 3" xfId="28394" xr:uid="{00000000-0005-0000-0000-0000B76F0000}"/>
    <cellStyle name="Normal 3 65 2 3" xfId="23956" xr:uid="{00000000-0005-0000-0000-0000B86F0000}"/>
    <cellStyle name="Normal 3 65 2 3 2" xfId="40010" xr:uid="{00000000-0005-0000-0000-0000B96F0000}"/>
    <cellStyle name="Normal 3 65 2 4" xfId="31789" xr:uid="{00000000-0005-0000-0000-0000BA6F0000}"/>
    <cellStyle name="Normal 3 65 2 5" xfId="41998" xr:uid="{00000000-0005-0000-0000-0000BB6F0000}"/>
    <cellStyle name="Normal 3 65 2 6" xfId="43238" xr:uid="{00000000-0005-0000-0000-0000BC6F0000}"/>
    <cellStyle name="Normal 3 65 2 7" xfId="46084" xr:uid="{00000000-0005-0000-0000-0000BD6F0000}"/>
    <cellStyle name="Normal 3 65 2 8" xfId="46851" xr:uid="{00000000-0005-0000-0000-0000BE6F0000}"/>
    <cellStyle name="Normal 3 65 2 9" xfId="47435" xr:uid="{00000000-0005-0000-0000-0000BF6F0000}"/>
    <cellStyle name="Normal 3 65 3" xfId="7719" xr:uid="{00000000-0005-0000-0000-0000C06F0000}"/>
    <cellStyle name="Normal 3 65 3 2" xfId="21852" xr:uid="{00000000-0005-0000-0000-0000C16F0000}"/>
    <cellStyle name="Normal 3 65 3 2 2" xfId="37928" xr:uid="{00000000-0005-0000-0000-0000C26F0000}"/>
    <cellStyle name="Normal 3 65 3 3" xfId="30080" xr:uid="{00000000-0005-0000-0000-0000C36F0000}"/>
    <cellStyle name="Normal 3 65 3 4" xfId="44095" xr:uid="{00000000-0005-0000-0000-0000C46F0000}"/>
    <cellStyle name="Normal 3 65 4" xfId="15442" xr:uid="{00000000-0005-0000-0000-0000C56F0000}"/>
    <cellStyle name="Normal 3 65 4 2" xfId="35333" xr:uid="{00000000-0005-0000-0000-0000C66F0000}"/>
    <cellStyle name="Normal 3 65 5" xfId="24974" xr:uid="{00000000-0005-0000-0000-0000C76F0000}"/>
    <cellStyle name="Normal 3 65 6" xfId="25480" xr:uid="{00000000-0005-0000-0000-0000C86F0000}"/>
    <cellStyle name="Normal 3 65 7" xfId="33466" xr:uid="{00000000-0005-0000-0000-0000C96F0000}"/>
    <cellStyle name="Normal 3 65 8" xfId="43694" xr:uid="{00000000-0005-0000-0000-0000CA6F0000}"/>
    <cellStyle name="Normal 3 65 9" xfId="46612" xr:uid="{00000000-0005-0000-0000-0000CB6F0000}"/>
    <cellStyle name="Normal 3 66" xfId="4121" xr:uid="{00000000-0005-0000-0000-0000CC6F0000}"/>
    <cellStyle name="Normal 3 66 10" xfId="47414" xr:uid="{00000000-0005-0000-0000-0000CD6F0000}"/>
    <cellStyle name="Normal 3 66 2" xfId="5974" xr:uid="{00000000-0005-0000-0000-0000CE6F0000}"/>
    <cellStyle name="Normal 3 66 2 2" xfId="9389" xr:uid="{00000000-0005-0000-0000-0000CF6F0000}"/>
    <cellStyle name="Normal 3 66 2 2 2" xfId="24507" xr:uid="{00000000-0005-0000-0000-0000D06F0000}"/>
    <cellStyle name="Normal 3 66 2 2 2 2" xfId="40551" xr:uid="{00000000-0005-0000-0000-0000D16F0000}"/>
    <cellStyle name="Normal 3 66 2 2 3" xfId="28409" xr:uid="{00000000-0005-0000-0000-0000D26F0000}"/>
    <cellStyle name="Normal 3 66 2 3" xfId="20273" xr:uid="{00000000-0005-0000-0000-0000D36F0000}"/>
    <cellStyle name="Normal 3 66 2 3 2" xfId="36372" xr:uid="{00000000-0005-0000-0000-0000D46F0000}"/>
    <cellStyle name="Normal 3 66 2 4" xfId="31804" xr:uid="{00000000-0005-0000-0000-0000D56F0000}"/>
    <cellStyle name="Normal 3 66 2 5" xfId="43138" xr:uid="{00000000-0005-0000-0000-0000D66F0000}"/>
    <cellStyle name="Normal 3 66 2 6" xfId="43402" xr:uid="{00000000-0005-0000-0000-0000D76F0000}"/>
    <cellStyle name="Normal 3 66 2 7" xfId="46251" xr:uid="{00000000-0005-0000-0000-0000D86F0000}"/>
    <cellStyle name="Normal 3 66 2 8" xfId="47022" xr:uid="{00000000-0005-0000-0000-0000D96F0000}"/>
    <cellStyle name="Normal 3 66 2 9" xfId="47610" xr:uid="{00000000-0005-0000-0000-0000DA6F0000}"/>
    <cellStyle name="Normal 3 66 3" xfId="7704" xr:uid="{00000000-0005-0000-0000-0000DB6F0000}"/>
    <cellStyle name="Normal 3 66 3 2" xfId="21849" xr:uid="{00000000-0005-0000-0000-0000DC6F0000}"/>
    <cellStyle name="Normal 3 66 3 2 2" xfId="37925" xr:uid="{00000000-0005-0000-0000-0000DD6F0000}"/>
    <cellStyle name="Normal 3 66 3 3" xfId="30095" xr:uid="{00000000-0005-0000-0000-0000DE6F0000}"/>
    <cellStyle name="Normal 3 66 3 4" xfId="44096" xr:uid="{00000000-0005-0000-0000-0000DF6F0000}"/>
    <cellStyle name="Normal 3 66 4" xfId="19383" xr:uid="{00000000-0005-0000-0000-0000E06F0000}"/>
    <cellStyle name="Normal 3 66 4 2" xfId="35497" xr:uid="{00000000-0005-0000-0000-0000E16F0000}"/>
    <cellStyle name="Normal 3 66 5" xfId="25224" xr:uid="{00000000-0005-0000-0000-0000E26F0000}"/>
    <cellStyle name="Normal 3 66 6" xfId="25481" xr:uid="{00000000-0005-0000-0000-0000E36F0000}"/>
    <cellStyle name="Normal 3 66 7" xfId="33481" xr:uid="{00000000-0005-0000-0000-0000E46F0000}"/>
    <cellStyle name="Normal 3 66 8" xfId="43863" xr:uid="{00000000-0005-0000-0000-0000E56F0000}"/>
    <cellStyle name="Normal 3 66 9" xfId="46790" xr:uid="{00000000-0005-0000-0000-0000E66F0000}"/>
    <cellStyle name="Normal 3 67" xfId="4137" xr:uid="{00000000-0005-0000-0000-0000E76F0000}"/>
    <cellStyle name="Normal 3 67 10" xfId="47415" xr:uid="{00000000-0005-0000-0000-0000E86F0000}"/>
    <cellStyle name="Normal 3 67 2" xfId="5990" xr:uid="{00000000-0005-0000-0000-0000E96F0000}"/>
    <cellStyle name="Normal 3 67 2 2" xfId="9405" xr:uid="{00000000-0005-0000-0000-0000EA6F0000}"/>
    <cellStyle name="Normal 3 67 2 2 2" xfId="21948" xr:uid="{00000000-0005-0000-0000-0000EB6F0000}"/>
    <cellStyle name="Normal 3 67 2 2 2 2" xfId="38023" xr:uid="{00000000-0005-0000-0000-0000EC6F0000}"/>
    <cellStyle name="Normal 3 67 2 2 3" xfId="28393" xr:uid="{00000000-0005-0000-0000-0000ED6F0000}"/>
    <cellStyle name="Normal 3 67 2 3" xfId="22103" xr:uid="{00000000-0005-0000-0000-0000EE6F0000}"/>
    <cellStyle name="Normal 3 67 2 3 2" xfId="38177" xr:uid="{00000000-0005-0000-0000-0000EF6F0000}"/>
    <cellStyle name="Normal 3 67 2 4" xfId="31788" xr:uid="{00000000-0005-0000-0000-0000F06F0000}"/>
    <cellStyle name="Normal 3 67 2 5" xfId="43139" xr:uid="{00000000-0005-0000-0000-0000F16F0000}"/>
    <cellStyle name="Normal 3 67 2 6" xfId="43403" xr:uid="{00000000-0005-0000-0000-0000F26F0000}"/>
    <cellStyle name="Normal 3 67 2 7" xfId="46252" xr:uid="{00000000-0005-0000-0000-0000F36F0000}"/>
    <cellStyle name="Normal 3 67 2 8" xfId="47023" xr:uid="{00000000-0005-0000-0000-0000F46F0000}"/>
    <cellStyle name="Normal 3 67 2 9" xfId="47611" xr:uid="{00000000-0005-0000-0000-0000F56F0000}"/>
    <cellStyle name="Normal 3 67 3" xfId="7720" xr:uid="{00000000-0005-0000-0000-0000F66F0000}"/>
    <cellStyle name="Normal 3 67 3 2" xfId="23255" xr:uid="{00000000-0005-0000-0000-0000F76F0000}"/>
    <cellStyle name="Normal 3 67 3 2 2" xfId="39323" xr:uid="{00000000-0005-0000-0000-0000F86F0000}"/>
    <cellStyle name="Normal 3 67 3 3" xfId="30079" xr:uid="{00000000-0005-0000-0000-0000F96F0000}"/>
    <cellStyle name="Normal 3 67 3 4" xfId="44097" xr:uid="{00000000-0005-0000-0000-0000FA6F0000}"/>
    <cellStyle name="Normal 3 67 4" xfId="19384" xr:uid="{00000000-0005-0000-0000-0000FB6F0000}"/>
    <cellStyle name="Normal 3 67 4 2" xfId="35498" xr:uid="{00000000-0005-0000-0000-0000FC6F0000}"/>
    <cellStyle name="Normal 3 67 5" xfId="25225" xr:uid="{00000000-0005-0000-0000-0000FD6F0000}"/>
    <cellStyle name="Normal 3 67 6" xfId="25482" xr:uid="{00000000-0005-0000-0000-0000FE6F0000}"/>
    <cellStyle name="Normal 3 67 7" xfId="33465" xr:uid="{00000000-0005-0000-0000-0000FF6F0000}"/>
    <cellStyle name="Normal 3 67 8" xfId="43864" xr:uid="{00000000-0005-0000-0000-000000700000}"/>
    <cellStyle name="Normal 3 67 9" xfId="46791" xr:uid="{00000000-0005-0000-0000-000001700000}"/>
    <cellStyle name="Normal 3 68" xfId="4155" xr:uid="{00000000-0005-0000-0000-000002700000}"/>
    <cellStyle name="Normal 3 68 2" xfId="6006" xr:uid="{00000000-0005-0000-0000-000003700000}"/>
    <cellStyle name="Normal 3 68 2 2" xfId="9421" xr:uid="{00000000-0005-0000-0000-000004700000}"/>
    <cellStyle name="Normal 3 68 2 2 2" xfId="24512" xr:uid="{00000000-0005-0000-0000-000005700000}"/>
    <cellStyle name="Normal 3 68 2 2 2 2" xfId="40556" xr:uid="{00000000-0005-0000-0000-000006700000}"/>
    <cellStyle name="Normal 3 68 2 2 3" xfId="28377" xr:uid="{00000000-0005-0000-0000-000007700000}"/>
    <cellStyle name="Normal 3 68 2 3" xfId="22306" xr:uid="{00000000-0005-0000-0000-000008700000}"/>
    <cellStyle name="Normal 3 68 2 3 2" xfId="38378" xr:uid="{00000000-0005-0000-0000-000009700000}"/>
    <cellStyle name="Normal 3 68 2 4" xfId="31772" xr:uid="{00000000-0005-0000-0000-00000A700000}"/>
    <cellStyle name="Normal 3 68 3" xfId="7736" xr:uid="{00000000-0005-0000-0000-00000B700000}"/>
    <cellStyle name="Normal 3 68 3 2" xfId="20885" xr:uid="{00000000-0005-0000-0000-00000C700000}"/>
    <cellStyle name="Normal 3 68 3 2 2" xfId="36984" xr:uid="{00000000-0005-0000-0000-00000D700000}"/>
    <cellStyle name="Normal 3 68 3 3" xfId="30063" xr:uid="{00000000-0005-0000-0000-00000E700000}"/>
    <cellStyle name="Normal 3 68 4" xfId="22565" xr:uid="{00000000-0005-0000-0000-00000F700000}"/>
    <cellStyle name="Normal 3 68 4 2" xfId="38634" xr:uid="{00000000-0005-0000-0000-000010700000}"/>
    <cellStyle name="Normal 3 68 5" xfId="25483" xr:uid="{00000000-0005-0000-0000-000011700000}"/>
    <cellStyle name="Normal 3 68 6" xfId="33450" xr:uid="{00000000-0005-0000-0000-000012700000}"/>
    <cellStyle name="Normal 3 69" xfId="4191" xr:uid="{00000000-0005-0000-0000-000013700000}"/>
    <cellStyle name="Normal 3 69 2" xfId="6030" xr:uid="{00000000-0005-0000-0000-000014700000}"/>
    <cellStyle name="Normal 3 69 2 2" xfId="9445" xr:uid="{00000000-0005-0000-0000-000015700000}"/>
    <cellStyle name="Normal 3 69 2 2 2" xfId="19527" xr:uid="{00000000-0005-0000-0000-000016700000}"/>
    <cellStyle name="Normal 3 69 2 2 2 2" xfId="35641" xr:uid="{00000000-0005-0000-0000-000017700000}"/>
    <cellStyle name="Normal 3 69 2 2 3" xfId="28353" xr:uid="{00000000-0005-0000-0000-000018700000}"/>
    <cellStyle name="Normal 3 69 2 3" xfId="20293" xr:uid="{00000000-0005-0000-0000-000019700000}"/>
    <cellStyle name="Normal 3 69 2 3 2" xfId="36392" xr:uid="{00000000-0005-0000-0000-00001A700000}"/>
    <cellStyle name="Normal 3 69 2 4" xfId="31748" xr:uid="{00000000-0005-0000-0000-00001B700000}"/>
    <cellStyle name="Normal 3 69 3" xfId="7763" xr:uid="{00000000-0005-0000-0000-00001C700000}"/>
    <cellStyle name="Normal 3 69 3 2" xfId="21753" xr:uid="{00000000-0005-0000-0000-00001D700000}"/>
    <cellStyle name="Normal 3 69 3 2 2" xfId="37831" xr:uid="{00000000-0005-0000-0000-00001E700000}"/>
    <cellStyle name="Normal 3 69 3 3" xfId="30036" xr:uid="{00000000-0005-0000-0000-00001F700000}"/>
    <cellStyle name="Normal 3 69 4" xfId="19584" xr:uid="{00000000-0005-0000-0000-000020700000}"/>
    <cellStyle name="Normal 3 69 4 2" xfId="35698" xr:uid="{00000000-0005-0000-0000-000021700000}"/>
    <cellStyle name="Normal 3 69 5" xfId="25484" xr:uid="{00000000-0005-0000-0000-000022700000}"/>
    <cellStyle name="Normal 3 69 6" xfId="34308" xr:uid="{00000000-0005-0000-0000-000023700000}"/>
    <cellStyle name="Normal 3 7" xfId="1764" xr:uid="{00000000-0005-0000-0000-000024700000}"/>
    <cellStyle name="Normal 3 7 2" xfId="1765" xr:uid="{00000000-0005-0000-0000-000025700000}"/>
    <cellStyle name="Normal 3 7 2 2" xfId="12477" xr:uid="{00000000-0005-0000-0000-000026700000}"/>
    <cellStyle name="Normal 3 7 3" xfId="12478" xr:uid="{00000000-0005-0000-0000-000027700000}"/>
    <cellStyle name="Normal 3 70" xfId="4150" xr:uid="{00000000-0005-0000-0000-000028700000}"/>
    <cellStyle name="Normal 3 70 2" xfId="6001" xr:uid="{00000000-0005-0000-0000-000029700000}"/>
    <cellStyle name="Normal 3 70 2 2" xfId="9416" xr:uid="{00000000-0005-0000-0000-00002A700000}"/>
    <cellStyle name="Normal 3 70 2 2 2" xfId="10454" xr:uid="{00000000-0005-0000-0000-00002B700000}"/>
    <cellStyle name="Normal 3 70 2 2 2 2" xfId="34372" xr:uid="{00000000-0005-0000-0000-00002C700000}"/>
    <cellStyle name="Normal 3 70 2 2 3" xfId="28382" xr:uid="{00000000-0005-0000-0000-00002D700000}"/>
    <cellStyle name="Normal 3 70 2 3" xfId="22955" xr:uid="{00000000-0005-0000-0000-00002E700000}"/>
    <cellStyle name="Normal 3 70 2 3 2" xfId="39024" xr:uid="{00000000-0005-0000-0000-00002F700000}"/>
    <cellStyle name="Normal 3 70 2 4" xfId="31777" xr:uid="{00000000-0005-0000-0000-000030700000}"/>
    <cellStyle name="Normal 3 70 3" xfId="7731" xr:uid="{00000000-0005-0000-0000-000031700000}"/>
    <cellStyle name="Normal 3 70 3 2" xfId="24260" xr:uid="{00000000-0005-0000-0000-000032700000}"/>
    <cellStyle name="Normal 3 70 3 2 2" xfId="40313" xr:uid="{00000000-0005-0000-0000-000033700000}"/>
    <cellStyle name="Normal 3 70 3 3" xfId="30068" xr:uid="{00000000-0005-0000-0000-000034700000}"/>
    <cellStyle name="Normal 3 70 4" xfId="11001" xr:uid="{00000000-0005-0000-0000-000035700000}"/>
    <cellStyle name="Normal 3 70 4 2" xfId="34730" xr:uid="{00000000-0005-0000-0000-000036700000}"/>
    <cellStyle name="Normal 3 70 5" xfId="25485" xr:uid="{00000000-0005-0000-0000-000037700000}"/>
    <cellStyle name="Normal 3 70 6" xfId="33455" xr:uid="{00000000-0005-0000-0000-000038700000}"/>
    <cellStyle name="Normal 3 71" xfId="4162" xr:uid="{00000000-0005-0000-0000-000039700000}"/>
    <cellStyle name="Normal 3 71 2" xfId="6012" xr:uid="{00000000-0005-0000-0000-00003A700000}"/>
    <cellStyle name="Normal 3 71 2 2" xfId="9427" xr:uid="{00000000-0005-0000-0000-00003B700000}"/>
    <cellStyle name="Normal 3 71 2 2 2" xfId="21384" xr:uid="{00000000-0005-0000-0000-00003C700000}"/>
    <cellStyle name="Normal 3 71 2 2 2 2" xfId="37464" xr:uid="{00000000-0005-0000-0000-00003D700000}"/>
    <cellStyle name="Normal 3 71 2 2 3" xfId="28371" xr:uid="{00000000-0005-0000-0000-00003E700000}"/>
    <cellStyle name="Normal 3 71 2 3" xfId="20287" xr:uid="{00000000-0005-0000-0000-00003F700000}"/>
    <cellStyle name="Normal 3 71 2 3 2" xfId="36386" xr:uid="{00000000-0005-0000-0000-000040700000}"/>
    <cellStyle name="Normal 3 71 2 4" xfId="31766" xr:uid="{00000000-0005-0000-0000-000041700000}"/>
    <cellStyle name="Normal 3 71 3" xfId="7743" xr:uid="{00000000-0005-0000-0000-000042700000}"/>
    <cellStyle name="Normal 3 71 3 2" xfId="24262" xr:uid="{00000000-0005-0000-0000-000043700000}"/>
    <cellStyle name="Normal 3 71 3 2 2" xfId="40315" xr:uid="{00000000-0005-0000-0000-000044700000}"/>
    <cellStyle name="Normal 3 71 3 3" xfId="30056" xr:uid="{00000000-0005-0000-0000-000045700000}"/>
    <cellStyle name="Normal 3 71 4" xfId="22640" xr:uid="{00000000-0005-0000-0000-000046700000}"/>
    <cellStyle name="Normal 3 71 4 2" xfId="38709" xr:uid="{00000000-0005-0000-0000-000047700000}"/>
    <cellStyle name="Normal 3 71 5" xfId="25486" xr:uid="{00000000-0005-0000-0000-000048700000}"/>
    <cellStyle name="Normal 3 71 6" xfId="33443" xr:uid="{00000000-0005-0000-0000-000049700000}"/>
    <cellStyle name="Normal 3 72" xfId="4176" xr:uid="{00000000-0005-0000-0000-00004A700000}"/>
    <cellStyle name="Normal 3 72 2" xfId="6025" xr:uid="{00000000-0005-0000-0000-00004B700000}"/>
    <cellStyle name="Normal 3 72 2 2" xfId="9440" xr:uid="{00000000-0005-0000-0000-00004C700000}"/>
    <cellStyle name="Normal 3 72 2 2 2" xfId="11671" xr:uid="{00000000-0005-0000-0000-00004D700000}"/>
    <cellStyle name="Normal 3 72 2 2 2 2" xfId="34832" xr:uid="{00000000-0005-0000-0000-00004E700000}"/>
    <cellStyle name="Normal 3 72 2 2 3" xfId="28358" xr:uid="{00000000-0005-0000-0000-00004F700000}"/>
    <cellStyle name="Normal 3 72 2 3" xfId="22960" xr:uid="{00000000-0005-0000-0000-000050700000}"/>
    <cellStyle name="Normal 3 72 2 3 2" xfId="39029" xr:uid="{00000000-0005-0000-0000-000051700000}"/>
    <cellStyle name="Normal 3 72 2 4" xfId="31753" xr:uid="{00000000-0005-0000-0000-000052700000}"/>
    <cellStyle name="Normal 3 72 3" xfId="7757" xr:uid="{00000000-0005-0000-0000-000053700000}"/>
    <cellStyle name="Normal 3 72 3 2" xfId="24265" xr:uid="{00000000-0005-0000-0000-000054700000}"/>
    <cellStyle name="Normal 3 72 3 2 2" xfId="40318" xr:uid="{00000000-0005-0000-0000-000055700000}"/>
    <cellStyle name="Normal 3 72 3 3" xfId="30042" xr:uid="{00000000-0005-0000-0000-000056700000}"/>
    <cellStyle name="Normal 3 72 4" xfId="10993" xr:uid="{00000000-0005-0000-0000-000057700000}"/>
    <cellStyle name="Normal 3 72 4 2" xfId="34727" xr:uid="{00000000-0005-0000-0000-000058700000}"/>
    <cellStyle name="Normal 3 72 5" xfId="25487" xr:uid="{00000000-0005-0000-0000-000059700000}"/>
    <cellStyle name="Normal 3 72 6" xfId="33429" xr:uid="{00000000-0005-0000-0000-00005A700000}"/>
    <cellStyle name="Normal 3 73" xfId="4359" xr:uid="{00000000-0005-0000-0000-00005B700000}"/>
    <cellStyle name="Normal 3 73 2" xfId="6185" xr:uid="{00000000-0005-0000-0000-00005C700000}"/>
    <cellStyle name="Normal 3 73 2 2" xfId="9599" xr:uid="{00000000-0005-0000-0000-00005D700000}"/>
    <cellStyle name="Normal 3 73 2 2 2" xfId="24537" xr:uid="{00000000-0005-0000-0000-00005E700000}"/>
    <cellStyle name="Normal 3 73 2 2 2 2" xfId="40581" xr:uid="{00000000-0005-0000-0000-00005F700000}"/>
    <cellStyle name="Normal 3 73 2 2 3" xfId="28199" xr:uid="{00000000-0005-0000-0000-000060700000}"/>
    <cellStyle name="Normal 3 73 2 3" xfId="20354" xr:uid="{00000000-0005-0000-0000-000061700000}"/>
    <cellStyle name="Normal 3 73 2 3 2" xfId="36453" xr:uid="{00000000-0005-0000-0000-000062700000}"/>
    <cellStyle name="Normal 3 73 2 4" xfId="34295" xr:uid="{00000000-0005-0000-0000-000063700000}"/>
    <cellStyle name="Normal 3 73 3" xfId="7919" xr:uid="{00000000-0005-0000-0000-000064700000}"/>
    <cellStyle name="Normal 3 73 3 2" xfId="21862" xr:uid="{00000000-0005-0000-0000-000065700000}"/>
    <cellStyle name="Normal 3 73 3 2 2" xfId="37938" xr:uid="{00000000-0005-0000-0000-000066700000}"/>
    <cellStyle name="Normal 3 73 3 3" xfId="29880" xr:uid="{00000000-0005-0000-0000-000067700000}"/>
    <cellStyle name="Normal 3 73 4" xfId="10981" xr:uid="{00000000-0005-0000-0000-000068700000}"/>
    <cellStyle name="Normal 3 73 4 2" xfId="34715" xr:uid="{00000000-0005-0000-0000-000069700000}"/>
    <cellStyle name="Normal 3 73 5" xfId="25488" xr:uid="{00000000-0005-0000-0000-00006A700000}"/>
    <cellStyle name="Normal 3 73 6" xfId="33268" xr:uid="{00000000-0005-0000-0000-00006B700000}"/>
    <cellStyle name="Normal 3 74" xfId="4159" xr:uid="{00000000-0005-0000-0000-00006C700000}"/>
    <cellStyle name="Normal 3 74 2" xfId="6009" xr:uid="{00000000-0005-0000-0000-00006D700000}"/>
    <cellStyle name="Normal 3 74 2 2" xfId="9424" xr:uid="{00000000-0005-0000-0000-00006E700000}"/>
    <cellStyle name="Normal 3 74 2 2 2" xfId="10453" xr:uid="{00000000-0005-0000-0000-00006F700000}"/>
    <cellStyle name="Normal 3 74 2 2 2 2" xfId="34371" xr:uid="{00000000-0005-0000-0000-000070700000}"/>
    <cellStyle name="Normal 3 74 2 2 3" xfId="28374" xr:uid="{00000000-0005-0000-0000-000071700000}"/>
    <cellStyle name="Normal 3 74 2 3" xfId="23960" xr:uid="{00000000-0005-0000-0000-000072700000}"/>
    <cellStyle name="Normal 3 74 2 3 2" xfId="40014" xr:uid="{00000000-0005-0000-0000-000073700000}"/>
    <cellStyle name="Normal 3 74 2 4" xfId="31769" xr:uid="{00000000-0005-0000-0000-000074700000}"/>
    <cellStyle name="Normal 3 74 3" xfId="7740" xr:uid="{00000000-0005-0000-0000-000075700000}"/>
    <cellStyle name="Normal 3 74 3 2" xfId="23259" xr:uid="{00000000-0005-0000-0000-000076700000}"/>
    <cellStyle name="Normal 3 74 3 2 2" xfId="39327" xr:uid="{00000000-0005-0000-0000-000077700000}"/>
    <cellStyle name="Normal 3 74 3 3" xfId="30059" xr:uid="{00000000-0005-0000-0000-000078700000}"/>
    <cellStyle name="Normal 3 74 4" xfId="22804" xr:uid="{00000000-0005-0000-0000-000079700000}"/>
    <cellStyle name="Normal 3 74 4 2" xfId="38873" xr:uid="{00000000-0005-0000-0000-00007A700000}"/>
    <cellStyle name="Normal 3 74 5" xfId="25489" xr:uid="{00000000-0005-0000-0000-00007B700000}"/>
    <cellStyle name="Normal 3 74 6" xfId="33446" xr:uid="{00000000-0005-0000-0000-00007C700000}"/>
    <cellStyle name="Normal 3 75" xfId="4187" xr:uid="{00000000-0005-0000-0000-00007D700000}"/>
    <cellStyle name="Normal 3 75 2" xfId="6027" xr:uid="{00000000-0005-0000-0000-00007E700000}"/>
    <cellStyle name="Normal 3 75 2 2" xfId="9442" xr:uid="{00000000-0005-0000-0000-00007F700000}"/>
    <cellStyle name="Normal 3 75 2 2 2" xfId="21387" xr:uid="{00000000-0005-0000-0000-000080700000}"/>
    <cellStyle name="Normal 3 75 2 2 2 2" xfId="37467" xr:uid="{00000000-0005-0000-0000-000081700000}"/>
    <cellStyle name="Normal 3 75 2 2 3" xfId="28356" xr:uid="{00000000-0005-0000-0000-000082700000}"/>
    <cellStyle name="Normal 3 75 2 3" xfId="23964" xr:uid="{00000000-0005-0000-0000-000083700000}"/>
    <cellStyle name="Normal 3 75 2 3 2" xfId="40018" xr:uid="{00000000-0005-0000-0000-000084700000}"/>
    <cellStyle name="Normal 3 75 2 4" xfId="31751" xr:uid="{00000000-0005-0000-0000-000085700000}"/>
    <cellStyle name="Normal 3 75 3" xfId="7760" xr:uid="{00000000-0005-0000-0000-000086700000}"/>
    <cellStyle name="Normal 3 75 3 2" xfId="20894" xr:uid="{00000000-0005-0000-0000-000087700000}"/>
    <cellStyle name="Normal 3 75 3 2 2" xfId="36993" xr:uid="{00000000-0005-0000-0000-000088700000}"/>
    <cellStyle name="Normal 3 75 3 3" xfId="30039" xr:uid="{00000000-0005-0000-0000-000089700000}"/>
    <cellStyle name="Normal 3 75 4" xfId="23743" xr:uid="{00000000-0005-0000-0000-00008A700000}"/>
    <cellStyle name="Normal 3 75 4 2" xfId="39799" xr:uid="{00000000-0005-0000-0000-00008B700000}"/>
    <cellStyle name="Normal 3 75 5" xfId="25490" xr:uid="{00000000-0005-0000-0000-00008C700000}"/>
    <cellStyle name="Normal 3 75 6" xfId="33426" xr:uid="{00000000-0005-0000-0000-00008D700000}"/>
    <cellStyle name="Normal 3 76" xfId="4157" xr:uid="{00000000-0005-0000-0000-00008E700000}"/>
    <cellStyle name="Normal 3 76 2" xfId="6231" xr:uid="{00000000-0005-0000-0000-00008F700000}"/>
    <cellStyle name="Normal 3 76 2 2" xfId="9641" xr:uid="{00000000-0005-0000-0000-000090700000}"/>
    <cellStyle name="Normal 3 76 2 2 2" xfId="19415" xr:uid="{00000000-0005-0000-0000-000091700000}"/>
    <cellStyle name="Normal 3 76 2 2 2 2" xfId="35529" xr:uid="{00000000-0005-0000-0000-000092700000}"/>
    <cellStyle name="Normal 3 76 2 2 3" xfId="28158" xr:uid="{00000000-0005-0000-0000-000093700000}"/>
    <cellStyle name="Normal 3 76 2 3" xfId="20372" xr:uid="{00000000-0005-0000-0000-000094700000}"/>
    <cellStyle name="Normal 3 76 2 3 2" xfId="36471" xr:uid="{00000000-0005-0000-0000-000095700000}"/>
    <cellStyle name="Normal 3 76 2 4" xfId="31559" xr:uid="{00000000-0005-0000-0000-000096700000}"/>
    <cellStyle name="Normal 3 76 3" xfId="7738" xr:uid="{00000000-0005-0000-0000-000097700000}"/>
    <cellStyle name="Normal 3 76 3 2" xfId="24261" xr:uid="{00000000-0005-0000-0000-000098700000}"/>
    <cellStyle name="Normal 3 76 3 2 2" xfId="40314" xr:uid="{00000000-0005-0000-0000-000099700000}"/>
    <cellStyle name="Normal 3 76 3 3" xfId="30061" xr:uid="{00000000-0005-0000-0000-00009A700000}"/>
    <cellStyle name="Normal 3 76 4" xfId="19583" xr:uid="{00000000-0005-0000-0000-00009B700000}"/>
    <cellStyle name="Normal 3 76 4 2" xfId="35697" xr:uid="{00000000-0005-0000-0000-00009C700000}"/>
    <cellStyle name="Normal 3 76 5" xfId="25491" xr:uid="{00000000-0005-0000-0000-00009D700000}"/>
    <cellStyle name="Normal 3 76 6" xfId="33448" xr:uid="{00000000-0005-0000-0000-00009E700000}"/>
    <cellStyle name="Normal 3 77" xfId="4174" xr:uid="{00000000-0005-0000-0000-00009F700000}"/>
    <cellStyle name="Normal 3 77 2" xfId="6232" xr:uid="{00000000-0005-0000-0000-0000A0700000}"/>
    <cellStyle name="Normal 3 77 2 2" xfId="9642" xr:uid="{00000000-0005-0000-0000-0000A1700000}"/>
    <cellStyle name="Normal 3 77 2 2 2" xfId="11638" xr:uid="{00000000-0005-0000-0000-0000A2700000}"/>
    <cellStyle name="Normal 3 77 2 2 2 2" xfId="34815" xr:uid="{00000000-0005-0000-0000-0000A3700000}"/>
    <cellStyle name="Normal 3 77 2 2 3" xfId="28157" xr:uid="{00000000-0005-0000-0000-0000A4700000}"/>
    <cellStyle name="Normal 3 77 2 3" xfId="20373" xr:uid="{00000000-0005-0000-0000-0000A5700000}"/>
    <cellStyle name="Normal 3 77 2 3 2" xfId="36472" xr:uid="{00000000-0005-0000-0000-0000A6700000}"/>
    <cellStyle name="Normal 3 77 2 4" xfId="31558" xr:uid="{00000000-0005-0000-0000-0000A7700000}"/>
    <cellStyle name="Normal 3 77 3" xfId="7755" xr:uid="{00000000-0005-0000-0000-0000A8700000}"/>
    <cellStyle name="Normal 3 77 3 2" xfId="20892" xr:uid="{00000000-0005-0000-0000-0000A9700000}"/>
    <cellStyle name="Normal 3 77 3 2 2" xfId="36991" xr:uid="{00000000-0005-0000-0000-0000AA700000}"/>
    <cellStyle name="Normal 3 77 3 3" xfId="30044" xr:uid="{00000000-0005-0000-0000-0000AB700000}"/>
    <cellStyle name="Normal 3 77 4" xfId="12413" xr:uid="{00000000-0005-0000-0000-0000AC700000}"/>
    <cellStyle name="Normal 3 77 4 2" xfId="35225" xr:uid="{00000000-0005-0000-0000-0000AD700000}"/>
    <cellStyle name="Normal 3 77 5" xfId="25492" xr:uid="{00000000-0005-0000-0000-0000AE700000}"/>
    <cellStyle name="Normal 3 77 6" xfId="33431" xr:uid="{00000000-0005-0000-0000-0000AF700000}"/>
    <cellStyle name="Normal 3 78" xfId="4457" xr:uid="{00000000-0005-0000-0000-0000B0700000}"/>
    <cellStyle name="Normal 3 78 2" xfId="6254" xr:uid="{00000000-0005-0000-0000-0000B1700000}"/>
    <cellStyle name="Normal 3 78 2 2" xfId="9664" xr:uid="{00000000-0005-0000-0000-0000B2700000}"/>
    <cellStyle name="Normal 3 78 2 2 2" xfId="24544" xr:uid="{00000000-0005-0000-0000-0000B3700000}"/>
    <cellStyle name="Normal 3 78 2 2 2 2" xfId="40588" xr:uid="{00000000-0005-0000-0000-0000B4700000}"/>
    <cellStyle name="Normal 3 78 2 2 3" xfId="28135" xr:uid="{00000000-0005-0000-0000-0000B5700000}"/>
    <cellStyle name="Normal 3 78 2 3" xfId="23004" xr:uid="{00000000-0005-0000-0000-0000B6700000}"/>
    <cellStyle name="Normal 3 78 2 3 2" xfId="39073" xr:uid="{00000000-0005-0000-0000-0000B7700000}"/>
    <cellStyle name="Normal 3 78 2 4" xfId="31536" xr:uid="{00000000-0005-0000-0000-0000B8700000}"/>
    <cellStyle name="Normal 3 78 3" xfId="7960" xr:uid="{00000000-0005-0000-0000-0000B9700000}"/>
    <cellStyle name="Normal 3 78 3 2" xfId="22496" xr:uid="{00000000-0005-0000-0000-0000BA700000}"/>
    <cellStyle name="Normal 3 78 3 2 2" xfId="38568" xr:uid="{00000000-0005-0000-0000-0000BB700000}"/>
    <cellStyle name="Normal 3 78 3 3" xfId="29839" xr:uid="{00000000-0005-0000-0000-0000BC700000}"/>
    <cellStyle name="Normal 3 78 4" xfId="10976" xr:uid="{00000000-0005-0000-0000-0000BD700000}"/>
    <cellStyle name="Normal 3 78 4 2" xfId="34710" xr:uid="{00000000-0005-0000-0000-0000BE700000}"/>
    <cellStyle name="Normal 3 78 5" xfId="25493" xr:uid="{00000000-0005-0000-0000-0000BF700000}"/>
    <cellStyle name="Normal 3 78 6" xfId="33229" xr:uid="{00000000-0005-0000-0000-0000C0700000}"/>
    <cellStyle name="Normal 3 79" xfId="4441" xr:uid="{00000000-0005-0000-0000-0000C1700000}"/>
    <cellStyle name="Normal 3 79 2" xfId="6238" xr:uid="{00000000-0005-0000-0000-0000C2700000}"/>
    <cellStyle name="Normal 3 79 2 2" xfId="9648" xr:uid="{00000000-0005-0000-0000-0000C3700000}"/>
    <cellStyle name="Normal 3 79 2 2 2" xfId="11635" xr:uid="{00000000-0005-0000-0000-0000C4700000}"/>
    <cellStyle name="Normal 3 79 2 2 2 2" xfId="34814" xr:uid="{00000000-0005-0000-0000-0000C5700000}"/>
    <cellStyle name="Normal 3 79 2 2 3" xfId="28151" xr:uid="{00000000-0005-0000-0000-0000C6700000}"/>
    <cellStyle name="Normal 3 79 2 3" xfId="24003" xr:uid="{00000000-0005-0000-0000-0000C7700000}"/>
    <cellStyle name="Normal 3 79 2 3 2" xfId="40056" xr:uid="{00000000-0005-0000-0000-0000C8700000}"/>
    <cellStyle name="Normal 3 79 2 4" xfId="31552" xr:uid="{00000000-0005-0000-0000-0000C9700000}"/>
    <cellStyle name="Normal 3 79 3" xfId="7944" xr:uid="{00000000-0005-0000-0000-0000CA700000}"/>
    <cellStyle name="Normal 3 79 3 2" xfId="21762" xr:uid="{00000000-0005-0000-0000-0000CB700000}"/>
    <cellStyle name="Normal 3 79 3 2 2" xfId="37839" xr:uid="{00000000-0005-0000-0000-0000CC700000}"/>
    <cellStyle name="Normal 3 79 3 3" xfId="29855" xr:uid="{00000000-0005-0000-0000-0000CD700000}"/>
    <cellStyle name="Normal 3 79 4" xfId="12342" xr:uid="{00000000-0005-0000-0000-0000CE700000}"/>
    <cellStyle name="Normal 3 79 4 2" xfId="35201" xr:uid="{00000000-0005-0000-0000-0000CF700000}"/>
    <cellStyle name="Normal 3 79 5" xfId="25494" xr:uid="{00000000-0005-0000-0000-0000D0700000}"/>
    <cellStyle name="Normal 3 79 6" xfId="33244" xr:uid="{00000000-0005-0000-0000-0000D1700000}"/>
    <cellStyle name="Normal 3 8" xfId="1766" xr:uid="{00000000-0005-0000-0000-0000D2700000}"/>
    <cellStyle name="Normal 3 8 2" xfId="1767" xr:uid="{00000000-0005-0000-0000-0000D3700000}"/>
    <cellStyle name="Normal 3 8 2 2" xfId="12481" xr:uid="{00000000-0005-0000-0000-0000D4700000}"/>
    <cellStyle name="Normal 3 8 3" xfId="12482" xr:uid="{00000000-0005-0000-0000-0000D5700000}"/>
    <cellStyle name="Normal 3 80" xfId="4470" xr:uid="{00000000-0005-0000-0000-0000D6700000}"/>
    <cellStyle name="Normal 3 80 2" xfId="6267" xr:uid="{00000000-0005-0000-0000-0000D7700000}"/>
    <cellStyle name="Normal 3 80 2 2" xfId="9677" xr:uid="{00000000-0005-0000-0000-0000D8700000}"/>
    <cellStyle name="Normal 3 80 2 2 2" xfId="21451" xr:uid="{00000000-0005-0000-0000-0000D9700000}"/>
    <cellStyle name="Normal 3 80 2 2 2 2" xfId="37531" xr:uid="{00000000-0005-0000-0000-0000DA700000}"/>
    <cellStyle name="Normal 3 80 2 2 3" xfId="28122" xr:uid="{00000000-0005-0000-0000-0000DB700000}"/>
    <cellStyle name="Normal 3 80 2 3" xfId="22105" xr:uid="{00000000-0005-0000-0000-0000DC700000}"/>
    <cellStyle name="Normal 3 80 2 3 2" xfId="38179" xr:uid="{00000000-0005-0000-0000-0000DD700000}"/>
    <cellStyle name="Normal 3 80 2 4" xfId="31523" xr:uid="{00000000-0005-0000-0000-0000DE700000}"/>
    <cellStyle name="Normal 3 80 3" xfId="7973" xr:uid="{00000000-0005-0000-0000-0000DF700000}"/>
    <cellStyle name="Normal 3 80 3 2" xfId="21761" xr:uid="{00000000-0005-0000-0000-0000E0700000}"/>
    <cellStyle name="Normal 3 80 3 2 2" xfId="37838" xr:uid="{00000000-0005-0000-0000-0000E1700000}"/>
    <cellStyle name="Normal 3 80 3 3" xfId="29826" xr:uid="{00000000-0005-0000-0000-0000E2700000}"/>
    <cellStyle name="Normal 3 80 4" xfId="20017" xr:uid="{00000000-0005-0000-0000-0000E3700000}"/>
    <cellStyle name="Normal 3 80 4 2" xfId="36121" xr:uid="{00000000-0005-0000-0000-0000E4700000}"/>
    <cellStyle name="Normal 3 80 5" xfId="25495" xr:uid="{00000000-0005-0000-0000-0000E5700000}"/>
    <cellStyle name="Normal 3 80 6" xfId="33216" xr:uid="{00000000-0005-0000-0000-0000E6700000}"/>
    <cellStyle name="Normal 3 81" xfId="2271" xr:uid="{00000000-0005-0000-0000-0000E7700000}"/>
    <cellStyle name="Normal 3 81 2" xfId="6224" xr:uid="{00000000-0005-0000-0000-0000E8700000}"/>
    <cellStyle name="Normal 3 81 2 2" xfId="9638" xr:uid="{00000000-0005-0000-0000-0000E9700000}"/>
    <cellStyle name="Normal 3 81 2 2 2" xfId="11639" xr:uid="{00000000-0005-0000-0000-0000EA700000}"/>
    <cellStyle name="Normal 3 81 2 2 2 2" xfId="34816" xr:uid="{00000000-0005-0000-0000-0000EB700000}"/>
    <cellStyle name="Normal 3 81 2 2 3" xfId="28161" xr:uid="{00000000-0005-0000-0000-0000EC700000}"/>
    <cellStyle name="Normal 3 81 2 3" xfId="24001" xr:uid="{00000000-0005-0000-0000-0000ED700000}"/>
    <cellStyle name="Normal 3 81 2 3 2" xfId="40054" xr:uid="{00000000-0005-0000-0000-0000EE700000}"/>
    <cellStyle name="Normal 3 81 2 4" xfId="31562" xr:uid="{00000000-0005-0000-0000-0000EF700000}"/>
    <cellStyle name="Normal 3 81 3" xfId="7000" xr:uid="{00000000-0005-0000-0000-0000F0700000}"/>
    <cellStyle name="Normal 3 81 3 2" xfId="22406" xr:uid="{00000000-0005-0000-0000-0000F1700000}"/>
    <cellStyle name="Normal 3 81 3 2 2" xfId="38478" xr:uid="{00000000-0005-0000-0000-0000F2700000}"/>
    <cellStyle name="Normal 3 81 3 3" xfId="30798" xr:uid="{00000000-0005-0000-0000-0000F3700000}"/>
    <cellStyle name="Normal 3 81 4" xfId="11173" xr:uid="{00000000-0005-0000-0000-0000F4700000}"/>
    <cellStyle name="Normal 3 81 4 2" xfId="34796" xr:uid="{00000000-0005-0000-0000-0000F5700000}"/>
    <cellStyle name="Normal 3 81 5" xfId="34186" xr:uid="{00000000-0005-0000-0000-0000F6700000}"/>
    <cellStyle name="Normal 3 81 6" xfId="44078" xr:uid="{00000000-0005-0000-0000-0000F7700000}"/>
    <cellStyle name="Normal 3 82" xfId="4491" xr:uid="{00000000-0005-0000-0000-0000F8700000}"/>
    <cellStyle name="Normal 3 82 2" xfId="6284" xr:uid="{00000000-0005-0000-0000-0000F9700000}"/>
    <cellStyle name="Normal 3 82 2 2" xfId="9694" xr:uid="{00000000-0005-0000-0000-0000FA700000}"/>
    <cellStyle name="Normal 3 82 2 2 2" xfId="24550" xr:uid="{00000000-0005-0000-0000-0000FB700000}"/>
    <cellStyle name="Normal 3 82 2 2 2 2" xfId="40594" xr:uid="{00000000-0005-0000-0000-0000FC700000}"/>
    <cellStyle name="Normal 3 82 2 2 3" xfId="28105" xr:uid="{00000000-0005-0000-0000-0000FD700000}"/>
    <cellStyle name="Normal 3 82 2 3" xfId="23010" xr:uid="{00000000-0005-0000-0000-0000FE700000}"/>
    <cellStyle name="Normal 3 82 2 3 2" xfId="39079" xr:uid="{00000000-0005-0000-0000-0000FF700000}"/>
    <cellStyle name="Normal 3 82 2 4" xfId="31506" xr:uid="{00000000-0005-0000-0000-000000710000}"/>
    <cellStyle name="Normal 3 82 3" xfId="7990" xr:uid="{00000000-0005-0000-0000-000001710000}"/>
    <cellStyle name="Normal 3 82 3 2" xfId="19456" xr:uid="{00000000-0005-0000-0000-000002710000}"/>
    <cellStyle name="Normal 3 82 3 2 2" xfId="35570" xr:uid="{00000000-0005-0000-0000-000003710000}"/>
    <cellStyle name="Normal 3 82 3 3" xfId="29808" xr:uid="{00000000-0005-0000-0000-000004710000}"/>
    <cellStyle name="Normal 3 82 4" xfId="23824" xr:uid="{00000000-0005-0000-0000-000005710000}"/>
    <cellStyle name="Normal 3 82 4 2" xfId="39880" xr:uid="{00000000-0005-0000-0000-000006710000}"/>
    <cellStyle name="Normal 3 82 5" xfId="33199" xr:uid="{00000000-0005-0000-0000-000007710000}"/>
    <cellStyle name="Normal 3 82 6" xfId="45195" xr:uid="{00000000-0005-0000-0000-000008710000}"/>
    <cellStyle name="Normal 3 83" xfId="4473" xr:uid="{00000000-0005-0000-0000-000009710000}"/>
    <cellStyle name="Normal 3 83 2" xfId="6270" xr:uid="{00000000-0005-0000-0000-00000A710000}"/>
    <cellStyle name="Normal 3 83 2 2" xfId="9680" xr:uid="{00000000-0005-0000-0000-00000B710000}"/>
    <cellStyle name="Normal 3 83 2 2 2" xfId="24547" xr:uid="{00000000-0005-0000-0000-00000C710000}"/>
    <cellStyle name="Normal 3 83 2 2 2 2" xfId="40591" xr:uid="{00000000-0005-0000-0000-00000D710000}"/>
    <cellStyle name="Normal 3 83 2 2 3" xfId="28119" xr:uid="{00000000-0005-0000-0000-00000E710000}"/>
    <cellStyle name="Normal 3 83 2 3" xfId="20387" xr:uid="{00000000-0005-0000-0000-00000F710000}"/>
    <cellStyle name="Normal 3 83 2 3 2" xfId="36486" xr:uid="{00000000-0005-0000-0000-000010710000}"/>
    <cellStyle name="Normal 3 83 2 4" xfId="31520" xr:uid="{00000000-0005-0000-0000-000011710000}"/>
    <cellStyle name="Normal 3 83 3" xfId="7976" xr:uid="{00000000-0005-0000-0000-000012710000}"/>
    <cellStyle name="Normal 3 83 3 2" xfId="11609" xr:uid="{00000000-0005-0000-0000-000013710000}"/>
    <cellStyle name="Normal 3 83 3 2 2" xfId="34800" xr:uid="{00000000-0005-0000-0000-000014710000}"/>
    <cellStyle name="Normal 3 83 3 3" xfId="29823" xr:uid="{00000000-0005-0000-0000-000015710000}"/>
    <cellStyle name="Normal 3 83 4" xfId="12330" xr:uid="{00000000-0005-0000-0000-000016710000}"/>
    <cellStyle name="Normal 3 83 4 2" xfId="35195" xr:uid="{00000000-0005-0000-0000-000017710000}"/>
    <cellStyle name="Normal 3 83 5" xfId="33213" xr:uid="{00000000-0005-0000-0000-000018710000}"/>
    <cellStyle name="Normal 3 83 6" xfId="43876" xr:uid="{00000000-0005-0000-0000-000019710000}"/>
    <cellStyle name="Normal 3 84" xfId="4482" xr:uid="{00000000-0005-0000-0000-00001A710000}"/>
    <cellStyle name="Normal 3 84 2" xfId="6278" xr:uid="{00000000-0005-0000-0000-00001B710000}"/>
    <cellStyle name="Normal 3 84 2 2" xfId="9688" xr:uid="{00000000-0005-0000-0000-00001C710000}"/>
    <cellStyle name="Normal 3 84 2 2 2" xfId="21456" xr:uid="{00000000-0005-0000-0000-00001D710000}"/>
    <cellStyle name="Normal 3 84 2 2 2 2" xfId="37536" xr:uid="{00000000-0005-0000-0000-00001E710000}"/>
    <cellStyle name="Normal 3 84 2 2 3" xfId="28111" xr:uid="{00000000-0005-0000-0000-00001F710000}"/>
    <cellStyle name="Normal 3 84 2 3" xfId="23009" xr:uid="{00000000-0005-0000-0000-000020710000}"/>
    <cellStyle name="Normal 3 84 2 3 2" xfId="39078" xr:uid="{00000000-0005-0000-0000-000021710000}"/>
    <cellStyle name="Normal 3 84 2 4" xfId="31512" xr:uid="{00000000-0005-0000-0000-000022710000}"/>
    <cellStyle name="Normal 3 84 3" xfId="7984" xr:uid="{00000000-0005-0000-0000-000023710000}"/>
    <cellStyle name="Normal 3 84 3 2" xfId="10613" xr:uid="{00000000-0005-0000-0000-000024710000}"/>
    <cellStyle name="Normal 3 84 3 2 2" xfId="34461" xr:uid="{00000000-0005-0000-0000-000025710000}"/>
    <cellStyle name="Normal 3 84 3 3" xfId="29815" xr:uid="{00000000-0005-0000-0000-000026710000}"/>
    <cellStyle name="Normal 3 84 4" xfId="10961" xr:uid="{00000000-0005-0000-0000-000027710000}"/>
    <cellStyle name="Normal 3 84 4 2" xfId="34703" xr:uid="{00000000-0005-0000-0000-000028710000}"/>
    <cellStyle name="Normal 3 84 5" xfId="33205" xr:uid="{00000000-0005-0000-0000-000029710000}"/>
    <cellStyle name="Normal 3 84 6" xfId="46259" xr:uid="{00000000-0005-0000-0000-00002A710000}"/>
    <cellStyle name="Normal 3 85" xfId="4490" xr:uid="{00000000-0005-0000-0000-00002B710000}"/>
    <cellStyle name="Normal 3 85 2" xfId="6283" xr:uid="{00000000-0005-0000-0000-00002C710000}"/>
    <cellStyle name="Normal 3 85 2 2" xfId="9693" xr:uid="{00000000-0005-0000-0000-00002D710000}"/>
    <cellStyle name="Normal 3 85 2 2 2" xfId="21458" xr:uid="{00000000-0005-0000-0000-00002E710000}"/>
    <cellStyle name="Normal 3 85 2 2 2 2" xfId="37538" xr:uid="{00000000-0005-0000-0000-00002F710000}"/>
    <cellStyle name="Normal 3 85 2 2 3" xfId="28106" xr:uid="{00000000-0005-0000-0000-000030710000}"/>
    <cellStyle name="Normal 3 85 2 3" xfId="22123" xr:uid="{00000000-0005-0000-0000-000031710000}"/>
    <cellStyle name="Normal 3 85 2 3 2" xfId="38197" xr:uid="{00000000-0005-0000-0000-000032710000}"/>
    <cellStyle name="Normal 3 85 2 4" xfId="31507" xr:uid="{00000000-0005-0000-0000-000033710000}"/>
    <cellStyle name="Normal 3 85 3" xfId="7989" xr:uid="{00000000-0005-0000-0000-000034710000}"/>
    <cellStyle name="Normal 3 85 3 2" xfId="10612" xr:uid="{00000000-0005-0000-0000-000035710000}"/>
    <cellStyle name="Normal 3 85 3 2 2" xfId="34460" xr:uid="{00000000-0005-0000-0000-000036710000}"/>
    <cellStyle name="Normal 3 85 3 3" xfId="29809" xr:uid="{00000000-0005-0000-0000-000037710000}"/>
    <cellStyle name="Normal 3 85 4" xfId="12326" xr:uid="{00000000-0005-0000-0000-000038710000}"/>
    <cellStyle name="Normal 3 85 4 2" xfId="35193" xr:uid="{00000000-0005-0000-0000-000039710000}"/>
    <cellStyle name="Normal 3 85 5" xfId="33200" xr:uid="{00000000-0005-0000-0000-00003A710000}"/>
    <cellStyle name="Normal 3 85 6" xfId="43954" xr:uid="{00000000-0005-0000-0000-00003B710000}"/>
    <cellStyle name="Normal 3 86" xfId="4474" xr:uid="{00000000-0005-0000-0000-00003C710000}"/>
    <cellStyle name="Normal 3 86 2" xfId="6271" xr:uid="{00000000-0005-0000-0000-00003D710000}"/>
    <cellStyle name="Normal 3 86 2 2" xfId="9681" xr:uid="{00000000-0005-0000-0000-00003E710000}"/>
    <cellStyle name="Normal 3 86 2 2 2" xfId="22621" xr:uid="{00000000-0005-0000-0000-00003F710000}"/>
    <cellStyle name="Normal 3 86 2 2 2 2" xfId="38690" xr:uid="{00000000-0005-0000-0000-000040710000}"/>
    <cellStyle name="Normal 3 86 2 2 3" xfId="28118" xr:uid="{00000000-0005-0000-0000-000041710000}"/>
    <cellStyle name="Normal 3 86 2 3" xfId="20388" xr:uid="{00000000-0005-0000-0000-000042710000}"/>
    <cellStyle name="Normal 3 86 2 3 2" xfId="36487" xr:uid="{00000000-0005-0000-0000-000043710000}"/>
    <cellStyle name="Normal 3 86 2 4" xfId="31519" xr:uid="{00000000-0005-0000-0000-000044710000}"/>
    <cellStyle name="Normal 3 86 3" xfId="7977" xr:uid="{00000000-0005-0000-0000-000045710000}"/>
    <cellStyle name="Normal 3 86 3 2" xfId="11972" xr:uid="{00000000-0005-0000-0000-000046710000}"/>
    <cellStyle name="Normal 3 86 3 2 2" xfId="34994" xr:uid="{00000000-0005-0000-0000-000047710000}"/>
    <cellStyle name="Normal 3 86 3 3" xfId="29822" xr:uid="{00000000-0005-0000-0000-000048710000}"/>
    <cellStyle name="Normal 3 86 4" xfId="20018" xr:uid="{00000000-0005-0000-0000-000049710000}"/>
    <cellStyle name="Normal 3 86 4 2" xfId="36122" xr:uid="{00000000-0005-0000-0000-00004A710000}"/>
    <cellStyle name="Normal 3 86 5" xfId="33212" xr:uid="{00000000-0005-0000-0000-00004B710000}"/>
    <cellStyle name="Normal 3 86 6" xfId="46262" xr:uid="{00000000-0005-0000-0000-00004C710000}"/>
    <cellStyle name="Normal 3 87" xfId="4480" xr:uid="{00000000-0005-0000-0000-00004D710000}"/>
    <cellStyle name="Normal 3 87 2" xfId="6276" xr:uid="{00000000-0005-0000-0000-00004E710000}"/>
    <cellStyle name="Normal 3 87 2 2" xfId="9686" xr:uid="{00000000-0005-0000-0000-00004F710000}"/>
    <cellStyle name="Normal 3 87 2 2 2" xfId="23543" xr:uid="{00000000-0005-0000-0000-000050710000}"/>
    <cellStyle name="Normal 3 87 2 2 2 2" xfId="39599" xr:uid="{00000000-0005-0000-0000-000051710000}"/>
    <cellStyle name="Normal 3 87 2 2 3" xfId="28113" xr:uid="{00000000-0005-0000-0000-000052710000}"/>
    <cellStyle name="Normal 3 87 2 3" xfId="24011" xr:uid="{00000000-0005-0000-0000-000053710000}"/>
    <cellStyle name="Normal 3 87 2 3 2" xfId="40064" xr:uid="{00000000-0005-0000-0000-000054710000}"/>
    <cellStyle name="Normal 3 87 2 4" xfId="31514" xr:uid="{00000000-0005-0000-0000-000055710000}"/>
    <cellStyle name="Normal 3 87 3" xfId="7982" xr:uid="{00000000-0005-0000-0000-000056710000}"/>
    <cellStyle name="Normal 3 87 3 2" xfId="21728" xr:uid="{00000000-0005-0000-0000-000057710000}"/>
    <cellStyle name="Normal 3 87 3 2 2" xfId="37806" xr:uid="{00000000-0005-0000-0000-000058710000}"/>
    <cellStyle name="Normal 3 87 3 3" xfId="29817" xr:uid="{00000000-0005-0000-0000-000059710000}"/>
    <cellStyle name="Normal 3 87 4" xfId="22819" xr:uid="{00000000-0005-0000-0000-00005A710000}"/>
    <cellStyle name="Normal 3 87 4 2" xfId="38888" xr:uid="{00000000-0005-0000-0000-00005B710000}"/>
    <cellStyle name="Normal 3 87 5" xfId="33207" xr:uid="{00000000-0005-0000-0000-00005C710000}"/>
    <cellStyle name="Normal 3 87 6" xfId="45145" xr:uid="{00000000-0005-0000-0000-00005D710000}"/>
    <cellStyle name="Normal 3 88" xfId="4498" xr:uid="{00000000-0005-0000-0000-00005E710000}"/>
    <cellStyle name="Normal 3 88 2" xfId="6290" xr:uid="{00000000-0005-0000-0000-00005F710000}"/>
    <cellStyle name="Normal 3 88 2 2" xfId="9700" xr:uid="{00000000-0005-0000-0000-000060710000}"/>
    <cellStyle name="Normal 3 88 2 2 2" xfId="21802" xr:uid="{00000000-0005-0000-0000-000061710000}"/>
    <cellStyle name="Normal 3 88 2 2 2 2" xfId="37878" xr:uid="{00000000-0005-0000-0000-000062710000}"/>
    <cellStyle name="Normal 3 88 2 2 3" xfId="28099" xr:uid="{00000000-0005-0000-0000-000063710000}"/>
    <cellStyle name="Normal 3 88 2 3" xfId="20395" xr:uid="{00000000-0005-0000-0000-000064710000}"/>
    <cellStyle name="Normal 3 88 2 3 2" xfId="36494" xr:uid="{00000000-0005-0000-0000-000065710000}"/>
    <cellStyle name="Normal 3 88 2 4" xfId="31500" xr:uid="{00000000-0005-0000-0000-000066710000}"/>
    <cellStyle name="Normal 3 88 3" xfId="7996" xr:uid="{00000000-0005-0000-0000-000067710000}"/>
    <cellStyle name="Normal 3 88 3 2" xfId="11903" xr:uid="{00000000-0005-0000-0000-000068710000}"/>
    <cellStyle name="Normal 3 88 3 2 2" xfId="34939" xr:uid="{00000000-0005-0000-0000-000069710000}"/>
    <cellStyle name="Normal 3 88 3 3" xfId="29802" xr:uid="{00000000-0005-0000-0000-00006A710000}"/>
    <cellStyle name="Normal 3 88 4" xfId="12322" xr:uid="{00000000-0005-0000-0000-00006B710000}"/>
    <cellStyle name="Normal 3 88 4 2" xfId="35191" xr:uid="{00000000-0005-0000-0000-00006C710000}"/>
    <cellStyle name="Normal 3 88 5" xfId="33193" xr:uid="{00000000-0005-0000-0000-00006D710000}"/>
    <cellStyle name="Normal 3 88 6" xfId="46265" xr:uid="{00000000-0005-0000-0000-00006E710000}"/>
    <cellStyle name="Normal 3 89" xfId="4525" xr:uid="{00000000-0005-0000-0000-00006F710000}"/>
    <cellStyle name="Normal 3 89 2" xfId="6317" xr:uid="{00000000-0005-0000-0000-000070710000}"/>
    <cellStyle name="Normal 3 89 2 2" xfId="9727" xr:uid="{00000000-0005-0000-0000-000071710000}"/>
    <cellStyle name="Normal 3 89 2 2 2" xfId="10393" xr:uid="{00000000-0005-0000-0000-000072710000}"/>
    <cellStyle name="Normal 3 89 2 2 2 2" xfId="34341" xr:uid="{00000000-0005-0000-0000-000073710000}"/>
    <cellStyle name="Normal 3 89 2 2 3" xfId="28072" xr:uid="{00000000-0005-0000-0000-000074710000}"/>
    <cellStyle name="Normal 3 89 2 3" xfId="23015" xr:uid="{00000000-0005-0000-0000-000075710000}"/>
    <cellStyle name="Normal 3 89 2 3 2" xfId="39084" xr:uid="{00000000-0005-0000-0000-000076710000}"/>
    <cellStyle name="Normal 3 89 2 4" xfId="31473" xr:uid="{00000000-0005-0000-0000-000077710000}"/>
    <cellStyle name="Normal 3 89 3" xfId="8023" xr:uid="{00000000-0005-0000-0000-000078710000}"/>
    <cellStyle name="Normal 3 89 3 2" xfId="21699" xr:uid="{00000000-0005-0000-0000-000079710000}"/>
    <cellStyle name="Normal 3 89 3 2 2" xfId="37778" xr:uid="{00000000-0005-0000-0000-00007A710000}"/>
    <cellStyle name="Normal 3 89 3 3" xfId="29775" xr:uid="{00000000-0005-0000-0000-00007B710000}"/>
    <cellStyle name="Normal 3 89 4" xfId="19665" xr:uid="{00000000-0005-0000-0000-00007C710000}"/>
    <cellStyle name="Normal 3 89 4 2" xfId="35779" xr:uid="{00000000-0005-0000-0000-00007D710000}"/>
    <cellStyle name="Normal 3 89 5" xfId="33166" xr:uid="{00000000-0005-0000-0000-00007E710000}"/>
    <cellStyle name="Normal 3 89 6" xfId="44118" xr:uid="{00000000-0005-0000-0000-00007F710000}"/>
    <cellStyle name="Normal 3 9" xfId="1768" xr:uid="{00000000-0005-0000-0000-000080710000}"/>
    <cellStyle name="Normal 3 9 2" xfId="1769" xr:uid="{00000000-0005-0000-0000-000081710000}"/>
    <cellStyle name="Normal 3 9 2 2" xfId="12485" xr:uid="{00000000-0005-0000-0000-000082710000}"/>
    <cellStyle name="Normal 3 9 3" xfId="12486" xr:uid="{00000000-0005-0000-0000-000083710000}"/>
    <cellStyle name="Normal 3 90" xfId="4530" xr:uid="{00000000-0005-0000-0000-000084710000}"/>
    <cellStyle name="Normal 3 90 2" xfId="6322" xr:uid="{00000000-0005-0000-0000-000085710000}"/>
    <cellStyle name="Normal 3 90 2 2" xfId="9732" xr:uid="{00000000-0005-0000-0000-000086710000}"/>
    <cellStyle name="Normal 3 90 2 2 2" xfId="19419" xr:uid="{00000000-0005-0000-0000-000087710000}"/>
    <cellStyle name="Normal 3 90 2 2 2 2" xfId="35533" xr:uid="{00000000-0005-0000-0000-000088710000}"/>
    <cellStyle name="Normal 3 90 2 2 3" xfId="28067" xr:uid="{00000000-0005-0000-0000-000089710000}"/>
    <cellStyle name="Normal 3 90 2 3" xfId="20406" xr:uid="{00000000-0005-0000-0000-00008A710000}"/>
    <cellStyle name="Normal 3 90 2 3 2" xfId="36505" xr:uid="{00000000-0005-0000-0000-00008B710000}"/>
    <cellStyle name="Normal 3 90 2 4" xfId="31468" xr:uid="{00000000-0005-0000-0000-00008C710000}"/>
    <cellStyle name="Normal 3 90 3" xfId="8028" xr:uid="{00000000-0005-0000-0000-00008D710000}"/>
    <cellStyle name="Normal 3 90 3 2" xfId="20978" xr:uid="{00000000-0005-0000-0000-00008E710000}"/>
    <cellStyle name="Normal 3 90 3 2 2" xfId="37074" xr:uid="{00000000-0005-0000-0000-00008F710000}"/>
    <cellStyle name="Normal 3 90 3 3" xfId="29770" xr:uid="{00000000-0005-0000-0000-000090710000}"/>
    <cellStyle name="Normal 3 90 4" xfId="19667" xr:uid="{00000000-0005-0000-0000-000091710000}"/>
    <cellStyle name="Normal 3 90 4 2" xfId="35781" xr:uid="{00000000-0005-0000-0000-000092710000}"/>
    <cellStyle name="Normal 3 90 5" xfId="33161" xr:uid="{00000000-0005-0000-0000-000093710000}"/>
    <cellStyle name="Normal 3 90 6" xfId="45596" xr:uid="{00000000-0005-0000-0000-000094710000}"/>
    <cellStyle name="Normal 3 91" xfId="4536" xr:uid="{00000000-0005-0000-0000-000095710000}"/>
    <cellStyle name="Normal 3 91 2" xfId="6328" xr:uid="{00000000-0005-0000-0000-000096710000}"/>
    <cellStyle name="Normal 3 91 2 2" xfId="9738" xr:uid="{00000000-0005-0000-0000-000097710000}"/>
    <cellStyle name="Normal 3 91 2 2 2" xfId="23734" xr:uid="{00000000-0005-0000-0000-000098710000}"/>
    <cellStyle name="Normal 3 91 2 2 2 2" xfId="39790" xr:uid="{00000000-0005-0000-0000-000099710000}"/>
    <cellStyle name="Normal 3 91 2 2 3" xfId="28061" xr:uid="{00000000-0005-0000-0000-00009A710000}"/>
    <cellStyle name="Normal 3 91 2 3" xfId="20409" xr:uid="{00000000-0005-0000-0000-00009B710000}"/>
    <cellStyle name="Normal 3 91 2 3 2" xfId="36508" xr:uid="{00000000-0005-0000-0000-00009C710000}"/>
    <cellStyle name="Normal 3 91 2 4" xfId="31462" xr:uid="{00000000-0005-0000-0000-00009D710000}"/>
    <cellStyle name="Normal 3 91 3" xfId="8034" xr:uid="{00000000-0005-0000-0000-00009E710000}"/>
    <cellStyle name="Normal 3 91 3 2" xfId="23303" xr:uid="{00000000-0005-0000-0000-00009F710000}"/>
    <cellStyle name="Normal 3 91 3 2 2" xfId="39370" xr:uid="{00000000-0005-0000-0000-0000A0710000}"/>
    <cellStyle name="Normal 3 91 3 3" xfId="29764" xr:uid="{00000000-0005-0000-0000-0000A1710000}"/>
    <cellStyle name="Normal 3 91 4" xfId="10953" xr:uid="{00000000-0005-0000-0000-0000A2710000}"/>
    <cellStyle name="Normal 3 91 4 2" xfId="34695" xr:uid="{00000000-0005-0000-0000-0000A3710000}"/>
    <cellStyle name="Normal 3 91 5" xfId="33155" xr:uid="{00000000-0005-0000-0000-0000A4710000}"/>
    <cellStyle name="Normal 3 91 6" xfId="46255" xr:uid="{00000000-0005-0000-0000-0000A5710000}"/>
    <cellStyle name="Normal 3 92" xfId="4540" xr:uid="{00000000-0005-0000-0000-0000A6710000}"/>
    <cellStyle name="Normal 3 92 2" xfId="6332" xr:uid="{00000000-0005-0000-0000-0000A7710000}"/>
    <cellStyle name="Normal 3 92 2 2" xfId="9742" xr:uid="{00000000-0005-0000-0000-0000A8710000}"/>
    <cellStyle name="Normal 3 92 2 2 2" xfId="19420" xr:uid="{00000000-0005-0000-0000-0000A9710000}"/>
    <cellStyle name="Normal 3 92 2 2 2 2" xfId="35534" xr:uid="{00000000-0005-0000-0000-0000AA710000}"/>
    <cellStyle name="Normal 3 92 2 2 3" xfId="28057" xr:uid="{00000000-0005-0000-0000-0000AB710000}"/>
    <cellStyle name="Normal 3 92 2 3" xfId="20410" xr:uid="{00000000-0005-0000-0000-0000AC710000}"/>
    <cellStyle name="Normal 3 92 2 3 2" xfId="36509" xr:uid="{00000000-0005-0000-0000-0000AD710000}"/>
    <cellStyle name="Normal 3 92 2 4" xfId="31458" xr:uid="{00000000-0005-0000-0000-0000AE710000}"/>
    <cellStyle name="Normal 3 92 3" xfId="8038" xr:uid="{00000000-0005-0000-0000-0000AF710000}"/>
    <cellStyle name="Normal 3 92 3 2" xfId="20980" xr:uid="{00000000-0005-0000-0000-0000B0710000}"/>
    <cellStyle name="Normal 3 92 3 2 2" xfId="37076" xr:uid="{00000000-0005-0000-0000-0000B1710000}"/>
    <cellStyle name="Normal 3 92 3 3" xfId="29760" xr:uid="{00000000-0005-0000-0000-0000B2710000}"/>
    <cellStyle name="Normal 3 92 4" xfId="19668" xr:uid="{00000000-0005-0000-0000-0000B3710000}"/>
    <cellStyle name="Normal 3 92 4 2" xfId="35782" xr:uid="{00000000-0005-0000-0000-0000B4710000}"/>
    <cellStyle name="Normal 3 92 5" xfId="33151" xr:uid="{00000000-0005-0000-0000-0000B5710000}"/>
    <cellStyle name="Normal 3 92 6" xfId="46258" xr:uid="{00000000-0005-0000-0000-0000B6710000}"/>
    <cellStyle name="Normal 3 93" xfId="4546" xr:uid="{00000000-0005-0000-0000-0000B7710000}"/>
    <cellStyle name="Normal 3 93 2" xfId="6338" xr:uid="{00000000-0005-0000-0000-0000B8710000}"/>
    <cellStyle name="Normal 3 93 2 2" xfId="9748" xr:uid="{00000000-0005-0000-0000-0000B9710000}"/>
    <cellStyle name="Normal 3 93 2 2 2" xfId="23666" xr:uid="{00000000-0005-0000-0000-0000BA710000}"/>
    <cellStyle name="Normal 3 93 2 2 2 2" xfId="39722" xr:uid="{00000000-0005-0000-0000-0000BB710000}"/>
    <cellStyle name="Normal 3 93 2 2 3" xfId="28051" xr:uid="{00000000-0005-0000-0000-0000BC710000}"/>
    <cellStyle name="Normal 3 93 2 3" xfId="20413" xr:uid="{00000000-0005-0000-0000-0000BD710000}"/>
    <cellStyle name="Normal 3 93 2 3 2" xfId="36512" xr:uid="{00000000-0005-0000-0000-0000BE710000}"/>
    <cellStyle name="Normal 3 93 2 4" xfId="31452" xr:uid="{00000000-0005-0000-0000-0000BF710000}"/>
    <cellStyle name="Normal 3 93 3" xfId="8044" xr:uid="{00000000-0005-0000-0000-0000C0710000}"/>
    <cellStyle name="Normal 3 93 3 2" xfId="21656" xr:uid="{00000000-0005-0000-0000-0000C1710000}"/>
    <cellStyle name="Normal 3 93 3 2 2" xfId="37736" xr:uid="{00000000-0005-0000-0000-0000C2710000}"/>
    <cellStyle name="Normal 3 93 3 3" xfId="29754" xr:uid="{00000000-0005-0000-0000-0000C3710000}"/>
    <cellStyle name="Normal 3 93 4" xfId="12302" xr:uid="{00000000-0005-0000-0000-0000C4710000}"/>
    <cellStyle name="Normal 3 93 4 2" xfId="35178" xr:uid="{00000000-0005-0000-0000-0000C5710000}"/>
    <cellStyle name="Normal 3 93 5" xfId="33145" xr:uid="{00000000-0005-0000-0000-0000C6710000}"/>
    <cellStyle name="Normal 3 93 6" xfId="46269" xr:uid="{00000000-0005-0000-0000-0000C7710000}"/>
    <cellStyle name="Normal 3 94" xfId="4551" xr:uid="{00000000-0005-0000-0000-0000C8710000}"/>
    <cellStyle name="Normal 3 94 2" xfId="6343" xr:uid="{00000000-0005-0000-0000-0000C9710000}"/>
    <cellStyle name="Normal 3 94 2 2" xfId="9753" xr:uid="{00000000-0005-0000-0000-0000CA710000}"/>
    <cellStyle name="Normal 3 94 2 2 2" xfId="11614" xr:uid="{00000000-0005-0000-0000-0000CB710000}"/>
    <cellStyle name="Normal 3 94 2 2 2 2" xfId="34803" xr:uid="{00000000-0005-0000-0000-0000CC710000}"/>
    <cellStyle name="Normal 3 94 2 2 3" xfId="28046" xr:uid="{00000000-0005-0000-0000-0000CD710000}"/>
    <cellStyle name="Normal 3 94 2 3" xfId="20415" xr:uid="{00000000-0005-0000-0000-0000CE710000}"/>
    <cellStyle name="Normal 3 94 2 3 2" xfId="36514" xr:uid="{00000000-0005-0000-0000-0000CF710000}"/>
    <cellStyle name="Normal 3 94 2 4" xfId="31447" xr:uid="{00000000-0005-0000-0000-0000D0710000}"/>
    <cellStyle name="Normal 3 94 3" xfId="8049" xr:uid="{00000000-0005-0000-0000-0000D1710000}"/>
    <cellStyle name="Normal 3 94 3 2" xfId="24308" xr:uid="{00000000-0005-0000-0000-0000D2710000}"/>
    <cellStyle name="Normal 3 94 3 2 2" xfId="40359" xr:uid="{00000000-0005-0000-0000-0000D3710000}"/>
    <cellStyle name="Normal 3 94 3 3" xfId="29749" xr:uid="{00000000-0005-0000-0000-0000D4710000}"/>
    <cellStyle name="Normal 3 94 4" xfId="20026" xr:uid="{00000000-0005-0000-0000-0000D5710000}"/>
    <cellStyle name="Normal 3 94 4 2" xfId="36130" xr:uid="{00000000-0005-0000-0000-0000D6710000}"/>
    <cellStyle name="Normal 3 94 5" xfId="33140" xr:uid="{00000000-0005-0000-0000-0000D7710000}"/>
    <cellStyle name="Normal 3 94 6" xfId="46253" xr:uid="{00000000-0005-0000-0000-0000D8710000}"/>
    <cellStyle name="Normal 3 95" xfId="4503" xr:uid="{00000000-0005-0000-0000-0000D9710000}"/>
    <cellStyle name="Normal 3 95 2" xfId="6295" xr:uid="{00000000-0005-0000-0000-0000DA710000}"/>
    <cellStyle name="Normal 3 95 2 2" xfId="9705" xr:uid="{00000000-0005-0000-0000-0000DB710000}"/>
    <cellStyle name="Normal 3 95 2 2 2" xfId="21973" xr:uid="{00000000-0005-0000-0000-0000DC710000}"/>
    <cellStyle name="Normal 3 95 2 2 2 2" xfId="38048" xr:uid="{00000000-0005-0000-0000-0000DD710000}"/>
    <cellStyle name="Normal 3 95 2 2 3" xfId="28094" xr:uid="{00000000-0005-0000-0000-0000DE710000}"/>
    <cellStyle name="Normal 3 95 2 3" xfId="23012" xr:uid="{00000000-0005-0000-0000-0000DF710000}"/>
    <cellStyle name="Normal 3 95 2 3 2" xfId="39081" xr:uid="{00000000-0005-0000-0000-0000E0710000}"/>
    <cellStyle name="Normal 3 95 2 4" xfId="31495" xr:uid="{00000000-0005-0000-0000-0000E1710000}"/>
    <cellStyle name="Normal 3 95 3" xfId="8001" xr:uid="{00000000-0005-0000-0000-0000E2710000}"/>
    <cellStyle name="Normal 3 95 3 2" xfId="11902" xr:uid="{00000000-0005-0000-0000-0000E3710000}"/>
    <cellStyle name="Normal 3 95 3 2 2" xfId="34938" xr:uid="{00000000-0005-0000-0000-0000E4710000}"/>
    <cellStyle name="Normal 3 95 3 3" xfId="29797" xr:uid="{00000000-0005-0000-0000-0000E5710000}"/>
    <cellStyle name="Normal 3 95 4" xfId="12318" xr:uid="{00000000-0005-0000-0000-0000E6710000}"/>
    <cellStyle name="Normal 3 95 4 2" xfId="35189" xr:uid="{00000000-0005-0000-0000-0000E7710000}"/>
    <cellStyle name="Normal 3 95 5" xfId="33188" xr:uid="{00000000-0005-0000-0000-0000E8710000}"/>
    <cellStyle name="Normal 3 96" xfId="4545" xr:uid="{00000000-0005-0000-0000-0000E9710000}"/>
    <cellStyle name="Normal 3 96 2" xfId="6337" xr:uid="{00000000-0005-0000-0000-0000EA710000}"/>
    <cellStyle name="Normal 3 96 2 2" xfId="9747" xr:uid="{00000000-0005-0000-0000-0000EB710000}"/>
    <cellStyle name="Normal 3 96 2 2 2" xfId="10385" xr:uid="{00000000-0005-0000-0000-0000EC710000}"/>
    <cellStyle name="Normal 3 96 2 2 2 2" xfId="34337" xr:uid="{00000000-0005-0000-0000-0000ED710000}"/>
    <cellStyle name="Normal 3 96 2 2 3" xfId="28052" xr:uid="{00000000-0005-0000-0000-0000EE710000}"/>
    <cellStyle name="Normal 3 96 2 3" xfId="23019" xr:uid="{00000000-0005-0000-0000-0000EF710000}"/>
    <cellStyle name="Normal 3 96 2 3 2" xfId="39088" xr:uid="{00000000-0005-0000-0000-0000F0710000}"/>
    <cellStyle name="Normal 3 96 2 4" xfId="31453" xr:uid="{00000000-0005-0000-0000-0000F1710000}"/>
    <cellStyle name="Normal 3 96 3" xfId="8043" xr:uid="{00000000-0005-0000-0000-0000F2710000}"/>
    <cellStyle name="Normal 3 96 3 2" xfId="22501" xr:uid="{00000000-0005-0000-0000-0000F3710000}"/>
    <cellStyle name="Normal 3 96 3 2 2" xfId="38573" xr:uid="{00000000-0005-0000-0000-0000F4710000}"/>
    <cellStyle name="Normal 3 96 3 3" xfId="29755" xr:uid="{00000000-0005-0000-0000-0000F5710000}"/>
    <cellStyle name="Normal 3 96 4" xfId="23756" xr:uid="{00000000-0005-0000-0000-0000F6710000}"/>
    <cellStyle name="Normal 3 96 4 2" xfId="39812" xr:uid="{00000000-0005-0000-0000-0000F7710000}"/>
    <cellStyle name="Normal 3 96 5" xfId="33146" xr:uid="{00000000-0005-0000-0000-0000F8710000}"/>
    <cellStyle name="Normal 3 97" xfId="4523" xr:uid="{00000000-0005-0000-0000-0000F9710000}"/>
    <cellStyle name="Normal 3 97 2" xfId="6315" xr:uid="{00000000-0005-0000-0000-0000FA710000}"/>
    <cellStyle name="Normal 3 97 2 2" xfId="9725" xr:uid="{00000000-0005-0000-0000-0000FB710000}"/>
    <cellStyle name="Normal 3 97 2 2 2" xfId="24555" xr:uid="{00000000-0005-0000-0000-0000FC710000}"/>
    <cellStyle name="Normal 3 97 2 2 2 2" xfId="40599" xr:uid="{00000000-0005-0000-0000-0000FD710000}"/>
    <cellStyle name="Normal 3 97 2 2 3" xfId="28074" xr:uid="{00000000-0005-0000-0000-0000FE710000}"/>
    <cellStyle name="Normal 3 97 2 3" xfId="24017" xr:uid="{00000000-0005-0000-0000-0000FF710000}"/>
    <cellStyle name="Normal 3 97 2 3 2" xfId="40070" xr:uid="{00000000-0005-0000-0000-000000720000}"/>
    <cellStyle name="Normal 3 97 2 4" xfId="31475" xr:uid="{00000000-0005-0000-0000-000001720000}"/>
    <cellStyle name="Normal 3 97 3" xfId="8021" xr:uid="{00000000-0005-0000-0000-000002720000}"/>
    <cellStyle name="Normal 3 97 3 2" xfId="21730" xr:uid="{00000000-0005-0000-0000-000003720000}"/>
    <cellStyle name="Normal 3 97 3 2 2" xfId="37808" xr:uid="{00000000-0005-0000-0000-000004720000}"/>
    <cellStyle name="Normal 3 97 3 3" xfId="29777" xr:uid="{00000000-0005-0000-0000-000005720000}"/>
    <cellStyle name="Normal 3 97 4" xfId="12307" xr:uid="{00000000-0005-0000-0000-000006720000}"/>
    <cellStyle name="Normal 3 97 4 2" xfId="35183" xr:uid="{00000000-0005-0000-0000-000007720000}"/>
    <cellStyle name="Normal 3 97 5" xfId="33168" xr:uid="{00000000-0005-0000-0000-000008720000}"/>
    <cellStyle name="Normal 3 98" xfId="4550" xr:uid="{00000000-0005-0000-0000-000009720000}"/>
    <cellStyle name="Normal 3 98 2" xfId="6342" xr:uid="{00000000-0005-0000-0000-00000A720000}"/>
    <cellStyle name="Normal 3 98 2 2" xfId="9752" xr:uid="{00000000-0005-0000-0000-00000B720000}"/>
    <cellStyle name="Normal 3 98 2 2 2" xfId="19421" xr:uid="{00000000-0005-0000-0000-00000C720000}"/>
    <cellStyle name="Normal 3 98 2 2 2 2" xfId="35535" xr:uid="{00000000-0005-0000-0000-00000D720000}"/>
    <cellStyle name="Normal 3 98 2 2 3" xfId="28047" xr:uid="{00000000-0005-0000-0000-00000E720000}"/>
    <cellStyle name="Normal 3 98 2 3" xfId="20414" xr:uid="{00000000-0005-0000-0000-00000F720000}"/>
    <cellStyle name="Normal 3 98 2 3 2" xfId="36513" xr:uid="{00000000-0005-0000-0000-000010720000}"/>
    <cellStyle name="Normal 3 98 2 4" xfId="31448" xr:uid="{00000000-0005-0000-0000-000011720000}"/>
    <cellStyle name="Normal 3 98 3" xfId="8048" xr:uid="{00000000-0005-0000-0000-000012720000}"/>
    <cellStyle name="Normal 3 98 3 2" xfId="20984" xr:uid="{00000000-0005-0000-0000-000013720000}"/>
    <cellStyle name="Normal 3 98 3 2 2" xfId="37080" xr:uid="{00000000-0005-0000-0000-000014720000}"/>
    <cellStyle name="Normal 3 98 3 3" xfId="29750" xr:uid="{00000000-0005-0000-0000-000015720000}"/>
    <cellStyle name="Normal 3 98 4" xfId="20025" xr:uid="{00000000-0005-0000-0000-000016720000}"/>
    <cellStyle name="Normal 3 98 4 2" xfId="36129" xr:uid="{00000000-0005-0000-0000-000017720000}"/>
    <cellStyle name="Normal 3 98 5" xfId="33141" xr:uid="{00000000-0005-0000-0000-000018720000}"/>
    <cellStyle name="Normal 3 99" xfId="4557" xr:uid="{00000000-0005-0000-0000-000019720000}"/>
    <cellStyle name="Normal 3 99 2" xfId="6348" xr:uid="{00000000-0005-0000-0000-00001A720000}"/>
    <cellStyle name="Normal 3 99 2 2" xfId="9758" xr:uid="{00000000-0005-0000-0000-00001B720000}"/>
    <cellStyle name="Normal 3 99 2 2 2" xfId="23735" xr:uid="{00000000-0005-0000-0000-00001C720000}"/>
    <cellStyle name="Normal 3 99 2 2 2 2" xfId="39791" xr:uid="{00000000-0005-0000-0000-00001D720000}"/>
    <cellStyle name="Normal 3 99 2 2 3" xfId="28041" xr:uid="{00000000-0005-0000-0000-00001E720000}"/>
    <cellStyle name="Normal 3 99 2 3" xfId="20417" xr:uid="{00000000-0005-0000-0000-00001F720000}"/>
    <cellStyle name="Normal 3 99 2 3 2" xfId="36516" xr:uid="{00000000-0005-0000-0000-000020720000}"/>
    <cellStyle name="Normal 3 99 2 4" xfId="31442" xr:uid="{00000000-0005-0000-0000-000021720000}"/>
    <cellStyle name="Normal 3 99 3" xfId="8054" xr:uid="{00000000-0005-0000-0000-000022720000}"/>
    <cellStyle name="Normal 3 99 3 2" xfId="20987" xr:uid="{00000000-0005-0000-0000-000023720000}"/>
    <cellStyle name="Normal 3 99 3 2 2" xfId="37083" xr:uid="{00000000-0005-0000-0000-000024720000}"/>
    <cellStyle name="Normal 3 99 3 3" xfId="29744" xr:uid="{00000000-0005-0000-0000-000025720000}"/>
    <cellStyle name="Normal 3 99 4" xfId="22058" xr:uid="{00000000-0005-0000-0000-000026720000}"/>
    <cellStyle name="Normal 3 99 4 2" xfId="38132" xr:uid="{00000000-0005-0000-0000-000027720000}"/>
    <cellStyle name="Normal 3 99 5" xfId="33135" xr:uid="{00000000-0005-0000-0000-000028720000}"/>
    <cellStyle name="Normal 3_Ark1" xfId="3669" xr:uid="{00000000-0005-0000-0000-000029720000}"/>
    <cellStyle name="Normal 30" xfId="1770" xr:uid="{00000000-0005-0000-0000-00002A720000}"/>
    <cellStyle name="Normal 30 2" xfId="1771" xr:uid="{00000000-0005-0000-0000-00002B720000}"/>
    <cellStyle name="Normal 30 2 2" xfId="12490" xr:uid="{00000000-0005-0000-0000-00002C720000}"/>
    <cellStyle name="Normal 30 3" xfId="12491" xr:uid="{00000000-0005-0000-0000-00002D720000}"/>
    <cellStyle name="Normal 31" xfId="1772" xr:uid="{00000000-0005-0000-0000-00002E720000}"/>
    <cellStyle name="Normal 31 2" xfId="1773" xr:uid="{00000000-0005-0000-0000-00002F720000}"/>
    <cellStyle name="Normal 31 2 2" xfId="12494" xr:uid="{00000000-0005-0000-0000-000030720000}"/>
    <cellStyle name="Normal 31 3" xfId="12495" xr:uid="{00000000-0005-0000-0000-000031720000}"/>
    <cellStyle name="Normal 32" xfId="1774" xr:uid="{00000000-0005-0000-0000-000032720000}"/>
    <cellStyle name="Normal 32 2" xfId="1775" xr:uid="{00000000-0005-0000-0000-000033720000}"/>
    <cellStyle name="Normal 32 2 2" xfId="12498" xr:uid="{00000000-0005-0000-0000-000034720000}"/>
    <cellStyle name="Normal 32 3" xfId="12499" xr:uid="{00000000-0005-0000-0000-000035720000}"/>
    <cellStyle name="Normal 33" xfId="1776" xr:uid="{00000000-0005-0000-0000-000036720000}"/>
    <cellStyle name="Normal 33 2" xfId="1777" xr:uid="{00000000-0005-0000-0000-000037720000}"/>
    <cellStyle name="Normal 33 2 2" xfId="12502" xr:uid="{00000000-0005-0000-0000-000038720000}"/>
    <cellStyle name="Normal 33 3" xfId="12503" xr:uid="{00000000-0005-0000-0000-000039720000}"/>
    <cellStyle name="Normal 34" xfId="1778" xr:uid="{00000000-0005-0000-0000-00003A720000}"/>
    <cellStyle name="Normal 34 10" xfId="1779" xr:uid="{00000000-0005-0000-0000-00003B720000}"/>
    <cellStyle name="Normal 34 10 2" xfId="12506" xr:uid="{00000000-0005-0000-0000-00003C720000}"/>
    <cellStyle name="Normal 34 11" xfId="1780" xr:uid="{00000000-0005-0000-0000-00003D720000}"/>
    <cellStyle name="Normal 34 11 2" xfId="12508" xr:uid="{00000000-0005-0000-0000-00003E720000}"/>
    <cellStyle name="Normal 34 12" xfId="1781" xr:uid="{00000000-0005-0000-0000-00003F720000}"/>
    <cellStyle name="Normal 34 12 2" xfId="12510" xr:uid="{00000000-0005-0000-0000-000040720000}"/>
    <cellStyle name="Normal 34 13" xfId="1782" xr:uid="{00000000-0005-0000-0000-000041720000}"/>
    <cellStyle name="Normal 34 13 2" xfId="12512" xr:uid="{00000000-0005-0000-0000-000042720000}"/>
    <cellStyle name="Normal 34 14" xfId="1783" xr:uid="{00000000-0005-0000-0000-000043720000}"/>
    <cellStyle name="Normal 34 14 2" xfId="12514" xr:uid="{00000000-0005-0000-0000-000044720000}"/>
    <cellStyle name="Normal 34 15" xfId="1784" xr:uid="{00000000-0005-0000-0000-000045720000}"/>
    <cellStyle name="Normal 34 15 2" xfId="12516" xr:uid="{00000000-0005-0000-0000-000046720000}"/>
    <cellStyle name="Normal 34 16" xfId="1785" xr:uid="{00000000-0005-0000-0000-000047720000}"/>
    <cellStyle name="Normal 34 16 2" xfId="1786" xr:uid="{00000000-0005-0000-0000-000048720000}"/>
    <cellStyle name="Normal 34 16 2 2" xfId="12519" xr:uid="{00000000-0005-0000-0000-000049720000}"/>
    <cellStyle name="Normal 34 16 3" xfId="1787" xr:uid="{00000000-0005-0000-0000-00004A720000}"/>
    <cellStyle name="Normal 34 16 3 2" xfId="12521" xr:uid="{00000000-0005-0000-0000-00004B720000}"/>
    <cellStyle name="Normal 34 16 4" xfId="1788" xr:uid="{00000000-0005-0000-0000-00004C720000}"/>
    <cellStyle name="Normal 34 16 4 10" xfId="6988" xr:uid="{00000000-0005-0000-0000-00004D720000}"/>
    <cellStyle name="Normal 34 16 4 10 2" xfId="20623" xr:uid="{00000000-0005-0000-0000-00004E720000}"/>
    <cellStyle name="Normal 34 16 4 10 2 2" xfId="36722" xr:uid="{00000000-0005-0000-0000-00004F720000}"/>
    <cellStyle name="Normal 34 16 4 10 3" xfId="30810" xr:uid="{00000000-0005-0000-0000-000050720000}"/>
    <cellStyle name="Normal 34 16 4 11" xfId="12522" xr:uid="{00000000-0005-0000-0000-000051720000}"/>
    <cellStyle name="Normal 34 16 4 12" xfId="34198" xr:uid="{00000000-0005-0000-0000-000052720000}"/>
    <cellStyle name="Normal 34 16 4 2" xfId="3382" xr:uid="{00000000-0005-0000-0000-000053720000}"/>
    <cellStyle name="Normal 34 16 4 2 10" xfId="34115" xr:uid="{00000000-0005-0000-0000-000054720000}"/>
    <cellStyle name="Normal 34 16 4 2 2" xfId="3608" xr:uid="{00000000-0005-0000-0000-000055720000}"/>
    <cellStyle name="Normal 34 16 4 2 2 10" xfId="47207" xr:uid="{00000000-0005-0000-0000-000056720000}"/>
    <cellStyle name="Normal 34 16 4 2 2 2" xfId="4038" xr:uid="{00000000-0005-0000-0000-000057720000}"/>
    <cellStyle name="Normal 34 16 4 2 2 2 2" xfId="5926" xr:uid="{00000000-0005-0000-0000-000058720000}"/>
    <cellStyle name="Normal 34 16 4 2 2 2 2 2" xfId="9341" xr:uid="{00000000-0005-0000-0000-000059720000}"/>
    <cellStyle name="Normal 34 16 4 2 2 2 2 2 2" xfId="21355" xr:uid="{00000000-0005-0000-0000-00005A720000}"/>
    <cellStyle name="Normal 34 16 4 2 2 2 2 2 2 2" xfId="37435" xr:uid="{00000000-0005-0000-0000-00005B720000}"/>
    <cellStyle name="Normal 34 16 4 2 2 2 2 2 3" xfId="28457" xr:uid="{00000000-0005-0000-0000-00005C720000}"/>
    <cellStyle name="Normal 34 16 4 2 2 2 2 3" xfId="22293" xr:uid="{00000000-0005-0000-0000-00005D720000}"/>
    <cellStyle name="Normal 34 16 4 2 2 2 2 3 2" xfId="38365" xr:uid="{00000000-0005-0000-0000-00005E720000}"/>
    <cellStyle name="Normal 34 16 4 2 2 2 2 4" xfId="31850" xr:uid="{00000000-0005-0000-0000-00005F720000}"/>
    <cellStyle name="Normal 34 16 4 2 2 2 3" xfId="7644" xr:uid="{00000000-0005-0000-0000-000060720000}"/>
    <cellStyle name="Normal 34 16 4 2 2 2 3 2" xfId="22212" xr:uid="{00000000-0005-0000-0000-000061720000}"/>
    <cellStyle name="Normal 34 16 4 2 2 2 3 2 2" xfId="38286" xr:uid="{00000000-0005-0000-0000-000062720000}"/>
    <cellStyle name="Normal 34 16 4 2 2 2 3 3" xfId="30154" xr:uid="{00000000-0005-0000-0000-000063720000}"/>
    <cellStyle name="Normal 34 16 4 2 2 2 4" xfId="18184" xr:uid="{00000000-0005-0000-0000-000064720000}"/>
    <cellStyle name="Normal 34 16 4 2 2 2 5" xfId="11033" xr:uid="{00000000-0005-0000-0000-000065720000}"/>
    <cellStyle name="Normal 34 16 4 2 2 2 5 2" xfId="34741" xr:uid="{00000000-0005-0000-0000-000066720000}"/>
    <cellStyle name="Normal 34 16 4 2 2 2 6" xfId="33541" xr:uid="{00000000-0005-0000-0000-000067720000}"/>
    <cellStyle name="Normal 34 16 4 2 2 3" xfId="4978" xr:uid="{00000000-0005-0000-0000-000068720000}"/>
    <cellStyle name="Normal 34 16 4 2 2 3 10" xfId="47397" xr:uid="{00000000-0005-0000-0000-000069720000}"/>
    <cellStyle name="Normal 34 16 4 2 2 3 2" xfId="6697" xr:uid="{00000000-0005-0000-0000-00006A720000}"/>
    <cellStyle name="Normal 34 16 4 2 2 3 2 2" xfId="10103" xr:uid="{00000000-0005-0000-0000-00006B720000}"/>
    <cellStyle name="Normal 34 16 4 2 2 3 2 2 2" xfId="21607" xr:uid="{00000000-0005-0000-0000-00006C720000}"/>
    <cellStyle name="Normal 34 16 4 2 2 3 2 2 2 2" xfId="37687" xr:uid="{00000000-0005-0000-0000-00006D720000}"/>
    <cellStyle name="Normal 34 16 4 2 2 3 2 2 3" xfId="27696" xr:uid="{00000000-0005-0000-0000-00006E720000}"/>
    <cellStyle name="Normal 34 16 4 2 2 3 2 3" xfId="24087" xr:uid="{00000000-0005-0000-0000-00006F720000}"/>
    <cellStyle name="Normal 34 16 4 2 2 3 2 3 2" xfId="40140" xr:uid="{00000000-0005-0000-0000-000070720000}"/>
    <cellStyle name="Normal 34 16 4 2 2 3 2 4" xfId="31097" xr:uid="{00000000-0005-0000-0000-000071720000}"/>
    <cellStyle name="Normal 34 16 4 2 2 3 2 5" xfId="43094" xr:uid="{00000000-0005-0000-0000-000072720000}"/>
    <cellStyle name="Normal 34 16 4 2 2 3 2 6" xfId="43388" xr:uid="{00000000-0005-0000-0000-000073720000}"/>
    <cellStyle name="Normal 34 16 4 2 2 3 2 7" xfId="46236" xr:uid="{00000000-0005-0000-0000-000074720000}"/>
    <cellStyle name="Normal 34 16 4 2 2 3 2 8" xfId="47008" xr:uid="{00000000-0005-0000-0000-000075720000}"/>
    <cellStyle name="Normal 34 16 4 2 2 3 2 9" xfId="47593" xr:uid="{00000000-0005-0000-0000-000076720000}"/>
    <cellStyle name="Normal 34 16 4 2 2 3 3" xfId="8400" xr:uid="{00000000-0005-0000-0000-000077720000}"/>
    <cellStyle name="Normal 34 16 4 2 2 3 3 2" xfId="21867" xr:uid="{00000000-0005-0000-0000-000078720000}"/>
    <cellStyle name="Normal 34 16 4 2 2 3 3 2 2" xfId="37943" xr:uid="{00000000-0005-0000-0000-000079720000}"/>
    <cellStyle name="Normal 34 16 4 2 2 3 3 3" xfId="29398" xr:uid="{00000000-0005-0000-0000-00007A720000}"/>
    <cellStyle name="Normal 34 16 4 2 2 3 3 4" xfId="44098" xr:uid="{00000000-0005-0000-0000-00007B720000}"/>
    <cellStyle name="Normal 34 16 4 2 2 3 4" xfId="16539" xr:uid="{00000000-0005-0000-0000-00007C720000}"/>
    <cellStyle name="Normal 34 16 4 2 2 3 4 2" xfId="35483" xr:uid="{00000000-0005-0000-0000-00007D720000}"/>
    <cellStyle name="Normal 34 16 4 2 2 3 5" xfId="25145" xr:uid="{00000000-0005-0000-0000-00007E720000}"/>
    <cellStyle name="Normal 34 16 4 2 2 3 6" xfId="25496" xr:uid="{00000000-0005-0000-0000-00007F720000}"/>
    <cellStyle name="Normal 34 16 4 2 2 3 7" xfId="32789" xr:uid="{00000000-0005-0000-0000-000080720000}"/>
    <cellStyle name="Normal 34 16 4 2 2 3 8" xfId="43849" xr:uid="{00000000-0005-0000-0000-000081720000}"/>
    <cellStyle name="Normal 34 16 4 2 2 3 9" xfId="46774" xr:uid="{00000000-0005-0000-0000-000082720000}"/>
    <cellStyle name="Normal 34 16 4 2 2 4" xfId="5532" xr:uid="{00000000-0005-0000-0000-000083720000}"/>
    <cellStyle name="Normal 34 16 4 2 2 4 2" xfId="8947" xr:uid="{00000000-0005-0000-0000-000084720000}"/>
    <cellStyle name="Normal 34 16 4 2 2 4 2 2" xfId="21900" xr:uid="{00000000-0005-0000-0000-000085720000}"/>
    <cellStyle name="Normal 34 16 4 2 2 4 2 2 2" xfId="37975" xr:uid="{00000000-0005-0000-0000-000086720000}"/>
    <cellStyle name="Normal 34 16 4 2 2 4 2 3" xfId="28851" xr:uid="{00000000-0005-0000-0000-000087720000}"/>
    <cellStyle name="Normal 34 16 4 2 2 4 3" xfId="23871" xr:uid="{00000000-0005-0000-0000-000088720000}"/>
    <cellStyle name="Normal 34 16 4 2 2 4 3 2" xfId="39927" xr:uid="{00000000-0005-0000-0000-000089720000}"/>
    <cellStyle name="Normal 34 16 4 2 2 4 4" xfId="32242" xr:uid="{00000000-0005-0000-0000-00008A720000}"/>
    <cellStyle name="Normal 34 16 4 2 2 5" xfId="7250" xr:uid="{00000000-0005-0000-0000-00008B720000}"/>
    <cellStyle name="Normal 34 16 4 2 2 5 2" xfId="22186" xr:uid="{00000000-0005-0000-0000-00008C720000}"/>
    <cellStyle name="Normal 34 16 4 2 2 5 2 2" xfId="38260" xr:uid="{00000000-0005-0000-0000-00008D720000}"/>
    <cellStyle name="Normal 34 16 4 2 2 5 3" xfId="30548" xr:uid="{00000000-0005-0000-0000-00008E720000}"/>
    <cellStyle name="Normal 34 16 4 2 2 6" xfId="12524" xr:uid="{00000000-0005-0000-0000-00008F720000}"/>
    <cellStyle name="Normal 34 16 4 2 2 7" xfId="33935" xr:uid="{00000000-0005-0000-0000-000090720000}"/>
    <cellStyle name="Normal 34 16 4 2 2 8" xfId="43640" xr:uid="{00000000-0005-0000-0000-000091720000}"/>
    <cellStyle name="Normal 34 16 4 2 2 9" xfId="46546" xr:uid="{00000000-0005-0000-0000-000092720000}"/>
    <cellStyle name="Normal 34 16 4 2 2_Avviksanalyse løpende RNB15 (1)" xfId="16761" xr:uid="{00000000-0005-0000-0000-000093720000}"/>
    <cellStyle name="Normal 34 16 4 2 3" xfId="3858" xr:uid="{00000000-0005-0000-0000-000094720000}"/>
    <cellStyle name="Normal 34 16 4 2 3 2" xfId="5746" xr:uid="{00000000-0005-0000-0000-000095720000}"/>
    <cellStyle name="Normal 34 16 4 2 3 2 2" xfId="9161" xr:uid="{00000000-0005-0000-0000-000096720000}"/>
    <cellStyle name="Normal 34 16 4 2 3 2 2 2" xfId="19867" xr:uid="{00000000-0005-0000-0000-000097720000}"/>
    <cellStyle name="Normal 34 16 4 2 3 2 2 2 2" xfId="35980" xr:uid="{00000000-0005-0000-0000-000098720000}"/>
    <cellStyle name="Normal 34 16 4 2 3 2 2 3" xfId="28637" xr:uid="{00000000-0005-0000-0000-000099720000}"/>
    <cellStyle name="Normal 34 16 4 2 3 2 3" xfId="23911" xr:uid="{00000000-0005-0000-0000-00009A720000}"/>
    <cellStyle name="Normal 34 16 4 2 3 2 3 2" xfId="39967" xr:uid="{00000000-0005-0000-0000-00009B720000}"/>
    <cellStyle name="Normal 34 16 4 2 3 2 4" xfId="32028" xr:uid="{00000000-0005-0000-0000-00009C720000}"/>
    <cellStyle name="Normal 34 16 4 2 3 3" xfId="7464" xr:uid="{00000000-0005-0000-0000-00009D720000}"/>
    <cellStyle name="Normal 34 16 4 2 3 3 2" xfId="20793" xr:uid="{00000000-0005-0000-0000-00009E720000}"/>
    <cellStyle name="Normal 34 16 4 2 3 3 2 2" xfId="36892" xr:uid="{00000000-0005-0000-0000-00009F720000}"/>
    <cellStyle name="Normal 34 16 4 2 3 3 3" xfId="30334" xr:uid="{00000000-0005-0000-0000-0000A0720000}"/>
    <cellStyle name="Normal 34 16 4 2 3 4" xfId="19939" xr:uid="{00000000-0005-0000-0000-0000A1720000}"/>
    <cellStyle name="Normal 34 16 4 2 3 4 2" xfId="36043" xr:uid="{00000000-0005-0000-0000-0000A2720000}"/>
    <cellStyle name="Normal 34 16 4 2 3 5" xfId="33721" xr:uid="{00000000-0005-0000-0000-0000A3720000}"/>
    <cellStyle name="Normal 34 16 4 2 4" xfId="4343" xr:uid="{00000000-0005-0000-0000-0000A4720000}"/>
    <cellStyle name="Normal 34 16 4 2 4 2" xfId="6172" xr:uid="{00000000-0005-0000-0000-0000A5720000}"/>
    <cellStyle name="Normal 34 16 4 2 4 2 2" xfId="9586" xr:uid="{00000000-0005-0000-0000-0000A6720000}"/>
    <cellStyle name="Normal 34 16 4 2 4 2 2 2" xfId="23530" xr:uid="{00000000-0005-0000-0000-0000A7720000}"/>
    <cellStyle name="Normal 34 16 4 2 4 2 2 2 2" xfId="39586" xr:uid="{00000000-0005-0000-0000-0000A8720000}"/>
    <cellStyle name="Normal 34 16 4 2 4 2 2 3" xfId="28212" xr:uid="{00000000-0005-0000-0000-0000A9720000}"/>
    <cellStyle name="Normal 34 16 4 2 4 2 3" xfId="20350" xr:uid="{00000000-0005-0000-0000-0000AA720000}"/>
    <cellStyle name="Normal 34 16 4 2 4 2 3 2" xfId="36449" xr:uid="{00000000-0005-0000-0000-0000AB720000}"/>
    <cellStyle name="Normal 34 16 4 2 4 2 4" xfId="31609" xr:uid="{00000000-0005-0000-0000-0000AC720000}"/>
    <cellStyle name="Normal 34 16 4 2 4 3" xfId="7905" xr:uid="{00000000-0005-0000-0000-0000AD720000}"/>
    <cellStyle name="Normal 34 16 4 2 4 3 2" xfId="10616" xr:uid="{00000000-0005-0000-0000-0000AE720000}"/>
    <cellStyle name="Normal 34 16 4 2 4 3 2 2" xfId="34464" xr:uid="{00000000-0005-0000-0000-0000AF720000}"/>
    <cellStyle name="Normal 34 16 4 2 4 3 3" xfId="29894" xr:uid="{00000000-0005-0000-0000-0000B0720000}"/>
    <cellStyle name="Normal 34 16 4 2 4 4" xfId="23701" xr:uid="{00000000-0005-0000-0000-0000B1720000}"/>
    <cellStyle name="Normal 34 16 4 2 4 4 2" xfId="39757" xr:uid="{00000000-0005-0000-0000-0000B2720000}"/>
    <cellStyle name="Normal 34 16 4 2 4 5" xfId="33282" xr:uid="{00000000-0005-0000-0000-0000B3720000}"/>
    <cellStyle name="Normal 34 16 4 2 5" xfId="4798" xr:uid="{00000000-0005-0000-0000-0000B4720000}"/>
    <cellStyle name="Normal 34 16 4 2 5 2" xfId="6518" xr:uid="{00000000-0005-0000-0000-0000B5720000}"/>
    <cellStyle name="Normal 34 16 4 2 5 2 2" xfId="9924" xr:uid="{00000000-0005-0000-0000-0000B6720000}"/>
    <cellStyle name="Normal 34 16 4 2 5 2 2 2" xfId="21536" xr:uid="{00000000-0005-0000-0000-0000B7720000}"/>
    <cellStyle name="Normal 34 16 4 2 5 2 2 2 2" xfId="37616" xr:uid="{00000000-0005-0000-0000-0000B8720000}"/>
    <cellStyle name="Normal 34 16 4 2 5 2 2 3" xfId="27875" xr:uid="{00000000-0005-0000-0000-0000B9720000}"/>
    <cellStyle name="Normal 34 16 4 2 5 2 3" xfId="23053" xr:uid="{00000000-0005-0000-0000-0000BA720000}"/>
    <cellStyle name="Normal 34 16 4 2 5 2 3 2" xfId="39122" xr:uid="{00000000-0005-0000-0000-0000BB720000}"/>
    <cellStyle name="Normal 34 16 4 2 5 2 4" xfId="31276" xr:uid="{00000000-0005-0000-0000-0000BC720000}"/>
    <cellStyle name="Normal 34 16 4 2 5 3" xfId="8220" xr:uid="{00000000-0005-0000-0000-0000BD720000}"/>
    <cellStyle name="Normal 34 16 4 2 5 3 2" xfId="19474" xr:uid="{00000000-0005-0000-0000-0000BE720000}"/>
    <cellStyle name="Normal 34 16 4 2 5 3 2 2" xfId="35588" xr:uid="{00000000-0005-0000-0000-0000BF720000}"/>
    <cellStyle name="Normal 34 16 4 2 5 3 3" xfId="29577" xr:uid="{00000000-0005-0000-0000-0000C0720000}"/>
    <cellStyle name="Normal 34 16 4 2 5 4" xfId="22230" xr:uid="{00000000-0005-0000-0000-0000C1720000}"/>
    <cellStyle name="Normal 34 16 4 2 5 4 2" xfId="38304" xr:uid="{00000000-0005-0000-0000-0000C2720000}"/>
    <cellStyle name="Normal 34 16 4 2 5 5" xfId="32969" xr:uid="{00000000-0005-0000-0000-0000C3720000}"/>
    <cellStyle name="Normal 34 16 4 2 6" xfId="5158" xr:uid="{00000000-0005-0000-0000-0000C4720000}"/>
    <cellStyle name="Normal 34 16 4 2 6 2" xfId="6877" xr:uid="{00000000-0005-0000-0000-0000C5720000}"/>
    <cellStyle name="Normal 34 16 4 2 6 2 2" xfId="10283" xr:uid="{00000000-0005-0000-0000-0000C6720000}"/>
    <cellStyle name="Normal 34 16 4 2 6 2 2 2" xfId="24726" xr:uid="{00000000-0005-0000-0000-0000C7720000}"/>
    <cellStyle name="Normal 34 16 4 2 6 2 2 2 2" xfId="40769" xr:uid="{00000000-0005-0000-0000-0000C8720000}"/>
    <cellStyle name="Normal 34 16 4 2 6 2 2 3" xfId="27516" xr:uid="{00000000-0005-0000-0000-0000C9720000}"/>
    <cellStyle name="Normal 34 16 4 2 6 2 3" xfId="22161" xr:uid="{00000000-0005-0000-0000-0000CA720000}"/>
    <cellStyle name="Normal 34 16 4 2 6 2 3 2" xfId="38235" xr:uid="{00000000-0005-0000-0000-0000CB720000}"/>
    <cellStyle name="Normal 34 16 4 2 6 2 4" xfId="30917" xr:uid="{00000000-0005-0000-0000-0000CC720000}"/>
    <cellStyle name="Normal 34 16 4 2 6 3" xfId="8580" xr:uid="{00000000-0005-0000-0000-0000CD720000}"/>
    <cellStyle name="Normal 34 16 4 2 6 3 2" xfId="21133" xr:uid="{00000000-0005-0000-0000-0000CE720000}"/>
    <cellStyle name="Normal 34 16 4 2 6 3 2 2" xfId="37213" xr:uid="{00000000-0005-0000-0000-0000CF720000}"/>
    <cellStyle name="Normal 34 16 4 2 6 3 3" xfId="29218" xr:uid="{00000000-0005-0000-0000-0000D0720000}"/>
    <cellStyle name="Normal 34 16 4 2 6 4" xfId="10804" xr:uid="{00000000-0005-0000-0000-0000D1720000}"/>
    <cellStyle name="Normal 34 16 4 2 6 4 2" xfId="34622" xr:uid="{00000000-0005-0000-0000-0000D2720000}"/>
    <cellStyle name="Normal 34 16 4 2 6 5" xfId="32609" xr:uid="{00000000-0005-0000-0000-0000D3720000}"/>
    <cellStyle name="Normal 34 16 4 2 7" xfId="5337" xr:uid="{00000000-0005-0000-0000-0000D4720000}"/>
    <cellStyle name="Normal 34 16 4 2 7 2" xfId="8752" xr:uid="{00000000-0005-0000-0000-0000D5720000}"/>
    <cellStyle name="Normal 34 16 4 2 7 2 2" xfId="21179" xr:uid="{00000000-0005-0000-0000-0000D6720000}"/>
    <cellStyle name="Normal 34 16 4 2 7 2 2 2" xfId="37259" xr:uid="{00000000-0005-0000-0000-0000D7720000}"/>
    <cellStyle name="Normal 34 16 4 2 7 2 3" xfId="29046" xr:uid="{00000000-0005-0000-0000-0000D8720000}"/>
    <cellStyle name="Normal 34 16 4 2 7 3" xfId="22853" xr:uid="{00000000-0005-0000-0000-0000D9720000}"/>
    <cellStyle name="Normal 34 16 4 2 7 3 2" xfId="38922" xr:uid="{00000000-0005-0000-0000-0000DA720000}"/>
    <cellStyle name="Normal 34 16 4 2 7 4" xfId="32437" xr:uid="{00000000-0005-0000-0000-0000DB720000}"/>
    <cellStyle name="Normal 34 16 4 2 8" xfId="7070" xr:uid="{00000000-0005-0000-0000-0000DC720000}"/>
    <cellStyle name="Normal 34 16 4 2 8 2" xfId="23142" xr:uid="{00000000-0005-0000-0000-0000DD720000}"/>
    <cellStyle name="Normal 34 16 4 2 8 2 2" xfId="39211" xr:uid="{00000000-0005-0000-0000-0000DE720000}"/>
    <cellStyle name="Normal 34 16 4 2 8 3" xfId="30728" xr:uid="{00000000-0005-0000-0000-0000DF720000}"/>
    <cellStyle name="Normal 34 16 4 2 9" xfId="12523" xr:uid="{00000000-0005-0000-0000-0000E0720000}"/>
    <cellStyle name="Normal 34 16 4 3" xfId="3524" xr:uid="{00000000-0005-0000-0000-0000E1720000}"/>
    <cellStyle name="Normal 34 16 4 3 10" xfId="47053" xr:uid="{00000000-0005-0000-0000-0000E2720000}"/>
    <cellStyle name="Normal 34 16 4 3 2" xfId="3959" xr:uid="{00000000-0005-0000-0000-0000E3720000}"/>
    <cellStyle name="Normal 34 16 4 3 2 2" xfId="5847" xr:uid="{00000000-0005-0000-0000-0000E4720000}"/>
    <cellStyle name="Normal 34 16 4 3 2 2 2" xfId="9262" xr:uid="{00000000-0005-0000-0000-0000E5720000}"/>
    <cellStyle name="Normal 34 16 4 3 2 2 2 2" xfId="23740" xr:uid="{00000000-0005-0000-0000-0000E6720000}"/>
    <cellStyle name="Normal 34 16 4 3 2 2 2 2 2" xfId="39796" xr:uid="{00000000-0005-0000-0000-0000E7720000}"/>
    <cellStyle name="Normal 34 16 4 3 2 2 2 3" xfId="28536" xr:uid="{00000000-0005-0000-0000-0000E8720000}"/>
    <cellStyle name="Normal 34 16 4 3 2 2 3" xfId="22091" xr:uid="{00000000-0005-0000-0000-0000E9720000}"/>
    <cellStyle name="Normal 34 16 4 3 2 2 3 2" xfId="38165" xr:uid="{00000000-0005-0000-0000-0000EA720000}"/>
    <cellStyle name="Normal 34 16 4 3 2 2 4" xfId="31927" xr:uid="{00000000-0005-0000-0000-0000EB720000}"/>
    <cellStyle name="Normal 34 16 4 3 2 3" xfId="7565" xr:uid="{00000000-0005-0000-0000-0000EC720000}"/>
    <cellStyle name="Normal 34 16 4 3 2 3 2" xfId="24226" xr:uid="{00000000-0005-0000-0000-0000ED720000}"/>
    <cellStyle name="Normal 34 16 4 3 2 3 2 2" xfId="40279" xr:uid="{00000000-0005-0000-0000-0000EE720000}"/>
    <cellStyle name="Normal 34 16 4 3 2 3 3" xfId="30233" xr:uid="{00000000-0005-0000-0000-0000EF720000}"/>
    <cellStyle name="Normal 34 16 4 3 2 4" xfId="18185" xr:uid="{00000000-0005-0000-0000-0000F0720000}"/>
    <cellStyle name="Normal 34 16 4 3 2 5" xfId="12475" xr:uid="{00000000-0005-0000-0000-0000F1720000}"/>
    <cellStyle name="Normal 34 16 4 3 2 5 2" xfId="35247" xr:uid="{00000000-0005-0000-0000-0000F2720000}"/>
    <cellStyle name="Normal 34 16 4 3 2 6" xfId="33620" xr:uid="{00000000-0005-0000-0000-0000F3720000}"/>
    <cellStyle name="Normal 34 16 4 3 3" xfId="4899" xr:uid="{00000000-0005-0000-0000-0000F4720000}"/>
    <cellStyle name="Normal 34 16 4 3 3 10" xfId="47243" xr:uid="{00000000-0005-0000-0000-0000F5720000}"/>
    <cellStyle name="Normal 34 16 4 3 3 2" xfId="6618" xr:uid="{00000000-0005-0000-0000-0000F6720000}"/>
    <cellStyle name="Normal 34 16 4 3 3 2 2" xfId="10024" xr:uid="{00000000-0005-0000-0000-0000F7720000}"/>
    <cellStyle name="Normal 34 16 4 3 3 2 2 2" xfId="21576" xr:uid="{00000000-0005-0000-0000-0000F8720000}"/>
    <cellStyle name="Normal 34 16 4 3 3 2 2 2 2" xfId="37656" xr:uid="{00000000-0005-0000-0000-0000F9720000}"/>
    <cellStyle name="Normal 34 16 4 3 3 2 2 3" xfId="27775" xr:uid="{00000000-0005-0000-0000-0000FA720000}"/>
    <cellStyle name="Normal 34 16 4 3 3 2 3" xfId="20521" xr:uid="{00000000-0005-0000-0000-0000FB720000}"/>
    <cellStyle name="Normal 34 16 4 3 3 2 3 2" xfId="36620" xr:uid="{00000000-0005-0000-0000-0000FC720000}"/>
    <cellStyle name="Normal 34 16 4 3 3 2 4" xfId="31176" xr:uid="{00000000-0005-0000-0000-0000FD720000}"/>
    <cellStyle name="Normal 34 16 4 3 3 2 5" xfId="42005" xr:uid="{00000000-0005-0000-0000-0000FE720000}"/>
    <cellStyle name="Normal 34 16 4 3 3 2 6" xfId="43240" xr:uid="{00000000-0005-0000-0000-0000FF720000}"/>
    <cellStyle name="Normal 34 16 4 3 3 2 7" xfId="46086" xr:uid="{00000000-0005-0000-0000-000000730000}"/>
    <cellStyle name="Normal 34 16 4 3 3 2 8" xfId="46853" xr:uid="{00000000-0005-0000-0000-000001730000}"/>
    <cellStyle name="Normal 34 16 4 3 3 2 9" xfId="47439" xr:uid="{00000000-0005-0000-0000-000002730000}"/>
    <cellStyle name="Normal 34 16 4 3 3 3" xfId="8321" xr:uid="{00000000-0005-0000-0000-000003730000}"/>
    <cellStyle name="Normal 34 16 4 3 3 3 2" xfId="21666" xr:uid="{00000000-0005-0000-0000-000004730000}"/>
    <cellStyle name="Normal 34 16 4 3 3 3 2 2" xfId="37746" xr:uid="{00000000-0005-0000-0000-000005730000}"/>
    <cellStyle name="Normal 34 16 4 3 3 3 3" xfId="29477" xr:uid="{00000000-0005-0000-0000-000006730000}"/>
    <cellStyle name="Normal 34 16 4 3 3 3 4" xfId="44099" xr:uid="{00000000-0005-0000-0000-000007730000}"/>
    <cellStyle name="Normal 34 16 4 3 3 4" xfId="15449" xr:uid="{00000000-0005-0000-0000-000008730000}"/>
    <cellStyle name="Normal 34 16 4 3 3 4 2" xfId="35335" xr:uid="{00000000-0005-0000-0000-000009730000}"/>
    <cellStyle name="Normal 34 16 4 3 3 5" xfId="24976" xr:uid="{00000000-0005-0000-0000-00000A730000}"/>
    <cellStyle name="Normal 34 16 4 3 3 6" xfId="25497" xr:uid="{00000000-0005-0000-0000-00000B730000}"/>
    <cellStyle name="Normal 34 16 4 3 3 7" xfId="32868" xr:uid="{00000000-0005-0000-0000-00000C730000}"/>
    <cellStyle name="Normal 34 16 4 3 3 8" xfId="43696" xr:uid="{00000000-0005-0000-0000-00000D730000}"/>
    <cellStyle name="Normal 34 16 4 3 3 9" xfId="46614" xr:uid="{00000000-0005-0000-0000-00000E730000}"/>
    <cellStyle name="Normal 34 16 4 3 4" xfId="5453" xr:uid="{00000000-0005-0000-0000-00000F730000}"/>
    <cellStyle name="Normal 34 16 4 3 4 2" xfId="8868" xr:uid="{00000000-0005-0000-0000-000010730000}"/>
    <cellStyle name="Normal 34 16 4 3 4 2 2" xfId="24426" xr:uid="{00000000-0005-0000-0000-000011730000}"/>
    <cellStyle name="Normal 34 16 4 3 4 2 2 2" xfId="40470" xr:uid="{00000000-0005-0000-0000-000012730000}"/>
    <cellStyle name="Normal 34 16 4 3 4 2 3" xfId="28930" xr:uid="{00000000-0005-0000-0000-000013730000}"/>
    <cellStyle name="Normal 34 16 4 3 4 3" xfId="11999" xr:uid="{00000000-0005-0000-0000-000014730000}"/>
    <cellStyle name="Normal 34 16 4 3 4 3 2" xfId="35020" xr:uid="{00000000-0005-0000-0000-000015730000}"/>
    <cellStyle name="Normal 34 16 4 3 4 4" xfId="32321" xr:uid="{00000000-0005-0000-0000-000016730000}"/>
    <cellStyle name="Normal 34 16 4 3 5" xfId="7171" xr:uid="{00000000-0005-0000-0000-000017730000}"/>
    <cellStyle name="Normal 34 16 4 3 5 2" xfId="22425" xr:uid="{00000000-0005-0000-0000-000018730000}"/>
    <cellStyle name="Normal 34 16 4 3 5 2 2" xfId="38497" xr:uid="{00000000-0005-0000-0000-000019730000}"/>
    <cellStyle name="Normal 34 16 4 3 5 3" xfId="30627" xr:uid="{00000000-0005-0000-0000-00001A730000}"/>
    <cellStyle name="Normal 34 16 4 3 6" xfId="12525" xr:uid="{00000000-0005-0000-0000-00001B730000}"/>
    <cellStyle name="Normal 34 16 4 3 7" xfId="34014" xr:uid="{00000000-0005-0000-0000-00001C730000}"/>
    <cellStyle name="Normal 34 16 4 3 8" xfId="43490" xr:uid="{00000000-0005-0000-0000-00001D730000}"/>
    <cellStyle name="Normal 34 16 4 3 9" xfId="46389" xr:uid="{00000000-0005-0000-0000-00001E730000}"/>
    <cellStyle name="Normal 34 16 4 3_Avviksanalyse løpende RNB15 (1)" xfId="16762" xr:uid="{00000000-0005-0000-0000-00001F730000}"/>
    <cellStyle name="Normal 34 16 4 4" xfId="3779" xr:uid="{00000000-0005-0000-0000-000020730000}"/>
    <cellStyle name="Normal 34 16 4 4 2" xfId="5667" xr:uid="{00000000-0005-0000-0000-000021730000}"/>
    <cellStyle name="Normal 34 16 4 4 2 2" xfId="9082" xr:uid="{00000000-0005-0000-0000-000022730000}"/>
    <cellStyle name="Normal 34 16 4 4 2 2 2" xfId="19396" xr:uid="{00000000-0005-0000-0000-000023730000}"/>
    <cellStyle name="Normal 34 16 4 4 2 2 2 2" xfId="35510" xr:uid="{00000000-0005-0000-0000-000024730000}"/>
    <cellStyle name="Normal 34 16 4 4 2 2 3" xfId="28716" xr:uid="{00000000-0005-0000-0000-000025730000}"/>
    <cellStyle name="Normal 34 16 4 4 2 3" xfId="20162" xr:uid="{00000000-0005-0000-0000-000026730000}"/>
    <cellStyle name="Normal 34 16 4 4 2 3 2" xfId="36263" xr:uid="{00000000-0005-0000-0000-000027730000}"/>
    <cellStyle name="Normal 34 16 4 4 2 4" xfId="32107" xr:uid="{00000000-0005-0000-0000-000028730000}"/>
    <cellStyle name="Normal 34 16 4 4 3" xfId="7385" xr:uid="{00000000-0005-0000-0000-000029730000}"/>
    <cellStyle name="Normal 34 16 4 4 3 2" xfId="20763" xr:uid="{00000000-0005-0000-0000-00002A730000}"/>
    <cellStyle name="Normal 34 16 4 4 3 2 2" xfId="36862" xr:uid="{00000000-0005-0000-0000-00002B730000}"/>
    <cellStyle name="Normal 34 16 4 4 3 3" xfId="30413" xr:uid="{00000000-0005-0000-0000-00002C730000}"/>
    <cellStyle name="Normal 34 16 4 4 4" xfId="12575" xr:uid="{00000000-0005-0000-0000-00002D730000}"/>
    <cellStyle name="Normal 34 16 4 4 4 2" xfId="35280" xr:uid="{00000000-0005-0000-0000-00002E730000}"/>
    <cellStyle name="Normal 34 16 4 4 5" xfId="33800" xr:uid="{00000000-0005-0000-0000-00002F730000}"/>
    <cellStyle name="Normal 34 16 4 5" xfId="4165" xr:uid="{00000000-0005-0000-0000-000030730000}"/>
    <cellStyle name="Normal 34 16 4 5 2" xfId="6015" xr:uid="{00000000-0005-0000-0000-000031730000}"/>
    <cellStyle name="Normal 34 16 4 5 2 2" xfId="9430" xr:uid="{00000000-0005-0000-0000-000032730000}"/>
    <cellStyle name="Normal 34 16 4 5 2 2 2" xfId="22656" xr:uid="{00000000-0005-0000-0000-000033730000}"/>
    <cellStyle name="Normal 34 16 4 5 2 2 2 2" xfId="38725" xr:uid="{00000000-0005-0000-0000-000034730000}"/>
    <cellStyle name="Normal 34 16 4 5 2 2 3" xfId="28368" xr:uid="{00000000-0005-0000-0000-000035730000}"/>
    <cellStyle name="Normal 34 16 4 5 2 3" xfId="22958" xr:uid="{00000000-0005-0000-0000-000036730000}"/>
    <cellStyle name="Normal 34 16 4 5 2 3 2" xfId="39027" xr:uid="{00000000-0005-0000-0000-000037730000}"/>
    <cellStyle name="Normal 34 16 4 5 2 4" xfId="31763" xr:uid="{00000000-0005-0000-0000-000038730000}"/>
    <cellStyle name="Normal 34 16 4 5 3" xfId="7746" xr:uid="{00000000-0005-0000-0000-000039730000}"/>
    <cellStyle name="Normal 34 16 4 5 3 2" xfId="20889" xr:uid="{00000000-0005-0000-0000-00003A730000}"/>
    <cellStyle name="Normal 34 16 4 5 3 2 2" xfId="36988" xr:uid="{00000000-0005-0000-0000-00003B730000}"/>
    <cellStyle name="Normal 34 16 4 5 3 3" xfId="30053" xr:uid="{00000000-0005-0000-0000-00003C730000}"/>
    <cellStyle name="Normal 34 16 4 5 4" xfId="23803" xr:uid="{00000000-0005-0000-0000-00003D730000}"/>
    <cellStyle name="Normal 34 16 4 5 4 2" xfId="39859" xr:uid="{00000000-0005-0000-0000-00003E730000}"/>
    <cellStyle name="Normal 34 16 4 5 5" xfId="33440" xr:uid="{00000000-0005-0000-0000-00003F730000}"/>
    <cellStyle name="Normal 34 16 4 6" xfId="4621" xr:uid="{00000000-0005-0000-0000-000040730000}"/>
    <cellStyle name="Normal 34 16 4 6 2" xfId="6358" xr:uid="{00000000-0005-0000-0000-000041730000}"/>
    <cellStyle name="Normal 34 16 4 6 2 2" xfId="9768" xr:uid="{00000000-0005-0000-0000-000042730000}"/>
    <cellStyle name="Normal 34 16 4 6 2 2 2" xfId="21476" xr:uid="{00000000-0005-0000-0000-000043730000}"/>
    <cellStyle name="Normal 34 16 4 6 2 2 2 2" xfId="37556" xr:uid="{00000000-0005-0000-0000-000044730000}"/>
    <cellStyle name="Normal 34 16 4 6 2 2 3" xfId="28031" xr:uid="{00000000-0005-0000-0000-000045730000}"/>
    <cellStyle name="Normal 34 16 4 6 2 3" xfId="20421" xr:uid="{00000000-0005-0000-0000-000046730000}"/>
    <cellStyle name="Normal 34 16 4 6 2 3 2" xfId="36520" xr:uid="{00000000-0005-0000-0000-000047730000}"/>
    <cellStyle name="Normal 34 16 4 6 2 4" xfId="31432" xr:uid="{00000000-0005-0000-0000-000048730000}"/>
    <cellStyle name="Normal 34 16 4 6 3" xfId="8064" xr:uid="{00000000-0005-0000-0000-000049730000}"/>
    <cellStyle name="Normal 34 16 4 6 3 2" xfId="20991" xr:uid="{00000000-0005-0000-0000-00004A730000}"/>
    <cellStyle name="Normal 34 16 4 6 3 2 2" xfId="37087" xr:uid="{00000000-0005-0000-0000-00004B730000}"/>
    <cellStyle name="Normal 34 16 4 6 3 3" xfId="29734" xr:uid="{00000000-0005-0000-0000-00004C730000}"/>
    <cellStyle name="Normal 34 16 4 6 4" xfId="12297" xr:uid="{00000000-0005-0000-0000-00004D730000}"/>
    <cellStyle name="Normal 34 16 4 6 4 2" xfId="35173" xr:uid="{00000000-0005-0000-0000-00004E730000}"/>
    <cellStyle name="Normal 34 16 4 6 5" xfId="33125" xr:uid="{00000000-0005-0000-0000-00004F730000}"/>
    <cellStyle name="Normal 34 16 4 7" xfId="4715" xr:uid="{00000000-0005-0000-0000-000050730000}"/>
    <cellStyle name="Normal 34 16 4 7 2" xfId="6435" xr:uid="{00000000-0005-0000-0000-000051730000}"/>
    <cellStyle name="Normal 34 16 4 7 2 2" xfId="9845" xr:uid="{00000000-0005-0000-0000-000052730000}"/>
    <cellStyle name="Normal 34 16 4 7 2 2 2" xfId="21506" xr:uid="{00000000-0005-0000-0000-000053730000}"/>
    <cellStyle name="Normal 34 16 4 7 2 2 2 2" xfId="37586" xr:uid="{00000000-0005-0000-0000-000054730000}"/>
    <cellStyle name="Normal 34 16 4 7 2 2 3" xfId="27954" xr:uid="{00000000-0005-0000-0000-000055730000}"/>
    <cellStyle name="Normal 34 16 4 7 2 3" xfId="23039" xr:uid="{00000000-0005-0000-0000-000056730000}"/>
    <cellStyle name="Normal 34 16 4 7 2 3 2" xfId="39108" xr:uid="{00000000-0005-0000-0000-000057730000}"/>
    <cellStyle name="Normal 34 16 4 7 2 4" xfId="31355" xr:uid="{00000000-0005-0000-0000-000058730000}"/>
    <cellStyle name="Normal 34 16 4 7 3" xfId="8141" xr:uid="{00000000-0005-0000-0000-000059730000}"/>
    <cellStyle name="Normal 34 16 4 7 3 2" xfId="24321" xr:uid="{00000000-0005-0000-0000-00005A730000}"/>
    <cellStyle name="Normal 34 16 4 7 3 2 2" xfId="40371" xr:uid="{00000000-0005-0000-0000-00005B730000}"/>
    <cellStyle name="Normal 34 16 4 7 3 3" xfId="29657" xr:uid="{00000000-0005-0000-0000-00005C730000}"/>
    <cellStyle name="Normal 34 16 4 7 4" xfId="12282" xr:uid="{00000000-0005-0000-0000-00005D730000}"/>
    <cellStyle name="Normal 34 16 4 7 4 2" xfId="35158" xr:uid="{00000000-0005-0000-0000-00005E730000}"/>
    <cellStyle name="Normal 34 16 4 7 5" xfId="33048" xr:uid="{00000000-0005-0000-0000-00005F730000}"/>
    <cellStyle name="Normal 34 16 4 8" xfId="5079" xr:uid="{00000000-0005-0000-0000-000060730000}"/>
    <cellStyle name="Normal 34 16 4 8 2" xfId="6798" xr:uid="{00000000-0005-0000-0000-000061730000}"/>
    <cellStyle name="Normal 34 16 4 8 2 2" xfId="10204" xr:uid="{00000000-0005-0000-0000-000062730000}"/>
    <cellStyle name="Normal 34 16 4 8 2 2 2" xfId="21648" xr:uid="{00000000-0005-0000-0000-000063730000}"/>
    <cellStyle name="Normal 34 16 4 8 2 2 2 2" xfId="37728" xr:uid="{00000000-0005-0000-0000-000064730000}"/>
    <cellStyle name="Normal 34 16 4 8 2 2 3" xfId="27595" xr:uid="{00000000-0005-0000-0000-000065730000}"/>
    <cellStyle name="Normal 34 16 4 8 2 3" xfId="23099" xr:uid="{00000000-0005-0000-0000-000066730000}"/>
    <cellStyle name="Normal 34 16 4 8 2 3 2" xfId="39168" xr:uid="{00000000-0005-0000-0000-000067730000}"/>
    <cellStyle name="Normal 34 16 4 8 2 4" xfId="30996" xr:uid="{00000000-0005-0000-0000-000068730000}"/>
    <cellStyle name="Normal 34 16 4 8 3" xfId="8501" xr:uid="{00000000-0005-0000-0000-000069730000}"/>
    <cellStyle name="Normal 34 16 4 8 3 2" xfId="11845" xr:uid="{00000000-0005-0000-0000-00006A730000}"/>
    <cellStyle name="Normal 34 16 4 8 3 2 2" xfId="34893" xr:uid="{00000000-0005-0000-0000-00006B730000}"/>
    <cellStyle name="Normal 34 16 4 8 3 3" xfId="29297" xr:uid="{00000000-0005-0000-0000-00006C730000}"/>
    <cellStyle name="Normal 34 16 4 8 4" xfId="19743" xr:uid="{00000000-0005-0000-0000-00006D730000}"/>
    <cellStyle name="Normal 34 16 4 8 4 2" xfId="35857" xr:uid="{00000000-0005-0000-0000-00006E730000}"/>
    <cellStyle name="Normal 34 16 4 8 5" xfId="32688" xr:uid="{00000000-0005-0000-0000-00006F730000}"/>
    <cellStyle name="Normal 34 16 4 9" xfId="5176" xr:uid="{00000000-0005-0000-0000-000070730000}"/>
    <cellStyle name="Normal 34 16 4 9 2" xfId="8595" xr:uid="{00000000-0005-0000-0000-000071730000}"/>
    <cellStyle name="Normal 34 16 4 9 2 2" xfId="21881" xr:uid="{00000000-0005-0000-0000-000072730000}"/>
    <cellStyle name="Normal 34 16 4 9 2 2 2" xfId="37956" xr:uid="{00000000-0005-0000-0000-000073730000}"/>
    <cellStyle name="Normal 34 16 4 9 2 3" xfId="29203" xr:uid="{00000000-0005-0000-0000-000074730000}"/>
    <cellStyle name="Normal 34 16 4 9 3" xfId="22845" xr:uid="{00000000-0005-0000-0000-000075730000}"/>
    <cellStyle name="Normal 34 16 4 9 3 2" xfId="38914" xr:uid="{00000000-0005-0000-0000-000076730000}"/>
    <cellStyle name="Normal 34 16 4 9 4" xfId="32594" xr:uid="{00000000-0005-0000-0000-000077730000}"/>
    <cellStyle name="Normal 34 16 5" xfId="4164" xr:uid="{00000000-0005-0000-0000-000078730000}"/>
    <cellStyle name="Normal 34 16 5 2" xfId="6014" xr:uid="{00000000-0005-0000-0000-000079730000}"/>
    <cellStyle name="Normal 34 16 5 2 2" xfId="9429" xr:uid="{00000000-0005-0000-0000-00007A730000}"/>
    <cellStyle name="Normal 34 16 5 2 2 2" xfId="19404" xr:uid="{00000000-0005-0000-0000-00007B730000}"/>
    <cellStyle name="Normal 34 16 5 2 2 2 2" xfId="35518" xr:uid="{00000000-0005-0000-0000-00007C730000}"/>
    <cellStyle name="Normal 34 16 5 2 2 3" xfId="28369" xr:uid="{00000000-0005-0000-0000-00007D730000}"/>
    <cellStyle name="Normal 34 16 5 2 3" xfId="22102" xr:uid="{00000000-0005-0000-0000-00007E730000}"/>
    <cellStyle name="Normal 34 16 5 2 3 2" xfId="38176" xr:uid="{00000000-0005-0000-0000-00007F730000}"/>
    <cellStyle name="Normal 34 16 5 2 4" xfId="31764" xr:uid="{00000000-0005-0000-0000-000080730000}"/>
    <cellStyle name="Normal 34 16 5 3" xfId="7745" xr:uid="{00000000-0005-0000-0000-000081730000}"/>
    <cellStyle name="Normal 34 16 5 3 2" xfId="23260" xr:uid="{00000000-0005-0000-0000-000082730000}"/>
    <cellStyle name="Normal 34 16 5 3 2 2" xfId="39328" xr:uid="{00000000-0005-0000-0000-000083730000}"/>
    <cellStyle name="Normal 34 16 5 3 3" xfId="30054" xr:uid="{00000000-0005-0000-0000-000084730000}"/>
    <cellStyle name="Normal 34 16 5 4" xfId="12526" xr:uid="{00000000-0005-0000-0000-000085730000}"/>
    <cellStyle name="Normal 34 16 5 5" xfId="19979" xr:uid="{00000000-0005-0000-0000-000086730000}"/>
    <cellStyle name="Normal 34 16 5 5 2" xfId="36083" xr:uid="{00000000-0005-0000-0000-000087730000}"/>
    <cellStyle name="Normal 34 16 5 6" xfId="33441" xr:uid="{00000000-0005-0000-0000-000088730000}"/>
    <cellStyle name="Normal 34 17" xfId="1789" xr:uid="{00000000-0005-0000-0000-000089730000}"/>
    <cellStyle name="Normal 34 17 10" xfId="6989" xr:uid="{00000000-0005-0000-0000-00008A730000}"/>
    <cellStyle name="Normal 34 17 10 2" xfId="24127" xr:uid="{00000000-0005-0000-0000-00008B730000}"/>
    <cellStyle name="Normal 34 17 10 2 2" xfId="40180" xr:uid="{00000000-0005-0000-0000-00008C730000}"/>
    <cellStyle name="Normal 34 17 10 3" xfId="30809" xr:uid="{00000000-0005-0000-0000-00008D730000}"/>
    <cellStyle name="Normal 34 17 11" xfId="12527" xr:uid="{00000000-0005-0000-0000-00008E730000}"/>
    <cellStyle name="Normal 34 17 12" xfId="34197" xr:uid="{00000000-0005-0000-0000-00008F730000}"/>
    <cellStyle name="Normal 34 17 2" xfId="3383" xr:uid="{00000000-0005-0000-0000-000090730000}"/>
    <cellStyle name="Normal 34 17 2 10" xfId="34114" xr:uid="{00000000-0005-0000-0000-000091730000}"/>
    <cellStyle name="Normal 34 17 2 2" xfId="3609" xr:uid="{00000000-0005-0000-0000-000092730000}"/>
    <cellStyle name="Normal 34 17 2 2 10" xfId="47208" xr:uid="{00000000-0005-0000-0000-000093730000}"/>
    <cellStyle name="Normal 34 17 2 2 2" xfId="4039" xr:uid="{00000000-0005-0000-0000-000094730000}"/>
    <cellStyle name="Normal 34 17 2 2 2 2" xfId="5927" xr:uid="{00000000-0005-0000-0000-000095730000}"/>
    <cellStyle name="Normal 34 17 2 2 2 2 2" xfId="9342" xr:uid="{00000000-0005-0000-0000-000096730000}"/>
    <cellStyle name="Normal 34 17 2 2 2 2 2 2" xfId="21356" xr:uid="{00000000-0005-0000-0000-000097730000}"/>
    <cellStyle name="Normal 34 17 2 2 2 2 2 2 2" xfId="37436" xr:uid="{00000000-0005-0000-0000-000098730000}"/>
    <cellStyle name="Normal 34 17 2 2 2 2 2 3" xfId="28456" xr:uid="{00000000-0005-0000-0000-000099730000}"/>
    <cellStyle name="Normal 34 17 2 2 2 2 3" xfId="22940" xr:uid="{00000000-0005-0000-0000-00009A730000}"/>
    <cellStyle name="Normal 34 17 2 2 2 2 3 2" xfId="39009" xr:uid="{00000000-0005-0000-0000-00009B730000}"/>
    <cellStyle name="Normal 34 17 2 2 2 2 4" xfId="31849" xr:uid="{00000000-0005-0000-0000-00009C730000}"/>
    <cellStyle name="Normal 34 17 2 2 2 3" xfId="7645" xr:uid="{00000000-0005-0000-0000-00009D730000}"/>
    <cellStyle name="Normal 34 17 2 2 2 3 2" xfId="23240" xr:uid="{00000000-0005-0000-0000-00009E730000}"/>
    <cellStyle name="Normal 34 17 2 2 2 3 2 2" xfId="39308" xr:uid="{00000000-0005-0000-0000-00009F730000}"/>
    <cellStyle name="Normal 34 17 2 2 2 3 3" xfId="30153" xr:uid="{00000000-0005-0000-0000-0000A0730000}"/>
    <cellStyle name="Normal 34 17 2 2 2 4" xfId="18186" xr:uid="{00000000-0005-0000-0000-0000A1730000}"/>
    <cellStyle name="Normal 34 17 2 2 2 5" xfId="19572" xr:uid="{00000000-0005-0000-0000-0000A2730000}"/>
    <cellStyle name="Normal 34 17 2 2 2 5 2" xfId="35686" xr:uid="{00000000-0005-0000-0000-0000A3730000}"/>
    <cellStyle name="Normal 34 17 2 2 2 6" xfId="33540" xr:uid="{00000000-0005-0000-0000-0000A4730000}"/>
    <cellStyle name="Normal 34 17 2 2 3" xfId="4979" xr:uid="{00000000-0005-0000-0000-0000A5730000}"/>
    <cellStyle name="Normal 34 17 2 2 3 10" xfId="47398" xr:uid="{00000000-0005-0000-0000-0000A6730000}"/>
    <cellStyle name="Normal 34 17 2 2 3 2" xfId="6698" xr:uid="{00000000-0005-0000-0000-0000A7730000}"/>
    <cellStyle name="Normal 34 17 2 2 3 2 2" xfId="10104" xr:uid="{00000000-0005-0000-0000-0000A8730000}"/>
    <cellStyle name="Normal 34 17 2 2 3 2 2 2" xfId="21608" xr:uid="{00000000-0005-0000-0000-0000A9730000}"/>
    <cellStyle name="Normal 34 17 2 2 3 2 2 2 2" xfId="37688" xr:uid="{00000000-0005-0000-0000-0000AA730000}"/>
    <cellStyle name="Normal 34 17 2 2 3 2 2 3" xfId="27695" xr:uid="{00000000-0005-0000-0000-0000AB730000}"/>
    <cellStyle name="Normal 34 17 2 2 3 2 3" xfId="22380" xr:uid="{00000000-0005-0000-0000-0000AC730000}"/>
    <cellStyle name="Normal 34 17 2 2 3 2 3 2" xfId="38452" xr:uid="{00000000-0005-0000-0000-0000AD730000}"/>
    <cellStyle name="Normal 34 17 2 2 3 2 4" xfId="31096" xr:uid="{00000000-0005-0000-0000-0000AE730000}"/>
    <cellStyle name="Normal 34 17 2 2 3 2 5" xfId="43095" xr:uid="{00000000-0005-0000-0000-0000AF730000}"/>
    <cellStyle name="Normal 34 17 2 2 3 2 6" xfId="43389" xr:uid="{00000000-0005-0000-0000-0000B0730000}"/>
    <cellStyle name="Normal 34 17 2 2 3 2 7" xfId="46237" xr:uid="{00000000-0005-0000-0000-0000B1730000}"/>
    <cellStyle name="Normal 34 17 2 2 3 2 8" xfId="47009" xr:uid="{00000000-0005-0000-0000-0000B2730000}"/>
    <cellStyle name="Normal 34 17 2 2 3 2 9" xfId="47594" xr:uid="{00000000-0005-0000-0000-0000B3730000}"/>
    <cellStyle name="Normal 34 17 2 2 3 3" xfId="8401" xr:uid="{00000000-0005-0000-0000-0000B4730000}"/>
    <cellStyle name="Normal 34 17 2 2 3 3 2" xfId="23357" xr:uid="{00000000-0005-0000-0000-0000B5730000}"/>
    <cellStyle name="Normal 34 17 2 2 3 3 2 2" xfId="39416" xr:uid="{00000000-0005-0000-0000-0000B6730000}"/>
    <cellStyle name="Normal 34 17 2 2 3 3 3" xfId="29397" xr:uid="{00000000-0005-0000-0000-0000B7730000}"/>
    <cellStyle name="Normal 34 17 2 2 3 3 4" xfId="44100" xr:uid="{00000000-0005-0000-0000-0000B8730000}"/>
    <cellStyle name="Normal 34 17 2 2 3 4" xfId="16540" xr:uid="{00000000-0005-0000-0000-0000B9730000}"/>
    <cellStyle name="Normal 34 17 2 2 3 4 2" xfId="35484" xr:uid="{00000000-0005-0000-0000-0000BA730000}"/>
    <cellStyle name="Normal 34 17 2 2 3 5" xfId="25146" xr:uid="{00000000-0005-0000-0000-0000BB730000}"/>
    <cellStyle name="Normal 34 17 2 2 3 6" xfId="25498" xr:uid="{00000000-0005-0000-0000-0000BC730000}"/>
    <cellStyle name="Normal 34 17 2 2 3 7" xfId="32788" xr:uid="{00000000-0005-0000-0000-0000BD730000}"/>
    <cellStyle name="Normal 34 17 2 2 3 8" xfId="43850" xr:uid="{00000000-0005-0000-0000-0000BE730000}"/>
    <cellStyle name="Normal 34 17 2 2 3 9" xfId="46775" xr:uid="{00000000-0005-0000-0000-0000BF730000}"/>
    <cellStyle name="Normal 34 17 2 2 4" xfId="5533" xr:uid="{00000000-0005-0000-0000-0000C0730000}"/>
    <cellStyle name="Normal 34 17 2 2 4 2" xfId="8948" xr:uid="{00000000-0005-0000-0000-0000C1730000}"/>
    <cellStyle name="Normal 34 17 2 2 4 2 2" xfId="23430" xr:uid="{00000000-0005-0000-0000-0000C2730000}"/>
    <cellStyle name="Normal 34 17 2 2 4 2 2 2" xfId="39486" xr:uid="{00000000-0005-0000-0000-0000C3730000}"/>
    <cellStyle name="Normal 34 17 2 2 4 2 3" xfId="28850" xr:uid="{00000000-0005-0000-0000-0000C4730000}"/>
    <cellStyle name="Normal 34 17 2 2 4 3" xfId="22066" xr:uid="{00000000-0005-0000-0000-0000C5730000}"/>
    <cellStyle name="Normal 34 17 2 2 4 3 2" xfId="38140" xr:uid="{00000000-0005-0000-0000-0000C6730000}"/>
    <cellStyle name="Normal 34 17 2 2 4 4" xfId="32241" xr:uid="{00000000-0005-0000-0000-0000C7730000}"/>
    <cellStyle name="Normal 34 17 2 2 5" xfId="7251" xr:uid="{00000000-0005-0000-0000-0000C8730000}"/>
    <cellStyle name="Normal 34 17 2 2 5 2" xfId="23170" xr:uid="{00000000-0005-0000-0000-0000C9730000}"/>
    <cellStyle name="Normal 34 17 2 2 5 2 2" xfId="39239" xr:uid="{00000000-0005-0000-0000-0000CA730000}"/>
    <cellStyle name="Normal 34 17 2 2 5 3" xfId="30547" xr:uid="{00000000-0005-0000-0000-0000CB730000}"/>
    <cellStyle name="Normal 34 17 2 2 6" xfId="12529" xr:uid="{00000000-0005-0000-0000-0000CC730000}"/>
    <cellStyle name="Normal 34 17 2 2 7" xfId="33934" xr:uid="{00000000-0005-0000-0000-0000CD730000}"/>
    <cellStyle name="Normal 34 17 2 2 8" xfId="43641" xr:uid="{00000000-0005-0000-0000-0000CE730000}"/>
    <cellStyle name="Normal 34 17 2 2 9" xfId="46547" xr:uid="{00000000-0005-0000-0000-0000CF730000}"/>
    <cellStyle name="Normal 34 17 2 2_Avviksanalyse løpende RNB15 (1)" xfId="16763" xr:uid="{00000000-0005-0000-0000-0000D0730000}"/>
    <cellStyle name="Normal 34 17 2 3" xfId="3859" xr:uid="{00000000-0005-0000-0000-0000D1730000}"/>
    <cellStyle name="Normal 34 17 2 3 2" xfId="5747" xr:uid="{00000000-0005-0000-0000-0000D2730000}"/>
    <cellStyle name="Normal 34 17 2 3 2 2" xfId="9162" xr:uid="{00000000-0005-0000-0000-0000D3730000}"/>
    <cellStyle name="Normal 34 17 2 3 2 2 2" xfId="21297" xr:uid="{00000000-0005-0000-0000-0000D4730000}"/>
    <cellStyle name="Normal 34 17 2 3 2 2 2 2" xfId="37377" xr:uid="{00000000-0005-0000-0000-0000D5730000}"/>
    <cellStyle name="Normal 34 17 2 3 2 2 3" xfId="28636" xr:uid="{00000000-0005-0000-0000-0000D6730000}"/>
    <cellStyle name="Normal 34 17 2 3 2 3" xfId="22080" xr:uid="{00000000-0005-0000-0000-0000D7730000}"/>
    <cellStyle name="Normal 34 17 2 3 2 3 2" xfId="38154" xr:uid="{00000000-0005-0000-0000-0000D8730000}"/>
    <cellStyle name="Normal 34 17 2 3 2 4" xfId="32027" xr:uid="{00000000-0005-0000-0000-0000D9730000}"/>
    <cellStyle name="Normal 34 17 2 3 3" xfId="7465" xr:uid="{00000000-0005-0000-0000-0000DA730000}"/>
    <cellStyle name="Normal 34 17 2 3 3 2" xfId="24213" xr:uid="{00000000-0005-0000-0000-0000DB730000}"/>
    <cellStyle name="Normal 34 17 2 3 3 2 2" xfId="40266" xr:uid="{00000000-0005-0000-0000-0000DC730000}"/>
    <cellStyle name="Normal 34 17 2 3 3 3" xfId="30333" xr:uid="{00000000-0005-0000-0000-0000DD730000}"/>
    <cellStyle name="Normal 34 17 2 3 4" xfId="22720" xr:uid="{00000000-0005-0000-0000-0000DE730000}"/>
    <cellStyle name="Normal 34 17 2 3 4 2" xfId="38789" xr:uid="{00000000-0005-0000-0000-0000DF730000}"/>
    <cellStyle name="Normal 34 17 2 3 5" xfId="33720" xr:uid="{00000000-0005-0000-0000-0000E0730000}"/>
    <cellStyle name="Normal 34 17 2 4" xfId="4344" xr:uid="{00000000-0005-0000-0000-0000E1730000}"/>
    <cellStyle name="Normal 34 17 2 4 2" xfId="6173" xr:uid="{00000000-0005-0000-0000-0000E2730000}"/>
    <cellStyle name="Normal 34 17 2 4 2 2" xfId="9587" xr:uid="{00000000-0005-0000-0000-0000E3730000}"/>
    <cellStyle name="Normal 34 17 2 4 2 2 2" xfId="21427" xr:uid="{00000000-0005-0000-0000-0000E4730000}"/>
    <cellStyle name="Normal 34 17 2 4 2 2 2 2" xfId="37507" xr:uid="{00000000-0005-0000-0000-0000E5730000}"/>
    <cellStyle name="Normal 34 17 2 4 2 2 3" xfId="28211" xr:uid="{00000000-0005-0000-0000-0000E6730000}"/>
    <cellStyle name="Normal 34 17 2 4 2 3" xfId="20351" xr:uid="{00000000-0005-0000-0000-0000E7730000}"/>
    <cellStyle name="Normal 34 17 2 4 2 3 2" xfId="36450" xr:uid="{00000000-0005-0000-0000-0000E8730000}"/>
    <cellStyle name="Normal 34 17 2 4 2 4" xfId="31608" xr:uid="{00000000-0005-0000-0000-0000E9730000}"/>
    <cellStyle name="Normal 34 17 2 4 3" xfId="7906" xr:uid="{00000000-0005-0000-0000-0000EA730000}"/>
    <cellStyle name="Normal 34 17 2 4 3 2" xfId="19452" xr:uid="{00000000-0005-0000-0000-0000EB730000}"/>
    <cellStyle name="Normal 34 17 2 4 3 2 2" xfId="35566" xr:uid="{00000000-0005-0000-0000-0000EC730000}"/>
    <cellStyle name="Normal 34 17 2 4 3 3" xfId="29893" xr:uid="{00000000-0005-0000-0000-0000ED730000}"/>
    <cellStyle name="Normal 34 17 2 4 4" xfId="19425" xr:uid="{00000000-0005-0000-0000-0000EE730000}"/>
    <cellStyle name="Normal 34 17 2 4 4 2" xfId="35539" xr:uid="{00000000-0005-0000-0000-0000EF730000}"/>
    <cellStyle name="Normal 34 17 2 4 5" xfId="33281" xr:uid="{00000000-0005-0000-0000-0000F0730000}"/>
    <cellStyle name="Normal 34 17 2 5" xfId="4799" xr:uid="{00000000-0005-0000-0000-0000F1730000}"/>
    <cellStyle name="Normal 34 17 2 5 2" xfId="6519" xr:uid="{00000000-0005-0000-0000-0000F2730000}"/>
    <cellStyle name="Normal 34 17 2 5 2 2" xfId="9925" xr:uid="{00000000-0005-0000-0000-0000F3730000}"/>
    <cellStyle name="Normal 34 17 2 5 2 2 2" xfId="21537" xr:uid="{00000000-0005-0000-0000-0000F4730000}"/>
    <cellStyle name="Normal 34 17 2 5 2 2 2 2" xfId="37617" xr:uid="{00000000-0005-0000-0000-0000F5730000}"/>
    <cellStyle name="Normal 34 17 2 5 2 2 3" xfId="27874" xr:uid="{00000000-0005-0000-0000-0000F6730000}"/>
    <cellStyle name="Normal 34 17 2 5 2 3" xfId="20482" xr:uid="{00000000-0005-0000-0000-0000F7730000}"/>
    <cellStyle name="Normal 34 17 2 5 2 3 2" xfId="36581" xr:uid="{00000000-0005-0000-0000-0000F8730000}"/>
    <cellStyle name="Normal 34 17 2 5 2 4" xfId="31275" xr:uid="{00000000-0005-0000-0000-0000F9730000}"/>
    <cellStyle name="Normal 34 17 2 5 3" xfId="8221" xr:uid="{00000000-0005-0000-0000-0000FA730000}"/>
    <cellStyle name="Normal 34 17 2 5 3 2" xfId="11879" xr:uid="{00000000-0005-0000-0000-0000FB730000}"/>
    <cellStyle name="Normal 34 17 2 5 3 2 2" xfId="34916" xr:uid="{00000000-0005-0000-0000-0000FC730000}"/>
    <cellStyle name="Normal 34 17 2 5 3 3" xfId="29576" xr:uid="{00000000-0005-0000-0000-0000FD730000}"/>
    <cellStyle name="Normal 34 17 2 5 4" xfId="22833" xr:uid="{00000000-0005-0000-0000-0000FE730000}"/>
    <cellStyle name="Normal 34 17 2 5 4 2" xfId="38902" xr:uid="{00000000-0005-0000-0000-0000FF730000}"/>
    <cellStyle name="Normal 34 17 2 5 5" xfId="32968" xr:uid="{00000000-0005-0000-0000-000000740000}"/>
    <cellStyle name="Normal 34 17 2 6" xfId="5159" xr:uid="{00000000-0005-0000-0000-000001740000}"/>
    <cellStyle name="Normal 34 17 2 6 2" xfId="6878" xr:uid="{00000000-0005-0000-0000-000002740000}"/>
    <cellStyle name="Normal 34 17 2 6 2 2" xfId="10284" xr:uid="{00000000-0005-0000-0000-000003740000}"/>
    <cellStyle name="Normal 34 17 2 6 2 2 2" xfId="24727" xr:uid="{00000000-0005-0000-0000-000004740000}"/>
    <cellStyle name="Normal 34 17 2 6 2 2 2 2" xfId="40770" xr:uid="{00000000-0005-0000-0000-000005740000}"/>
    <cellStyle name="Normal 34 17 2 6 2 2 3" xfId="27515" xr:uid="{00000000-0005-0000-0000-000006740000}"/>
    <cellStyle name="Normal 34 17 2 6 2 3" xfId="23108" xr:uid="{00000000-0005-0000-0000-000007740000}"/>
    <cellStyle name="Normal 34 17 2 6 2 3 2" xfId="39177" xr:uid="{00000000-0005-0000-0000-000008740000}"/>
    <cellStyle name="Normal 34 17 2 6 2 4" xfId="30916" xr:uid="{00000000-0005-0000-0000-000009740000}"/>
    <cellStyle name="Normal 34 17 2 6 3" xfId="8581" xr:uid="{00000000-0005-0000-0000-00000A740000}"/>
    <cellStyle name="Normal 34 17 2 6 3 2" xfId="24385" xr:uid="{00000000-0005-0000-0000-00000B740000}"/>
    <cellStyle name="Normal 34 17 2 6 3 2 2" xfId="40429" xr:uid="{00000000-0005-0000-0000-00000C740000}"/>
    <cellStyle name="Normal 34 17 2 6 3 3" xfId="29217" xr:uid="{00000000-0005-0000-0000-00000D740000}"/>
    <cellStyle name="Normal 34 17 2 6 4" xfId="19764" xr:uid="{00000000-0005-0000-0000-00000E740000}"/>
    <cellStyle name="Normal 34 17 2 6 4 2" xfId="35878" xr:uid="{00000000-0005-0000-0000-00000F740000}"/>
    <cellStyle name="Normal 34 17 2 6 5" xfId="32608" xr:uid="{00000000-0005-0000-0000-000010740000}"/>
    <cellStyle name="Normal 34 17 2 7" xfId="5338" xr:uid="{00000000-0005-0000-0000-000011740000}"/>
    <cellStyle name="Normal 34 17 2 7 2" xfId="8753" xr:uid="{00000000-0005-0000-0000-000012740000}"/>
    <cellStyle name="Normal 34 17 2 7 2 2" xfId="21180" xr:uid="{00000000-0005-0000-0000-000013740000}"/>
    <cellStyle name="Normal 34 17 2 7 2 2 2" xfId="37260" xr:uid="{00000000-0005-0000-0000-000014740000}"/>
    <cellStyle name="Normal 34 17 2 7 2 3" xfId="29045" xr:uid="{00000000-0005-0000-0000-000015740000}"/>
    <cellStyle name="Normal 34 17 2 7 3" xfId="10729" xr:uid="{00000000-0005-0000-0000-000016740000}"/>
    <cellStyle name="Normal 34 17 2 7 3 2" xfId="34577" xr:uid="{00000000-0005-0000-0000-000017740000}"/>
    <cellStyle name="Normal 34 17 2 7 4" xfId="32436" xr:uid="{00000000-0005-0000-0000-000018740000}"/>
    <cellStyle name="Normal 34 17 2 8" xfId="7071" xr:uid="{00000000-0005-0000-0000-000019740000}"/>
    <cellStyle name="Normal 34 17 2 8 2" xfId="20655" xr:uid="{00000000-0005-0000-0000-00001A740000}"/>
    <cellStyle name="Normal 34 17 2 8 2 2" xfId="36754" xr:uid="{00000000-0005-0000-0000-00001B740000}"/>
    <cellStyle name="Normal 34 17 2 8 3" xfId="30727" xr:uid="{00000000-0005-0000-0000-00001C740000}"/>
    <cellStyle name="Normal 34 17 2 9" xfId="12528" xr:uid="{00000000-0005-0000-0000-00001D740000}"/>
    <cellStyle name="Normal 34 17 3" xfId="3525" xr:uid="{00000000-0005-0000-0000-00001E740000}"/>
    <cellStyle name="Normal 34 17 3 10" xfId="47054" xr:uid="{00000000-0005-0000-0000-00001F740000}"/>
    <cellStyle name="Normal 34 17 3 2" xfId="3960" xr:uid="{00000000-0005-0000-0000-000020740000}"/>
    <cellStyle name="Normal 34 17 3 2 2" xfId="5848" xr:uid="{00000000-0005-0000-0000-000021740000}"/>
    <cellStyle name="Normal 34 17 3 2 2 2" xfId="9263" xr:uid="{00000000-0005-0000-0000-000022740000}"/>
    <cellStyle name="Normal 34 17 3 2 2 2 2" xfId="22560" xr:uid="{00000000-0005-0000-0000-000023740000}"/>
    <cellStyle name="Normal 34 17 3 2 2 2 2 2" xfId="38629" xr:uid="{00000000-0005-0000-0000-000024740000}"/>
    <cellStyle name="Normal 34 17 3 2 2 2 3" xfId="28535" xr:uid="{00000000-0005-0000-0000-000025740000}"/>
    <cellStyle name="Normal 34 17 3 2 2 3" xfId="22927" xr:uid="{00000000-0005-0000-0000-000026740000}"/>
    <cellStyle name="Normal 34 17 3 2 2 3 2" xfId="38996" xr:uid="{00000000-0005-0000-0000-000027740000}"/>
    <cellStyle name="Normal 34 17 3 2 2 4" xfId="31926" xr:uid="{00000000-0005-0000-0000-000028740000}"/>
    <cellStyle name="Normal 34 17 3 2 3" xfId="7566" xr:uid="{00000000-0005-0000-0000-000029740000}"/>
    <cellStyle name="Normal 34 17 3 2 3 2" xfId="22466" xr:uid="{00000000-0005-0000-0000-00002A740000}"/>
    <cellStyle name="Normal 34 17 3 2 3 2 2" xfId="38538" xr:uid="{00000000-0005-0000-0000-00002B740000}"/>
    <cellStyle name="Normal 34 17 3 2 3 3" xfId="30232" xr:uid="{00000000-0005-0000-0000-00002C740000}"/>
    <cellStyle name="Normal 34 17 3 2 4" xfId="18187" xr:uid="{00000000-0005-0000-0000-00002D740000}"/>
    <cellStyle name="Normal 34 17 3 2 5" xfId="19954" xr:uid="{00000000-0005-0000-0000-00002E740000}"/>
    <cellStyle name="Normal 34 17 3 2 5 2" xfId="36058" xr:uid="{00000000-0005-0000-0000-00002F740000}"/>
    <cellStyle name="Normal 34 17 3 2 6" xfId="33619" xr:uid="{00000000-0005-0000-0000-000030740000}"/>
    <cellStyle name="Normal 34 17 3 3" xfId="4900" xr:uid="{00000000-0005-0000-0000-000031740000}"/>
    <cellStyle name="Normal 34 17 3 3 10" xfId="47244" xr:uid="{00000000-0005-0000-0000-000032740000}"/>
    <cellStyle name="Normal 34 17 3 3 2" xfId="6619" xr:uid="{00000000-0005-0000-0000-000033740000}"/>
    <cellStyle name="Normal 34 17 3 3 2 2" xfId="10025" xr:uid="{00000000-0005-0000-0000-000034740000}"/>
    <cellStyle name="Normal 34 17 3 3 2 2 2" xfId="24609" xr:uid="{00000000-0005-0000-0000-000035740000}"/>
    <cellStyle name="Normal 34 17 3 3 2 2 2 2" xfId="40653" xr:uid="{00000000-0005-0000-0000-000036740000}"/>
    <cellStyle name="Normal 34 17 3 3 2 2 3" xfId="27774" xr:uid="{00000000-0005-0000-0000-000037740000}"/>
    <cellStyle name="Normal 34 17 3 3 2 3" xfId="20522" xr:uid="{00000000-0005-0000-0000-000038740000}"/>
    <cellStyle name="Normal 34 17 3 3 2 3 2" xfId="36621" xr:uid="{00000000-0005-0000-0000-000039740000}"/>
    <cellStyle name="Normal 34 17 3 3 2 4" xfId="31175" xr:uid="{00000000-0005-0000-0000-00003A740000}"/>
    <cellStyle name="Normal 34 17 3 3 2 5" xfId="42006" xr:uid="{00000000-0005-0000-0000-00003B740000}"/>
    <cellStyle name="Normal 34 17 3 3 2 6" xfId="43241" xr:uid="{00000000-0005-0000-0000-00003C740000}"/>
    <cellStyle name="Normal 34 17 3 3 2 7" xfId="46087" xr:uid="{00000000-0005-0000-0000-00003D740000}"/>
    <cellStyle name="Normal 34 17 3 3 2 8" xfId="46854" xr:uid="{00000000-0005-0000-0000-00003E740000}"/>
    <cellStyle name="Normal 34 17 3 3 2 9" xfId="47440" xr:uid="{00000000-0005-0000-0000-00003F740000}"/>
    <cellStyle name="Normal 34 17 3 3 3" xfId="8322" xr:uid="{00000000-0005-0000-0000-000040740000}"/>
    <cellStyle name="Normal 34 17 3 3 3 2" xfId="10577" xr:uid="{00000000-0005-0000-0000-000041740000}"/>
    <cellStyle name="Normal 34 17 3 3 3 2 2" xfId="34433" xr:uid="{00000000-0005-0000-0000-000042740000}"/>
    <cellStyle name="Normal 34 17 3 3 3 3" xfId="29476" xr:uid="{00000000-0005-0000-0000-000043740000}"/>
    <cellStyle name="Normal 34 17 3 3 3 4" xfId="44101" xr:uid="{00000000-0005-0000-0000-000044740000}"/>
    <cellStyle name="Normal 34 17 3 3 4" xfId="15450" xr:uid="{00000000-0005-0000-0000-000045740000}"/>
    <cellStyle name="Normal 34 17 3 3 4 2" xfId="35336" xr:uid="{00000000-0005-0000-0000-000046740000}"/>
    <cellStyle name="Normal 34 17 3 3 5" xfId="24977" xr:uid="{00000000-0005-0000-0000-000047740000}"/>
    <cellStyle name="Normal 34 17 3 3 6" xfId="25499" xr:uid="{00000000-0005-0000-0000-000048740000}"/>
    <cellStyle name="Normal 34 17 3 3 7" xfId="32867" xr:uid="{00000000-0005-0000-0000-000049740000}"/>
    <cellStyle name="Normal 34 17 3 3 8" xfId="43697" xr:uid="{00000000-0005-0000-0000-00004A740000}"/>
    <cellStyle name="Normal 34 17 3 3 9" xfId="46615" xr:uid="{00000000-0005-0000-0000-00004B740000}"/>
    <cellStyle name="Normal 34 17 3 4" xfId="5454" xr:uid="{00000000-0005-0000-0000-00004C740000}"/>
    <cellStyle name="Normal 34 17 3 4 2" xfId="8869" xr:uid="{00000000-0005-0000-0000-00004D740000}"/>
    <cellStyle name="Normal 34 17 3 4 2 2" xfId="22594" xr:uid="{00000000-0005-0000-0000-00004E740000}"/>
    <cellStyle name="Normal 34 17 3 4 2 2 2" xfId="38663" xr:uid="{00000000-0005-0000-0000-00004F740000}"/>
    <cellStyle name="Normal 34 17 3 4 2 3" xfId="28929" xr:uid="{00000000-0005-0000-0000-000050740000}"/>
    <cellStyle name="Normal 34 17 3 4 3" xfId="10700" xr:uid="{00000000-0005-0000-0000-000051740000}"/>
    <cellStyle name="Normal 34 17 3 4 3 2" xfId="34548" xr:uid="{00000000-0005-0000-0000-000052740000}"/>
    <cellStyle name="Normal 34 17 3 4 4" xfId="32320" xr:uid="{00000000-0005-0000-0000-000053740000}"/>
    <cellStyle name="Normal 34 17 3 5" xfId="7172" xr:uid="{00000000-0005-0000-0000-000054740000}"/>
    <cellStyle name="Normal 34 17 3 5 2" xfId="23158" xr:uid="{00000000-0005-0000-0000-000055740000}"/>
    <cellStyle name="Normal 34 17 3 5 2 2" xfId="39227" xr:uid="{00000000-0005-0000-0000-000056740000}"/>
    <cellStyle name="Normal 34 17 3 5 3" xfId="30626" xr:uid="{00000000-0005-0000-0000-000057740000}"/>
    <cellStyle name="Normal 34 17 3 6" xfId="12530" xr:uid="{00000000-0005-0000-0000-000058740000}"/>
    <cellStyle name="Normal 34 17 3 7" xfId="34013" xr:uid="{00000000-0005-0000-0000-000059740000}"/>
    <cellStyle name="Normal 34 17 3 8" xfId="43491" xr:uid="{00000000-0005-0000-0000-00005A740000}"/>
    <cellStyle name="Normal 34 17 3 9" xfId="46390" xr:uid="{00000000-0005-0000-0000-00005B740000}"/>
    <cellStyle name="Normal 34 17 3_Avviksanalyse løpende RNB15 (1)" xfId="16764" xr:uid="{00000000-0005-0000-0000-00005C740000}"/>
    <cellStyle name="Normal 34 17 4" xfId="3780" xr:uid="{00000000-0005-0000-0000-00005D740000}"/>
    <cellStyle name="Normal 34 17 4 2" xfId="5668" xr:uid="{00000000-0005-0000-0000-00005E740000}"/>
    <cellStyle name="Normal 34 17 4 2 2" xfId="9083" xr:uid="{00000000-0005-0000-0000-00005F740000}"/>
    <cellStyle name="Normal 34 17 4 2 2 2" xfId="11720" xr:uid="{00000000-0005-0000-0000-000060740000}"/>
    <cellStyle name="Normal 34 17 4 2 2 2 2" xfId="34843" xr:uid="{00000000-0005-0000-0000-000061740000}"/>
    <cellStyle name="Normal 34 17 4 2 2 3" xfId="28715" xr:uid="{00000000-0005-0000-0000-000062740000}"/>
    <cellStyle name="Normal 34 17 4 2 3" xfId="23897" xr:uid="{00000000-0005-0000-0000-000063740000}"/>
    <cellStyle name="Normal 34 17 4 2 3 2" xfId="39953" xr:uid="{00000000-0005-0000-0000-000064740000}"/>
    <cellStyle name="Normal 34 17 4 2 4" xfId="32106" xr:uid="{00000000-0005-0000-0000-000065740000}"/>
    <cellStyle name="Normal 34 17 4 3" xfId="7386" xr:uid="{00000000-0005-0000-0000-000066740000}"/>
    <cellStyle name="Normal 34 17 4 3 2" xfId="20764" xr:uid="{00000000-0005-0000-0000-000067740000}"/>
    <cellStyle name="Normal 34 17 4 3 2 2" xfId="36863" xr:uid="{00000000-0005-0000-0000-000068740000}"/>
    <cellStyle name="Normal 34 17 4 3 3" xfId="30412" xr:uid="{00000000-0005-0000-0000-000069740000}"/>
    <cellStyle name="Normal 34 17 4 4" xfId="19930" xr:uid="{00000000-0005-0000-0000-00006A740000}"/>
    <cellStyle name="Normal 34 17 4 4 2" xfId="36034" xr:uid="{00000000-0005-0000-0000-00006B740000}"/>
    <cellStyle name="Normal 34 17 4 5" xfId="33799" xr:uid="{00000000-0005-0000-0000-00006C740000}"/>
    <cellStyle name="Normal 34 17 5" xfId="4166" xr:uid="{00000000-0005-0000-0000-00006D740000}"/>
    <cellStyle name="Normal 34 17 5 2" xfId="6016" xr:uid="{00000000-0005-0000-0000-00006E740000}"/>
    <cellStyle name="Normal 34 17 5 2 2" xfId="9431" xr:uid="{00000000-0005-0000-0000-00006F740000}"/>
    <cellStyle name="Normal 34 17 5 2 2 2" xfId="24513" xr:uid="{00000000-0005-0000-0000-000070740000}"/>
    <cellStyle name="Normal 34 17 5 2 2 2 2" xfId="40557" xr:uid="{00000000-0005-0000-0000-000071740000}"/>
    <cellStyle name="Normal 34 17 5 2 2 3" xfId="28367" xr:uid="{00000000-0005-0000-0000-000072740000}"/>
    <cellStyle name="Normal 34 17 5 2 3" xfId="20288" xr:uid="{00000000-0005-0000-0000-000073740000}"/>
    <cellStyle name="Normal 34 17 5 2 3 2" xfId="36387" xr:uid="{00000000-0005-0000-0000-000074740000}"/>
    <cellStyle name="Normal 34 17 5 2 4" xfId="31762" xr:uid="{00000000-0005-0000-0000-000075740000}"/>
    <cellStyle name="Normal 34 17 5 3" xfId="7747" xr:uid="{00000000-0005-0000-0000-000076740000}"/>
    <cellStyle name="Normal 34 17 5 3 2" xfId="24263" xr:uid="{00000000-0005-0000-0000-000077740000}"/>
    <cellStyle name="Normal 34 17 5 3 2 2" xfId="40316" xr:uid="{00000000-0005-0000-0000-000078740000}"/>
    <cellStyle name="Normal 34 17 5 3 3" xfId="30052" xr:uid="{00000000-0005-0000-0000-000079740000}"/>
    <cellStyle name="Normal 34 17 5 4" xfId="10995" xr:uid="{00000000-0005-0000-0000-00007A740000}"/>
    <cellStyle name="Normal 34 17 5 4 2" xfId="34729" xr:uid="{00000000-0005-0000-0000-00007B740000}"/>
    <cellStyle name="Normal 34 17 5 5" xfId="33439" xr:uid="{00000000-0005-0000-0000-00007C740000}"/>
    <cellStyle name="Normal 34 17 6" xfId="4622" xr:uid="{00000000-0005-0000-0000-00007D740000}"/>
    <cellStyle name="Normal 34 17 6 2" xfId="6359" xr:uid="{00000000-0005-0000-0000-00007E740000}"/>
    <cellStyle name="Normal 34 17 6 2 2" xfId="9769" xr:uid="{00000000-0005-0000-0000-00007F740000}"/>
    <cellStyle name="Normal 34 17 6 2 2 2" xfId="24559" xr:uid="{00000000-0005-0000-0000-000080740000}"/>
    <cellStyle name="Normal 34 17 6 2 2 2 2" xfId="40603" xr:uid="{00000000-0005-0000-0000-000081740000}"/>
    <cellStyle name="Normal 34 17 6 2 2 3" xfId="28030" xr:uid="{00000000-0005-0000-0000-000082740000}"/>
    <cellStyle name="Normal 34 17 6 2 3" xfId="24026" xr:uid="{00000000-0005-0000-0000-000083740000}"/>
    <cellStyle name="Normal 34 17 6 2 3 2" xfId="40079" xr:uid="{00000000-0005-0000-0000-000084740000}"/>
    <cellStyle name="Normal 34 17 6 2 4" xfId="31431" xr:uid="{00000000-0005-0000-0000-000085740000}"/>
    <cellStyle name="Normal 34 17 6 3" xfId="8065" xr:uid="{00000000-0005-0000-0000-000086740000}"/>
    <cellStyle name="Normal 34 17 6 3 2" xfId="24311" xr:uid="{00000000-0005-0000-0000-000087740000}"/>
    <cellStyle name="Normal 34 17 6 3 2 2" xfId="40362" xr:uid="{00000000-0005-0000-0000-000088740000}"/>
    <cellStyle name="Normal 34 17 6 3 3" xfId="29733" xr:uid="{00000000-0005-0000-0000-000089740000}"/>
    <cellStyle name="Normal 34 17 6 4" xfId="10945" xr:uid="{00000000-0005-0000-0000-00008A740000}"/>
    <cellStyle name="Normal 34 17 6 4 2" xfId="34687" xr:uid="{00000000-0005-0000-0000-00008B740000}"/>
    <cellStyle name="Normal 34 17 6 5" xfId="33124" xr:uid="{00000000-0005-0000-0000-00008C740000}"/>
    <cellStyle name="Normal 34 17 7" xfId="4716" xr:uid="{00000000-0005-0000-0000-00008D740000}"/>
    <cellStyle name="Normal 34 17 7 2" xfId="6436" xr:uid="{00000000-0005-0000-0000-00008E740000}"/>
    <cellStyle name="Normal 34 17 7 2 2" xfId="9846" xr:uid="{00000000-0005-0000-0000-00008F740000}"/>
    <cellStyle name="Normal 34 17 7 2 2 2" xfId="24574" xr:uid="{00000000-0005-0000-0000-000090740000}"/>
    <cellStyle name="Normal 34 17 7 2 2 2 2" xfId="40618" xr:uid="{00000000-0005-0000-0000-000091740000}"/>
    <cellStyle name="Normal 34 17 7 2 2 3" xfId="27953" xr:uid="{00000000-0005-0000-0000-000092740000}"/>
    <cellStyle name="Normal 34 17 7 2 3" xfId="20451" xr:uid="{00000000-0005-0000-0000-000093740000}"/>
    <cellStyle name="Normal 34 17 7 2 3 2" xfId="36550" xr:uid="{00000000-0005-0000-0000-000094740000}"/>
    <cellStyle name="Normal 34 17 7 2 4" xfId="31354" xr:uid="{00000000-0005-0000-0000-000095740000}"/>
    <cellStyle name="Normal 34 17 7 3" xfId="8142" xr:uid="{00000000-0005-0000-0000-000096740000}"/>
    <cellStyle name="Normal 34 17 7 3 2" xfId="22507" xr:uid="{00000000-0005-0000-0000-000097740000}"/>
    <cellStyle name="Normal 34 17 7 3 2 2" xfId="38577" xr:uid="{00000000-0005-0000-0000-000098740000}"/>
    <cellStyle name="Normal 34 17 7 3 3" xfId="29656" xr:uid="{00000000-0005-0000-0000-000099740000}"/>
    <cellStyle name="Normal 34 17 7 4" xfId="20036" xr:uid="{00000000-0005-0000-0000-00009A740000}"/>
    <cellStyle name="Normal 34 17 7 4 2" xfId="36140" xr:uid="{00000000-0005-0000-0000-00009B740000}"/>
    <cellStyle name="Normal 34 17 7 5" xfId="33047" xr:uid="{00000000-0005-0000-0000-00009C740000}"/>
    <cellStyle name="Normal 34 17 8" xfId="5080" xr:uid="{00000000-0005-0000-0000-00009D740000}"/>
    <cellStyle name="Normal 34 17 8 2" xfId="6799" xr:uid="{00000000-0005-0000-0000-00009E740000}"/>
    <cellStyle name="Normal 34 17 8 2 2" xfId="10205" xr:uid="{00000000-0005-0000-0000-00009F740000}"/>
    <cellStyle name="Normal 34 17 8 2 2 2" xfId="24647" xr:uid="{00000000-0005-0000-0000-0000A0740000}"/>
    <cellStyle name="Normal 34 17 8 2 2 2 2" xfId="40691" xr:uid="{00000000-0005-0000-0000-0000A1740000}"/>
    <cellStyle name="Normal 34 17 8 2 2 3" xfId="27594" xr:uid="{00000000-0005-0000-0000-0000A2740000}"/>
    <cellStyle name="Normal 34 17 8 2 3" xfId="20572" xr:uid="{00000000-0005-0000-0000-0000A3740000}"/>
    <cellStyle name="Normal 34 17 8 2 3 2" xfId="36671" xr:uid="{00000000-0005-0000-0000-0000A4740000}"/>
    <cellStyle name="Normal 34 17 8 2 4" xfId="30995" xr:uid="{00000000-0005-0000-0000-0000A5740000}"/>
    <cellStyle name="Normal 34 17 8 3" xfId="8502" xr:uid="{00000000-0005-0000-0000-0000A6740000}"/>
    <cellStyle name="Normal 34 17 8 3 2" xfId="24374" xr:uid="{00000000-0005-0000-0000-0000A7740000}"/>
    <cellStyle name="Normal 34 17 8 3 2 2" xfId="40420" xr:uid="{00000000-0005-0000-0000-0000A8740000}"/>
    <cellStyle name="Normal 34 17 8 3 3" xfId="29296" xr:uid="{00000000-0005-0000-0000-0000A9740000}"/>
    <cellStyle name="Normal 34 17 8 4" xfId="12182" xr:uid="{00000000-0005-0000-0000-0000AA740000}"/>
    <cellStyle name="Normal 34 17 8 4 2" xfId="35114" xr:uid="{00000000-0005-0000-0000-0000AB740000}"/>
    <cellStyle name="Normal 34 17 8 5" xfId="32687" xr:uid="{00000000-0005-0000-0000-0000AC740000}"/>
    <cellStyle name="Normal 34 17 9" xfId="5177" xr:uid="{00000000-0005-0000-0000-0000AD740000}"/>
    <cellStyle name="Normal 34 17 9 2" xfId="8596" xr:uid="{00000000-0005-0000-0000-0000AE740000}"/>
    <cellStyle name="Normal 34 17 9 2 2" xfId="10510" xr:uid="{00000000-0005-0000-0000-0000AF740000}"/>
    <cellStyle name="Normal 34 17 9 2 2 2" xfId="34400" xr:uid="{00000000-0005-0000-0000-0000B0740000}"/>
    <cellStyle name="Normal 34 17 9 2 3" xfId="29202" xr:uid="{00000000-0005-0000-0000-0000B1740000}"/>
    <cellStyle name="Normal 34 17 9 3" xfId="10795" xr:uid="{00000000-0005-0000-0000-0000B2740000}"/>
    <cellStyle name="Normal 34 17 9 3 2" xfId="34618" xr:uid="{00000000-0005-0000-0000-0000B3740000}"/>
    <cellStyle name="Normal 34 17 9 4" xfId="32593" xr:uid="{00000000-0005-0000-0000-0000B4740000}"/>
    <cellStyle name="Normal 34 18" xfId="1790" xr:uid="{00000000-0005-0000-0000-0000B5740000}"/>
    <cellStyle name="Normal 34 18 10" xfId="6990" xr:uid="{00000000-0005-0000-0000-0000B6740000}"/>
    <cellStyle name="Normal 34 18 10 2" xfId="22404" xr:uid="{00000000-0005-0000-0000-0000B7740000}"/>
    <cellStyle name="Normal 34 18 10 2 2" xfId="38476" xr:uid="{00000000-0005-0000-0000-0000B8740000}"/>
    <cellStyle name="Normal 34 18 10 3" xfId="30808" xr:uid="{00000000-0005-0000-0000-0000B9740000}"/>
    <cellStyle name="Normal 34 18 11" xfId="12531" xr:uid="{00000000-0005-0000-0000-0000BA740000}"/>
    <cellStyle name="Normal 34 18 12" xfId="34196" xr:uid="{00000000-0005-0000-0000-0000BB740000}"/>
    <cellStyle name="Normal 34 18 2" xfId="3384" xr:uid="{00000000-0005-0000-0000-0000BC740000}"/>
    <cellStyle name="Normal 34 18 2 10" xfId="34113" xr:uid="{00000000-0005-0000-0000-0000BD740000}"/>
    <cellStyle name="Normal 34 18 2 2" xfId="3610" xr:uid="{00000000-0005-0000-0000-0000BE740000}"/>
    <cellStyle name="Normal 34 18 2 2 10" xfId="47209" xr:uid="{00000000-0005-0000-0000-0000BF740000}"/>
    <cellStyle name="Normal 34 18 2 2 2" xfId="4040" xr:uid="{00000000-0005-0000-0000-0000C0740000}"/>
    <cellStyle name="Normal 34 18 2 2 2 2" xfId="5928" xr:uid="{00000000-0005-0000-0000-0000C1740000}"/>
    <cellStyle name="Normal 34 18 2 2 2 2 2" xfId="9343" xr:uid="{00000000-0005-0000-0000-0000C2740000}"/>
    <cellStyle name="Normal 34 18 2 2 2 2 2 2" xfId="24499" xr:uid="{00000000-0005-0000-0000-0000C3740000}"/>
    <cellStyle name="Normal 34 18 2 2 2 2 2 2 2" xfId="40543" xr:uid="{00000000-0005-0000-0000-0000C4740000}"/>
    <cellStyle name="Normal 34 18 2 2 2 2 2 3" xfId="28455" xr:uid="{00000000-0005-0000-0000-0000C5740000}"/>
    <cellStyle name="Normal 34 18 2 2 2 2 3" xfId="20254" xr:uid="{00000000-0005-0000-0000-0000C6740000}"/>
    <cellStyle name="Normal 34 18 2 2 2 2 3 2" xfId="36353" xr:uid="{00000000-0005-0000-0000-0000C7740000}"/>
    <cellStyle name="Normal 34 18 2 2 2 2 4" xfId="31848" xr:uid="{00000000-0005-0000-0000-0000C8740000}"/>
    <cellStyle name="Normal 34 18 2 2 2 3" xfId="7646" xr:uid="{00000000-0005-0000-0000-0000C9740000}"/>
    <cellStyle name="Normal 34 18 2 2 2 3 2" xfId="20849" xr:uid="{00000000-0005-0000-0000-0000CA740000}"/>
    <cellStyle name="Normal 34 18 2 2 2 3 2 2" xfId="36948" xr:uid="{00000000-0005-0000-0000-0000CB740000}"/>
    <cellStyle name="Normal 34 18 2 2 2 3 3" xfId="30152" xr:uid="{00000000-0005-0000-0000-0000CC740000}"/>
    <cellStyle name="Normal 34 18 2 2 2 4" xfId="18188" xr:uid="{00000000-0005-0000-0000-0000CD740000}"/>
    <cellStyle name="Normal 34 18 2 2 2 5" xfId="12429" xr:uid="{00000000-0005-0000-0000-0000CE740000}"/>
    <cellStyle name="Normal 34 18 2 2 2 5 2" xfId="35231" xr:uid="{00000000-0005-0000-0000-0000CF740000}"/>
    <cellStyle name="Normal 34 18 2 2 2 6" xfId="33539" xr:uid="{00000000-0005-0000-0000-0000D0740000}"/>
    <cellStyle name="Normal 34 18 2 2 3" xfId="4980" xr:uid="{00000000-0005-0000-0000-0000D1740000}"/>
    <cellStyle name="Normal 34 18 2 2 3 10" xfId="47399" xr:uid="{00000000-0005-0000-0000-0000D2740000}"/>
    <cellStyle name="Normal 34 18 2 2 3 2" xfId="6699" xr:uid="{00000000-0005-0000-0000-0000D3740000}"/>
    <cellStyle name="Normal 34 18 2 2 3 2 2" xfId="10105" xr:uid="{00000000-0005-0000-0000-0000D4740000}"/>
    <cellStyle name="Normal 34 18 2 2 3 2 2 2" xfId="24625" xr:uid="{00000000-0005-0000-0000-0000D5740000}"/>
    <cellStyle name="Normal 34 18 2 2 3 2 2 2 2" xfId="40669" xr:uid="{00000000-0005-0000-0000-0000D6740000}"/>
    <cellStyle name="Normal 34 18 2 2 3 2 2 3" xfId="27694" xr:uid="{00000000-0005-0000-0000-0000D7740000}"/>
    <cellStyle name="Normal 34 18 2 2 3 2 3" xfId="10663" xr:uid="{00000000-0005-0000-0000-0000D8740000}"/>
    <cellStyle name="Normal 34 18 2 2 3 2 3 2" xfId="34511" xr:uid="{00000000-0005-0000-0000-0000D9740000}"/>
    <cellStyle name="Normal 34 18 2 2 3 2 4" xfId="31095" xr:uid="{00000000-0005-0000-0000-0000DA740000}"/>
    <cellStyle name="Normal 34 18 2 2 3 2 5" xfId="43096" xr:uid="{00000000-0005-0000-0000-0000DB740000}"/>
    <cellStyle name="Normal 34 18 2 2 3 2 6" xfId="43390" xr:uid="{00000000-0005-0000-0000-0000DC740000}"/>
    <cellStyle name="Normal 34 18 2 2 3 2 7" xfId="46238" xr:uid="{00000000-0005-0000-0000-0000DD740000}"/>
    <cellStyle name="Normal 34 18 2 2 3 2 8" xfId="47010" xr:uid="{00000000-0005-0000-0000-0000DE740000}"/>
    <cellStyle name="Normal 34 18 2 2 3 2 9" xfId="47595" xr:uid="{00000000-0005-0000-0000-0000DF740000}"/>
    <cellStyle name="Normal 34 18 2 2 3 3" xfId="8402" xr:uid="{00000000-0005-0000-0000-0000E0740000}"/>
    <cellStyle name="Normal 34 18 2 2 3 3 2" xfId="21084" xr:uid="{00000000-0005-0000-0000-0000E1740000}"/>
    <cellStyle name="Normal 34 18 2 2 3 3 2 2" xfId="37169" xr:uid="{00000000-0005-0000-0000-0000E2740000}"/>
    <cellStyle name="Normal 34 18 2 2 3 3 3" xfId="29396" xr:uid="{00000000-0005-0000-0000-0000E3740000}"/>
    <cellStyle name="Normal 34 18 2 2 3 3 4" xfId="44102" xr:uid="{00000000-0005-0000-0000-0000E4740000}"/>
    <cellStyle name="Normal 34 18 2 2 3 4" xfId="16541" xr:uid="{00000000-0005-0000-0000-0000E5740000}"/>
    <cellStyle name="Normal 34 18 2 2 3 4 2" xfId="35485" xr:uid="{00000000-0005-0000-0000-0000E6740000}"/>
    <cellStyle name="Normal 34 18 2 2 3 5" xfId="25147" xr:uid="{00000000-0005-0000-0000-0000E7740000}"/>
    <cellStyle name="Normal 34 18 2 2 3 6" xfId="25500" xr:uid="{00000000-0005-0000-0000-0000E8740000}"/>
    <cellStyle name="Normal 34 18 2 2 3 7" xfId="32787" xr:uid="{00000000-0005-0000-0000-0000E9740000}"/>
    <cellStyle name="Normal 34 18 2 2 3 8" xfId="43851" xr:uid="{00000000-0005-0000-0000-0000EA740000}"/>
    <cellStyle name="Normal 34 18 2 2 3 9" xfId="46776" xr:uid="{00000000-0005-0000-0000-0000EB740000}"/>
    <cellStyle name="Normal 34 18 2 2 4" xfId="5534" xr:uid="{00000000-0005-0000-0000-0000EC740000}"/>
    <cellStyle name="Normal 34 18 2 2 4 2" xfId="8949" xr:uid="{00000000-0005-0000-0000-0000ED740000}"/>
    <cellStyle name="Normal 34 18 2 2 4 2 2" xfId="21227" xr:uid="{00000000-0005-0000-0000-0000EE740000}"/>
    <cellStyle name="Normal 34 18 2 2 4 2 2 2" xfId="37307" xr:uid="{00000000-0005-0000-0000-0000EF740000}"/>
    <cellStyle name="Normal 34 18 2 2 4 2 3" xfId="28849" xr:uid="{00000000-0005-0000-0000-0000F0740000}"/>
    <cellStyle name="Normal 34 18 2 2 4 3" xfId="22868" xr:uid="{00000000-0005-0000-0000-0000F1740000}"/>
    <cellStyle name="Normal 34 18 2 2 4 3 2" xfId="38937" xr:uid="{00000000-0005-0000-0000-0000F2740000}"/>
    <cellStyle name="Normal 34 18 2 2 4 4" xfId="32240" xr:uid="{00000000-0005-0000-0000-0000F3740000}"/>
    <cellStyle name="Normal 34 18 2 2 5" xfId="7252" xr:uid="{00000000-0005-0000-0000-0000F4740000}"/>
    <cellStyle name="Normal 34 18 2 2 5 2" xfId="20711" xr:uid="{00000000-0005-0000-0000-0000F5740000}"/>
    <cellStyle name="Normal 34 18 2 2 5 2 2" xfId="36810" xr:uid="{00000000-0005-0000-0000-0000F6740000}"/>
    <cellStyle name="Normal 34 18 2 2 5 3" xfId="30546" xr:uid="{00000000-0005-0000-0000-0000F7740000}"/>
    <cellStyle name="Normal 34 18 2 2 6" xfId="12533" xr:uid="{00000000-0005-0000-0000-0000F8740000}"/>
    <cellStyle name="Normal 34 18 2 2 7" xfId="33933" xr:uid="{00000000-0005-0000-0000-0000F9740000}"/>
    <cellStyle name="Normal 34 18 2 2 8" xfId="43642" xr:uid="{00000000-0005-0000-0000-0000FA740000}"/>
    <cellStyle name="Normal 34 18 2 2 9" xfId="46548" xr:uid="{00000000-0005-0000-0000-0000FB740000}"/>
    <cellStyle name="Normal 34 18 2 2_Avviksanalyse løpende RNB15 (1)" xfId="16765" xr:uid="{00000000-0005-0000-0000-0000FC740000}"/>
    <cellStyle name="Normal 34 18 2 3" xfId="3860" xr:uid="{00000000-0005-0000-0000-0000FD740000}"/>
    <cellStyle name="Normal 34 18 2 3 2" xfId="5748" xr:uid="{00000000-0005-0000-0000-0000FE740000}"/>
    <cellStyle name="Normal 34 18 2 3 2 2" xfId="9163" xr:uid="{00000000-0005-0000-0000-0000FF740000}"/>
    <cellStyle name="Normal 34 18 2 3 2 2 2" xfId="21298" xr:uid="{00000000-0005-0000-0000-000000750000}"/>
    <cellStyle name="Normal 34 18 2 3 2 2 2 2" xfId="37378" xr:uid="{00000000-0005-0000-0000-000001750000}"/>
    <cellStyle name="Normal 34 18 2 3 2 2 3" xfId="28635" xr:uid="{00000000-0005-0000-0000-000002750000}"/>
    <cellStyle name="Normal 34 18 2 3 2 3" xfId="22908" xr:uid="{00000000-0005-0000-0000-000003750000}"/>
    <cellStyle name="Normal 34 18 2 3 2 3 2" xfId="38977" xr:uid="{00000000-0005-0000-0000-000004750000}"/>
    <cellStyle name="Normal 34 18 2 3 2 4" xfId="32026" xr:uid="{00000000-0005-0000-0000-000005750000}"/>
    <cellStyle name="Normal 34 18 2 3 3" xfId="7466" xr:uid="{00000000-0005-0000-0000-000006750000}"/>
    <cellStyle name="Normal 34 18 2 3 3 2" xfId="22455" xr:uid="{00000000-0005-0000-0000-000007750000}"/>
    <cellStyle name="Normal 34 18 2 3 3 2 2" xfId="38527" xr:uid="{00000000-0005-0000-0000-000008750000}"/>
    <cellStyle name="Normal 34 18 2 3 3 3" xfId="30332" xr:uid="{00000000-0005-0000-0000-000009750000}"/>
    <cellStyle name="Normal 34 18 2 3 4" xfId="19550" xr:uid="{00000000-0005-0000-0000-00000A750000}"/>
    <cellStyle name="Normal 34 18 2 3 4 2" xfId="35664" xr:uid="{00000000-0005-0000-0000-00000B750000}"/>
    <cellStyle name="Normal 34 18 2 3 5" xfId="33719" xr:uid="{00000000-0005-0000-0000-00000C750000}"/>
    <cellStyle name="Normal 34 18 2 4" xfId="4345" xr:uid="{00000000-0005-0000-0000-00000D750000}"/>
    <cellStyle name="Normal 34 18 2 4 2" xfId="6174" xr:uid="{00000000-0005-0000-0000-00000E750000}"/>
    <cellStyle name="Normal 34 18 2 4 2 2" xfId="9588" xr:uid="{00000000-0005-0000-0000-00000F750000}"/>
    <cellStyle name="Normal 34 18 2 4 2 2 2" xfId="21428" xr:uid="{00000000-0005-0000-0000-000010750000}"/>
    <cellStyle name="Normal 34 18 2 4 2 2 2 2" xfId="37508" xr:uid="{00000000-0005-0000-0000-000011750000}"/>
    <cellStyle name="Normal 34 18 2 4 2 2 3" xfId="28210" xr:uid="{00000000-0005-0000-0000-000012750000}"/>
    <cellStyle name="Normal 34 18 2 4 2 3" xfId="23992" xr:uid="{00000000-0005-0000-0000-000013750000}"/>
    <cellStyle name="Normal 34 18 2 4 2 3 2" xfId="40045" xr:uid="{00000000-0005-0000-0000-000014750000}"/>
    <cellStyle name="Normal 34 18 2 4 2 4" xfId="31607" xr:uid="{00000000-0005-0000-0000-000015750000}"/>
    <cellStyle name="Normal 34 18 2 4 3" xfId="7907" xr:uid="{00000000-0005-0000-0000-000016750000}"/>
    <cellStyle name="Normal 34 18 2 4 3 2" xfId="11908" xr:uid="{00000000-0005-0000-0000-000017750000}"/>
    <cellStyle name="Normal 34 18 2 4 3 2 2" xfId="34944" xr:uid="{00000000-0005-0000-0000-000018750000}"/>
    <cellStyle name="Normal 34 18 2 4 3 3" xfId="29892" xr:uid="{00000000-0005-0000-0000-000019750000}"/>
    <cellStyle name="Normal 34 18 2 4 4" xfId="12365" xr:uid="{00000000-0005-0000-0000-00001A750000}"/>
    <cellStyle name="Normal 34 18 2 4 4 2" xfId="35207" xr:uid="{00000000-0005-0000-0000-00001B750000}"/>
    <cellStyle name="Normal 34 18 2 4 5" xfId="33280" xr:uid="{00000000-0005-0000-0000-00001C750000}"/>
    <cellStyle name="Normal 34 18 2 5" xfId="4800" xr:uid="{00000000-0005-0000-0000-00001D750000}"/>
    <cellStyle name="Normal 34 18 2 5 2" xfId="6520" xr:uid="{00000000-0005-0000-0000-00001E750000}"/>
    <cellStyle name="Normal 34 18 2 5 2 2" xfId="9926" xr:uid="{00000000-0005-0000-0000-00001F750000}"/>
    <cellStyle name="Normal 34 18 2 5 2 2 2" xfId="24589" xr:uid="{00000000-0005-0000-0000-000020750000}"/>
    <cellStyle name="Normal 34 18 2 5 2 2 2 2" xfId="40633" xr:uid="{00000000-0005-0000-0000-000021750000}"/>
    <cellStyle name="Normal 34 18 2 5 2 2 3" xfId="27873" xr:uid="{00000000-0005-0000-0000-000022750000}"/>
    <cellStyle name="Normal 34 18 2 5 2 3" xfId="24056" xr:uid="{00000000-0005-0000-0000-000023750000}"/>
    <cellStyle name="Normal 34 18 2 5 2 3 2" xfId="40109" xr:uid="{00000000-0005-0000-0000-000024750000}"/>
    <cellStyle name="Normal 34 18 2 5 2 4" xfId="31274" xr:uid="{00000000-0005-0000-0000-000025750000}"/>
    <cellStyle name="Normal 34 18 2 5 3" xfId="8222" xr:uid="{00000000-0005-0000-0000-000026750000}"/>
    <cellStyle name="Normal 34 18 2 5 3 2" xfId="21034" xr:uid="{00000000-0005-0000-0000-000027750000}"/>
    <cellStyle name="Normal 34 18 2 5 3 2 2" xfId="37125" xr:uid="{00000000-0005-0000-0000-000028750000}"/>
    <cellStyle name="Normal 34 18 2 5 3 3" xfId="29575" xr:uid="{00000000-0005-0000-0000-000029750000}"/>
    <cellStyle name="Normal 34 18 2 5 4" xfId="23713" xr:uid="{00000000-0005-0000-0000-00002A750000}"/>
    <cellStyle name="Normal 34 18 2 5 4 2" xfId="39769" xr:uid="{00000000-0005-0000-0000-00002B750000}"/>
    <cellStyle name="Normal 34 18 2 5 5" xfId="32967" xr:uid="{00000000-0005-0000-0000-00002C750000}"/>
    <cellStyle name="Normal 34 18 2 6" xfId="5160" xr:uid="{00000000-0005-0000-0000-00002D750000}"/>
    <cellStyle name="Normal 34 18 2 6 2" xfId="6879" xr:uid="{00000000-0005-0000-0000-00002E750000}"/>
    <cellStyle name="Normal 34 18 2 6 2 2" xfId="10285" xr:uid="{00000000-0005-0000-0000-00002F750000}"/>
    <cellStyle name="Normal 34 18 2 6 2 2 2" xfId="24728" xr:uid="{00000000-0005-0000-0000-000030750000}"/>
    <cellStyle name="Normal 34 18 2 6 2 2 2 2" xfId="40771" xr:uid="{00000000-0005-0000-0000-000031750000}"/>
    <cellStyle name="Normal 34 18 2 6 2 2 3" xfId="27514" xr:uid="{00000000-0005-0000-0000-000032750000}"/>
    <cellStyle name="Normal 34 18 2 6 2 3" xfId="20591" xr:uid="{00000000-0005-0000-0000-000033750000}"/>
    <cellStyle name="Normal 34 18 2 6 2 3 2" xfId="36690" xr:uid="{00000000-0005-0000-0000-000034750000}"/>
    <cellStyle name="Normal 34 18 2 6 2 4" xfId="30915" xr:uid="{00000000-0005-0000-0000-000035750000}"/>
    <cellStyle name="Normal 34 18 2 6 3" xfId="8582" xr:uid="{00000000-0005-0000-0000-000036750000}"/>
    <cellStyle name="Normal 34 18 2 6 3 2" xfId="10517" xr:uid="{00000000-0005-0000-0000-000037750000}"/>
    <cellStyle name="Normal 34 18 2 6 3 2 2" xfId="34403" xr:uid="{00000000-0005-0000-0000-000038750000}"/>
    <cellStyle name="Normal 34 18 2 6 3 3" xfId="29216" xr:uid="{00000000-0005-0000-0000-000039750000}"/>
    <cellStyle name="Normal 34 18 2 6 4" xfId="12147" xr:uid="{00000000-0005-0000-0000-00003A750000}"/>
    <cellStyle name="Normal 34 18 2 6 4 2" xfId="35094" xr:uid="{00000000-0005-0000-0000-00003B750000}"/>
    <cellStyle name="Normal 34 18 2 6 5" xfId="32607" xr:uid="{00000000-0005-0000-0000-00003C750000}"/>
    <cellStyle name="Normal 34 18 2 7" xfId="5339" xr:uid="{00000000-0005-0000-0000-00003D750000}"/>
    <cellStyle name="Normal 34 18 2 7 2" xfId="8754" xr:uid="{00000000-0005-0000-0000-00003E750000}"/>
    <cellStyle name="Normal 34 18 2 7 2 2" xfId="24409" xr:uid="{00000000-0005-0000-0000-00003F750000}"/>
    <cellStyle name="Normal 34 18 2 7 2 2 2" xfId="40453" xr:uid="{00000000-0005-0000-0000-000040750000}"/>
    <cellStyle name="Normal 34 18 2 7 2 3" xfId="29044" xr:uid="{00000000-0005-0000-0000-000041750000}"/>
    <cellStyle name="Normal 34 18 2 7 3" xfId="19805" xr:uid="{00000000-0005-0000-0000-000042750000}"/>
    <cellStyle name="Normal 34 18 2 7 3 2" xfId="35918" xr:uid="{00000000-0005-0000-0000-000043750000}"/>
    <cellStyle name="Normal 34 18 2 7 4" xfId="32435" xr:uid="{00000000-0005-0000-0000-000044750000}"/>
    <cellStyle name="Normal 34 18 2 8" xfId="7072" xr:uid="{00000000-0005-0000-0000-000045750000}"/>
    <cellStyle name="Normal 34 18 2 8 2" xfId="20656" xr:uid="{00000000-0005-0000-0000-000046750000}"/>
    <cellStyle name="Normal 34 18 2 8 2 2" xfId="36755" xr:uid="{00000000-0005-0000-0000-000047750000}"/>
    <cellStyle name="Normal 34 18 2 8 3" xfId="30726" xr:uid="{00000000-0005-0000-0000-000048750000}"/>
    <cellStyle name="Normal 34 18 2 9" xfId="12532" xr:uid="{00000000-0005-0000-0000-000049750000}"/>
    <cellStyle name="Normal 34 18 3" xfId="3526" xr:uid="{00000000-0005-0000-0000-00004A750000}"/>
    <cellStyle name="Normal 34 18 3 10" xfId="47055" xr:uid="{00000000-0005-0000-0000-00004B750000}"/>
    <cellStyle name="Normal 34 18 3 2" xfId="3961" xr:uid="{00000000-0005-0000-0000-00004C750000}"/>
    <cellStyle name="Normal 34 18 3 2 2" xfId="5849" xr:uid="{00000000-0005-0000-0000-00004D750000}"/>
    <cellStyle name="Normal 34 18 3 2 2 2" xfId="9264" xr:uid="{00000000-0005-0000-0000-00004E750000}"/>
    <cellStyle name="Normal 34 18 3 2 2 2 2" xfId="22711" xr:uid="{00000000-0005-0000-0000-00004F750000}"/>
    <cellStyle name="Normal 34 18 3 2 2 2 2 2" xfId="38780" xr:uid="{00000000-0005-0000-0000-000050750000}"/>
    <cellStyle name="Normal 34 18 3 2 2 2 3" xfId="28534" xr:uid="{00000000-0005-0000-0000-000051750000}"/>
    <cellStyle name="Normal 34 18 3 2 2 3" xfId="20226" xr:uid="{00000000-0005-0000-0000-000052750000}"/>
    <cellStyle name="Normal 34 18 3 2 2 3 2" xfId="36325" xr:uid="{00000000-0005-0000-0000-000053750000}"/>
    <cellStyle name="Normal 34 18 3 2 2 4" xfId="31925" xr:uid="{00000000-0005-0000-0000-000054750000}"/>
    <cellStyle name="Normal 34 18 3 2 3" xfId="7567" xr:uid="{00000000-0005-0000-0000-000055750000}"/>
    <cellStyle name="Normal 34 18 3 2 3 2" xfId="23224" xr:uid="{00000000-0005-0000-0000-000056750000}"/>
    <cellStyle name="Normal 34 18 3 2 3 2 2" xfId="39293" xr:uid="{00000000-0005-0000-0000-000057750000}"/>
    <cellStyle name="Normal 34 18 3 2 3 3" xfId="30231" xr:uid="{00000000-0005-0000-0000-000058750000}"/>
    <cellStyle name="Normal 34 18 3 2 4" xfId="18189" xr:uid="{00000000-0005-0000-0000-000059750000}"/>
    <cellStyle name="Normal 34 18 3 2 5" xfId="11045" xr:uid="{00000000-0005-0000-0000-00005A750000}"/>
    <cellStyle name="Normal 34 18 3 2 5 2" xfId="34753" xr:uid="{00000000-0005-0000-0000-00005B750000}"/>
    <cellStyle name="Normal 34 18 3 2 6" xfId="33618" xr:uid="{00000000-0005-0000-0000-00005C750000}"/>
    <cellStyle name="Normal 34 18 3 3" xfId="4901" xr:uid="{00000000-0005-0000-0000-00005D750000}"/>
    <cellStyle name="Normal 34 18 3 3 10" xfId="47245" xr:uid="{00000000-0005-0000-0000-00005E750000}"/>
    <cellStyle name="Normal 34 18 3 3 2" xfId="6620" xr:uid="{00000000-0005-0000-0000-00005F750000}"/>
    <cellStyle name="Normal 34 18 3 3 2 2" xfId="10026" xr:uid="{00000000-0005-0000-0000-000060750000}"/>
    <cellStyle name="Normal 34 18 3 3 2 2 2" xfId="22014" xr:uid="{00000000-0005-0000-0000-000061750000}"/>
    <cellStyle name="Normal 34 18 3 3 2 2 2 2" xfId="38089" xr:uid="{00000000-0005-0000-0000-000062750000}"/>
    <cellStyle name="Normal 34 18 3 3 2 2 3" xfId="27773" xr:uid="{00000000-0005-0000-0000-000063750000}"/>
    <cellStyle name="Normal 34 18 3 3 2 3" xfId="24076" xr:uid="{00000000-0005-0000-0000-000064750000}"/>
    <cellStyle name="Normal 34 18 3 3 2 3 2" xfId="40129" xr:uid="{00000000-0005-0000-0000-000065750000}"/>
    <cellStyle name="Normal 34 18 3 3 2 4" xfId="31174" xr:uid="{00000000-0005-0000-0000-000066750000}"/>
    <cellStyle name="Normal 34 18 3 3 2 5" xfId="42007" xr:uid="{00000000-0005-0000-0000-000067750000}"/>
    <cellStyle name="Normal 34 18 3 3 2 6" xfId="43242" xr:uid="{00000000-0005-0000-0000-000068750000}"/>
    <cellStyle name="Normal 34 18 3 3 2 7" xfId="46088" xr:uid="{00000000-0005-0000-0000-000069750000}"/>
    <cellStyle name="Normal 34 18 3 3 2 8" xfId="46855" xr:uid="{00000000-0005-0000-0000-00006A750000}"/>
    <cellStyle name="Normal 34 18 3 3 2 9" xfId="47441" xr:uid="{00000000-0005-0000-0000-00006B750000}"/>
    <cellStyle name="Normal 34 18 3 3 3" xfId="8323" xr:uid="{00000000-0005-0000-0000-00006C750000}"/>
    <cellStyle name="Normal 34 18 3 3 3 2" xfId="19482" xr:uid="{00000000-0005-0000-0000-00006D750000}"/>
    <cellStyle name="Normal 34 18 3 3 3 2 2" xfId="35596" xr:uid="{00000000-0005-0000-0000-00006E750000}"/>
    <cellStyle name="Normal 34 18 3 3 3 3" xfId="29475" xr:uid="{00000000-0005-0000-0000-00006F750000}"/>
    <cellStyle name="Normal 34 18 3 3 3 4" xfId="44103" xr:uid="{00000000-0005-0000-0000-000070750000}"/>
    <cellStyle name="Normal 34 18 3 3 4" xfId="15451" xr:uid="{00000000-0005-0000-0000-000071750000}"/>
    <cellStyle name="Normal 34 18 3 3 4 2" xfId="35337" xr:uid="{00000000-0005-0000-0000-000072750000}"/>
    <cellStyle name="Normal 34 18 3 3 5" xfId="24978" xr:uid="{00000000-0005-0000-0000-000073750000}"/>
    <cellStyle name="Normal 34 18 3 3 6" xfId="25501" xr:uid="{00000000-0005-0000-0000-000074750000}"/>
    <cellStyle name="Normal 34 18 3 3 7" xfId="32866" xr:uid="{00000000-0005-0000-0000-000075750000}"/>
    <cellStyle name="Normal 34 18 3 3 8" xfId="43698" xr:uid="{00000000-0005-0000-0000-000076750000}"/>
    <cellStyle name="Normal 34 18 3 3 9" xfId="46616" xr:uid="{00000000-0005-0000-0000-000077750000}"/>
    <cellStyle name="Normal 34 18 3 4" xfId="5455" xr:uid="{00000000-0005-0000-0000-000078750000}"/>
    <cellStyle name="Normal 34 18 3 4 2" xfId="8870" xr:uid="{00000000-0005-0000-0000-000079750000}"/>
    <cellStyle name="Normal 34 18 3 4 2 2" xfId="23422" xr:uid="{00000000-0005-0000-0000-00007A750000}"/>
    <cellStyle name="Normal 34 18 3 4 2 2 2" xfId="39478" xr:uid="{00000000-0005-0000-0000-00007B750000}"/>
    <cellStyle name="Normal 34 18 3 4 2 3" xfId="28928" xr:uid="{00000000-0005-0000-0000-00007C750000}"/>
    <cellStyle name="Normal 34 18 3 4 3" xfId="19834" xr:uid="{00000000-0005-0000-0000-00007D750000}"/>
    <cellStyle name="Normal 34 18 3 4 3 2" xfId="35947" xr:uid="{00000000-0005-0000-0000-00007E750000}"/>
    <cellStyle name="Normal 34 18 3 4 4" xfId="32319" xr:uid="{00000000-0005-0000-0000-00007F750000}"/>
    <cellStyle name="Normal 34 18 3 5" xfId="7173" xr:uid="{00000000-0005-0000-0000-000080750000}"/>
    <cellStyle name="Normal 34 18 3 5 2" xfId="20686" xr:uid="{00000000-0005-0000-0000-000081750000}"/>
    <cellStyle name="Normal 34 18 3 5 2 2" xfId="36785" xr:uid="{00000000-0005-0000-0000-000082750000}"/>
    <cellStyle name="Normal 34 18 3 5 3" xfId="30625" xr:uid="{00000000-0005-0000-0000-000083750000}"/>
    <cellStyle name="Normal 34 18 3 6" xfId="12534" xr:uid="{00000000-0005-0000-0000-000084750000}"/>
    <cellStyle name="Normal 34 18 3 7" xfId="34012" xr:uid="{00000000-0005-0000-0000-000085750000}"/>
    <cellStyle name="Normal 34 18 3 8" xfId="43492" xr:uid="{00000000-0005-0000-0000-000086750000}"/>
    <cellStyle name="Normal 34 18 3 9" xfId="46391" xr:uid="{00000000-0005-0000-0000-000087750000}"/>
    <cellStyle name="Normal 34 18 3_Avviksanalyse løpende RNB15 (1)" xfId="16766" xr:uid="{00000000-0005-0000-0000-000088750000}"/>
    <cellStyle name="Normal 34 18 4" xfId="3781" xr:uid="{00000000-0005-0000-0000-000089750000}"/>
    <cellStyle name="Normal 34 18 4 2" xfId="5669" xr:uid="{00000000-0005-0000-0000-00008A750000}"/>
    <cellStyle name="Normal 34 18 4 2 2" xfId="9084" xr:uid="{00000000-0005-0000-0000-00008B750000}"/>
    <cellStyle name="Normal 34 18 4 2 2 2" xfId="23450" xr:uid="{00000000-0005-0000-0000-00008C750000}"/>
    <cellStyle name="Normal 34 18 4 2 2 2 2" xfId="39506" xr:uid="{00000000-0005-0000-0000-00008D750000}"/>
    <cellStyle name="Normal 34 18 4 2 2 3" xfId="28714" xr:uid="{00000000-0005-0000-0000-00008E750000}"/>
    <cellStyle name="Normal 34 18 4 2 3" xfId="22263" xr:uid="{00000000-0005-0000-0000-00008F750000}"/>
    <cellStyle name="Normal 34 18 4 2 3 2" xfId="38337" xr:uid="{00000000-0005-0000-0000-000090750000}"/>
    <cellStyle name="Normal 34 18 4 2 4" xfId="32105" xr:uid="{00000000-0005-0000-0000-000091750000}"/>
    <cellStyle name="Normal 34 18 4 3" xfId="7387" xr:uid="{00000000-0005-0000-0000-000092750000}"/>
    <cellStyle name="Normal 34 18 4 3 2" xfId="20765" xr:uid="{00000000-0005-0000-0000-000093750000}"/>
    <cellStyle name="Normal 34 18 4 3 2 2" xfId="36864" xr:uid="{00000000-0005-0000-0000-000094750000}"/>
    <cellStyle name="Normal 34 18 4 3 3" xfId="30411" xr:uid="{00000000-0005-0000-0000-000095750000}"/>
    <cellStyle name="Normal 34 18 4 4" xfId="23777" xr:uid="{00000000-0005-0000-0000-000096750000}"/>
    <cellStyle name="Normal 34 18 4 4 2" xfId="39833" xr:uid="{00000000-0005-0000-0000-000097750000}"/>
    <cellStyle name="Normal 34 18 4 5" xfId="33798" xr:uid="{00000000-0005-0000-0000-000098750000}"/>
    <cellStyle name="Normal 34 18 5" xfId="4167" xr:uid="{00000000-0005-0000-0000-000099750000}"/>
    <cellStyle name="Normal 34 18 5 2" xfId="6017" xr:uid="{00000000-0005-0000-0000-00009A750000}"/>
    <cellStyle name="Normal 34 18 5 2 2" xfId="9432" xr:uid="{00000000-0005-0000-0000-00009B750000}"/>
    <cellStyle name="Normal 34 18 5 2 2 2" xfId="21949" xr:uid="{00000000-0005-0000-0000-00009C750000}"/>
    <cellStyle name="Normal 34 18 5 2 2 2 2" xfId="38024" xr:uid="{00000000-0005-0000-0000-00009D750000}"/>
    <cellStyle name="Normal 34 18 5 2 2 3" xfId="28366" xr:uid="{00000000-0005-0000-0000-00009E750000}"/>
    <cellStyle name="Normal 34 18 5 2 3" xfId="20289" xr:uid="{00000000-0005-0000-0000-00009F750000}"/>
    <cellStyle name="Normal 34 18 5 2 3 2" xfId="36388" xr:uid="{00000000-0005-0000-0000-0000A0750000}"/>
    <cellStyle name="Normal 34 18 5 2 4" xfId="31761" xr:uid="{00000000-0005-0000-0000-0000A1750000}"/>
    <cellStyle name="Normal 34 18 5 3" xfId="7748" xr:uid="{00000000-0005-0000-0000-0000A2750000}"/>
    <cellStyle name="Normal 34 18 5 3 2" xfId="21754" xr:uid="{00000000-0005-0000-0000-0000A3750000}"/>
    <cellStyle name="Normal 34 18 5 3 2 2" xfId="37832" xr:uid="{00000000-0005-0000-0000-0000A4750000}"/>
    <cellStyle name="Normal 34 18 5 3 3" xfId="30051" xr:uid="{00000000-0005-0000-0000-0000A5750000}"/>
    <cellStyle name="Normal 34 18 5 4" xfId="19605" xr:uid="{00000000-0005-0000-0000-0000A6750000}"/>
    <cellStyle name="Normal 34 18 5 4 2" xfId="35719" xr:uid="{00000000-0005-0000-0000-0000A7750000}"/>
    <cellStyle name="Normal 34 18 5 5" xfId="33438" xr:uid="{00000000-0005-0000-0000-0000A8750000}"/>
    <cellStyle name="Normal 34 18 6" xfId="4623" xr:uid="{00000000-0005-0000-0000-0000A9750000}"/>
    <cellStyle name="Normal 34 18 6 2" xfId="6360" xr:uid="{00000000-0005-0000-0000-0000AA750000}"/>
    <cellStyle name="Normal 34 18 6 2 2" xfId="9770" xr:uid="{00000000-0005-0000-0000-0000AB750000}"/>
    <cellStyle name="Normal 34 18 6 2 2 2" xfId="21980" xr:uid="{00000000-0005-0000-0000-0000AC750000}"/>
    <cellStyle name="Normal 34 18 6 2 2 2 2" xfId="38055" xr:uid="{00000000-0005-0000-0000-0000AD750000}"/>
    <cellStyle name="Normal 34 18 6 2 2 3" xfId="28029" xr:uid="{00000000-0005-0000-0000-0000AE750000}"/>
    <cellStyle name="Normal 34 18 6 2 3" xfId="22345" xr:uid="{00000000-0005-0000-0000-0000AF750000}"/>
    <cellStyle name="Normal 34 18 6 2 3 2" xfId="38417" xr:uid="{00000000-0005-0000-0000-0000B0750000}"/>
    <cellStyle name="Normal 34 18 6 2 4" xfId="31430" xr:uid="{00000000-0005-0000-0000-0000B1750000}"/>
    <cellStyle name="Normal 34 18 6 3" xfId="8066" xr:uid="{00000000-0005-0000-0000-0000B2750000}"/>
    <cellStyle name="Normal 34 18 6 3 2" xfId="22502" xr:uid="{00000000-0005-0000-0000-0000B3750000}"/>
    <cellStyle name="Normal 34 18 6 3 2 2" xfId="38574" xr:uid="{00000000-0005-0000-0000-0000B4750000}"/>
    <cellStyle name="Normal 34 18 6 3 3" xfId="29732" xr:uid="{00000000-0005-0000-0000-0000B5750000}"/>
    <cellStyle name="Normal 34 18 6 4" xfId="19672" xr:uid="{00000000-0005-0000-0000-0000B6750000}"/>
    <cellStyle name="Normal 34 18 6 4 2" xfId="35786" xr:uid="{00000000-0005-0000-0000-0000B7750000}"/>
    <cellStyle name="Normal 34 18 6 5" xfId="33123" xr:uid="{00000000-0005-0000-0000-0000B8750000}"/>
    <cellStyle name="Normal 34 18 7" xfId="4717" xr:uid="{00000000-0005-0000-0000-0000B9750000}"/>
    <cellStyle name="Normal 34 18 7 2" xfId="6437" xr:uid="{00000000-0005-0000-0000-0000BA750000}"/>
    <cellStyle name="Normal 34 18 7 2 2" xfId="9847" xr:uid="{00000000-0005-0000-0000-0000BB750000}"/>
    <cellStyle name="Normal 34 18 7 2 2 2" xfId="21989" xr:uid="{00000000-0005-0000-0000-0000BC750000}"/>
    <cellStyle name="Normal 34 18 7 2 2 2 2" xfId="38064" xr:uid="{00000000-0005-0000-0000-0000BD750000}"/>
    <cellStyle name="Normal 34 18 7 2 2 3" xfId="27952" xr:uid="{00000000-0005-0000-0000-0000BE750000}"/>
    <cellStyle name="Normal 34 18 7 2 3" xfId="24042" xr:uid="{00000000-0005-0000-0000-0000BF750000}"/>
    <cellStyle name="Normal 34 18 7 2 3 2" xfId="40095" xr:uid="{00000000-0005-0000-0000-0000C0750000}"/>
    <cellStyle name="Normal 34 18 7 2 4" xfId="31353" xr:uid="{00000000-0005-0000-0000-0000C1750000}"/>
    <cellStyle name="Normal 34 18 7 3" xfId="8143" xr:uid="{00000000-0005-0000-0000-0000C2750000}"/>
    <cellStyle name="Normal 34 18 7 3 2" xfId="21012" xr:uid="{00000000-0005-0000-0000-0000C3750000}"/>
    <cellStyle name="Normal 34 18 7 3 2 2" xfId="37106" xr:uid="{00000000-0005-0000-0000-0000C4750000}"/>
    <cellStyle name="Normal 34 18 7 3 3" xfId="29655" xr:uid="{00000000-0005-0000-0000-0000C5750000}"/>
    <cellStyle name="Normal 34 18 7 4" xfId="23832" xr:uid="{00000000-0005-0000-0000-0000C6750000}"/>
    <cellStyle name="Normal 34 18 7 4 2" xfId="39888" xr:uid="{00000000-0005-0000-0000-0000C7750000}"/>
    <cellStyle name="Normal 34 18 7 5" xfId="33046" xr:uid="{00000000-0005-0000-0000-0000C8750000}"/>
    <cellStyle name="Normal 34 18 8" xfId="5081" xr:uid="{00000000-0005-0000-0000-0000C9750000}"/>
    <cellStyle name="Normal 34 18 8 2" xfId="6800" xr:uid="{00000000-0005-0000-0000-0000CA750000}"/>
    <cellStyle name="Normal 34 18 8 2 2" xfId="10206" xr:uid="{00000000-0005-0000-0000-0000CB750000}"/>
    <cellStyle name="Normal 34 18 8 2 2 2" xfId="21695" xr:uid="{00000000-0005-0000-0000-0000CC750000}"/>
    <cellStyle name="Normal 34 18 8 2 2 2 2" xfId="37774" xr:uid="{00000000-0005-0000-0000-0000CD750000}"/>
    <cellStyle name="Normal 34 18 8 2 2 3" xfId="27593" xr:uid="{00000000-0005-0000-0000-0000CE750000}"/>
    <cellStyle name="Normal 34 18 8 2 3" xfId="24102" xr:uid="{00000000-0005-0000-0000-0000CF750000}"/>
    <cellStyle name="Normal 34 18 8 2 3 2" xfId="40155" xr:uid="{00000000-0005-0000-0000-0000D0750000}"/>
    <cellStyle name="Normal 34 18 8 2 4" xfId="30994" xr:uid="{00000000-0005-0000-0000-0000D1750000}"/>
    <cellStyle name="Normal 34 18 8 3" xfId="8503" xr:uid="{00000000-0005-0000-0000-0000D2750000}"/>
    <cellStyle name="Normal 34 18 8 3 2" xfId="21877" xr:uid="{00000000-0005-0000-0000-0000D3750000}"/>
    <cellStyle name="Normal 34 18 8 3 2 2" xfId="37952" xr:uid="{00000000-0005-0000-0000-0000D4750000}"/>
    <cellStyle name="Normal 34 18 8 3 3" xfId="29295" xr:uid="{00000000-0005-0000-0000-0000D5750000}"/>
    <cellStyle name="Normal 34 18 8 4" xfId="22234" xr:uid="{00000000-0005-0000-0000-0000D6750000}"/>
    <cellStyle name="Normal 34 18 8 4 2" xfId="38308" xr:uid="{00000000-0005-0000-0000-0000D7750000}"/>
    <cellStyle name="Normal 34 18 8 5" xfId="32686" xr:uid="{00000000-0005-0000-0000-0000D8750000}"/>
    <cellStyle name="Normal 34 18 9" xfId="5178" xr:uid="{00000000-0005-0000-0000-0000D9750000}"/>
    <cellStyle name="Normal 34 18 9 2" xfId="8597" xr:uid="{00000000-0005-0000-0000-0000DA750000}"/>
    <cellStyle name="Normal 34 18 9 2 2" xfId="10302" xr:uid="{00000000-0005-0000-0000-0000DB750000}"/>
    <cellStyle name="Normal 34 18 9 2 2 2" xfId="27499" xr:uid="{00000000-0005-0000-0000-0000DC750000}"/>
    <cellStyle name="Normal 34 18 9 2 3" xfId="29201" xr:uid="{00000000-0005-0000-0000-0000DD750000}"/>
    <cellStyle name="Normal 34 18 9 3" xfId="19768" xr:uid="{00000000-0005-0000-0000-0000DE750000}"/>
    <cellStyle name="Normal 34 18 9 3 2" xfId="35882" xr:uid="{00000000-0005-0000-0000-0000DF750000}"/>
    <cellStyle name="Normal 34 18 9 4" xfId="32592" xr:uid="{00000000-0005-0000-0000-0000E0750000}"/>
    <cellStyle name="Normal 34 19" xfId="1791" xr:uid="{00000000-0005-0000-0000-0000E1750000}"/>
    <cellStyle name="Normal 34 19 10" xfId="6991" xr:uid="{00000000-0005-0000-0000-0000E2750000}"/>
    <cellStyle name="Normal 34 19 10 2" xfId="23126" xr:uid="{00000000-0005-0000-0000-0000E3750000}"/>
    <cellStyle name="Normal 34 19 10 2 2" xfId="39195" xr:uid="{00000000-0005-0000-0000-0000E4750000}"/>
    <cellStyle name="Normal 34 19 10 3" xfId="30807" xr:uid="{00000000-0005-0000-0000-0000E5750000}"/>
    <cellStyle name="Normal 34 19 11" xfId="12535" xr:uid="{00000000-0005-0000-0000-0000E6750000}"/>
    <cellStyle name="Normal 34 19 12" xfId="34195" xr:uid="{00000000-0005-0000-0000-0000E7750000}"/>
    <cellStyle name="Normal 34 19 2" xfId="3385" xr:uid="{00000000-0005-0000-0000-0000E8750000}"/>
    <cellStyle name="Normal 34 19 2 10" xfId="34112" xr:uid="{00000000-0005-0000-0000-0000E9750000}"/>
    <cellStyle name="Normal 34 19 2 2" xfId="3611" xr:uid="{00000000-0005-0000-0000-0000EA750000}"/>
    <cellStyle name="Normal 34 19 2 2 10" xfId="47210" xr:uid="{00000000-0005-0000-0000-0000EB750000}"/>
    <cellStyle name="Normal 34 19 2 2 2" xfId="4041" xr:uid="{00000000-0005-0000-0000-0000EC750000}"/>
    <cellStyle name="Normal 34 19 2 2 2 2" xfId="5929" xr:uid="{00000000-0005-0000-0000-0000ED750000}"/>
    <cellStyle name="Normal 34 19 2 2 2 2 2" xfId="9344" xr:uid="{00000000-0005-0000-0000-0000EE750000}"/>
    <cellStyle name="Normal 34 19 2 2 2 2 2 2" xfId="21940" xr:uid="{00000000-0005-0000-0000-0000EF750000}"/>
    <cellStyle name="Normal 34 19 2 2 2 2 2 2 2" xfId="38015" xr:uid="{00000000-0005-0000-0000-0000F0750000}"/>
    <cellStyle name="Normal 34 19 2 2 2 2 2 3" xfId="28454" xr:uid="{00000000-0005-0000-0000-0000F1750000}"/>
    <cellStyle name="Normal 34 19 2 2 2 2 3" xfId="23944" xr:uid="{00000000-0005-0000-0000-0000F2750000}"/>
    <cellStyle name="Normal 34 19 2 2 2 2 3 2" xfId="39998" xr:uid="{00000000-0005-0000-0000-0000F3750000}"/>
    <cellStyle name="Normal 34 19 2 2 2 2 4" xfId="31847" xr:uid="{00000000-0005-0000-0000-0000F4750000}"/>
    <cellStyle name="Normal 34 19 2 2 2 3" xfId="7647" xr:uid="{00000000-0005-0000-0000-0000F5750000}"/>
    <cellStyle name="Normal 34 19 2 2 2 3 2" xfId="20850" xr:uid="{00000000-0005-0000-0000-0000F6750000}"/>
    <cellStyle name="Normal 34 19 2 2 2 3 2 2" xfId="36949" xr:uid="{00000000-0005-0000-0000-0000F7750000}"/>
    <cellStyle name="Normal 34 19 2 2 2 3 3" xfId="30151" xr:uid="{00000000-0005-0000-0000-0000F8750000}"/>
    <cellStyle name="Normal 34 19 2 2 2 4" xfId="18190" xr:uid="{00000000-0005-0000-0000-0000F9750000}"/>
    <cellStyle name="Normal 34 19 2 2 2 5" xfId="22798" xr:uid="{00000000-0005-0000-0000-0000FA750000}"/>
    <cellStyle name="Normal 34 19 2 2 2 5 2" xfId="38867" xr:uid="{00000000-0005-0000-0000-0000FB750000}"/>
    <cellStyle name="Normal 34 19 2 2 2 6" xfId="33538" xr:uid="{00000000-0005-0000-0000-0000FC750000}"/>
    <cellStyle name="Normal 34 19 2 2 3" xfId="4981" xr:uid="{00000000-0005-0000-0000-0000FD750000}"/>
    <cellStyle name="Normal 34 19 2 2 3 10" xfId="47400" xr:uid="{00000000-0005-0000-0000-0000FE750000}"/>
    <cellStyle name="Normal 34 19 2 2 3 2" xfId="6700" xr:uid="{00000000-0005-0000-0000-0000FF750000}"/>
    <cellStyle name="Normal 34 19 2 2 3 2 2" xfId="10106" xr:uid="{00000000-0005-0000-0000-000000760000}"/>
    <cellStyle name="Normal 34 19 2 2 3 2 2 2" xfId="21814" xr:uid="{00000000-0005-0000-0000-000001760000}"/>
    <cellStyle name="Normal 34 19 2 2 3 2 2 2 2" xfId="37890" xr:uid="{00000000-0005-0000-0000-000002760000}"/>
    <cellStyle name="Normal 34 19 2 2 3 2 2 3" xfId="27693" xr:uid="{00000000-0005-0000-0000-000003760000}"/>
    <cellStyle name="Normal 34 19 2 2 3 2 3" xfId="19648" xr:uid="{00000000-0005-0000-0000-000004760000}"/>
    <cellStyle name="Normal 34 19 2 2 3 2 3 2" xfId="35762" xr:uid="{00000000-0005-0000-0000-000005760000}"/>
    <cellStyle name="Normal 34 19 2 2 3 2 4" xfId="31094" xr:uid="{00000000-0005-0000-0000-000006760000}"/>
    <cellStyle name="Normal 34 19 2 2 3 2 5" xfId="43097" xr:uid="{00000000-0005-0000-0000-000007760000}"/>
    <cellStyle name="Normal 34 19 2 2 3 2 6" xfId="43391" xr:uid="{00000000-0005-0000-0000-000008760000}"/>
    <cellStyle name="Normal 34 19 2 2 3 2 7" xfId="46239" xr:uid="{00000000-0005-0000-0000-000009760000}"/>
    <cellStyle name="Normal 34 19 2 2 3 2 8" xfId="47011" xr:uid="{00000000-0005-0000-0000-00000A760000}"/>
    <cellStyle name="Normal 34 19 2 2 3 2 9" xfId="47596" xr:uid="{00000000-0005-0000-0000-00000B760000}"/>
    <cellStyle name="Normal 34 19 2 2 3 3" xfId="8403" xr:uid="{00000000-0005-0000-0000-00000C760000}"/>
    <cellStyle name="Normal 34 19 2 2 3 3 2" xfId="21085" xr:uid="{00000000-0005-0000-0000-00000D760000}"/>
    <cellStyle name="Normal 34 19 2 2 3 3 2 2" xfId="37170" xr:uid="{00000000-0005-0000-0000-00000E760000}"/>
    <cellStyle name="Normal 34 19 2 2 3 3 3" xfId="29395" xr:uid="{00000000-0005-0000-0000-00000F760000}"/>
    <cellStyle name="Normal 34 19 2 2 3 3 4" xfId="44104" xr:uid="{00000000-0005-0000-0000-000010760000}"/>
    <cellStyle name="Normal 34 19 2 2 3 4" xfId="16542" xr:uid="{00000000-0005-0000-0000-000011760000}"/>
    <cellStyle name="Normal 34 19 2 2 3 4 2" xfId="35486" xr:uid="{00000000-0005-0000-0000-000012760000}"/>
    <cellStyle name="Normal 34 19 2 2 3 5" xfId="25148" xr:uid="{00000000-0005-0000-0000-000013760000}"/>
    <cellStyle name="Normal 34 19 2 2 3 6" xfId="25502" xr:uid="{00000000-0005-0000-0000-000014760000}"/>
    <cellStyle name="Normal 34 19 2 2 3 7" xfId="32786" xr:uid="{00000000-0005-0000-0000-000015760000}"/>
    <cellStyle name="Normal 34 19 2 2 3 8" xfId="43852" xr:uid="{00000000-0005-0000-0000-000016760000}"/>
    <cellStyle name="Normal 34 19 2 2 3 9" xfId="46777" xr:uid="{00000000-0005-0000-0000-000017760000}"/>
    <cellStyle name="Normal 34 19 2 2 4" xfId="5535" xr:uid="{00000000-0005-0000-0000-000018760000}"/>
    <cellStyle name="Normal 34 19 2 2 4 2" xfId="8950" xr:uid="{00000000-0005-0000-0000-000019760000}"/>
    <cellStyle name="Normal 34 19 2 2 4 2 2" xfId="21228" xr:uid="{00000000-0005-0000-0000-00001A760000}"/>
    <cellStyle name="Normal 34 19 2 2 4 2 2 2" xfId="37308" xr:uid="{00000000-0005-0000-0000-00001B760000}"/>
    <cellStyle name="Normal 34 19 2 2 4 2 3" xfId="28848" xr:uid="{00000000-0005-0000-0000-00001C760000}"/>
    <cellStyle name="Normal 34 19 2 2 4 3" xfId="20109" xr:uid="{00000000-0005-0000-0000-00001D760000}"/>
    <cellStyle name="Normal 34 19 2 2 4 3 2" xfId="36213" xr:uid="{00000000-0005-0000-0000-00001E760000}"/>
    <cellStyle name="Normal 34 19 2 2 4 4" xfId="32239" xr:uid="{00000000-0005-0000-0000-00001F760000}"/>
    <cellStyle name="Normal 34 19 2 2 5" xfId="7253" xr:uid="{00000000-0005-0000-0000-000020760000}"/>
    <cellStyle name="Normal 34 19 2 2 5 2" xfId="20712" xr:uid="{00000000-0005-0000-0000-000021760000}"/>
    <cellStyle name="Normal 34 19 2 2 5 2 2" xfId="36811" xr:uid="{00000000-0005-0000-0000-000022760000}"/>
    <cellStyle name="Normal 34 19 2 2 5 3" xfId="30545" xr:uid="{00000000-0005-0000-0000-000023760000}"/>
    <cellStyle name="Normal 34 19 2 2 6" xfId="12537" xr:uid="{00000000-0005-0000-0000-000024760000}"/>
    <cellStyle name="Normal 34 19 2 2 7" xfId="33932" xr:uid="{00000000-0005-0000-0000-000025760000}"/>
    <cellStyle name="Normal 34 19 2 2 8" xfId="43643" xr:uid="{00000000-0005-0000-0000-000026760000}"/>
    <cellStyle name="Normal 34 19 2 2 9" xfId="46549" xr:uid="{00000000-0005-0000-0000-000027760000}"/>
    <cellStyle name="Normal 34 19 2 2_Avviksanalyse løpende RNB15 (1)" xfId="16767" xr:uid="{00000000-0005-0000-0000-000028760000}"/>
    <cellStyle name="Normal 34 19 2 3" xfId="3861" xr:uid="{00000000-0005-0000-0000-000029760000}"/>
    <cellStyle name="Normal 34 19 2 3 2" xfId="5749" xr:uid="{00000000-0005-0000-0000-00002A760000}"/>
    <cellStyle name="Normal 34 19 2 3 2 2" xfId="9164" xr:uid="{00000000-0005-0000-0000-00002B760000}"/>
    <cellStyle name="Normal 34 19 2 3 2 2 2" xfId="24470" xr:uid="{00000000-0005-0000-0000-00002C760000}"/>
    <cellStyle name="Normal 34 19 2 3 2 2 2 2" xfId="40514" xr:uid="{00000000-0005-0000-0000-00002D760000}"/>
    <cellStyle name="Normal 34 19 2 3 2 2 3" xfId="28634" xr:uid="{00000000-0005-0000-0000-00002E760000}"/>
    <cellStyle name="Normal 34 19 2 3 2 3" xfId="20189" xr:uid="{00000000-0005-0000-0000-00002F760000}"/>
    <cellStyle name="Normal 34 19 2 3 2 3 2" xfId="36289" xr:uid="{00000000-0005-0000-0000-000030760000}"/>
    <cellStyle name="Normal 34 19 2 3 2 4" xfId="32025" xr:uid="{00000000-0005-0000-0000-000031760000}"/>
    <cellStyle name="Normal 34 19 2 3 3" xfId="7467" xr:uid="{00000000-0005-0000-0000-000032760000}"/>
    <cellStyle name="Normal 34 19 2 3 3 2" xfId="23212" xr:uid="{00000000-0005-0000-0000-000033760000}"/>
    <cellStyle name="Normal 34 19 2 3 3 2 2" xfId="39281" xr:uid="{00000000-0005-0000-0000-000034760000}"/>
    <cellStyle name="Normal 34 19 2 3 3 3" xfId="30331" xr:uid="{00000000-0005-0000-0000-000035760000}"/>
    <cellStyle name="Normal 34 19 2 3 4" xfId="12515" xr:uid="{00000000-0005-0000-0000-000036760000}"/>
    <cellStyle name="Normal 34 19 2 3 4 2" xfId="35267" xr:uid="{00000000-0005-0000-0000-000037760000}"/>
    <cellStyle name="Normal 34 19 2 3 5" xfId="33718" xr:uid="{00000000-0005-0000-0000-000038760000}"/>
    <cellStyle name="Normal 34 19 2 4" xfId="4346" xr:uid="{00000000-0005-0000-0000-000039760000}"/>
    <cellStyle name="Normal 34 19 2 4 2" xfId="6175" xr:uid="{00000000-0005-0000-0000-00003A760000}"/>
    <cellStyle name="Normal 34 19 2 4 2 2" xfId="9589" xr:uid="{00000000-0005-0000-0000-00003B760000}"/>
    <cellStyle name="Normal 34 19 2 4 2 2 2" xfId="24535" xr:uid="{00000000-0005-0000-0000-00003C760000}"/>
    <cellStyle name="Normal 34 19 2 4 2 2 2 2" xfId="40579" xr:uid="{00000000-0005-0000-0000-00003D760000}"/>
    <cellStyle name="Normal 34 19 2 4 2 2 3" xfId="28209" xr:uid="{00000000-0005-0000-0000-00003E760000}"/>
    <cellStyle name="Normal 34 19 2 4 2 3" xfId="22324" xr:uid="{00000000-0005-0000-0000-00003F760000}"/>
    <cellStyle name="Normal 34 19 2 4 2 3 2" xfId="38396" xr:uid="{00000000-0005-0000-0000-000040760000}"/>
    <cellStyle name="Normal 34 19 2 4 2 4" xfId="31606" xr:uid="{00000000-0005-0000-0000-000041760000}"/>
    <cellStyle name="Normal 34 19 2 4 3" xfId="7908" xr:uid="{00000000-0005-0000-0000-000042760000}"/>
    <cellStyle name="Normal 34 19 2 4 3 2" xfId="20938" xr:uid="{00000000-0005-0000-0000-000043760000}"/>
    <cellStyle name="Normal 34 19 2 4 3 2 2" xfId="37034" xr:uid="{00000000-0005-0000-0000-000044760000}"/>
    <cellStyle name="Normal 34 19 2 4 3 3" xfId="29891" xr:uid="{00000000-0005-0000-0000-000045760000}"/>
    <cellStyle name="Normal 34 19 2 4 4" xfId="23818" xr:uid="{00000000-0005-0000-0000-000046760000}"/>
    <cellStyle name="Normal 34 19 2 4 4 2" xfId="39874" xr:uid="{00000000-0005-0000-0000-000047760000}"/>
    <cellStyle name="Normal 34 19 2 4 5" xfId="33279" xr:uid="{00000000-0005-0000-0000-000048760000}"/>
    <cellStyle name="Normal 34 19 2 5" xfId="4801" xr:uid="{00000000-0005-0000-0000-000049760000}"/>
    <cellStyle name="Normal 34 19 2 5 2" xfId="6521" xr:uid="{00000000-0005-0000-0000-00004A760000}"/>
    <cellStyle name="Normal 34 19 2 5 2 2" xfId="9927" xr:uid="{00000000-0005-0000-0000-00004B760000}"/>
    <cellStyle name="Normal 34 19 2 5 2 2 2" xfId="22626" xr:uid="{00000000-0005-0000-0000-00004C760000}"/>
    <cellStyle name="Normal 34 19 2 5 2 2 2 2" xfId="38695" xr:uid="{00000000-0005-0000-0000-00004D760000}"/>
    <cellStyle name="Normal 34 19 2 5 2 2 3" xfId="27872" xr:uid="{00000000-0005-0000-0000-00004E760000}"/>
    <cellStyle name="Normal 34 19 2 5 2 3" xfId="22361" xr:uid="{00000000-0005-0000-0000-00004F760000}"/>
    <cellStyle name="Normal 34 19 2 5 2 3 2" xfId="38433" xr:uid="{00000000-0005-0000-0000-000050760000}"/>
    <cellStyle name="Normal 34 19 2 5 2 4" xfId="31273" xr:uid="{00000000-0005-0000-0000-000051760000}"/>
    <cellStyle name="Normal 34 19 2 5 3" xfId="8223" xr:uid="{00000000-0005-0000-0000-000052760000}"/>
    <cellStyle name="Normal 34 19 2 5 3 2" xfId="24334" xr:uid="{00000000-0005-0000-0000-000053760000}"/>
    <cellStyle name="Normal 34 19 2 5 3 2 2" xfId="40384" xr:uid="{00000000-0005-0000-0000-000054760000}"/>
    <cellStyle name="Normal 34 19 2 5 3 3" xfId="29574" xr:uid="{00000000-0005-0000-0000-000055760000}"/>
    <cellStyle name="Normal 34 19 2 5 4" xfId="19711" xr:uid="{00000000-0005-0000-0000-000056760000}"/>
    <cellStyle name="Normal 34 19 2 5 4 2" xfId="35825" xr:uid="{00000000-0005-0000-0000-000057760000}"/>
    <cellStyle name="Normal 34 19 2 5 5" xfId="32966" xr:uid="{00000000-0005-0000-0000-000058760000}"/>
    <cellStyle name="Normal 34 19 2 6" xfId="5161" xr:uid="{00000000-0005-0000-0000-000059760000}"/>
    <cellStyle name="Normal 34 19 2 6 2" xfId="6880" xr:uid="{00000000-0005-0000-0000-00005A760000}"/>
    <cellStyle name="Normal 34 19 2 6 2 2" xfId="10286" xr:uid="{00000000-0005-0000-0000-00005B760000}"/>
    <cellStyle name="Normal 34 19 2 6 2 2 2" xfId="24729" xr:uid="{00000000-0005-0000-0000-00005C760000}"/>
    <cellStyle name="Normal 34 19 2 6 2 2 2 2" xfId="40772" xr:uid="{00000000-0005-0000-0000-00005D760000}"/>
    <cellStyle name="Normal 34 19 2 6 2 2 3" xfId="27513" xr:uid="{00000000-0005-0000-0000-00005E760000}"/>
    <cellStyle name="Normal 34 19 2 6 2 3" xfId="20592" xr:uid="{00000000-0005-0000-0000-00005F760000}"/>
    <cellStyle name="Normal 34 19 2 6 2 3 2" xfId="36691" xr:uid="{00000000-0005-0000-0000-000060760000}"/>
    <cellStyle name="Normal 34 19 2 6 2 4" xfId="30914" xr:uid="{00000000-0005-0000-0000-000061760000}"/>
    <cellStyle name="Normal 34 19 2 6 3" xfId="8583" xr:uid="{00000000-0005-0000-0000-000062760000}"/>
    <cellStyle name="Normal 34 19 2 6 3 2" xfId="19505" xr:uid="{00000000-0005-0000-0000-000063760000}"/>
    <cellStyle name="Normal 34 19 2 6 3 2 2" xfId="35619" xr:uid="{00000000-0005-0000-0000-000064760000}"/>
    <cellStyle name="Normal 34 19 2 6 3 3" xfId="29215" xr:uid="{00000000-0005-0000-0000-000065760000}"/>
    <cellStyle name="Normal 34 19 2 6 4" xfId="10805" xr:uid="{00000000-0005-0000-0000-000066760000}"/>
    <cellStyle name="Normal 34 19 2 6 4 2" xfId="34623" xr:uid="{00000000-0005-0000-0000-000067760000}"/>
    <cellStyle name="Normal 34 19 2 6 5" xfId="32606" xr:uid="{00000000-0005-0000-0000-000068760000}"/>
    <cellStyle name="Normal 34 19 2 7" xfId="5340" xr:uid="{00000000-0005-0000-0000-000069760000}"/>
    <cellStyle name="Normal 34 19 2 7 2" xfId="8755" xr:uid="{00000000-0005-0000-0000-00006A760000}"/>
    <cellStyle name="Normal 34 19 2 7 2 2" xfId="21895" xr:uid="{00000000-0005-0000-0000-00006B760000}"/>
    <cellStyle name="Normal 34 19 2 7 2 2 2" xfId="37970" xr:uid="{00000000-0005-0000-0000-00006C760000}"/>
    <cellStyle name="Normal 34 19 2 7 2 3" xfId="29043" xr:uid="{00000000-0005-0000-0000-00006D760000}"/>
    <cellStyle name="Normal 34 19 2 7 3" xfId="21661" xr:uid="{00000000-0005-0000-0000-00006E760000}"/>
    <cellStyle name="Normal 34 19 2 7 3 2" xfId="37741" xr:uid="{00000000-0005-0000-0000-00006F760000}"/>
    <cellStyle name="Normal 34 19 2 7 4" xfId="32434" xr:uid="{00000000-0005-0000-0000-000070760000}"/>
    <cellStyle name="Normal 34 19 2 8" xfId="7073" xr:uid="{00000000-0005-0000-0000-000071760000}"/>
    <cellStyle name="Normal 34 19 2 8 2" xfId="20657" xr:uid="{00000000-0005-0000-0000-000072760000}"/>
    <cellStyle name="Normal 34 19 2 8 2 2" xfId="36756" xr:uid="{00000000-0005-0000-0000-000073760000}"/>
    <cellStyle name="Normal 34 19 2 8 3" xfId="30725" xr:uid="{00000000-0005-0000-0000-000074760000}"/>
    <cellStyle name="Normal 34 19 2 9" xfId="12536" xr:uid="{00000000-0005-0000-0000-000075760000}"/>
    <cellStyle name="Normal 34 19 3" xfId="3527" xr:uid="{00000000-0005-0000-0000-000076760000}"/>
    <cellStyle name="Normal 34 19 3 10" xfId="47056" xr:uid="{00000000-0005-0000-0000-000077760000}"/>
    <cellStyle name="Normal 34 19 3 2" xfId="3962" xr:uid="{00000000-0005-0000-0000-000078760000}"/>
    <cellStyle name="Normal 34 19 3 2 2" xfId="5850" xr:uid="{00000000-0005-0000-0000-000079760000}"/>
    <cellStyle name="Normal 34 19 3 2 2 2" xfId="9265" xr:uid="{00000000-0005-0000-0000-00007A760000}"/>
    <cellStyle name="Normal 34 19 3 2 2 2 2" xfId="23483" xr:uid="{00000000-0005-0000-0000-00007B760000}"/>
    <cellStyle name="Normal 34 19 3 2 2 2 2 2" xfId="39539" xr:uid="{00000000-0005-0000-0000-00007C760000}"/>
    <cellStyle name="Normal 34 19 3 2 2 2 3" xfId="28533" xr:uid="{00000000-0005-0000-0000-00007D760000}"/>
    <cellStyle name="Normal 34 19 3 2 2 3" xfId="20227" xr:uid="{00000000-0005-0000-0000-00007E760000}"/>
    <cellStyle name="Normal 34 19 3 2 2 3 2" xfId="36326" xr:uid="{00000000-0005-0000-0000-00007F760000}"/>
    <cellStyle name="Normal 34 19 3 2 2 4" xfId="31924" xr:uid="{00000000-0005-0000-0000-000080760000}"/>
    <cellStyle name="Normal 34 19 3 2 3" xfId="7568" xr:uid="{00000000-0005-0000-0000-000081760000}"/>
    <cellStyle name="Normal 34 19 3 2 3 2" xfId="20821" xr:uid="{00000000-0005-0000-0000-000082760000}"/>
    <cellStyle name="Normal 34 19 3 2 3 2 2" xfId="36920" xr:uid="{00000000-0005-0000-0000-000083760000}"/>
    <cellStyle name="Normal 34 19 3 2 3 3" xfId="30230" xr:uid="{00000000-0005-0000-0000-000084760000}"/>
    <cellStyle name="Normal 34 19 3 2 4" xfId="18191" xr:uid="{00000000-0005-0000-0000-000085760000}"/>
    <cellStyle name="Normal 34 19 3 2 5" xfId="19563" xr:uid="{00000000-0005-0000-0000-000086760000}"/>
    <cellStyle name="Normal 34 19 3 2 5 2" xfId="35677" xr:uid="{00000000-0005-0000-0000-000087760000}"/>
    <cellStyle name="Normal 34 19 3 2 6" xfId="33617" xr:uid="{00000000-0005-0000-0000-000088760000}"/>
    <cellStyle name="Normal 34 19 3 3" xfId="4902" xr:uid="{00000000-0005-0000-0000-000089760000}"/>
    <cellStyle name="Normal 34 19 3 3 10" xfId="47246" xr:uid="{00000000-0005-0000-0000-00008A760000}"/>
    <cellStyle name="Normal 34 19 3 3 2" xfId="6621" xr:uid="{00000000-0005-0000-0000-00008B760000}"/>
    <cellStyle name="Normal 34 19 3 3 2 2" xfId="10027" xr:uid="{00000000-0005-0000-0000-00008C760000}"/>
    <cellStyle name="Normal 34 19 3 3 2 2 2" xfId="23604" xr:uid="{00000000-0005-0000-0000-00008D760000}"/>
    <cellStyle name="Normal 34 19 3 3 2 2 2 2" xfId="39660" xr:uid="{00000000-0005-0000-0000-00008E760000}"/>
    <cellStyle name="Normal 34 19 3 3 2 2 3" xfId="27772" xr:uid="{00000000-0005-0000-0000-00008F760000}"/>
    <cellStyle name="Normal 34 19 3 3 2 3" xfId="22372" xr:uid="{00000000-0005-0000-0000-000090760000}"/>
    <cellStyle name="Normal 34 19 3 3 2 3 2" xfId="38444" xr:uid="{00000000-0005-0000-0000-000091760000}"/>
    <cellStyle name="Normal 34 19 3 3 2 4" xfId="31173" xr:uid="{00000000-0005-0000-0000-000092760000}"/>
    <cellStyle name="Normal 34 19 3 3 2 5" xfId="42008" xr:uid="{00000000-0005-0000-0000-000093760000}"/>
    <cellStyle name="Normal 34 19 3 3 2 6" xfId="43243" xr:uid="{00000000-0005-0000-0000-000094760000}"/>
    <cellStyle name="Normal 34 19 3 3 2 7" xfId="46089" xr:uid="{00000000-0005-0000-0000-000095760000}"/>
    <cellStyle name="Normal 34 19 3 3 2 8" xfId="46856" xr:uid="{00000000-0005-0000-0000-000096760000}"/>
    <cellStyle name="Normal 34 19 3 3 2 9" xfId="47442" xr:uid="{00000000-0005-0000-0000-000097760000}"/>
    <cellStyle name="Normal 34 19 3 3 3" xfId="8324" xr:uid="{00000000-0005-0000-0000-000098760000}"/>
    <cellStyle name="Normal 34 19 3 3 3 2" xfId="11871" xr:uid="{00000000-0005-0000-0000-000099760000}"/>
    <cellStyle name="Normal 34 19 3 3 3 2 2" xfId="34908" xr:uid="{00000000-0005-0000-0000-00009A760000}"/>
    <cellStyle name="Normal 34 19 3 3 3 3" xfId="29474" xr:uid="{00000000-0005-0000-0000-00009B760000}"/>
    <cellStyle name="Normal 34 19 3 3 3 4" xfId="44105" xr:uid="{00000000-0005-0000-0000-00009C760000}"/>
    <cellStyle name="Normal 34 19 3 3 4" xfId="15452" xr:uid="{00000000-0005-0000-0000-00009D760000}"/>
    <cellStyle name="Normal 34 19 3 3 4 2" xfId="35338" xr:uid="{00000000-0005-0000-0000-00009E760000}"/>
    <cellStyle name="Normal 34 19 3 3 5" xfId="24979" xr:uid="{00000000-0005-0000-0000-00009F760000}"/>
    <cellStyle name="Normal 34 19 3 3 6" xfId="25503" xr:uid="{00000000-0005-0000-0000-0000A0760000}"/>
    <cellStyle name="Normal 34 19 3 3 7" xfId="32865" xr:uid="{00000000-0005-0000-0000-0000A1760000}"/>
    <cellStyle name="Normal 34 19 3 3 8" xfId="43699" xr:uid="{00000000-0005-0000-0000-0000A2760000}"/>
    <cellStyle name="Normal 34 19 3 3 9" xfId="46617" xr:uid="{00000000-0005-0000-0000-0000A3760000}"/>
    <cellStyle name="Normal 34 19 3 4" xfId="5456" xr:uid="{00000000-0005-0000-0000-0000A4760000}"/>
    <cellStyle name="Normal 34 19 3 4 2" xfId="8871" xr:uid="{00000000-0005-0000-0000-0000A5760000}"/>
    <cellStyle name="Normal 34 19 3 4 2 2" xfId="21211" xr:uid="{00000000-0005-0000-0000-0000A6760000}"/>
    <cellStyle name="Normal 34 19 3 4 2 2 2" xfId="37291" xr:uid="{00000000-0005-0000-0000-0000A7760000}"/>
    <cellStyle name="Normal 34 19 3 4 2 3" xfId="28927" xr:uid="{00000000-0005-0000-0000-0000A8760000}"/>
    <cellStyle name="Normal 34 19 3 4 3" xfId="12003" xr:uid="{00000000-0005-0000-0000-0000A9760000}"/>
    <cellStyle name="Normal 34 19 3 4 3 2" xfId="35024" xr:uid="{00000000-0005-0000-0000-0000AA760000}"/>
    <cellStyle name="Normal 34 19 3 4 4" xfId="32318" xr:uid="{00000000-0005-0000-0000-0000AB760000}"/>
    <cellStyle name="Normal 34 19 3 5" xfId="7174" xr:uid="{00000000-0005-0000-0000-0000AC760000}"/>
    <cellStyle name="Normal 34 19 3 5 2" xfId="24160" xr:uid="{00000000-0005-0000-0000-0000AD760000}"/>
    <cellStyle name="Normal 34 19 3 5 2 2" xfId="40213" xr:uid="{00000000-0005-0000-0000-0000AE760000}"/>
    <cellStyle name="Normal 34 19 3 5 3" xfId="30624" xr:uid="{00000000-0005-0000-0000-0000AF760000}"/>
    <cellStyle name="Normal 34 19 3 6" xfId="12538" xr:uid="{00000000-0005-0000-0000-0000B0760000}"/>
    <cellStyle name="Normal 34 19 3 7" xfId="34011" xr:uid="{00000000-0005-0000-0000-0000B1760000}"/>
    <cellStyle name="Normal 34 19 3 8" xfId="43493" xr:uid="{00000000-0005-0000-0000-0000B2760000}"/>
    <cellStyle name="Normal 34 19 3 9" xfId="46392" xr:uid="{00000000-0005-0000-0000-0000B3760000}"/>
    <cellStyle name="Normal 34 19 3_Avviksanalyse løpende RNB15 (1)" xfId="16768" xr:uid="{00000000-0005-0000-0000-0000B4760000}"/>
    <cellStyle name="Normal 34 19 4" xfId="3782" xr:uid="{00000000-0005-0000-0000-0000B5760000}"/>
    <cellStyle name="Normal 34 19 4 2" xfId="5670" xr:uid="{00000000-0005-0000-0000-0000B6760000}"/>
    <cellStyle name="Normal 34 19 4 2 2" xfId="9085" xr:uid="{00000000-0005-0000-0000-0000B7760000}"/>
    <cellStyle name="Normal 34 19 4 2 2 2" xfId="21267" xr:uid="{00000000-0005-0000-0000-0000B8760000}"/>
    <cellStyle name="Normal 34 19 4 2 2 2 2" xfId="37347" xr:uid="{00000000-0005-0000-0000-0000B9760000}"/>
    <cellStyle name="Normal 34 19 4 2 2 3" xfId="28713" xr:uid="{00000000-0005-0000-0000-0000BA760000}"/>
    <cellStyle name="Normal 34 19 4 2 3" xfId="22894" xr:uid="{00000000-0005-0000-0000-0000BB760000}"/>
    <cellStyle name="Normal 34 19 4 2 3 2" xfId="38963" xr:uid="{00000000-0005-0000-0000-0000BC760000}"/>
    <cellStyle name="Normal 34 19 4 2 4" xfId="32104" xr:uid="{00000000-0005-0000-0000-0000BD760000}"/>
    <cellStyle name="Normal 34 19 4 3" xfId="7388" xr:uid="{00000000-0005-0000-0000-0000BE760000}"/>
    <cellStyle name="Normal 34 19 4 3 2" xfId="20766" xr:uid="{00000000-0005-0000-0000-0000BF760000}"/>
    <cellStyle name="Normal 34 19 4 3 2 2" xfId="36865" xr:uid="{00000000-0005-0000-0000-0000C0760000}"/>
    <cellStyle name="Normal 34 19 4 3 3" xfId="30410" xr:uid="{00000000-0005-0000-0000-0000C1760000}"/>
    <cellStyle name="Normal 34 19 4 4" xfId="21721" xr:uid="{00000000-0005-0000-0000-0000C2760000}"/>
    <cellStyle name="Normal 34 19 4 4 2" xfId="37799" xr:uid="{00000000-0005-0000-0000-0000C3760000}"/>
    <cellStyle name="Normal 34 19 4 5" xfId="33797" xr:uid="{00000000-0005-0000-0000-0000C4760000}"/>
    <cellStyle name="Normal 34 19 5" xfId="4168" xr:uid="{00000000-0005-0000-0000-0000C5760000}"/>
    <cellStyle name="Normal 34 19 5 2" xfId="6018" xr:uid="{00000000-0005-0000-0000-0000C6760000}"/>
    <cellStyle name="Normal 34 19 5 2 2" xfId="9433" xr:uid="{00000000-0005-0000-0000-0000C7760000}"/>
    <cellStyle name="Normal 34 19 5 2 2 2" xfId="23509" xr:uid="{00000000-0005-0000-0000-0000C8760000}"/>
    <cellStyle name="Normal 34 19 5 2 2 2 2" xfId="39565" xr:uid="{00000000-0005-0000-0000-0000C9760000}"/>
    <cellStyle name="Normal 34 19 5 2 2 3" xfId="28365" xr:uid="{00000000-0005-0000-0000-0000CA760000}"/>
    <cellStyle name="Normal 34 19 5 2 3" xfId="20290" xr:uid="{00000000-0005-0000-0000-0000CB760000}"/>
    <cellStyle name="Normal 34 19 5 2 3 2" xfId="36389" xr:uid="{00000000-0005-0000-0000-0000CC760000}"/>
    <cellStyle name="Normal 34 19 5 2 4" xfId="31760" xr:uid="{00000000-0005-0000-0000-0000CD760000}"/>
    <cellStyle name="Normal 34 19 5 3" xfId="7749" xr:uid="{00000000-0005-0000-0000-0000CE760000}"/>
    <cellStyle name="Normal 34 19 5 3 2" xfId="23261" xr:uid="{00000000-0005-0000-0000-0000CF760000}"/>
    <cellStyle name="Normal 34 19 5 3 2 2" xfId="39329" xr:uid="{00000000-0005-0000-0000-0000D0760000}"/>
    <cellStyle name="Normal 34 19 5 3 3" xfId="30050" xr:uid="{00000000-0005-0000-0000-0000D1760000}"/>
    <cellStyle name="Normal 34 19 5 4" xfId="22685" xr:uid="{00000000-0005-0000-0000-0000D2760000}"/>
    <cellStyle name="Normal 34 19 5 4 2" xfId="38754" xr:uid="{00000000-0005-0000-0000-0000D3760000}"/>
    <cellStyle name="Normal 34 19 5 5" xfId="33437" xr:uid="{00000000-0005-0000-0000-0000D4760000}"/>
    <cellStyle name="Normal 34 19 6" xfId="4624" xr:uid="{00000000-0005-0000-0000-0000D5760000}"/>
    <cellStyle name="Normal 34 19 6 2" xfId="6361" xr:uid="{00000000-0005-0000-0000-0000D6760000}"/>
    <cellStyle name="Normal 34 19 6 2 2" xfId="9771" xr:uid="{00000000-0005-0000-0000-0000D7760000}"/>
    <cellStyle name="Normal 34 19 6 2 2 2" xfId="23554" xr:uid="{00000000-0005-0000-0000-0000D8760000}"/>
    <cellStyle name="Normal 34 19 6 2 2 2 2" xfId="39610" xr:uid="{00000000-0005-0000-0000-0000D9760000}"/>
    <cellStyle name="Normal 34 19 6 2 2 3" xfId="28028" xr:uid="{00000000-0005-0000-0000-0000DA760000}"/>
    <cellStyle name="Normal 34 19 6 2 3" xfId="23024" xr:uid="{00000000-0005-0000-0000-0000DB760000}"/>
    <cellStyle name="Normal 34 19 6 2 3 2" xfId="39093" xr:uid="{00000000-0005-0000-0000-0000DC760000}"/>
    <cellStyle name="Normal 34 19 6 2 4" xfId="31429" xr:uid="{00000000-0005-0000-0000-0000DD760000}"/>
    <cellStyle name="Normal 34 19 6 3" xfId="8067" xr:uid="{00000000-0005-0000-0000-0000DE760000}"/>
    <cellStyle name="Normal 34 19 6 3 2" xfId="23309" xr:uid="{00000000-0005-0000-0000-0000DF760000}"/>
    <cellStyle name="Normal 34 19 6 3 2 2" xfId="39376" xr:uid="{00000000-0005-0000-0000-0000E0760000}"/>
    <cellStyle name="Normal 34 19 6 3 3" xfId="29731" xr:uid="{00000000-0005-0000-0000-0000E1760000}"/>
    <cellStyle name="Normal 34 19 6 4" xfId="12298" xr:uid="{00000000-0005-0000-0000-0000E2760000}"/>
    <cellStyle name="Normal 34 19 6 4 2" xfId="35174" xr:uid="{00000000-0005-0000-0000-0000E3760000}"/>
    <cellStyle name="Normal 34 19 6 5" xfId="33122" xr:uid="{00000000-0005-0000-0000-0000E4760000}"/>
    <cellStyle name="Normal 34 19 7" xfId="4718" xr:uid="{00000000-0005-0000-0000-0000E5760000}"/>
    <cellStyle name="Normal 34 19 7 2" xfId="6438" xr:uid="{00000000-0005-0000-0000-0000E6760000}"/>
    <cellStyle name="Normal 34 19 7 2 2" xfId="9848" xr:uid="{00000000-0005-0000-0000-0000E7760000}"/>
    <cellStyle name="Normal 34 19 7 2 2 2" xfId="23569" xr:uid="{00000000-0005-0000-0000-0000E8760000}"/>
    <cellStyle name="Normal 34 19 7 2 2 2 2" xfId="39625" xr:uid="{00000000-0005-0000-0000-0000E9760000}"/>
    <cellStyle name="Normal 34 19 7 2 2 3" xfId="27951" xr:uid="{00000000-0005-0000-0000-0000EA760000}"/>
    <cellStyle name="Normal 34 19 7 2 3" xfId="22131" xr:uid="{00000000-0005-0000-0000-0000EB760000}"/>
    <cellStyle name="Normal 34 19 7 2 3 2" xfId="38205" xr:uid="{00000000-0005-0000-0000-0000EC760000}"/>
    <cellStyle name="Normal 34 19 7 2 4" xfId="31352" xr:uid="{00000000-0005-0000-0000-0000ED760000}"/>
    <cellStyle name="Normal 34 19 7 3" xfId="8144" xr:uid="{00000000-0005-0000-0000-0000EE760000}"/>
    <cellStyle name="Normal 34 19 7 3 2" xfId="24322" xr:uid="{00000000-0005-0000-0000-0000EF760000}"/>
    <cellStyle name="Normal 34 19 7 3 2 2" xfId="40372" xr:uid="{00000000-0005-0000-0000-0000F0760000}"/>
    <cellStyle name="Normal 34 19 7 3 3" xfId="29654" xr:uid="{00000000-0005-0000-0000-0000F1760000}"/>
    <cellStyle name="Normal 34 19 7 4" xfId="10913" xr:uid="{00000000-0005-0000-0000-0000F2760000}"/>
    <cellStyle name="Normal 34 19 7 4 2" xfId="34678" xr:uid="{00000000-0005-0000-0000-0000F3760000}"/>
    <cellStyle name="Normal 34 19 7 5" xfId="33045" xr:uid="{00000000-0005-0000-0000-0000F4760000}"/>
    <cellStyle name="Normal 34 19 8" xfId="5082" xr:uid="{00000000-0005-0000-0000-0000F5760000}"/>
    <cellStyle name="Normal 34 19 8 2" xfId="6801" xr:uid="{00000000-0005-0000-0000-0000F6760000}"/>
    <cellStyle name="Normal 34 19 8 2 2" xfId="10207" xr:uid="{00000000-0005-0000-0000-0000F7760000}"/>
    <cellStyle name="Normal 34 19 8 2 2 2" xfId="23642" xr:uid="{00000000-0005-0000-0000-0000F8760000}"/>
    <cellStyle name="Normal 34 19 8 2 2 2 2" xfId="39698" xr:uid="{00000000-0005-0000-0000-0000F9760000}"/>
    <cellStyle name="Normal 34 19 8 2 2 3" xfId="27592" xr:uid="{00000000-0005-0000-0000-0000FA760000}"/>
    <cellStyle name="Normal 34 19 8 2 3" xfId="24666" xr:uid="{00000000-0005-0000-0000-0000FB760000}"/>
    <cellStyle name="Normal 34 19 8 2 3 2" xfId="40709" xr:uid="{00000000-0005-0000-0000-0000FC760000}"/>
    <cellStyle name="Normal 34 19 8 2 4" xfId="30993" xr:uid="{00000000-0005-0000-0000-0000FD760000}"/>
    <cellStyle name="Normal 34 19 8 3" xfId="8504" xr:uid="{00000000-0005-0000-0000-0000FE760000}"/>
    <cellStyle name="Normal 34 19 8 3 2" xfId="10533" xr:uid="{00000000-0005-0000-0000-0000FF760000}"/>
    <cellStyle name="Normal 34 19 8 3 2 2" xfId="34411" xr:uid="{00000000-0005-0000-0000-000000770000}"/>
    <cellStyle name="Normal 34 19 8 3 3" xfId="29294" xr:uid="{00000000-0005-0000-0000-000001770000}"/>
    <cellStyle name="Normal 34 19 8 4" xfId="22840" xr:uid="{00000000-0005-0000-0000-000002770000}"/>
    <cellStyle name="Normal 34 19 8 4 2" xfId="38909" xr:uid="{00000000-0005-0000-0000-000003770000}"/>
    <cellStyle name="Normal 34 19 8 5" xfId="32685" xr:uid="{00000000-0005-0000-0000-000004770000}"/>
    <cellStyle name="Normal 34 19 9" xfId="5179" xr:uid="{00000000-0005-0000-0000-000005770000}"/>
    <cellStyle name="Normal 34 19 9 2" xfId="8598" xr:uid="{00000000-0005-0000-0000-000006770000}"/>
    <cellStyle name="Normal 34 19 9 2 2" xfId="11819" xr:uid="{00000000-0005-0000-0000-000007770000}"/>
    <cellStyle name="Normal 34 19 9 2 2 2" xfId="34881" xr:uid="{00000000-0005-0000-0000-000008770000}"/>
    <cellStyle name="Normal 34 19 9 2 3" xfId="29200" xr:uid="{00000000-0005-0000-0000-000009770000}"/>
    <cellStyle name="Normal 34 19 9 3" xfId="12138" xr:uid="{00000000-0005-0000-0000-00000A770000}"/>
    <cellStyle name="Normal 34 19 9 3 2" xfId="35090" xr:uid="{00000000-0005-0000-0000-00000B770000}"/>
    <cellStyle name="Normal 34 19 9 4" xfId="32591" xr:uid="{00000000-0005-0000-0000-00000C770000}"/>
    <cellStyle name="Normal 34 2" xfId="1792" xr:uid="{00000000-0005-0000-0000-00000D770000}"/>
    <cellStyle name="Normal 34 2 10" xfId="5180" xr:uid="{00000000-0005-0000-0000-00000E770000}"/>
    <cellStyle name="Normal 34 2 10 2" xfId="8599" xr:uid="{00000000-0005-0000-0000-00000F770000}"/>
    <cellStyle name="Normal 34 2 10 2 2" xfId="23383" xr:uid="{00000000-0005-0000-0000-000010770000}"/>
    <cellStyle name="Normal 34 2 10 2 2 2" xfId="39439" xr:uid="{00000000-0005-0000-0000-000011770000}"/>
    <cellStyle name="Normal 34 2 10 2 3" xfId="29199" xr:uid="{00000000-0005-0000-0000-000012770000}"/>
    <cellStyle name="Normal 34 2 10 3" xfId="20066" xr:uid="{00000000-0005-0000-0000-000013770000}"/>
    <cellStyle name="Normal 34 2 10 3 2" xfId="36170" xr:uid="{00000000-0005-0000-0000-000014770000}"/>
    <cellStyle name="Normal 34 2 10 4" xfId="32590" xr:uid="{00000000-0005-0000-0000-000015770000}"/>
    <cellStyle name="Normal 34 2 2" xfId="1793" xr:uid="{00000000-0005-0000-0000-000016770000}"/>
    <cellStyle name="Normal 34 2 2 2" xfId="12541" xr:uid="{00000000-0005-0000-0000-000017770000}"/>
    <cellStyle name="Normal 34 2 3" xfId="1794" xr:uid="{00000000-0005-0000-0000-000018770000}"/>
    <cellStyle name="Normal 34 2 3 10" xfId="5181" xr:uid="{00000000-0005-0000-0000-000019770000}"/>
    <cellStyle name="Normal 34 2 3 10 2" xfId="8600" xr:uid="{00000000-0005-0000-0000-00001A770000}"/>
    <cellStyle name="Normal 34 2 3 10 2 2" xfId="21135" xr:uid="{00000000-0005-0000-0000-00001B770000}"/>
    <cellStyle name="Normal 34 2 3 10 2 2 2" xfId="37215" xr:uid="{00000000-0005-0000-0000-00001C770000}"/>
    <cellStyle name="Normal 34 2 3 10 2 3" xfId="29198" xr:uid="{00000000-0005-0000-0000-00001D770000}"/>
    <cellStyle name="Normal 34 2 3 10 3" xfId="10794" xr:uid="{00000000-0005-0000-0000-00001E770000}"/>
    <cellStyle name="Normal 34 2 3 10 3 2" xfId="34617" xr:uid="{00000000-0005-0000-0000-00001F770000}"/>
    <cellStyle name="Normal 34 2 3 10 4" xfId="32589" xr:uid="{00000000-0005-0000-0000-000020770000}"/>
    <cellStyle name="Normal 34 2 3 11" xfId="6992" xr:uid="{00000000-0005-0000-0000-000021770000}"/>
    <cellStyle name="Normal 34 2 3 11 2" xfId="20624" xr:uid="{00000000-0005-0000-0000-000022770000}"/>
    <cellStyle name="Normal 34 2 3 11 2 2" xfId="36723" xr:uid="{00000000-0005-0000-0000-000023770000}"/>
    <cellStyle name="Normal 34 2 3 11 3" xfId="30806" xr:uid="{00000000-0005-0000-0000-000024770000}"/>
    <cellStyle name="Normal 34 2 3 12" xfId="12542" xr:uid="{00000000-0005-0000-0000-000025770000}"/>
    <cellStyle name="Normal 34 2 3 13" xfId="34194" xr:uid="{00000000-0005-0000-0000-000026770000}"/>
    <cellStyle name="Normal 34 2 3 2" xfId="1795" xr:uid="{00000000-0005-0000-0000-000027770000}"/>
    <cellStyle name="Normal 34 2 3 2 10" xfId="6993" xr:uid="{00000000-0005-0000-0000-000028770000}"/>
    <cellStyle name="Normal 34 2 3 2 10 2" xfId="24128" xr:uid="{00000000-0005-0000-0000-000029770000}"/>
    <cellStyle name="Normal 34 2 3 2 10 2 2" xfId="40181" xr:uid="{00000000-0005-0000-0000-00002A770000}"/>
    <cellStyle name="Normal 34 2 3 2 10 3" xfId="30805" xr:uid="{00000000-0005-0000-0000-00002B770000}"/>
    <cellStyle name="Normal 34 2 3 2 11" xfId="12543" xr:uid="{00000000-0005-0000-0000-00002C770000}"/>
    <cellStyle name="Normal 34 2 3 2 12" xfId="34193" xr:uid="{00000000-0005-0000-0000-00002D770000}"/>
    <cellStyle name="Normal 34 2 3 2 2" xfId="3387" xr:uid="{00000000-0005-0000-0000-00002E770000}"/>
    <cellStyle name="Normal 34 2 3 2 2 10" xfId="34110" xr:uid="{00000000-0005-0000-0000-00002F770000}"/>
    <cellStyle name="Normal 34 2 3 2 2 2" xfId="3613" xr:uid="{00000000-0005-0000-0000-000030770000}"/>
    <cellStyle name="Normal 34 2 3 2 2 2 10" xfId="47212" xr:uid="{00000000-0005-0000-0000-000031770000}"/>
    <cellStyle name="Normal 34 2 3 2 2 2 2" xfId="4043" xr:uid="{00000000-0005-0000-0000-000032770000}"/>
    <cellStyle name="Normal 34 2 3 2 2 2 2 2" xfId="5931" xr:uid="{00000000-0005-0000-0000-000033770000}"/>
    <cellStyle name="Normal 34 2 3 2 2 2 2 2 2" xfId="9346" xr:uid="{00000000-0005-0000-0000-000034770000}"/>
    <cellStyle name="Normal 34 2 3 2 2 2 2 2 2 2" xfId="21357" xr:uid="{00000000-0005-0000-0000-000035770000}"/>
    <cellStyle name="Normal 34 2 3 2 2 2 2 2 2 2 2" xfId="37437" xr:uid="{00000000-0005-0000-0000-000036770000}"/>
    <cellStyle name="Normal 34 2 3 2 2 2 2 2 2 3" xfId="28452" xr:uid="{00000000-0005-0000-0000-000037770000}"/>
    <cellStyle name="Normal 34 2 3 2 2 2 2 2 3" xfId="22941" xr:uid="{00000000-0005-0000-0000-000038770000}"/>
    <cellStyle name="Normal 34 2 3 2 2 2 2 2 3 2" xfId="39010" xr:uid="{00000000-0005-0000-0000-000039770000}"/>
    <cellStyle name="Normal 34 2 3 2 2 2 2 2 4" xfId="34297" xr:uid="{00000000-0005-0000-0000-00003A770000}"/>
    <cellStyle name="Normal 34 2 3 2 2 2 2 3" xfId="7649" xr:uid="{00000000-0005-0000-0000-00003B770000}"/>
    <cellStyle name="Normal 34 2 3 2 2 2 2 3 2" xfId="24243" xr:uid="{00000000-0005-0000-0000-00003C770000}"/>
    <cellStyle name="Normal 34 2 3 2 2 2 2 3 2 2" xfId="40296" xr:uid="{00000000-0005-0000-0000-00003D770000}"/>
    <cellStyle name="Normal 34 2 3 2 2 2 2 3 3" xfId="30149" xr:uid="{00000000-0005-0000-0000-00003E770000}"/>
    <cellStyle name="Normal 34 2 3 2 2 2 2 4" xfId="18192" xr:uid="{00000000-0005-0000-0000-00003F770000}"/>
    <cellStyle name="Normal 34 2 3 2 2 2 2 5" xfId="19571" xr:uid="{00000000-0005-0000-0000-000040770000}"/>
    <cellStyle name="Normal 34 2 3 2 2 2 2 5 2" xfId="35685" xr:uid="{00000000-0005-0000-0000-000041770000}"/>
    <cellStyle name="Normal 34 2 3 2 2 2 2 6" xfId="33536" xr:uid="{00000000-0005-0000-0000-000042770000}"/>
    <cellStyle name="Normal 34 2 3 2 2 2 3" xfId="4983" xr:uid="{00000000-0005-0000-0000-000043770000}"/>
    <cellStyle name="Normal 34 2 3 2 2 2 3 10" xfId="47402" xr:uid="{00000000-0005-0000-0000-000044770000}"/>
    <cellStyle name="Normal 34 2 3 2 2 2 3 2" xfId="6702" xr:uid="{00000000-0005-0000-0000-000045770000}"/>
    <cellStyle name="Normal 34 2 3 2 2 2 3 2 2" xfId="10108" xr:uid="{00000000-0005-0000-0000-000046770000}"/>
    <cellStyle name="Normal 34 2 3 2 2 2 3 2 2 2" xfId="21609" xr:uid="{00000000-0005-0000-0000-000047770000}"/>
    <cellStyle name="Normal 34 2 3 2 2 2 3 2 2 2 2" xfId="37689" xr:uid="{00000000-0005-0000-0000-000048770000}"/>
    <cellStyle name="Normal 34 2 3 2 2 2 3 2 2 3" xfId="27691" xr:uid="{00000000-0005-0000-0000-000049770000}"/>
    <cellStyle name="Normal 34 2 3 2 2 2 3 2 3" xfId="23085" xr:uid="{00000000-0005-0000-0000-00004A770000}"/>
    <cellStyle name="Normal 34 2 3 2 2 2 3 2 3 2" xfId="39154" xr:uid="{00000000-0005-0000-0000-00004B770000}"/>
    <cellStyle name="Normal 34 2 3 2 2 2 3 2 4" xfId="31092" xr:uid="{00000000-0005-0000-0000-00004C770000}"/>
    <cellStyle name="Normal 34 2 3 2 2 2 3 2 5" xfId="43099" xr:uid="{00000000-0005-0000-0000-00004D770000}"/>
    <cellStyle name="Normal 34 2 3 2 2 2 3 2 6" xfId="43393" xr:uid="{00000000-0005-0000-0000-00004E770000}"/>
    <cellStyle name="Normal 34 2 3 2 2 2 3 2 7" xfId="46241" xr:uid="{00000000-0005-0000-0000-00004F770000}"/>
    <cellStyle name="Normal 34 2 3 2 2 2 3 2 8" xfId="47013" xr:uid="{00000000-0005-0000-0000-000050770000}"/>
    <cellStyle name="Normal 34 2 3 2 2 2 3 2 9" xfId="47598" xr:uid="{00000000-0005-0000-0000-000051770000}"/>
    <cellStyle name="Normal 34 2 3 2 2 2 3 3" xfId="8405" xr:uid="{00000000-0005-0000-0000-000052770000}"/>
    <cellStyle name="Normal 34 2 3 2 2 2 3 3 2" xfId="21868" xr:uid="{00000000-0005-0000-0000-000053770000}"/>
    <cellStyle name="Normal 34 2 3 2 2 2 3 3 2 2" xfId="37944" xr:uid="{00000000-0005-0000-0000-000054770000}"/>
    <cellStyle name="Normal 34 2 3 2 2 2 3 3 3" xfId="29393" xr:uid="{00000000-0005-0000-0000-000055770000}"/>
    <cellStyle name="Normal 34 2 3 2 2 2 3 3 4" xfId="44106" xr:uid="{00000000-0005-0000-0000-000056770000}"/>
    <cellStyle name="Normal 34 2 3 2 2 2 3 4" xfId="16544" xr:uid="{00000000-0005-0000-0000-000057770000}"/>
    <cellStyle name="Normal 34 2 3 2 2 2 3 4 2" xfId="35488" xr:uid="{00000000-0005-0000-0000-000058770000}"/>
    <cellStyle name="Normal 34 2 3 2 2 2 3 5" xfId="25150" xr:uid="{00000000-0005-0000-0000-000059770000}"/>
    <cellStyle name="Normal 34 2 3 2 2 2 3 6" xfId="25504" xr:uid="{00000000-0005-0000-0000-00005A770000}"/>
    <cellStyle name="Normal 34 2 3 2 2 2 3 7" xfId="32784" xr:uid="{00000000-0005-0000-0000-00005B770000}"/>
    <cellStyle name="Normal 34 2 3 2 2 2 3 8" xfId="43854" xr:uid="{00000000-0005-0000-0000-00005C770000}"/>
    <cellStyle name="Normal 34 2 3 2 2 2 3 9" xfId="46779" xr:uid="{00000000-0005-0000-0000-00005D770000}"/>
    <cellStyle name="Normal 34 2 3 2 2 2 4" xfId="5537" xr:uid="{00000000-0005-0000-0000-00005E770000}"/>
    <cellStyle name="Normal 34 2 3 2 2 2 4 2" xfId="8952" xr:uid="{00000000-0005-0000-0000-00005F770000}"/>
    <cellStyle name="Normal 34 2 3 2 2 2 4 2 2" xfId="24435" xr:uid="{00000000-0005-0000-0000-000060770000}"/>
    <cellStyle name="Normal 34 2 3 2 2 2 4 2 2 2" xfId="40479" xr:uid="{00000000-0005-0000-0000-000061770000}"/>
    <cellStyle name="Normal 34 2 3 2 2 2 4 2 3" xfId="28846" xr:uid="{00000000-0005-0000-0000-000062770000}"/>
    <cellStyle name="Normal 34 2 3 2 2 2 4 3" xfId="20111" xr:uid="{00000000-0005-0000-0000-000063770000}"/>
    <cellStyle name="Normal 34 2 3 2 2 2 4 3 2" xfId="36215" xr:uid="{00000000-0005-0000-0000-000064770000}"/>
    <cellStyle name="Normal 34 2 3 2 2 2 4 4" xfId="32237" xr:uid="{00000000-0005-0000-0000-000065770000}"/>
    <cellStyle name="Normal 34 2 3 2 2 2 5" xfId="7255" xr:uid="{00000000-0005-0000-0000-000066770000}"/>
    <cellStyle name="Normal 34 2 3 2 2 2 5 2" xfId="24172" xr:uid="{00000000-0005-0000-0000-000067770000}"/>
    <cellStyle name="Normal 34 2 3 2 2 2 5 2 2" xfId="40225" xr:uid="{00000000-0005-0000-0000-000068770000}"/>
    <cellStyle name="Normal 34 2 3 2 2 2 5 3" xfId="30543" xr:uid="{00000000-0005-0000-0000-000069770000}"/>
    <cellStyle name="Normal 34 2 3 2 2 2 6" xfId="12545" xr:uid="{00000000-0005-0000-0000-00006A770000}"/>
    <cellStyle name="Normal 34 2 3 2 2 2 7" xfId="33930" xr:uid="{00000000-0005-0000-0000-00006B770000}"/>
    <cellStyle name="Normal 34 2 3 2 2 2 8" xfId="43645" xr:uid="{00000000-0005-0000-0000-00006C770000}"/>
    <cellStyle name="Normal 34 2 3 2 2 2 9" xfId="46551" xr:uid="{00000000-0005-0000-0000-00006D770000}"/>
    <cellStyle name="Normal 34 2 3 2 2 2_Avviksanalyse løpende RNB15 (1)" xfId="16769" xr:uid="{00000000-0005-0000-0000-00006E770000}"/>
    <cellStyle name="Normal 34 2 3 2 2 3" xfId="3863" xr:uid="{00000000-0005-0000-0000-00006F770000}"/>
    <cellStyle name="Normal 34 2 3 2 2 3 2" xfId="5751" xr:uid="{00000000-0005-0000-0000-000070770000}"/>
    <cellStyle name="Normal 34 2 3 2 2 3 2 2" xfId="9166" xr:uid="{00000000-0005-0000-0000-000071770000}"/>
    <cellStyle name="Normal 34 2 3 2 2 3 2 2 2" xfId="23466" xr:uid="{00000000-0005-0000-0000-000072770000}"/>
    <cellStyle name="Normal 34 2 3 2 2 3 2 2 2 2" xfId="39522" xr:uid="{00000000-0005-0000-0000-000073770000}"/>
    <cellStyle name="Normal 34 2 3 2 2 3 2 2 3" xfId="28632" xr:uid="{00000000-0005-0000-0000-000074770000}"/>
    <cellStyle name="Normal 34 2 3 2 2 3 2 3" xfId="20191" xr:uid="{00000000-0005-0000-0000-000075770000}"/>
    <cellStyle name="Normal 34 2 3 2 2 3 2 3 2" xfId="36291" xr:uid="{00000000-0005-0000-0000-000076770000}"/>
    <cellStyle name="Normal 34 2 3 2 2 3 2 4" xfId="32023" xr:uid="{00000000-0005-0000-0000-000077770000}"/>
    <cellStyle name="Normal 34 2 3 2 2 3 3" xfId="7469" xr:uid="{00000000-0005-0000-0000-000078770000}"/>
    <cellStyle name="Normal 34 2 3 2 2 3 3 2" xfId="20795" xr:uid="{00000000-0005-0000-0000-000079770000}"/>
    <cellStyle name="Normal 34 2 3 2 2 3 3 2 2" xfId="36894" xr:uid="{00000000-0005-0000-0000-00007A770000}"/>
    <cellStyle name="Normal 34 2 3 2 2 3 3 3" xfId="30329" xr:uid="{00000000-0005-0000-0000-00007B770000}"/>
    <cellStyle name="Normal 34 2 3 2 2 3 4" xfId="11061" xr:uid="{00000000-0005-0000-0000-00007C770000}"/>
    <cellStyle name="Normal 34 2 3 2 2 3 4 2" xfId="34769" xr:uid="{00000000-0005-0000-0000-00007D770000}"/>
    <cellStyle name="Normal 34 2 3 2 2 3 5" xfId="33716" xr:uid="{00000000-0005-0000-0000-00007E770000}"/>
    <cellStyle name="Normal 34 2 3 2 2 4" xfId="4348" xr:uid="{00000000-0005-0000-0000-00007F770000}"/>
    <cellStyle name="Normal 34 2 3 2 2 4 2" xfId="6177" xr:uid="{00000000-0005-0000-0000-000080770000}"/>
    <cellStyle name="Normal 34 2 3 2 2 4 2 2" xfId="9591" xr:uid="{00000000-0005-0000-0000-000081770000}"/>
    <cellStyle name="Normal 34 2 3 2 2 4 2 2 2" xfId="23531" xr:uid="{00000000-0005-0000-0000-000082770000}"/>
    <cellStyle name="Normal 34 2 3 2 2 4 2 2 2 2" xfId="39587" xr:uid="{00000000-0005-0000-0000-000083770000}"/>
    <cellStyle name="Normal 34 2 3 2 2 4 2 2 3" xfId="28207" xr:uid="{00000000-0005-0000-0000-000084770000}"/>
    <cellStyle name="Normal 34 2 3 2 2 4 2 3" xfId="20352" xr:uid="{00000000-0005-0000-0000-000085770000}"/>
    <cellStyle name="Normal 34 2 3 2 2 4 2 3 2" xfId="36451" xr:uid="{00000000-0005-0000-0000-000086770000}"/>
    <cellStyle name="Normal 34 2 3 2 2 4 2 4" xfId="31604" xr:uid="{00000000-0005-0000-0000-000087770000}"/>
    <cellStyle name="Normal 34 2 3 2 2 4 3" xfId="7910" xr:uid="{00000000-0005-0000-0000-000088770000}"/>
    <cellStyle name="Normal 34 2 3 2 2 4 3 2" xfId="20939" xr:uid="{00000000-0005-0000-0000-000089770000}"/>
    <cellStyle name="Normal 34 2 3 2 2 4 3 2 2" xfId="37035" xr:uid="{00000000-0005-0000-0000-00008A770000}"/>
    <cellStyle name="Normal 34 2 3 2 2 4 3 3" xfId="29889" xr:uid="{00000000-0005-0000-0000-00008B770000}"/>
    <cellStyle name="Normal 34 2 3 2 2 4 4" xfId="23754" xr:uid="{00000000-0005-0000-0000-00008C770000}"/>
    <cellStyle name="Normal 34 2 3 2 2 4 4 2" xfId="39810" xr:uid="{00000000-0005-0000-0000-00008D770000}"/>
    <cellStyle name="Normal 34 2 3 2 2 4 5" xfId="33277" xr:uid="{00000000-0005-0000-0000-00008E770000}"/>
    <cellStyle name="Normal 34 2 3 2 2 5" xfId="4803" xr:uid="{00000000-0005-0000-0000-00008F770000}"/>
    <cellStyle name="Normal 34 2 3 2 2 5 2" xfId="6523" xr:uid="{00000000-0005-0000-0000-000090770000}"/>
    <cellStyle name="Normal 34 2 3 2 2 5 2 2" xfId="9929" xr:uid="{00000000-0005-0000-0000-000091770000}"/>
    <cellStyle name="Normal 34 2 3 2 2 5 2 2 2" xfId="21538" xr:uid="{00000000-0005-0000-0000-000092770000}"/>
    <cellStyle name="Normal 34 2 3 2 2 5 2 2 2 2" xfId="37618" xr:uid="{00000000-0005-0000-0000-000093770000}"/>
    <cellStyle name="Normal 34 2 3 2 2 5 2 2 3" xfId="27870" xr:uid="{00000000-0005-0000-0000-000094770000}"/>
    <cellStyle name="Normal 34 2 3 2 2 5 2 3" xfId="20483" xr:uid="{00000000-0005-0000-0000-000095770000}"/>
    <cellStyle name="Normal 34 2 3 2 2 5 2 3 2" xfId="36582" xr:uid="{00000000-0005-0000-0000-000096770000}"/>
    <cellStyle name="Normal 34 2 3 2 2 5 2 4" xfId="31271" xr:uid="{00000000-0005-0000-0000-000097770000}"/>
    <cellStyle name="Normal 34 2 3 2 2 5 3" xfId="8225" xr:uid="{00000000-0005-0000-0000-000098770000}"/>
    <cellStyle name="Normal 34 2 3 2 2 5 3 2" xfId="23332" xr:uid="{00000000-0005-0000-0000-000099770000}"/>
    <cellStyle name="Normal 34 2 3 2 2 5 3 2 2" xfId="39394" xr:uid="{00000000-0005-0000-0000-00009A770000}"/>
    <cellStyle name="Normal 34 2 3 2 2 5 3 3" xfId="29572" xr:uid="{00000000-0005-0000-0000-00009B770000}"/>
    <cellStyle name="Normal 34 2 3 2 2 5 4" xfId="20044" xr:uid="{00000000-0005-0000-0000-00009C770000}"/>
    <cellStyle name="Normal 34 2 3 2 2 5 4 2" xfId="36148" xr:uid="{00000000-0005-0000-0000-00009D770000}"/>
    <cellStyle name="Normal 34 2 3 2 2 5 5" xfId="32964" xr:uid="{00000000-0005-0000-0000-00009E770000}"/>
    <cellStyle name="Normal 34 2 3 2 2 6" xfId="5163" xr:uid="{00000000-0005-0000-0000-00009F770000}"/>
    <cellStyle name="Normal 34 2 3 2 2 6 2" xfId="6882" xr:uid="{00000000-0005-0000-0000-0000A0770000}"/>
    <cellStyle name="Normal 34 2 3 2 2 6 2 2" xfId="10288" xr:uid="{00000000-0005-0000-0000-0000A1770000}"/>
    <cellStyle name="Normal 34 2 3 2 2 6 2 2 2" xfId="24731" xr:uid="{00000000-0005-0000-0000-0000A2770000}"/>
    <cellStyle name="Normal 34 2 3 2 2 6 2 2 2 2" xfId="40774" xr:uid="{00000000-0005-0000-0000-0000A3770000}"/>
    <cellStyle name="Normal 34 2 3 2 2 6 2 2 3" xfId="27511" xr:uid="{00000000-0005-0000-0000-0000A4770000}"/>
    <cellStyle name="Normal 34 2 3 2 2 6 2 3" xfId="24111" xr:uid="{00000000-0005-0000-0000-0000A5770000}"/>
    <cellStyle name="Normal 34 2 3 2 2 6 2 3 2" xfId="40164" xr:uid="{00000000-0005-0000-0000-0000A6770000}"/>
    <cellStyle name="Normal 34 2 3 2 2 6 2 4" xfId="30912" xr:uid="{00000000-0005-0000-0000-0000A7770000}"/>
    <cellStyle name="Normal 34 2 3 2 2 6 3" xfId="8585" xr:uid="{00000000-0005-0000-0000-0000A8770000}"/>
    <cellStyle name="Normal 34 2 3 2 2 6 3 2" xfId="22586" xr:uid="{00000000-0005-0000-0000-0000A9770000}"/>
    <cellStyle name="Normal 34 2 3 2 2 6 3 2 2" xfId="38655" xr:uid="{00000000-0005-0000-0000-0000AA770000}"/>
    <cellStyle name="Normal 34 2 3 2 2 6 3 3" xfId="29213" xr:uid="{00000000-0005-0000-0000-0000AB770000}"/>
    <cellStyle name="Normal 34 2 3 2 2 6 4" xfId="12150" xr:uid="{00000000-0005-0000-0000-0000AC770000}"/>
    <cellStyle name="Normal 34 2 3 2 2 6 4 2" xfId="35095" xr:uid="{00000000-0005-0000-0000-0000AD770000}"/>
    <cellStyle name="Normal 34 2 3 2 2 6 5" xfId="32604" xr:uid="{00000000-0005-0000-0000-0000AE770000}"/>
    <cellStyle name="Normal 34 2 3 2 2 7" xfId="5342" xr:uid="{00000000-0005-0000-0000-0000AF770000}"/>
    <cellStyle name="Normal 34 2 3 2 2 7 2" xfId="8757" xr:uid="{00000000-0005-0000-0000-0000B0770000}"/>
    <cellStyle name="Normal 34 2 3 2 2 7 2 2" xfId="21181" xr:uid="{00000000-0005-0000-0000-0000B1770000}"/>
    <cellStyle name="Normal 34 2 3 2 2 7 2 2 2" xfId="37261" xr:uid="{00000000-0005-0000-0000-0000B2770000}"/>
    <cellStyle name="Normal 34 2 3 2 2 7 2 3" xfId="29041" xr:uid="{00000000-0005-0000-0000-0000B3770000}"/>
    <cellStyle name="Normal 34 2 3 2 2 7 3" xfId="19804" xr:uid="{00000000-0005-0000-0000-0000B4770000}"/>
    <cellStyle name="Normal 34 2 3 2 2 7 3 2" xfId="35917" xr:uid="{00000000-0005-0000-0000-0000B5770000}"/>
    <cellStyle name="Normal 34 2 3 2 2 7 4" xfId="32432" xr:uid="{00000000-0005-0000-0000-0000B6770000}"/>
    <cellStyle name="Normal 34 2 3 2 2 8" xfId="7075" xr:uid="{00000000-0005-0000-0000-0000B7770000}"/>
    <cellStyle name="Normal 34 2 3 2 2 8 2" xfId="22416" xr:uid="{00000000-0005-0000-0000-0000B8770000}"/>
    <cellStyle name="Normal 34 2 3 2 2 8 2 2" xfId="38488" xr:uid="{00000000-0005-0000-0000-0000B9770000}"/>
    <cellStyle name="Normal 34 2 3 2 2 8 3" xfId="30723" xr:uid="{00000000-0005-0000-0000-0000BA770000}"/>
    <cellStyle name="Normal 34 2 3 2 2 9" xfId="12544" xr:uid="{00000000-0005-0000-0000-0000BB770000}"/>
    <cellStyle name="Normal 34 2 3 2 3" xfId="3529" xr:uid="{00000000-0005-0000-0000-0000BC770000}"/>
    <cellStyle name="Normal 34 2 3 2 3 10" xfId="47058" xr:uid="{00000000-0005-0000-0000-0000BD770000}"/>
    <cellStyle name="Normal 34 2 3 2 3 2" xfId="3964" xr:uid="{00000000-0005-0000-0000-0000BE770000}"/>
    <cellStyle name="Normal 34 2 3 2 3 2 2" xfId="5852" xr:uid="{00000000-0005-0000-0000-0000BF770000}"/>
    <cellStyle name="Normal 34 2 3 2 3 2 2 2" xfId="9267" xr:uid="{00000000-0005-0000-0000-0000C0770000}"/>
    <cellStyle name="Normal 34 2 3 2 3 2 2 2 2" xfId="19398" xr:uid="{00000000-0005-0000-0000-0000C1770000}"/>
    <cellStyle name="Normal 34 2 3 2 3 2 2 2 2 2" xfId="35512" xr:uid="{00000000-0005-0000-0000-0000C2770000}"/>
    <cellStyle name="Normal 34 2 3 2 3 2 2 2 3" xfId="28531" xr:uid="{00000000-0005-0000-0000-0000C3770000}"/>
    <cellStyle name="Normal 34 2 3 2 3 2 2 3" xfId="23931" xr:uid="{00000000-0005-0000-0000-0000C4770000}"/>
    <cellStyle name="Normal 34 2 3 2 3 2 2 3 2" xfId="39985" xr:uid="{00000000-0005-0000-0000-0000C5770000}"/>
    <cellStyle name="Normal 34 2 3 2 3 2 2 4" xfId="31922" xr:uid="{00000000-0005-0000-0000-0000C6770000}"/>
    <cellStyle name="Normal 34 2 3 2 3 2 3" xfId="7570" xr:uid="{00000000-0005-0000-0000-0000C7770000}"/>
    <cellStyle name="Normal 34 2 3 2 3 2 3 2" xfId="22465" xr:uid="{00000000-0005-0000-0000-0000C8770000}"/>
    <cellStyle name="Normal 34 2 3 2 3 2 3 2 2" xfId="38537" xr:uid="{00000000-0005-0000-0000-0000C9770000}"/>
    <cellStyle name="Normal 34 2 3 2 3 2 3 3" xfId="30228" xr:uid="{00000000-0005-0000-0000-0000CA770000}"/>
    <cellStyle name="Normal 34 2 3 2 3 2 4" xfId="18193" xr:uid="{00000000-0005-0000-0000-0000CB770000}"/>
    <cellStyle name="Normal 34 2 3 2 3 2 5" xfId="23790" xr:uid="{00000000-0005-0000-0000-0000CC770000}"/>
    <cellStyle name="Normal 34 2 3 2 3 2 5 2" xfId="39846" xr:uid="{00000000-0005-0000-0000-0000CD770000}"/>
    <cellStyle name="Normal 34 2 3 2 3 2 6" xfId="33615" xr:uid="{00000000-0005-0000-0000-0000CE770000}"/>
    <cellStyle name="Normal 34 2 3 2 3 3" xfId="4904" xr:uid="{00000000-0005-0000-0000-0000CF770000}"/>
    <cellStyle name="Normal 34 2 3 2 3 3 10" xfId="47248" xr:uid="{00000000-0005-0000-0000-0000D0770000}"/>
    <cellStyle name="Normal 34 2 3 2 3 3 2" xfId="6623" xr:uid="{00000000-0005-0000-0000-0000D1770000}"/>
    <cellStyle name="Normal 34 2 3 2 3 3 2 2" xfId="10029" xr:uid="{00000000-0005-0000-0000-0000D2770000}"/>
    <cellStyle name="Normal 34 2 3 2 3 3 2 2 2" xfId="21578" xr:uid="{00000000-0005-0000-0000-0000D3770000}"/>
    <cellStyle name="Normal 34 2 3 2 3 3 2 2 2 2" xfId="37658" xr:uid="{00000000-0005-0000-0000-0000D4770000}"/>
    <cellStyle name="Normal 34 2 3 2 3 3 2 2 3" xfId="27770" xr:uid="{00000000-0005-0000-0000-0000D5770000}"/>
    <cellStyle name="Normal 34 2 3 2 3 3 2 3" xfId="20523" xr:uid="{00000000-0005-0000-0000-0000D6770000}"/>
    <cellStyle name="Normal 34 2 3 2 3 3 2 3 2" xfId="36622" xr:uid="{00000000-0005-0000-0000-0000D7770000}"/>
    <cellStyle name="Normal 34 2 3 2 3 3 2 4" xfId="31171" xr:uid="{00000000-0005-0000-0000-0000D8770000}"/>
    <cellStyle name="Normal 34 2 3 2 3 3 2 5" xfId="42010" xr:uid="{00000000-0005-0000-0000-0000D9770000}"/>
    <cellStyle name="Normal 34 2 3 2 3 3 2 6" xfId="43245" xr:uid="{00000000-0005-0000-0000-0000DA770000}"/>
    <cellStyle name="Normal 34 2 3 2 3 3 2 7" xfId="46091" xr:uid="{00000000-0005-0000-0000-0000DB770000}"/>
    <cellStyle name="Normal 34 2 3 2 3 3 2 8" xfId="46858" xr:uid="{00000000-0005-0000-0000-0000DC770000}"/>
    <cellStyle name="Normal 34 2 3 2 3 3 2 9" xfId="47444" xr:uid="{00000000-0005-0000-0000-0000DD770000}"/>
    <cellStyle name="Normal 34 2 3 2 3 3 3" xfId="8326" xr:uid="{00000000-0005-0000-0000-0000DE770000}"/>
    <cellStyle name="Normal 34 2 3 2 3 3 3 2" xfId="21681" xr:uid="{00000000-0005-0000-0000-0000DF770000}"/>
    <cellStyle name="Normal 34 2 3 2 3 3 3 2 2" xfId="37761" xr:uid="{00000000-0005-0000-0000-0000E0770000}"/>
    <cellStyle name="Normal 34 2 3 2 3 3 3 3" xfId="29472" xr:uid="{00000000-0005-0000-0000-0000E1770000}"/>
    <cellStyle name="Normal 34 2 3 2 3 3 3 4" xfId="44107" xr:uid="{00000000-0005-0000-0000-0000E2770000}"/>
    <cellStyle name="Normal 34 2 3 2 3 3 4" xfId="15454" xr:uid="{00000000-0005-0000-0000-0000E3770000}"/>
    <cellStyle name="Normal 34 2 3 2 3 3 4 2" xfId="35340" xr:uid="{00000000-0005-0000-0000-0000E4770000}"/>
    <cellStyle name="Normal 34 2 3 2 3 3 5" xfId="24981" xr:uid="{00000000-0005-0000-0000-0000E5770000}"/>
    <cellStyle name="Normal 34 2 3 2 3 3 6" xfId="25505" xr:uid="{00000000-0005-0000-0000-0000E6770000}"/>
    <cellStyle name="Normal 34 2 3 2 3 3 7" xfId="32863" xr:uid="{00000000-0005-0000-0000-0000E7770000}"/>
    <cellStyle name="Normal 34 2 3 2 3 3 8" xfId="43701" xr:uid="{00000000-0005-0000-0000-0000E8770000}"/>
    <cellStyle name="Normal 34 2 3 2 3 3 9" xfId="46619" xr:uid="{00000000-0005-0000-0000-0000E9770000}"/>
    <cellStyle name="Normal 34 2 3 2 3 4" xfId="5458" xr:uid="{00000000-0005-0000-0000-0000EA770000}"/>
    <cellStyle name="Normal 34 2 3 2 3 4 2" xfId="8873" xr:uid="{00000000-0005-0000-0000-0000EB770000}"/>
    <cellStyle name="Normal 34 2 3 2 3 4 2 2" xfId="22556" xr:uid="{00000000-0005-0000-0000-0000EC770000}"/>
    <cellStyle name="Normal 34 2 3 2 3 4 2 2 2" xfId="38625" xr:uid="{00000000-0005-0000-0000-0000ED770000}"/>
    <cellStyle name="Normal 34 2 3 2 3 4 2 3" xfId="28925" xr:uid="{00000000-0005-0000-0000-0000EE770000}"/>
    <cellStyle name="Normal 34 2 3 2 3 4 3" xfId="19833" xr:uid="{00000000-0005-0000-0000-0000EF770000}"/>
    <cellStyle name="Normal 34 2 3 2 3 4 3 2" xfId="35946" xr:uid="{00000000-0005-0000-0000-0000F0770000}"/>
    <cellStyle name="Normal 34 2 3 2 3 4 4" xfId="32316" xr:uid="{00000000-0005-0000-0000-0000F1770000}"/>
    <cellStyle name="Normal 34 2 3 2 3 5" xfId="7176" xr:uid="{00000000-0005-0000-0000-0000F2770000}"/>
    <cellStyle name="Normal 34 2 3 2 3 5 2" xfId="23159" xr:uid="{00000000-0005-0000-0000-0000F3770000}"/>
    <cellStyle name="Normal 34 2 3 2 3 5 2 2" xfId="39228" xr:uid="{00000000-0005-0000-0000-0000F4770000}"/>
    <cellStyle name="Normal 34 2 3 2 3 5 3" xfId="30622" xr:uid="{00000000-0005-0000-0000-0000F5770000}"/>
    <cellStyle name="Normal 34 2 3 2 3 6" xfId="12546" xr:uid="{00000000-0005-0000-0000-0000F6770000}"/>
    <cellStyle name="Normal 34 2 3 2 3 7" xfId="34009" xr:uid="{00000000-0005-0000-0000-0000F7770000}"/>
    <cellStyle name="Normal 34 2 3 2 3 8" xfId="43495" xr:uid="{00000000-0005-0000-0000-0000F8770000}"/>
    <cellStyle name="Normal 34 2 3 2 3 9" xfId="46394" xr:uid="{00000000-0005-0000-0000-0000F9770000}"/>
    <cellStyle name="Normal 34 2 3 2 3_Avviksanalyse løpende RNB15 (1)" xfId="16770" xr:uid="{00000000-0005-0000-0000-0000FA770000}"/>
    <cellStyle name="Normal 34 2 3 2 4" xfId="3784" xr:uid="{00000000-0005-0000-0000-0000FB770000}"/>
    <cellStyle name="Normal 34 2 3 2 4 2" xfId="5672" xr:uid="{00000000-0005-0000-0000-0000FC770000}"/>
    <cellStyle name="Normal 34 2 3 2 4 2 2" xfId="9087" xr:uid="{00000000-0005-0000-0000-0000FD770000}"/>
    <cellStyle name="Normal 34 2 3 2 4 2 2 2" xfId="24455" xr:uid="{00000000-0005-0000-0000-0000FE770000}"/>
    <cellStyle name="Normal 34 2 3 2 4 2 2 2 2" xfId="40499" xr:uid="{00000000-0005-0000-0000-0000FF770000}"/>
    <cellStyle name="Normal 34 2 3 2 4 2 2 3" xfId="28711" xr:uid="{00000000-0005-0000-0000-000000780000}"/>
    <cellStyle name="Normal 34 2 3 2 4 2 3" xfId="20164" xr:uid="{00000000-0005-0000-0000-000001780000}"/>
    <cellStyle name="Normal 34 2 3 2 4 2 3 2" xfId="36265" xr:uid="{00000000-0005-0000-0000-000002780000}"/>
    <cellStyle name="Normal 34 2 3 2 4 2 4" xfId="32102" xr:uid="{00000000-0005-0000-0000-000003780000}"/>
    <cellStyle name="Normal 34 2 3 2 4 3" xfId="7390" xr:uid="{00000000-0005-0000-0000-000004780000}"/>
    <cellStyle name="Normal 34 2 3 2 4 3 2" xfId="22198" xr:uid="{00000000-0005-0000-0000-000005780000}"/>
    <cellStyle name="Normal 34 2 3 2 4 3 2 2" xfId="38272" xr:uid="{00000000-0005-0000-0000-000006780000}"/>
    <cellStyle name="Normal 34 2 3 2 4 3 3" xfId="30408" xr:uid="{00000000-0005-0000-0000-000007780000}"/>
    <cellStyle name="Normal 34 2 3 2 4 4" xfId="19594" xr:uid="{00000000-0005-0000-0000-000008780000}"/>
    <cellStyle name="Normal 34 2 3 2 4 4 2" xfId="35708" xr:uid="{00000000-0005-0000-0000-000009780000}"/>
    <cellStyle name="Normal 34 2 3 2 4 5" xfId="33795" xr:uid="{00000000-0005-0000-0000-00000A780000}"/>
    <cellStyle name="Normal 34 2 3 2 5" xfId="4170" xr:uid="{00000000-0005-0000-0000-00000B780000}"/>
    <cellStyle name="Normal 34 2 3 2 5 2" xfId="6020" xr:uid="{00000000-0005-0000-0000-00000C780000}"/>
    <cellStyle name="Normal 34 2 3 2 5 2 2" xfId="9435" xr:uid="{00000000-0005-0000-0000-00000D780000}"/>
    <cellStyle name="Normal 34 2 3 2 5 2 2 2" xfId="19526" xr:uid="{00000000-0005-0000-0000-00000E780000}"/>
    <cellStyle name="Normal 34 2 3 2 5 2 2 2 2" xfId="35640" xr:uid="{00000000-0005-0000-0000-00000F780000}"/>
    <cellStyle name="Normal 34 2 3 2 5 2 2 3" xfId="28363" xr:uid="{00000000-0005-0000-0000-000010780000}"/>
    <cellStyle name="Normal 34 2 3 2 5 2 3" xfId="22308" xr:uid="{00000000-0005-0000-0000-000011780000}"/>
    <cellStyle name="Normal 34 2 3 2 5 2 3 2" xfId="38380" xr:uid="{00000000-0005-0000-0000-000012780000}"/>
    <cellStyle name="Normal 34 2 3 2 5 2 4" xfId="31758" xr:uid="{00000000-0005-0000-0000-000013780000}"/>
    <cellStyle name="Normal 34 2 3 2 5 3" xfId="7751" xr:uid="{00000000-0005-0000-0000-000014780000}"/>
    <cellStyle name="Normal 34 2 3 2 5 3 2" xfId="20891" xr:uid="{00000000-0005-0000-0000-000015780000}"/>
    <cellStyle name="Normal 34 2 3 2 5 3 2 2" xfId="36990" xr:uid="{00000000-0005-0000-0000-000016780000}"/>
    <cellStyle name="Normal 34 2 3 2 5 3 3" xfId="30048" xr:uid="{00000000-0005-0000-0000-000017780000}"/>
    <cellStyle name="Normal 34 2 3 2 5 4" xfId="22805" xr:uid="{00000000-0005-0000-0000-000018780000}"/>
    <cellStyle name="Normal 34 2 3 2 5 4 2" xfId="38874" xr:uid="{00000000-0005-0000-0000-000019780000}"/>
    <cellStyle name="Normal 34 2 3 2 5 5" xfId="33435" xr:uid="{00000000-0005-0000-0000-00001A780000}"/>
    <cellStyle name="Normal 34 2 3 2 6" xfId="4626" xr:uid="{00000000-0005-0000-0000-00001B780000}"/>
    <cellStyle name="Normal 34 2 3 2 6 2" xfId="6363" xr:uid="{00000000-0005-0000-0000-00001C780000}"/>
    <cellStyle name="Normal 34 2 3 2 6 2 2" xfId="9773" xr:uid="{00000000-0005-0000-0000-00001D780000}"/>
    <cellStyle name="Normal 34 2 3 2 6 2 2 2" xfId="21478" xr:uid="{00000000-0005-0000-0000-00001E780000}"/>
    <cellStyle name="Normal 34 2 3 2 6 2 2 2 2" xfId="37558" xr:uid="{00000000-0005-0000-0000-00001F780000}"/>
    <cellStyle name="Normal 34 2 3 2 6 2 2 3" xfId="28026" xr:uid="{00000000-0005-0000-0000-000020780000}"/>
    <cellStyle name="Normal 34 2 3 2 6 2 3" xfId="24027" xr:uid="{00000000-0005-0000-0000-000021780000}"/>
    <cellStyle name="Normal 34 2 3 2 6 2 3 2" xfId="40080" xr:uid="{00000000-0005-0000-0000-000022780000}"/>
    <cellStyle name="Normal 34 2 3 2 6 2 4" xfId="31427" xr:uid="{00000000-0005-0000-0000-000023780000}"/>
    <cellStyle name="Normal 34 2 3 2 6 3" xfId="8069" xr:uid="{00000000-0005-0000-0000-000024780000}"/>
    <cellStyle name="Normal 34 2 3 2 6 3 2" xfId="15432" xr:uid="{00000000-0005-0000-0000-000025780000}"/>
    <cellStyle name="Normal 34 2 3 2 6 3 2 2" xfId="35331" xr:uid="{00000000-0005-0000-0000-000026780000}"/>
    <cellStyle name="Normal 34 2 3 2 6 3 3" xfId="29729" xr:uid="{00000000-0005-0000-0000-000027780000}"/>
    <cellStyle name="Normal 34 2 3 2 6 4" xfId="22824" xr:uid="{00000000-0005-0000-0000-000028780000}"/>
    <cellStyle name="Normal 34 2 3 2 6 4 2" xfId="38893" xr:uid="{00000000-0005-0000-0000-000029780000}"/>
    <cellStyle name="Normal 34 2 3 2 6 5" xfId="33120" xr:uid="{00000000-0005-0000-0000-00002A780000}"/>
    <cellStyle name="Normal 34 2 3 2 7" xfId="4720" xr:uid="{00000000-0005-0000-0000-00002B780000}"/>
    <cellStyle name="Normal 34 2 3 2 7 2" xfId="6440" xr:uid="{00000000-0005-0000-0000-00002C780000}"/>
    <cellStyle name="Normal 34 2 3 2 7 2 2" xfId="9850" xr:uid="{00000000-0005-0000-0000-00002D780000}"/>
    <cellStyle name="Normal 34 2 3 2 7 2 2 2" xfId="21508" xr:uid="{00000000-0005-0000-0000-00002E780000}"/>
    <cellStyle name="Normal 34 2 3 2 7 2 2 2 2" xfId="37588" xr:uid="{00000000-0005-0000-0000-00002F780000}"/>
    <cellStyle name="Normal 34 2 3 2 7 2 2 3" xfId="27949" xr:uid="{00000000-0005-0000-0000-000030780000}"/>
    <cellStyle name="Normal 34 2 3 2 7 2 3" xfId="20452" xr:uid="{00000000-0005-0000-0000-000031780000}"/>
    <cellStyle name="Normal 34 2 3 2 7 2 3 2" xfId="36551" xr:uid="{00000000-0005-0000-0000-000032780000}"/>
    <cellStyle name="Normal 34 2 3 2 7 2 4" xfId="31350" xr:uid="{00000000-0005-0000-0000-000033780000}"/>
    <cellStyle name="Normal 34 2 3 2 7 3" xfId="8146" xr:uid="{00000000-0005-0000-0000-000034780000}"/>
    <cellStyle name="Normal 34 2 3 2 7 3 2" xfId="23320" xr:uid="{00000000-0005-0000-0000-000035780000}"/>
    <cellStyle name="Normal 34 2 3 2 7 3 2 2" xfId="39385" xr:uid="{00000000-0005-0000-0000-000036780000}"/>
    <cellStyle name="Normal 34 2 3 2 7 3 3" xfId="29652" xr:uid="{00000000-0005-0000-0000-000037780000}"/>
    <cellStyle name="Normal 34 2 3 2 7 4" xfId="12280" xr:uid="{00000000-0005-0000-0000-000038780000}"/>
    <cellStyle name="Normal 34 2 3 2 7 4 2" xfId="35156" xr:uid="{00000000-0005-0000-0000-000039780000}"/>
    <cellStyle name="Normal 34 2 3 2 7 5" xfId="33043" xr:uid="{00000000-0005-0000-0000-00003A780000}"/>
    <cellStyle name="Normal 34 2 3 2 8" xfId="5084" xr:uid="{00000000-0005-0000-0000-00003B780000}"/>
    <cellStyle name="Normal 34 2 3 2 8 2" xfId="6803" xr:uid="{00000000-0005-0000-0000-00003C780000}"/>
    <cellStyle name="Normal 34 2 3 2 8 2 2" xfId="10209" xr:uid="{00000000-0005-0000-0000-00003D780000}"/>
    <cellStyle name="Normal 34 2 3 2 8 2 2 2" xfId="21694" xr:uid="{00000000-0005-0000-0000-00003E780000}"/>
    <cellStyle name="Normal 34 2 3 2 8 2 2 2 2" xfId="37773" xr:uid="{00000000-0005-0000-0000-00003F780000}"/>
    <cellStyle name="Normal 34 2 3 2 8 2 2 3" xfId="27590" xr:uid="{00000000-0005-0000-0000-000040780000}"/>
    <cellStyle name="Normal 34 2 3 2 8 2 3" xfId="19655" xr:uid="{00000000-0005-0000-0000-000041780000}"/>
    <cellStyle name="Normal 34 2 3 2 8 2 3 2" xfId="35769" xr:uid="{00000000-0005-0000-0000-000042780000}"/>
    <cellStyle name="Normal 34 2 3 2 8 2 4" xfId="30991" xr:uid="{00000000-0005-0000-0000-000043780000}"/>
    <cellStyle name="Normal 34 2 3 2 8 3" xfId="8506" xr:uid="{00000000-0005-0000-0000-000044780000}"/>
    <cellStyle name="Normal 34 2 3 2 8 3 2" xfId="11844" xr:uid="{00000000-0005-0000-0000-000045780000}"/>
    <cellStyle name="Normal 34 2 3 2 8 3 2 2" xfId="34892" xr:uid="{00000000-0005-0000-0000-000046780000}"/>
    <cellStyle name="Normal 34 2 3 2 8 3 3" xfId="29292" xr:uid="{00000000-0005-0000-0000-000047780000}"/>
    <cellStyle name="Normal 34 2 3 2 8 4" xfId="19745" xr:uid="{00000000-0005-0000-0000-000048780000}"/>
    <cellStyle name="Normal 34 2 3 2 8 4 2" xfId="35859" xr:uid="{00000000-0005-0000-0000-000049780000}"/>
    <cellStyle name="Normal 34 2 3 2 8 5" xfId="32683" xr:uid="{00000000-0005-0000-0000-00004A780000}"/>
    <cellStyle name="Normal 34 2 3 2 9" xfId="5182" xr:uid="{00000000-0005-0000-0000-00004B780000}"/>
    <cellStyle name="Normal 34 2 3 2 9 2" xfId="8601" xr:uid="{00000000-0005-0000-0000-00004C780000}"/>
    <cellStyle name="Normal 34 2 3 2 9 2 2" xfId="21136" xr:uid="{00000000-0005-0000-0000-00004D780000}"/>
    <cellStyle name="Normal 34 2 3 2 9 2 2 2" xfId="37216" xr:uid="{00000000-0005-0000-0000-00004E780000}"/>
    <cellStyle name="Normal 34 2 3 2 9 2 3" xfId="29197" xr:uid="{00000000-0005-0000-0000-00004F780000}"/>
    <cellStyle name="Normal 34 2 3 2 9 3" xfId="19769" xr:uid="{00000000-0005-0000-0000-000050780000}"/>
    <cellStyle name="Normal 34 2 3 2 9 3 2" xfId="35883" xr:uid="{00000000-0005-0000-0000-000051780000}"/>
    <cellStyle name="Normal 34 2 3 2 9 4" xfId="32588" xr:uid="{00000000-0005-0000-0000-000052780000}"/>
    <cellStyle name="Normal 34 2 3 3" xfId="1796" xr:uid="{00000000-0005-0000-0000-000053780000}"/>
    <cellStyle name="Normal 34 2 3 3 2" xfId="12548" xr:uid="{00000000-0005-0000-0000-000054780000}"/>
    <cellStyle name="Normal 34 2 3 4" xfId="3386" xr:uid="{00000000-0005-0000-0000-000055780000}"/>
    <cellStyle name="Normal 34 2 3 4 10" xfId="34111" xr:uid="{00000000-0005-0000-0000-000056780000}"/>
    <cellStyle name="Normal 34 2 3 4 2" xfId="3612" xr:uid="{00000000-0005-0000-0000-000057780000}"/>
    <cellStyle name="Normal 34 2 3 4 2 10" xfId="47211" xr:uid="{00000000-0005-0000-0000-000058780000}"/>
    <cellStyle name="Normal 34 2 3 4 2 2" xfId="4042" xr:uid="{00000000-0005-0000-0000-000059780000}"/>
    <cellStyle name="Normal 34 2 3 4 2 2 2" xfId="5930" xr:uid="{00000000-0005-0000-0000-00005A780000}"/>
    <cellStyle name="Normal 34 2 3 4 2 2 2 2" xfId="9345" xr:uid="{00000000-0005-0000-0000-00005B780000}"/>
    <cellStyle name="Normal 34 2 3 4 2 2 2 2 2" xfId="23495" xr:uid="{00000000-0005-0000-0000-00005C780000}"/>
    <cellStyle name="Normal 34 2 3 4 2 2 2 2 2 2" xfId="39551" xr:uid="{00000000-0005-0000-0000-00005D780000}"/>
    <cellStyle name="Normal 34 2 3 4 2 2 2 2 3" xfId="28453" xr:uid="{00000000-0005-0000-0000-00005E780000}"/>
    <cellStyle name="Normal 34 2 3 4 2 2 2 3" xfId="22098" xr:uid="{00000000-0005-0000-0000-00005F780000}"/>
    <cellStyle name="Normal 34 2 3 4 2 2 2 3 2" xfId="38172" xr:uid="{00000000-0005-0000-0000-000060780000}"/>
    <cellStyle name="Normal 34 2 3 4 2 2 2 4" xfId="31846" xr:uid="{00000000-0005-0000-0000-000061780000}"/>
    <cellStyle name="Normal 34 2 3 4 2 2 3" xfId="7648" xr:uid="{00000000-0005-0000-0000-000062780000}"/>
    <cellStyle name="Normal 34 2 3 4 2 2 3 2" xfId="20851" xr:uid="{00000000-0005-0000-0000-000063780000}"/>
    <cellStyle name="Normal 34 2 3 4 2 2 3 2 2" xfId="36950" xr:uid="{00000000-0005-0000-0000-000064780000}"/>
    <cellStyle name="Normal 34 2 3 4 2 2 3 3" xfId="30150" xr:uid="{00000000-0005-0000-0000-000065780000}"/>
    <cellStyle name="Normal 34 2 3 4 2 2 4" xfId="18194" xr:uid="{00000000-0005-0000-0000-000066780000}"/>
    <cellStyle name="Normal 34 2 3 4 2 2 5" xfId="11032" xr:uid="{00000000-0005-0000-0000-000067780000}"/>
    <cellStyle name="Normal 34 2 3 4 2 2 5 2" xfId="34740" xr:uid="{00000000-0005-0000-0000-000068780000}"/>
    <cellStyle name="Normal 34 2 3 4 2 2 6" xfId="33537" xr:uid="{00000000-0005-0000-0000-000069780000}"/>
    <cellStyle name="Normal 34 2 3 4 2 3" xfId="4982" xr:uid="{00000000-0005-0000-0000-00006A780000}"/>
    <cellStyle name="Normal 34 2 3 4 2 3 10" xfId="47401" xr:uid="{00000000-0005-0000-0000-00006B780000}"/>
    <cellStyle name="Normal 34 2 3 4 2 3 2" xfId="6701" xr:uid="{00000000-0005-0000-0000-00006C780000}"/>
    <cellStyle name="Normal 34 2 3 4 2 3 2 2" xfId="10107" xr:uid="{00000000-0005-0000-0000-00006D780000}"/>
    <cellStyle name="Normal 34 2 3 4 2 3 2 2 2" xfId="23620" xr:uid="{00000000-0005-0000-0000-00006E780000}"/>
    <cellStyle name="Normal 34 2 3 4 2 3 2 2 2 2" xfId="39676" xr:uid="{00000000-0005-0000-0000-00006F780000}"/>
    <cellStyle name="Normal 34 2 3 4 2 3 2 2 3" xfId="27692" xr:uid="{00000000-0005-0000-0000-000070780000}"/>
    <cellStyle name="Normal 34 2 3 4 2 3 2 3" xfId="11962" xr:uid="{00000000-0005-0000-0000-000071780000}"/>
    <cellStyle name="Normal 34 2 3 4 2 3 2 3 2" xfId="34984" xr:uid="{00000000-0005-0000-0000-000072780000}"/>
    <cellStyle name="Normal 34 2 3 4 2 3 2 4" xfId="31093" xr:uid="{00000000-0005-0000-0000-000073780000}"/>
    <cellStyle name="Normal 34 2 3 4 2 3 2 5" xfId="43098" xr:uid="{00000000-0005-0000-0000-000074780000}"/>
    <cellStyle name="Normal 34 2 3 4 2 3 2 6" xfId="43392" xr:uid="{00000000-0005-0000-0000-000075780000}"/>
    <cellStyle name="Normal 34 2 3 4 2 3 2 7" xfId="46240" xr:uid="{00000000-0005-0000-0000-000076780000}"/>
    <cellStyle name="Normal 34 2 3 4 2 3 2 8" xfId="47012" xr:uid="{00000000-0005-0000-0000-000077780000}"/>
    <cellStyle name="Normal 34 2 3 4 2 3 2 9" xfId="47597" xr:uid="{00000000-0005-0000-0000-000078780000}"/>
    <cellStyle name="Normal 34 2 3 4 2 3 3" xfId="8404" xr:uid="{00000000-0005-0000-0000-000079780000}"/>
    <cellStyle name="Normal 34 2 3 4 2 3 3 2" xfId="24360" xr:uid="{00000000-0005-0000-0000-00007A780000}"/>
    <cellStyle name="Normal 34 2 3 4 2 3 3 2 2" xfId="40407" xr:uid="{00000000-0005-0000-0000-00007B780000}"/>
    <cellStyle name="Normal 34 2 3 4 2 3 3 3" xfId="29394" xr:uid="{00000000-0005-0000-0000-00007C780000}"/>
    <cellStyle name="Normal 34 2 3 4 2 3 3 4" xfId="44108" xr:uid="{00000000-0005-0000-0000-00007D780000}"/>
    <cellStyle name="Normal 34 2 3 4 2 3 4" xfId="16543" xr:uid="{00000000-0005-0000-0000-00007E780000}"/>
    <cellStyle name="Normal 34 2 3 4 2 3 4 2" xfId="35487" xr:uid="{00000000-0005-0000-0000-00007F780000}"/>
    <cellStyle name="Normal 34 2 3 4 2 3 5" xfId="25149" xr:uid="{00000000-0005-0000-0000-000080780000}"/>
    <cellStyle name="Normal 34 2 3 4 2 3 6" xfId="25506" xr:uid="{00000000-0005-0000-0000-000081780000}"/>
    <cellStyle name="Normal 34 2 3 4 2 3 7" xfId="32785" xr:uid="{00000000-0005-0000-0000-000082780000}"/>
    <cellStyle name="Normal 34 2 3 4 2 3 8" xfId="43853" xr:uid="{00000000-0005-0000-0000-000083780000}"/>
    <cellStyle name="Normal 34 2 3 4 2 3 9" xfId="46778" xr:uid="{00000000-0005-0000-0000-000084780000}"/>
    <cellStyle name="Normal 34 2 3 4 2 4" xfId="5536" xr:uid="{00000000-0005-0000-0000-000085780000}"/>
    <cellStyle name="Normal 34 2 3 4 2 4 2" xfId="8951" xr:uid="{00000000-0005-0000-0000-000086780000}"/>
    <cellStyle name="Normal 34 2 3 4 2 4 2 2" xfId="21229" xr:uid="{00000000-0005-0000-0000-000087780000}"/>
    <cellStyle name="Normal 34 2 3 4 2 4 2 2 2" xfId="37309" xr:uid="{00000000-0005-0000-0000-000088780000}"/>
    <cellStyle name="Normal 34 2 3 4 2 4 2 3" xfId="28847" xr:uid="{00000000-0005-0000-0000-000089780000}"/>
    <cellStyle name="Normal 34 2 3 4 2 4 3" xfId="20110" xr:uid="{00000000-0005-0000-0000-00008A780000}"/>
    <cellStyle name="Normal 34 2 3 4 2 4 3 2" xfId="36214" xr:uid="{00000000-0005-0000-0000-00008B780000}"/>
    <cellStyle name="Normal 34 2 3 4 2 4 4" xfId="32238" xr:uid="{00000000-0005-0000-0000-00008C780000}"/>
    <cellStyle name="Normal 34 2 3 4 2 5" xfId="7254" xr:uid="{00000000-0005-0000-0000-00008D780000}"/>
    <cellStyle name="Normal 34 2 3 4 2 5 2" xfId="20713" xr:uid="{00000000-0005-0000-0000-00008E780000}"/>
    <cellStyle name="Normal 34 2 3 4 2 5 2 2" xfId="36812" xr:uid="{00000000-0005-0000-0000-00008F780000}"/>
    <cellStyle name="Normal 34 2 3 4 2 5 3" xfId="30544" xr:uid="{00000000-0005-0000-0000-000090780000}"/>
    <cellStyle name="Normal 34 2 3 4 2 6" xfId="12550" xr:uid="{00000000-0005-0000-0000-000091780000}"/>
    <cellStyle name="Normal 34 2 3 4 2 7" xfId="33931" xr:uid="{00000000-0005-0000-0000-000092780000}"/>
    <cellStyle name="Normal 34 2 3 4 2 8" xfId="43644" xr:uid="{00000000-0005-0000-0000-000093780000}"/>
    <cellStyle name="Normal 34 2 3 4 2 9" xfId="46550" xr:uid="{00000000-0005-0000-0000-000094780000}"/>
    <cellStyle name="Normal 34 2 3 4 2_Avviksanalyse løpende RNB15 (1)" xfId="16771" xr:uid="{00000000-0005-0000-0000-000095780000}"/>
    <cellStyle name="Normal 34 2 3 4 3" xfId="3862" xr:uid="{00000000-0005-0000-0000-000096780000}"/>
    <cellStyle name="Normal 34 2 3 4 3 2" xfId="5750" xr:uid="{00000000-0005-0000-0000-000097780000}"/>
    <cellStyle name="Normal 34 2 3 4 3 2 2" xfId="9165" xr:uid="{00000000-0005-0000-0000-000098780000}"/>
    <cellStyle name="Normal 34 2 3 4 3 2 2 2" xfId="21790" xr:uid="{00000000-0005-0000-0000-000099780000}"/>
    <cellStyle name="Normal 34 2 3 4 3 2 2 2 2" xfId="37866" xr:uid="{00000000-0005-0000-0000-00009A780000}"/>
    <cellStyle name="Normal 34 2 3 4 3 2 2 3" xfId="28633" xr:uid="{00000000-0005-0000-0000-00009B780000}"/>
    <cellStyle name="Normal 34 2 3 4 3 2 3" xfId="20190" xr:uid="{00000000-0005-0000-0000-00009C780000}"/>
    <cellStyle name="Normal 34 2 3 4 3 2 3 2" xfId="36290" xr:uid="{00000000-0005-0000-0000-00009D780000}"/>
    <cellStyle name="Normal 34 2 3 4 3 2 4" xfId="32024" xr:uid="{00000000-0005-0000-0000-00009E780000}"/>
    <cellStyle name="Normal 34 2 3 4 3 3" xfId="7468" xr:uid="{00000000-0005-0000-0000-00009F780000}"/>
    <cellStyle name="Normal 34 2 3 4 3 3 2" xfId="20794" xr:uid="{00000000-0005-0000-0000-0000A0780000}"/>
    <cellStyle name="Normal 34 2 3 4 3 3 2 2" xfId="36893" xr:uid="{00000000-0005-0000-0000-0000A1780000}"/>
    <cellStyle name="Normal 34 2 3 4 3 3 3" xfId="30330" xr:uid="{00000000-0005-0000-0000-0000A2780000}"/>
    <cellStyle name="Normal 34 2 3 4 3 4" xfId="19940" xr:uid="{00000000-0005-0000-0000-0000A3780000}"/>
    <cellStyle name="Normal 34 2 3 4 3 4 2" xfId="36044" xr:uid="{00000000-0005-0000-0000-0000A4780000}"/>
    <cellStyle name="Normal 34 2 3 4 3 5" xfId="33717" xr:uid="{00000000-0005-0000-0000-0000A5780000}"/>
    <cellStyle name="Normal 34 2 3 4 4" xfId="4347" xr:uid="{00000000-0005-0000-0000-0000A6780000}"/>
    <cellStyle name="Normal 34 2 3 4 4 2" xfId="6176" xr:uid="{00000000-0005-0000-0000-0000A7780000}"/>
    <cellStyle name="Normal 34 2 3 4 4 2 2" xfId="9590" xr:uid="{00000000-0005-0000-0000-0000A8780000}"/>
    <cellStyle name="Normal 34 2 3 4 4 2 2 2" xfId="21797" xr:uid="{00000000-0005-0000-0000-0000A9780000}"/>
    <cellStyle name="Normal 34 2 3 4 4 2 2 2 2" xfId="37873" xr:uid="{00000000-0005-0000-0000-0000AA780000}"/>
    <cellStyle name="Normal 34 2 3 4 4 2 2 3" xfId="28208" xr:uid="{00000000-0005-0000-0000-0000AB780000}"/>
    <cellStyle name="Normal 34 2 3 4 4 2 3" xfId="22989" xr:uid="{00000000-0005-0000-0000-0000AC780000}"/>
    <cellStyle name="Normal 34 2 3 4 4 2 3 2" xfId="39058" xr:uid="{00000000-0005-0000-0000-0000AD780000}"/>
    <cellStyle name="Normal 34 2 3 4 4 2 4" xfId="31605" xr:uid="{00000000-0005-0000-0000-0000AE780000}"/>
    <cellStyle name="Normal 34 2 3 4 4 3" xfId="7909" xr:uid="{00000000-0005-0000-0000-0000AF780000}"/>
    <cellStyle name="Normal 34 2 3 4 4 3 2" xfId="24288" xr:uid="{00000000-0005-0000-0000-0000B0780000}"/>
    <cellStyle name="Normal 34 2 3 4 4 3 2 2" xfId="40340" xr:uid="{00000000-0005-0000-0000-0000B1780000}"/>
    <cellStyle name="Normal 34 2 3 4 4 3 3" xfId="29890" xr:uid="{00000000-0005-0000-0000-0000B2780000}"/>
    <cellStyle name="Normal 34 2 3 4 4 4" xfId="21845" xr:uid="{00000000-0005-0000-0000-0000B3780000}"/>
    <cellStyle name="Normal 34 2 3 4 4 4 2" xfId="37921" xr:uid="{00000000-0005-0000-0000-0000B4780000}"/>
    <cellStyle name="Normal 34 2 3 4 4 5" xfId="33278" xr:uid="{00000000-0005-0000-0000-0000B5780000}"/>
    <cellStyle name="Normal 34 2 3 4 5" xfId="4802" xr:uid="{00000000-0005-0000-0000-0000B6780000}"/>
    <cellStyle name="Normal 34 2 3 4 5 2" xfId="6522" xr:uid="{00000000-0005-0000-0000-0000B7780000}"/>
    <cellStyle name="Normal 34 2 3 4 5 2 2" xfId="9928" xr:uid="{00000000-0005-0000-0000-0000B8780000}"/>
    <cellStyle name="Normal 34 2 3 4 5 2 2 2" xfId="23584" xr:uid="{00000000-0005-0000-0000-0000B9780000}"/>
    <cellStyle name="Normal 34 2 3 4 5 2 2 2 2" xfId="39640" xr:uid="{00000000-0005-0000-0000-0000BA780000}"/>
    <cellStyle name="Normal 34 2 3 4 5 2 2 3" xfId="27871" xr:uid="{00000000-0005-0000-0000-0000BB780000}"/>
    <cellStyle name="Normal 34 2 3 4 5 2 3" xfId="23054" xr:uid="{00000000-0005-0000-0000-0000BC780000}"/>
    <cellStyle name="Normal 34 2 3 4 5 2 3 2" xfId="39123" xr:uid="{00000000-0005-0000-0000-0000BD780000}"/>
    <cellStyle name="Normal 34 2 3 4 5 2 4" xfId="31272" xr:uid="{00000000-0005-0000-0000-0000BE780000}"/>
    <cellStyle name="Normal 34 2 3 4 5 3" xfId="8224" xr:uid="{00000000-0005-0000-0000-0000BF780000}"/>
    <cellStyle name="Normal 34 2 3 4 5 3 2" xfId="21771" xr:uid="{00000000-0005-0000-0000-0000C0780000}"/>
    <cellStyle name="Normal 34 2 3 4 5 3 2 2" xfId="37848" xr:uid="{00000000-0005-0000-0000-0000C1780000}"/>
    <cellStyle name="Normal 34 2 3 4 5 3 3" xfId="29573" xr:uid="{00000000-0005-0000-0000-0000C2780000}"/>
    <cellStyle name="Normal 34 2 3 4 5 4" xfId="22644" xr:uid="{00000000-0005-0000-0000-0000C3780000}"/>
    <cellStyle name="Normal 34 2 3 4 5 4 2" xfId="38713" xr:uid="{00000000-0005-0000-0000-0000C4780000}"/>
    <cellStyle name="Normal 34 2 3 4 5 5" xfId="32965" xr:uid="{00000000-0005-0000-0000-0000C5780000}"/>
    <cellStyle name="Normal 34 2 3 4 6" xfId="5162" xr:uid="{00000000-0005-0000-0000-0000C6780000}"/>
    <cellStyle name="Normal 34 2 3 4 6 2" xfId="6881" xr:uid="{00000000-0005-0000-0000-0000C7780000}"/>
    <cellStyle name="Normal 34 2 3 4 6 2 2" xfId="10287" xr:uid="{00000000-0005-0000-0000-0000C8780000}"/>
    <cellStyle name="Normal 34 2 3 4 6 2 2 2" xfId="24730" xr:uid="{00000000-0005-0000-0000-0000C9780000}"/>
    <cellStyle name="Normal 34 2 3 4 6 2 2 2 2" xfId="40773" xr:uid="{00000000-0005-0000-0000-0000CA780000}"/>
    <cellStyle name="Normal 34 2 3 4 6 2 2 3" xfId="27512" xr:uid="{00000000-0005-0000-0000-0000CB780000}"/>
    <cellStyle name="Normal 34 2 3 4 6 2 3" xfId="20593" xr:uid="{00000000-0005-0000-0000-0000CC780000}"/>
    <cellStyle name="Normal 34 2 3 4 6 2 3 2" xfId="36692" xr:uid="{00000000-0005-0000-0000-0000CD780000}"/>
    <cellStyle name="Normal 34 2 3 4 6 2 4" xfId="30913" xr:uid="{00000000-0005-0000-0000-0000CE780000}"/>
    <cellStyle name="Normal 34 2 3 4 6 3" xfId="8584" xr:uid="{00000000-0005-0000-0000-0000CF780000}"/>
    <cellStyle name="Normal 34 2 3 4 6 3 2" xfId="11826" xr:uid="{00000000-0005-0000-0000-0000D0780000}"/>
    <cellStyle name="Normal 34 2 3 4 6 3 2 2" xfId="34884" xr:uid="{00000000-0005-0000-0000-0000D1780000}"/>
    <cellStyle name="Normal 34 2 3 4 6 3 3" xfId="29214" xr:uid="{00000000-0005-0000-0000-0000D2780000}"/>
    <cellStyle name="Normal 34 2 3 4 6 4" xfId="19763" xr:uid="{00000000-0005-0000-0000-0000D3780000}"/>
    <cellStyle name="Normal 34 2 3 4 6 4 2" xfId="35877" xr:uid="{00000000-0005-0000-0000-0000D4780000}"/>
    <cellStyle name="Normal 34 2 3 4 6 5" xfId="32605" xr:uid="{00000000-0005-0000-0000-0000D5780000}"/>
    <cellStyle name="Normal 34 2 3 4 7" xfId="5341" xr:uid="{00000000-0005-0000-0000-0000D6780000}"/>
    <cellStyle name="Normal 34 2 3 4 7 2" xfId="8756" xr:uid="{00000000-0005-0000-0000-0000D7780000}"/>
    <cellStyle name="Normal 34 2 3 4 7 2 2" xfId="23406" xr:uid="{00000000-0005-0000-0000-0000D8780000}"/>
    <cellStyle name="Normal 34 2 3 4 7 2 2 2" xfId="39462" xr:uid="{00000000-0005-0000-0000-0000D9780000}"/>
    <cellStyle name="Normal 34 2 3 4 7 2 3" xfId="29042" xr:uid="{00000000-0005-0000-0000-0000DA780000}"/>
    <cellStyle name="Normal 34 2 3 4 7 3" xfId="10735" xr:uid="{00000000-0005-0000-0000-0000DB780000}"/>
    <cellStyle name="Normal 34 2 3 4 7 3 2" xfId="34578" xr:uid="{00000000-0005-0000-0000-0000DC780000}"/>
    <cellStyle name="Normal 34 2 3 4 7 4" xfId="32433" xr:uid="{00000000-0005-0000-0000-0000DD780000}"/>
    <cellStyle name="Normal 34 2 3 4 8" xfId="7074" xr:uid="{00000000-0005-0000-0000-0000DE780000}"/>
    <cellStyle name="Normal 34 2 3 4 8 2" xfId="24144" xr:uid="{00000000-0005-0000-0000-0000DF780000}"/>
    <cellStyle name="Normal 34 2 3 4 8 2 2" xfId="40197" xr:uid="{00000000-0005-0000-0000-0000E0780000}"/>
    <cellStyle name="Normal 34 2 3 4 8 3" xfId="30724" xr:uid="{00000000-0005-0000-0000-0000E1780000}"/>
    <cellStyle name="Normal 34 2 3 4 9" xfId="12549" xr:uid="{00000000-0005-0000-0000-0000E2780000}"/>
    <cellStyle name="Normal 34 2 3 5" xfId="3528" xr:uid="{00000000-0005-0000-0000-0000E3780000}"/>
    <cellStyle name="Normal 34 2 3 5 10" xfId="47057" xr:uid="{00000000-0005-0000-0000-0000E4780000}"/>
    <cellStyle name="Normal 34 2 3 5 2" xfId="3963" xr:uid="{00000000-0005-0000-0000-0000E5780000}"/>
    <cellStyle name="Normal 34 2 3 5 2 2" xfId="5851" xr:uid="{00000000-0005-0000-0000-0000E6780000}"/>
    <cellStyle name="Normal 34 2 3 5 2 2 2" xfId="9266" xr:uid="{00000000-0005-0000-0000-0000E7780000}"/>
    <cellStyle name="Normal 34 2 3 5 2 2 2 2" xfId="21667" xr:uid="{00000000-0005-0000-0000-0000E8780000}"/>
    <cellStyle name="Normal 34 2 3 5 2 2 2 2 2" xfId="37747" xr:uid="{00000000-0005-0000-0000-0000E9780000}"/>
    <cellStyle name="Normal 34 2 3 5 2 2 2 3" xfId="28532" xr:uid="{00000000-0005-0000-0000-0000EA780000}"/>
    <cellStyle name="Normal 34 2 3 5 2 2 3" xfId="20228" xr:uid="{00000000-0005-0000-0000-0000EB780000}"/>
    <cellStyle name="Normal 34 2 3 5 2 2 3 2" xfId="36327" xr:uid="{00000000-0005-0000-0000-0000EC780000}"/>
    <cellStyle name="Normal 34 2 3 5 2 2 4" xfId="31923" xr:uid="{00000000-0005-0000-0000-0000ED780000}"/>
    <cellStyle name="Normal 34 2 3 5 2 3" xfId="7569" xr:uid="{00000000-0005-0000-0000-0000EE780000}"/>
    <cellStyle name="Normal 34 2 3 5 2 3 2" xfId="24227" xr:uid="{00000000-0005-0000-0000-0000EF780000}"/>
    <cellStyle name="Normal 34 2 3 5 2 3 2 2" xfId="40280" xr:uid="{00000000-0005-0000-0000-0000F0780000}"/>
    <cellStyle name="Normal 34 2 3 5 2 3 3" xfId="30229" xr:uid="{00000000-0005-0000-0000-0000F1780000}"/>
    <cellStyle name="Normal 34 2 3 5 2 4" xfId="18195" xr:uid="{00000000-0005-0000-0000-0000F2780000}"/>
    <cellStyle name="Normal 34 2 3 5 2 5" xfId="12472" xr:uid="{00000000-0005-0000-0000-0000F3780000}"/>
    <cellStyle name="Normal 34 2 3 5 2 5 2" xfId="35246" xr:uid="{00000000-0005-0000-0000-0000F4780000}"/>
    <cellStyle name="Normal 34 2 3 5 2 6" xfId="33616" xr:uid="{00000000-0005-0000-0000-0000F5780000}"/>
    <cellStyle name="Normal 34 2 3 5 3" xfId="4903" xr:uid="{00000000-0005-0000-0000-0000F6780000}"/>
    <cellStyle name="Normal 34 2 3 5 3 10" xfId="47247" xr:uid="{00000000-0005-0000-0000-0000F7780000}"/>
    <cellStyle name="Normal 34 2 3 5 3 2" xfId="6622" xr:uid="{00000000-0005-0000-0000-0000F8780000}"/>
    <cellStyle name="Normal 34 2 3 5 3 2 2" xfId="10028" xr:uid="{00000000-0005-0000-0000-0000F9780000}"/>
    <cellStyle name="Normal 34 2 3 5 3 2 2 2" xfId="21577" xr:uid="{00000000-0005-0000-0000-0000FA780000}"/>
    <cellStyle name="Normal 34 2 3 5 3 2 2 2 2" xfId="37657" xr:uid="{00000000-0005-0000-0000-0000FB780000}"/>
    <cellStyle name="Normal 34 2 3 5 3 2 2 3" xfId="27771" xr:uid="{00000000-0005-0000-0000-0000FC780000}"/>
    <cellStyle name="Normal 34 2 3 5 3 2 3" xfId="23074" xr:uid="{00000000-0005-0000-0000-0000FD780000}"/>
    <cellStyle name="Normal 34 2 3 5 3 2 3 2" xfId="39143" xr:uid="{00000000-0005-0000-0000-0000FE780000}"/>
    <cellStyle name="Normal 34 2 3 5 3 2 4" xfId="31172" xr:uid="{00000000-0005-0000-0000-0000FF780000}"/>
    <cellStyle name="Normal 34 2 3 5 3 2 5" xfId="42009" xr:uid="{00000000-0005-0000-0000-000000790000}"/>
    <cellStyle name="Normal 34 2 3 5 3 2 6" xfId="43244" xr:uid="{00000000-0005-0000-0000-000001790000}"/>
    <cellStyle name="Normal 34 2 3 5 3 2 7" xfId="46090" xr:uid="{00000000-0005-0000-0000-000002790000}"/>
    <cellStyle name="Normal 34 2 3 5 3 2 8" xfId="46857" xr:uid="{00000000-0005-0000-0000-000003790000}"/>
    <cellStyle name="Normal 34 2 3 5 3 2 9" xfId="47443" xr:uid="{00000000-0005-0000-0000-000004790000}"/>
    <cellStyle name="Normal 34 2 3 5 3 3" xfId="8325" xr:uid="{00000000-0005-0000-0000-000005790000}"/>
    <cellStyle name="Normal 34 2 3 5 3 3 2" xfId="21735" xr:uid="{00000000-0005-0000-0000-000006790000}"/>
    <cellStyle name="Normal 34 2 3 5 3 3 2 2" xfId="37813" xr:uid="{00000000-0005-0000-0000-000007790000}"/>
    <cellStyle name="Normal 34 2 3 5 3 3 3" xfId="29473" xr:uid="{00000000-0005-0000-0000-000008790000}"/>
    <cellStyle name="Normal 34 2 3 5 3 3 4" xfId="44109" xr:uid="{00000000-0005-0000-0000-000009790000}"/>
    <cellStyle name="Normal 34 2 3 5 3 4" xfId="15453" xr:uid="{00000000-0005-0000-0000-00000A790000}"/>
    <cellStyle name="Normal 34 2 3 5 3 4 2" xfId="35339" xr:uid="{00000000-0005-0000-0000-00000B790000}"/>
    <cellStyle name="Normal 34 2 3 5 3 5" xfId="24980" xr:uid="{00000000-0005-0000-0000-00000C790000}"/>
    <cellStyle name="Normal 34 2 3 5 3 6" xfId="25507" xr:uid="{00000000-0005-0000-0000-00000D790000}"/>
    <cellStyle name="Normal 34 2 3 5 3 7" xfId="32864" xr:uid="{00000000-0005-0000-0000-00000E790000}"/>
    <cellStyle name="Normal 34 2 3 5 3 8" xfId="43700" xr:uid="{00000000-0005-0000-0000-00000F790000}"/>
    <cellStyle name="Normal 34 2 3 5 3 9" xfId="46618" xr:uid="{00000000-0005-0000-0000-000010790000}"/>
    <cellStyle name="Normal 34 2 3 5 4" xfId="5457" xr:uid="{00000000-0005-0000-0000-000011790000}"/>
    <cellStyle name="Normal 34 2 3 5 4 2" xfId="8872" xr:uid="{00000000-0005-0000-0000-000012790000}"/>
    <cellStyle name="Normal 34 2 3 5 4 2 2" xfId="21212" xr:uid="{00000000-0005-0000-0000-000013790000}"/>
    <cellStyle name="Normal 34 2 3 5 4 2 2 2" xfId="37292" xr:uid="{00000000-0005-0000-0000-000014790000}"/>
    <cellStyle name="Normal 34 2 3 5 4 2 3" xfId="28926" xr:uid="{00000000-0005-0000-0000-000015790000}"/>
    <cellStyle name="Normal 34 2 3 5 4 3" xfId="10701" xr:uid="{00000000-0005-0000-0000-000016790000}"/>
    <cellStyle name="Normal 34 2 3 5 4 3 2" xfId="34549" xr:uid="{00000000-0005-0000-0000-000017790000}"/>
    <cellStyle name="Normal 34 2 3 5 4 4" xfId="32317" xr:uid="{00000000-0005-0000-0000-000018790000}"/>
    <cellStyle name="Normal 34 2 3 5 5" xfId="7175" xr:uid="{00000000-0005-0000-0000-000019790000}"/>
    <cellStyle name="Normal 34 2 3 5 5 2" xfId="22176" xr:uid="{00000000-0005-0000-0000-00001A790000}"/>
    <cellStyle name="Normal 34 2 3 5 5 2 2" xfId="38250" xr:uid="{00000000-0005-0000-0000-00001B790000}"/>
    <cellStyle name="Normal 34 2 3 5 5 3" xfId="30623" xr:uid="{00000000-0005-0000-0000-00001C790000}"/>
    <cellStyle name="Normal 34 2 3 5 6" xfId="12551" xr:uid="{00000000-0005-0000-0000-00001D790000}"/>
    <cellStyle name="Normal 34 2 3 5 7" xfId="34010" xr:uid="{00000000-0005-0000-0000-00001E790000}"/>
    <cellStyle name="Normal 34 2 3 5 8" xfId="43494" xr:uid="{00000000-0005-0000-0000-00001F790000}"/>
    <cellStyle name="Normal 34 2 3 5 9" xfId="46393" xr:uid="{00000000-0005-0000-0000-000020790000}"/>
    <cellStyle name="Normal 34 2 3 5_Avviksanalyse løpende RNB15 (1)" xfId="16772" xr:uid="{00000000-0005-0000-0000-000021790000}"/>
    <cellStyle name="Normal 34 2 3 6" xfId="3783" xr:uid="{00000000-0005-0000-0000-000022790000}"/>
    <cellStyle name="Normal 34 2 3 6 2" xfId="5671" xr:uid="{00000000-0005-0000-0000-000023790000}"/>
    <cellStyle name="Normal 34 2 3 6 2 2" xfId="9086" xr:uid="{00000000-0005-0000-0000-000024790000}"/>
    <cellStyle name="Normal 34 2 3 6 2 2 2" xfId="21268" xr:uid="{00000000-0005-0000-0000-000025790000}"/>
    <cellStyle name="Normal 34 2 3 6 2 2 2 2" xfId="37348" xr:uid="{00000000-0005-0000-0000-000026790000}"/>
    <cellStyle name="Normal 34 2 3 6 2 2 3" xfId="28712" xr:uid="{00000000-0005-0000-0000-000027790000}"/>
    <cellStyle name="Normal 34 2 3 6 2 3" xfId="20163" xr:uid="{00000000-0005-0000-0000-000028790000}"/>
    <cellStyle name="Normal 34 2 3 6 2 3 2" xfId="36264" xr:uid="{00000000-0005-0000-0000-000029790000}"/>
    <cellStyle name="Normal 34 2 3 6 2 4" xfId="32103" xr:uid="{00000000-0005-0000-0000-00002A790000}"/>
    <cellStyle name="Normal 34 2 3 6 3" xfId="7389" xr:uid="{00000000-0005-0000-0000-00002B790000}"/>
    <cellStyle name="Normal 34 2 3 6 3 2" xfId="24199" xr:uid="{00000000-0005-0000-0000-00002C790000}"/>
    <cellStyle name="Normal 34 2 3 6 3 2 2" xfId="40252" xr:uid="{00000000-0005-0000-0000-00002D790000}"/>
    <cellStyle name="Normal 34 2 3 6 3 3" xfId="30409" xr:uid="{00000000-0005-0000-0000-00002E790000}"/>
    <cellStyle name="Normal 34 2 3 6 4" xfId="11072" xr:uid="{00000000-0005-0000-0000-00002F790000}"/>
    <cellStyle name="Normal 34 2 3 6 4 2" xfId="34776" xr:uid="{00000000-0005-0000-0000-000030790000}"/>
    <cellStyle name="Normal 34 2 3 6 5" xfId="33796" xr:uid="{00000000-0005-0000-0000-000031790000}"/>
    <cellStyle name="Normal 34 2 3 7" xfId="4625" xr:uid="{00000000-0005-0000-0000-000032790000}"/>
    <cellStyle name="Normal 34 2 3 7 2" xfId="6362" xr:uid="{00000000-0005-0000-0000-000033790000}"/>
    <cellStyle name="Normal 34 2 3 7 2 2" xfId="9772" xr:uid="{00000000-0005-0000-0000-000034790000}"/>
    <cellStyle name="Normal 34 2 3 7 2 2 2" xfId="21477" xr:uid="{00000000-0005-0000-0000-000035790000}"/>
    <cellStyle name="Normal 34 2 3 7 2 2 2 2" xfId="37557" xr:uid="{00000000-0005-0000-0000-000036790000}"/>
    <cellStyle name="Normal 34 2 3 7 2 2 3" xfId="28027" xr:uid="{00000000-0005-0000-0000-000037790000}"/>
    <cellStyle name="Normal 34 2 3 7 2 3" xfId="20422" xr:uid="{00000000-0005-0000-0000-000038790000}"/>
    <cellStyle name="Normal 34 2 3 7 2 3 2" xfId="36521" xr:uid="{00000000-0005-0000-0000-000039790000}"/>
    <cellStyle name="Normal 34 2 3 7 2 4" xfId="31428" xr:uid="{00000000-0005-0000-0000-00003A790000}"/>
    <cellStyle name="Normal 34 2 3 7 3" xfId="8068" xr:uid="{00000000-0005-0000-0000-00003B790000}"/>
    <cellStyle name="Normal 34 2 3 7 3 2" xfId="20992" xr:uid="{00000000-0005-0000-0000-00003C790000}"/>
    <cellStyle name="Normal 34 2 3 7 3 2 2" xfId="37088" xr:uid="{00000000-0005-0000-0000-00003D790000}"/>
    <cellStyle name="Normal 34 2 3 7 3 3" xfId="29730" xr:uid="{00000000-0005-0000-0000-00003E790000}"/>
    <cellStyle name="Normal 34 2 3 7 4" xfId="22224" xr:uid="{00000000-0005-0000-0000-00003F790000}"/>
    <cellStyle name="Normal 34 2 3 7 4 2" xfId="38298" xr:uid="{00000000-0005-0000-0000-000040790000}"/>
    <cellStyle name="Normal 34 2 3 7 5" xfId="33121" xr:uid="{00000000-0005-0000-0000-000041790000}"/>
    <cellStyle name="Normal 34 2 3 8" xfId="4719" xr:uid="{00000000-0005-0000-0000-000042790000}"/>
    <cellStyle name="Normal 34 2 3 8 2" xfId="6439" xr:uid="{00000000-0005-0000-0000-000043790000}"/>
    <cellStyle name="Normal 34 2 3 8 2 2" xfId="9849" xr:uid="{00000000-0005-0000-0000-000044790000}"/>
    <cellStyle name="Normal 34 2 3 8 2 2 2" xfId="21507" xr:uid="{00000000-0005-0000-0000-000045790000}"/>
    <cellStyle name="Normal 34 2 3 8 2 2 2 2" xfId="37587" xr:uid="{00000000-0005-0000-0000-000046790000}"/>
    <cellStyle name="Normal 34 2 3 8 2 2 3" xfId="27950" xr:uid="{00000000-0005-0000-0000-000047790000}"/>
    <cellStyle name="Normal 34 2 3 8 2 3" xfId="23040" xr:uid="{00000000-0005-0000-0000-000048790000}"/>
    <cellStyle name="Normal 34 2 3 8 2 3 2" xfId="39109" xr:uid="{00000000-0005-0000-0000-000049790000}"/>
    <cellStyle name="Normal 34 2 3 8 2 4" xfId="31351" xr:uid="{00000000-0005-0000-0000-00004A790000}"/>
    <cellStyle name="Normal 34 2 3 8 3" xfId="8145" xr:uid="{00000000-0005-0000-0000-00004B790000}"/>
    <cellStyle name="Normal 34 2 3 8 3 2" xfId="22046" xr:uid="{00000000-0005-0000-0000-00004C790000}"/>
    <cellStyle name="Normal 34 2 3 8 3 2 2" xfId="38121" xr:uid="{00000000-0005-0000-0000-00004D790000}"/>
    <cellStyle name="Normal 34 2 3 8 3 3" xfId="29653" xr:uid="{00000000-0005-0000-0000-00004E790000}"/>
    <cellStyle name="Normal 34 2 3 8 4" xfId="19690" xr:uid="{00000000-0005-0000-0000-00004F790000}"/>
    <cellStyle name="Normal 34 2 3 8 4 2" xfId="35804" xr:uid="{00000000-0005-0000-0000-000050790000}"/>
    <cellStyle name="Normal 34 2 3 8 5" xfId="33044" xr:uid="{00000000-0005-0000-0000-000051790000}"/>
    <cellStyle name="Normal 34 2 3 9" xfId="5083" xr:uid="{00000000-0005-0000-0000-000052790000}"/>
    <cellStyle name="Normal 34 2 3 9 2" xfId="6802" xr:uid="{00000000-0005-0000-0000-000053790000}"/>
    <cellStyle name="Normal 34 2 3 9 2 2" xfId="10208" xr:uid="{00000000-0005-0000-0000-000054790000}"/>
    <cellStyle name="Normal 34 2 3 9 2 2 2" xfId="24646" xr:uid="{00000000-0005-0000-0000-000055790000}"/>
    <cellStyle name="Normal 34 2 3 9 2 2 2 2" xfId="40690" xr:uid="{00000000-0005-0000-0000-000056790000}"/>
    <cellStyle name="Normal 34 2 3 9 2 2 3" xfId="27591" xr:uid="{00000000-0005-0000-0000-000057790000}"/>
    <cellStyle name="Normal 34 2 3 9 2 3" xfId="24665" xr:uid="{00000000-0005-0000-0000-000058790000}"/>
    <cellStyle name="Normal 34 2 3 9 2 3 2" xfId="40708" xr:uid="{00000000-0005-0000-0000-000059790000}"/>
    <cellStyle name="Normal 34 2 3 9 2 4" xfId="30992" xr:uid="{00000000-0005-0000-0000-00005A790000}"/>
    <cellStyle name="Normal 34 2 3 9 3" xfId="8505" xr:uid="{00000000-0005-0000-0000-00005B790000}"/>
    <cellStyle name="Normal 34 2 3 9 3 2" xfId="22664" xr:uid="{00000000-0005-0000-0000-00005C790000}"/>
    <cellStyle name="Normal 34 2 3 9 3 2 2" xfId="38733" xr:uid="{00000000-0005-0000-0000-00005D790000}"/>
    <cellStyle name="Normal 34 2 3 9 3 3" xfId="29293" xr:uid="{00000000-0005-0000-0000-00005E790000}"/>
    <cellStyle name="Normal 34 2 3 9 4" xfId="10843" xr:uid="{00000000-0005-0000-0000-00005F790000}"/>
    <cellStyle name="Normal 34 2 3 9 4 2" xfId="34641" xr:uid="{00000000-0005-0000-0000-000060790000}"/>
    <cellStyle name="Normal 34 2 3 9 5" xfId="32684" xr:uid="{00000000-0005-0000-0000-000061790000}"/>
    <cellStyle name="Normal 34 2 4" xfId="1797" xr:uid="{00000000-0005-0000-0000-000062790000}"/>
    <cellStyle name="Normal 34 2 4 2" xfId="12553" xr:uid="{00000000-0005-0000-0000-000063790000}"/>
    <cellStyle name="Normal 34 2 5" xfId="1798" xr:uid="{00000000-0005-0000-0000-000064790000}"/>
    <cellStyle name="Normal 34 2 5 2" xfId="12555" xr:uid="{00000000-0005-0000-0000-000065790000}"/>
    <cellStyle name="Normal 34 2 6" xfId="1799" xr:uid="{00000000-0005-0000-0000-000066790000}"/>
    <cellStyle name="Normal 34 2 6 2" xfId="12557" xr:uid="{00000000-0005-0000-0000-000067790000}"/>
    <cellStyle name="Normal 34 2 7" xfId="1800" xr:uid="{00000000-0005-0000-0000-000068790000}"/>
    <cellStyle name="Normal 34 2 7 2" xfId="12559" xr:uid="{00000000-0005-0000-0000-000069790000}"/>
    <cellStyle name="Normal 34 2 8" xfId="1801" xr:uid="{00000000-0005-0000-0000-00006A790000}"/>
    <cellStyle name="Normal 34 2 8 2" xfId="12561" xr:uid="{00000000-0005-0000-0000-00006B790000}"/>
    <cellStyle name="Normal 34 2 9" xfId="4169" xr:uid="{00000000-0005-0000-0000-00006C790000}"/>
    <cellStyle name="Normal 34 2 9 2" xfId="6019" xr:uid="{00000000-0005-0000-0000-00006D790000}"/>
    <cellStyle name="Normal 34 2 9 2 2" xfId="9434" xr:uid="{00000000-0005-0000-0000-00006E790000}"/>
    <cellStyle name="Normal 34 2 9 2 2 2" xfId="10449" xr:uid="{00000000-0005-0000-0000-00006F790000}"/>
    <cellStyle name="Normal 34 2 9 2 2 2 2" xfId="34369" xr:uid="{00000000-0005-0000-0000-000070790000}"/>
    <cellStyle name="Normal 34 2 9 2 2 3" xfId="28364" xr:uid="{00000000-0005-0000-0000-000071790000}"/>
    <cellStyle name="Normal 34 2 9 2 3" xfId="23962" xr:uid="{00000000-0005-0000-0000-000072790000}"/>
    <cellStyle name="Normal 34 2 9 2 3 2" xfId="40016" xr:uid="{00000000-0005-0000-0000-000073790000}"/>
    <cellStyle name="Normal 34 2 9 2 4" xfId="31759" xr:uid="{00000000-0005-0000-0000-000074790000}"/>
    <cellStyle name="Normal 34 2 9 3" xfId="7750" xr:uid="{00000000-0005-0000-0000-000075790000}"/>
    <cellStyle name="Normal 34 2 9 3 2" xfId="20890" xr:uid="{00000000-0005-0000-0000-000076790000}"/>
    <cellStyle name="Normal 34 2 9 3 2 2" xfId="36989" xr:uid="{00000000-0005-0000-0000-000077790000}"/>
    <cellStyle name="Normal 34 2 9 3 3" xfId="30049" xr:uid="{00000000-0005-0000-0000-000078790000}"/>
    <cellStyle name="Normal 34 2 9 4" xfId="12562" xr:uid="{00000000-0005-0000-0000-000079790000}"/>
    <cellStyle name="Normal 34 2 9 5" xfId="22564" xr:uid="{00000000-0005-0000-0000-00007A790000}"/>
    <cellStyle name="Normal 34 2 9 5 2" xfId="38633" xr:uid="{00000000-0005-0000-0000-00007B790000}"/>
    <cellStyle name="Normal 34 2 9 6" xfId="33436" xr:uid="{00000000-0005-0000-0000-00007C790000}"/>
    <cellStyle name="Normal 34 20" xfId="1802" xr:uid="{00000000-0005-0000-0000-00007D790000}"/>
    <cellStyle name="Normal 34 20 10" xfId="6994" xr:uid="{00000000-0005-0000-0000-00007E790000}"/>
    <cellStyle name="Normal 34 20 10 2" xfId="22403" xr:uid="{00000000-0005-0000-0000-00007F790000}"/>
    <cellStyle name="Normal 34 20 10 2 2" xfId="38475" xr:uid="{00000000-0005-0000-0000-000080790000}"/>
    <cellStyle name="Normal 34 20 10 3" xfId="30804" xr:uid="{00000000-0005-0000-0000-000081790000}"/>
    <cellStyle name="Normal 34 20 11" xfId="12563" xr:uid="{00000000-0005-0000-0000-000082790000}"/>
    <cellStyle name="Normal 34 20 12" xfId="34192" xr:uid="{00000000-0005-0000-0000-000083790000}"/>
    <cellStyle name="Normal 34 20 2" xfId="3389" xr:uid="{00000000-0005-0000-0000-000084790000}"/>
    <cellStyle name="Normal 34 20 2 10" xfId="34109" xr:uid="{00000000-0005-0000-0000-000085790000}"/>
    <cellStyle name="Normal 34 20 2 2" xfId="3614" xr:uid="{00000000-0005-0000-0000-000086790000}"/>
    <cellStyle name="Normal 34 20 2 2 10" xfId="47213" xr:uid="{00000000-0005-0000-0000-000087790000}"/>
    <cellStyle name="Normal 34 20 2 2 2" xfId="4044" xr:uid="{00000000-0005-0000-0000-000088790000}"/>
    <cellStyle name="Normal 34 20 2 2 2 2" xfId="5932" xr:uid="{00000000-0005-0000-0000-000089790000}"/>
    <cellStyle name="Normal 34 20 2 2 2 2 2" xfId="9347" xr:uid="{00000000-0005-0000-0000-00008A790000}"/>
    <cellStyle name="Normal 34 20 2 2 2 2 2 2" xfId="21358" xr:uid="{00000000-0005-0000-0000-00008B790000}"/>
    <cellStyle name="Normal 34 20 2 2 2 2 2 2 2" xfId="37438" xr:uid="{00000000-0005-0000-0000-00008C790000}"/>
    <cellStyle name="Normal 34 20 2 2 2 2 2 3" xfId="28451" xr:uid="{00000000-0005-0000-0000-00008D790000}"/>
    <cellStyle name="Normal 34 20 2 2 2 2 3" xfId="20255" xr:uid="{00000000-0005-0000-0000-00008E790000}"/>
    <cellStyle name="Normal 34 20 2 2 2 2 3 2" xfId="36354" xr:uid="{00000000-0005-0000-0000-00008F790000}"/>
    <cellStyle name="Normal 34 20 2 2 2 2 4" xfId="31845" xr:uid="{00000000-0005-0000-0000-000090790000}"/>
    <cellStyle name="Normal 34 20 2 2 2 3" xfId="7650" xr:uid="{00000000-0005-0000-0000-000091790000}"/>
    <cellStyle name="Normal 34 20 2 2 2 3 2" xfId="22476" xr:uid="{00000000-0005-0000-0000-000092790000}"/>
    <cellStyle name="Normal 34 20 2 2 2 3 2 2" xfId="38548" xr:uid="{00000000-0005-0000-0000-000093790000}"/>
    <cellStyle name="Normal 34 20 2 2 2 3 3" xfId="30148" xr:uid="{00000000-0005-0000-0000-000094790000}"/>
    <cellStyle name="Normal 34 20 2 2 2 4" xfId="18196" xr:uid="{00000000-0005-0000-0000-000095790000}"/>
    <cellStyle name="Normal 34 20 2 2 2 5" xfId="12428" xr:uid="{00000000-0005-0000-0000-000096790000}"/>
    <cellStyle name="Normal 34 20 2 2 2 5 2" xfId="35230" xr:uid="{00000000-0005-0000-0000-000097790000}"/>
    <cellStyle name="Normal 34 20 2 2 2 6" xfId="33535" xr:uid="{00000000-0005-0000-0000-000098790000}"/>
    <cellStyle name="Normal 34 20 2 2 3" xfId="4984" xr:uid="{00000000-0005-0000-0000-000099790000}"/>
    <cellStyle name="Normal 34 20 2 2 3 10" xfId="47403" xr:uid="{00000000-0005-0000-0000-00009A790000}"/>
    <cellStyle name="Normal 34 20 2 2 3 2" xfId="6703" xr:uid="{00000000-0005-0000-0000-00009B790000}"/>
    <cellStyle name="Normal 34 20 2 2 3 2 2" xfId="10109" xr:uid="{00000000-0005-0000-0000-00009C790000}"/>
    <cellStyle name="Normal 34 20 2 2 3 2 2 2" xfId="21610" xr:uid="{00000000-0005-0000-0000-00009D790000}"/>
    <cellStyle name="Normal 34 20 2 2 3 2 2 2 2" xfId="37690" xr:uid="{00000000-0005-0000-0000-00009E790000}"/>
    <cellStyle name="Normal 34 20 2 2 3 2 2 3" xfId="27690" xr:uid="{00000000-0005-0000-0000-00009F790000}"/>
    <cellStyle name="Normal 34 20 2 2 3 2 3" xfId="10662" xr:uid="{00000000-0005-0000-0000-0000A0790000}"/>
    <cellStyle name="Normal 34 20 2 2 3 2 3 2" xfId="34510" xr:uid="{00000000-0005-0000-0000-0000A1790000}"/>
    <cellStyle name="Normal 34 20 2 2 3 2 4" xfId="31091" xr:uid="{00000000-0005-0000-0000-0000A2790000}"/>
    <cellStyle name="Normal 34 20 2 2 3 2 5" xfId="43100" xr:uid="{00000000-0005-0000-0000-0000A3790000}"/>
    <cellStyle name="Normal 34 20 2 2 3 2 6" xfId="43394" xr:uid="{00000000-0005-0000-0000-0000A4790000}"/>
    <cellStyle name="Normal 34 20 2 2 3 2 7" xfId="46242" xr:uid="{00000000-0005-0000-0000-0000A5790000}"/>
    <cellStyle name="Normal 34 20 2 2 3 2 8" xfId="47014" xr:uid="{00000000-0005-0000-0000-0000A6790000}"/>
    <cellStyle name="Normal 34 20 2 2 3 2 9" xfId="47599" xr:uid="{00000000-0005-0000-0000-0000A7790000}"/>
    <cellStyle name="Normal 34 20 2 2 3 3" xfId="8406" xr:uid="{00000000-0005-0000-0000-0000A8790000}"/>
    <cellStyle name="Normal 34 20 2 2 3 3 2" xfId="23358" xr:uid="{00000000-0005-0000-0000-0000A9790000}"/>
    <cellStyle name="Normal 34 20 2 2 3 3 2 2" xfId="39417" xr:uid="{00000000-0005-0000-0000-0000AA790000}"/>
    <cellStyle name="Normal 34 20 2 2 3 3 3" xfId="29392" xr:uid="{00000000-0005-0000-0000-0000AB790000}"/>
    <cellStyle name="Normal 34 20 2 2 3 3 4" xfId="44110" xr:uid="{00000000-0005-0000-0000-0000AC790000}"/>
    <cellStyle name="Normal 34 20 2 2 3 4" xfId="16545" xr:uid="{00000000-0005-0000-0000-0000AD790000}"/>
    <cellStyle name="Normal 34 20 2 2 3 4 2" xfId="35489" xr:uid="{00000000-0005-0000-0000-0000AE790000}"/>
    <cellStyle name="Normal 34 20 2 2 3 5" xfId="25151" xr:uid="{00000000-0005-0000-0000-0000AF790000}"/>
    <cellStyle name="Normal 34 20 2 2 3 6" xfId="25508" xr:uid="{00000000-0005-0000-0000-0000B0790000}"/>
    <cellStyle name="Normal 34 20 2 2 3 7" xfId="32783" xr:uid="{00000000-0005-0000-0000-0000B1790000}"/>
    <cellStyle name="Normal 34 20 2 2 3 8" xfId="43855" xr:uid="{00000000-0005-0000-0000-0000B2790000}"/>
    <cellStyle name="Normal 34 20 2 2 3 9" xfId="46780" xr:uid="{00000000-0005-0000-0000-0000B3790000}"/>
    <cellStyle name="Normal 34 20 2 2 4" xfId="5538" xr:uid="{00000000-0005-0000-0000-0000B4790000}"/>
    <cellStyle name="Normal 34 20 2 2 4 2" xfId="8953" xr:uid="{00000000-0005-0000-0000-0000B5790000}"/>
    <cellStyle name="Normal 34 20 2 2 4 2 2" xfId="22596" xr:uid="{00000000-0005-0000-0000-0000B6790000}"/>
    <cellStyle name="Normal 34 20 2 2 4 2 2 2" xfId="38665" xr:uid="{00000000-0005-0000-0000-0000B7790000}"/>
    <cellStyle name="Normal 34 20 2 2 4 2 3" xfId="28845" xr:uid="{00000000-0005-0000-0000-0000B8790000}"/>
    <cellStyle name="Normal 34 20 2 2 4 3" xfId="23872" xr:uid="{00000000-0005-0000-0000-0000B9790000}"/>
    <cellStyle name="Normal 34 20 2 2 4 3 2" xfId="39928" xr:uid="{00000000-0005-0000-0000-0000BA790000}"/>
    <cellStyle name="Normal 34 20 2 2 4 4" xfId="32236" xr:uid="{00000000-0005-0000-0000-0000BB790000}"/>
    <cellStyle name="Normal 34 20 2 2 5" xfId="7256" xr:uid="{00000000-0005-0000-0000-0000BC790000}"/>
    <cellStyle name="Normal 34 20 2 2 5 2" xfId="22432" xr:uid="{00000000-0005-0000-0000-0000BD790000}"/>
    <cellStyle name="Normal 34 20 2 2 5 2 2" xfId="38504" xr:uid="{00000000-0005-0000-0000-0000BE790000}"/>
    <cellStyle name="Normal 34 20 2 2 5 3" xfId="30542" xr:uid="{00000000-0005-0000-0000-0000BF790000}"/>
    <cellStyle name="Normal 34 20 2 2 6" xfId="12565" xr:uid="{00000000-0005-0000-0000-0000C0790000}"/>
    <cellStyle name="Normal 34 20 2 2 7" xfId="33929" xr:uid="{00000000-0005-0000-0000-0000C1790000}"/>
    <cellStyle name="Normal 34 20 2 2 8" xfId="43646" xr:uid="{00000000-0005-0000-0000-0000C2790000}"/>
    <cellStyle name="Normal 34 20 2 2 9" xfId="46552" xr:uid="{00000000-0005-0000-0000-0000C3790000}"/>
    <cellStyle name="Normal 34 20 2 2_Avviksanalyse løpende RNB15 (1)" xfId="16773" xr:uid="{00000000-0005-0000-0000-0000C4790000}"/>
    <cellStyle name="Normal 34 20 2 3" xfId="3864" xr:uid="{00000000-0005-0000-0000-0000C5790000}"/>
    <cellStyle name="Normal 34 20 2 3 2" xfId="5752" xr:uid="{00000000-0005-0000-0000-0000C6790000}"/>
    <cellStyle name="Normal 34 20 2 3 2 2" xfId="9167" xr:uid="{00000000-0005-0000-0000-0000C7790000}"/>
    <cellStyle name="Normal 34 20 2 3 2 2 2" xfId="21299" xr:uid="{00000000-0005-0000-0000-0000C8790000}"/>
    <cellStyle name="Normal 34 20 2 3 2 2 2 2" xfId="37379" xr:uid="{00000000-0005-0000-0000-0000C9790000}"/>
    <cellStyle name="Normal 34 20 2 3 2 2 3" xfId="28631" xr:uid="{00000000-0005-0000-0000-0000CA790000}"/>
    <cellStyle name="Normal 34 20 2 3 2 3" xfId="23912" xr:uid="{00000000-0005-0000-0000-0000CB790000}"/>
    <cellStyle name="Normal 34 20 2 3 2 3 2" xfId="39968" xr:uid="{00000000-0005-0000-0000-0000CC790000}"/>
    <cellStyle name="Normal 34 20 2 3 2 4" xfId="32022" xr:uid="{00000000-0005-0000-0000-0000CD790000}"/>
    <cellStyle name="Normal 34 20 2 3 3" xfId="7470" xr:uid="{00000000-0005-0000-0000-0000CE790000}"/>
    <cellStyle name="Normal 34 20 2 3 3 2" xfId="20796" xr:uid="{00000000-0005-0000-0000-0000CF790000}"/>
    <cellStyle name="Normal 34 20 2 3 3 2 2" xfId="36895" xr:uid="{00000000-0005-0000-0000-0000D0790000}"/>
    <cellStyle name="Normal 34 20 2 3 3 3" xfId="30328" xr:uid="{00000000-0005-0000-0000-0000D1790000}"/>
    <cellStyle name="Normal 34 20 2 3 4" xfId="19549" xr:uid="{00000000-0005-0000-0000-0000D2790000}"/>
    <cellStyle name="Normal 34 20 2 3 4 2" xfId="35663" xr:uid="{00000000-0005-0000-0000-0000D3790000}"/>
    <cellStyle name="Normal 34 20 2 3 5" xfId="33715" xr:uid="{00000000-0005-0000-0000-0000D4790000}"/>
    <cellStyle name="Normal 34 20 2 4" xfId="4349" xr:uid="{00000000-0005-0000-0000-0000D5790000}"/>
    <cellStyle name="Normal 34 20 2 4 2" xfId="6178" xr:uid="{00000000-0005-0000-0000-0000D6790000}"/>
    <cellStyle name="Normal 34 20 2 4 2 2" xfId="9592" xr:uid="{00000000-0005-0000-0000-0000D7790000}"/>
    <cellStyle name="Normal 34 20 2 4 2 2 2" xfId="21429" xr:uid="{00000000-0005-0000-0000-0000D8790000}"/>
    <cellStyle name="Normal 34 20 2 4 2 2 2 2" xfId="37509" xr:uid="{00000000-0005-0000-0000-0000D9790000}"/>
    <cellStyle name="Normal 34 20 2 4 2 2 3" xfId="28206" xr:uid="{00000000-0005-0000-0000-0000DA790000}"/>
    <cellStyle name="Normal 34 20 2 4 2 3" xfId="23993" xr:uid="{00000000-0005-0000-0000-0000DB790000}"/>
    <cellStyle name="Normal 34 20 2 4 2 3 2" xfId="40046" xr:uid="{00000000-0005-0000-0000-0000DC790000}"/>
    <cellStyle name="Normal 34 20 2 4 2 4" xfId="31603" xr:uid="{00000000-0005-0000-0000-0000DD790000}"/>
    <cellStyle name="Normal 34 20 2 4 3" xfId="7911" xr:uid="{00000000-0005-0000-0000-0000DE790000}"/>
    <cellStyle name="Normal 34 20 2 4 3 2" xfId="20940" xr:uid="{00000000-0005-0000-0000-0000DF790000}"/>
    <cellStyle name="Normal 34 20 2 4 3 2 2" xfId="37036" xr:uid="{00000000-0005-0000-0000-0000E0790000}"/>
    <cellStyle name="Normal 34 20 2 4 3 3" xfId="29888" xr:uid="{00000000-0005-0000-0000-0000E1790000}"/>
    <cellStyle name="Normal 34 20 2 4 4" xfId="19424" xr:uid="{00000000-0005-0000-0000-0000E2790000}"/>
    <cellStyle name="Normal 34 20 2 4 4 2" xfId="35538" xr:uid="{00000000-0005-0000-0000-0000E3790000}"/>
    <cellStyle name="Normal 34 20 2 4 5" xfId="33276" xr:uid="{00000000-0005-0000-0000-0000E4790000}"/>
    <cellStyle name="Normal 34 20 2 5" xfId="4804" xr:uid="{00000000-0005-0000-0000-0000E5790000}"/>
    <cellStyle name="Normal 34 20 2 5 2" xfId="6524" xr:uid="{00000000-0005-0000-0000-0000E6790000}"/>
    <cellStyle name="Normal 34 20 2 5 2 2" xfId="9930" xr:uid="{00000000-0005-0000-0000-0000E7790000}"/>
    <cellStyle name="Normal 34 20 2 5 2 2 2" xfId="21539" xr:uid="{00000000-0005-0000-0000-0000E8790000}"/>
    <cellStyle name="Normal 34 20 2 5 2 2 2 2" xfId="37619" xr:uid="{00000000-0005-0000-0000-0000E9790000}"/>
    <cellStyle name="Normal 34 20 2 5 2 2 3" xfId="27869" xr:uid="{00000000-0005-0000-0000-0000EA790000}"/>
    <cellStyle name="Normal 34 20 2 5 2 3" xfId="24057" xr:uid="{00000000-0005-0000-0000-0000EB790000}"/>
    <cellStyle name="Normal 34 20 2 5 2 3 2" xfId="40110" xr:uid="{00000000-0005-0000-0000-0000EC790000}"/>
    <cellStyle name="Normal 34 20 2 5 2 4" xfId="31270" xr:uid="{00000000-0005-0000-0000-0000ED790000}"/>
    <cellStyle name="Normal 34 20 2 5 3" xfId="8226" xr:uid="{00000000-0005-0000-0000-0000EE790000}"/>
    <cellStyle name="Normal 34 20 2 5 3 2" xfId="21035" xr:uid="{00000000-0005-0000-0000-0000EF790000}"/>
    <cellStyle name="Normal 34 20 2 5 3 2 2" xfId="37126" xr:uid="{00000000-0005-0000-0000-0000F0790000}"/>
    <cellStyle name="Normal 34 20 2 5 3 3" xfId="29571" xr:uid="{00000000-0005-0000-0000-0000F1790000}"/>
    <cellStyle name="Normal 34 20 2 5 4" xfId="19712" xr:uid="{00000000-0005-0000-0000-0000F2790000}"/>
    <cellStyle name="Normal 34 20 2 5 4 2" xfId="35826" xr:uid="{00000000-0005-0000-0000-0000F3790000}"/>
    <cellStyle name="Normal 34 20 2 5 5" xfId="32963" xr:uid="{00000000-0005-0000-0000-0000F4790000}"/>
    <cellStyle name="Normal 34 20 2 6" xfId="5164" xr:uid="{00000000-0005-0000-0000-0000F5790000}"/>
    <cellStyle name="Normal 34 20 2 6 2" xfId="6883" xr:uid="{00000000-0005-0000-0000-0000F6790000}"/>
    <cellStyle name="Normal 34 20 2 6 2 2" xfId="10289" xr:uid="{00000000-0005-0000-0000-0000F7790000}"/>
    <cellStyle name="Normal 34 20 2 6 2 2 2" xfId="24732" xr:uid="{00000000-0005-0000-0000-0000F8790000}"/>
    <cellStyle name="Normal 34 20 2 6 2 2 2 2" xfId="40775" xr:uid="{00000000-0005-0000-0000-0000F9790000}"/>
    <cellStyle name="Normal 34 20 2 6 2 2 3" xfId="27510" xr:uid="{00000000-0005-0000-0000-0000FA790000}"/>
    <cellStyle name="Normal 34 20 2 6 2 3" xfId="22396" xr:uid="{00000000-0005-0000-0000-0000FB790000}"/>
    <cellStyle name="Normal 34 20 2 6 2 3 2" xfId="38468" xr:uid="{00000000-0005-0000-0000-0000FC790000}"/>
    <cellStyle name="Normal 34 20 2 6 2 4" xfId="30911" xr:uid="{00000000-0005-0000-0000-0000FD790000}"/>
    <cellStyle name="Normal 34 20 2 6 3" xfId="8586" xr:uid="{00000000-0005-0000-0000-0000FE790000}"/>
    <cellStyle name="Normal 34 20 2 6 3 2" xfId="10515" xr:uid="{00000000-0005-0000-0000-0000FF790000}"/>
    <cellStyle name="Normal 34 20 2 6 3 2 2" xfId="34402" xr:uid="{00000000-0005-0000-0000-0000007A0000}"/>
    <cellStyle name="Normal 34 20 2 6 3 3" xfId="29212" xr:uid="{00000000-0005-0000-0000-0000017A0000}"/>
    <cellStyle name="Normal 34 20 2 6 4" xfId="20064" xr:uid="{00000000-0005-0000-0000-0000027A0000}"/>
    <cellStyle name="Normal 34 20 2 6 4 2" xfId="36168" xr:uid="{00000000-0005-0000-0000-0000037A0000}"/>
    <cellStyle name="Normal 34 20 2 6 5" xfId="32603" xr:uid="{00000000-0005-0000-0000-0000047A0000}"/>
    <cellStyle name="Normal 34 20 2 7" xfId="5343" xr:uid="{00000000-0005-0000-0000-0000057A0000}"/>
    <cellStyle name="Normal 34 20 2 7 2" xfId="8758" xr:uid="{00000000-0005-0000-0000-0000067A0000}"/>
    <cellStyle name="Normal 34 20 2 7 2 2" xfId="21182" xr:uid="{00000000-0005-0000-0000-0000077A0000}"/>
    <cellStyle name="Normal 34 20 2 7 2 2 2" xfId="37262" xr:uid="{00000000-0005-0000-0000-0000087A0000}"/>
    <cellStyle name="Normal 34 20 2 7 2 3" xfId="29040" xr:uid="{00000000-0005-0000-0000-0000097A0000}"/>
    <cellStyle name="Normal 34 20 2 7 3" xfId="12064" xr:uid="{00000000-0005-0000-0000-00000A7A0000}"/>
    <cellStyle name="Normal 34 20 2 7 3 2" xfId="35052" xr:uid="{00000000-0005-0000-0000-00000B7A0000}"/>
    <cellStyle name="Normal 34 20 2 7 4" xfId="32431" xr:uid="{00000000-0005-0000-0000-00000C7A0000}"/>
    <cellStyle name="Normal 34 20 2 8" xfId="7076" xr:uid="{00000000-0005-0000-0000-00000D7A0000}"/>
    <cellStyle name="Normal 34 20 2 8 2" xfId="23143" xr:uid="{00000000-0005-0000-0000-00000E7A0000}"/>
    <cellStyle name="Normal 34 20 2 8 2 2" xfId="39212" xr:uid="{00000000-0005-0000-0000-00000F7A0000}"/>
    <cellStyle name="Normal 34 20 2 8 3" xfId="30722" xr:uid="{00000000-0005-0000-0000-0000107A0000}"/>
    <cellStyle name="Normal 34 20 2 9" xfId="12564" xr:uid="{00000000-0005-0000-0000-0000117A0000}"/>
    <cellStyle name="Normal 34 20 3" xfId="3530" xr:uid="{00000000-0005-0000-0000-0000127A0000}"/>
    <cellStyle name="Normal 34 20 3 10" xfId="47059" xr:uid="{00000000-0005-0000-0000-0000137A0000}"/>
    <cellStyle name="Normal 34 20 3 2" xfId="3965" xr:uid="{00000000-0005-0000-0000-0000147A0000}"/>
    <cellStyle name="Normal 34 20 3 2 2" xfId="5853" xr:uid="{00000000-0005-0000-0000-0000157A0000}"/>
    <cellStyle name="Normal 34 20 3 2 2 2" xfId="9268" xr:uid="{00000000-0005-0000-0000-0000167A0000}"/>
    <cellStyle name="Normal 34 20 3 2 2 2 2" xfId="11706" xr:uid="{00000000-0005-0000-0000-0000177A0000}"/>
    <cellStyle name="Normal 34 20 3 2 2 2 2 2" xfId="34841" xr:uid="{00000000-0005-0000-0000-0000187A0000}"/>
    <cellStyle name="Normal 34 20 3 2 2 2 3" xfId="28530" xr:uid="{00000000-0005-0000-0000-0000197A0000}"/>
    <cellStyle name="Normal 34 20 3 2 2 3" xfId="22094" xr:uid="{00000000-0005-0000-0000-00001A7A0000}"/>
    <cellStyle name="Normal 34 20 3 2 2 3 2" xfId="38168" xr:uid="{00000000-0005-0000-0000-00001B7A0000}"/>
    <cellStyle name="Normal 34 20 3 2 2 4" xfId="31921" xr:uid="{00000000-0005-0000-0000-00001C7A0000}"/>
    <cellStyle name="Normal 34 20 3 2 3" xfId="7571" xr:uid="{00000000-0005-0000-0000-00001D7A0000}"/>
    <cellStyle name="Normal 34 20 3 2 3 2" xfId="23225" xr:uid="{00000000-0005-0000-0000-00001E7A0000}"/>
    <cellStyle name="Normal 34 20 3 2 3 2 2" xfId="39294" xr:uid="{00000000-0005-0000-0000-00001F7A0000}"/>
    <cellStyle name="Normal 34 20 3 2 3 3" xfId="30227" xr:uid="{00000000-0005-0000-0000-0000207A0000}"/>
    <cellStyle name="Normal 34 20 3 2 4" xfId="18197" xr:uid="{00000000-0005-0000-0000-0000217A0000}"/>
    <cellStyle name="Normal 34 20 3 2 5" xfId="21826" xr:uid="{00000000-0005-0000-0000-0000227A0000}"/>
    <cellStyle name="Normal 34 20 3 2 5 2" xfId="37902" xr:uid="{00000000-0005-0000-0000-0000237A0000}"/>
    <cellStyle name="Normal 34 20 3 2 6" xfId="33614" xr:uid="{00000000-0005-0000-0000-0000247A0000}"/>
    <cellStyle name="Normal 34 20 3 3" xfId="4905" xr:uid="{00000000-0005-0000-0000-0000257A0000}"/>
    <cellStyle name="Normal 34 20 3 3 10" xfId="47249" xr:uid="{00000000-0005-0000-0000-0000267A0000}"/>
    <cellStyle name="Normal 34 20 3 3 2" xfId="6624" xr:uid="{00000000-0005-0000-0000-0000277A0000}"/>
    <cellStyle name="Normal 34 20 3 3 2 2" xfId="10030" xr:uid="{00000000-0005-0000-0000-0000287A0000}"/>
    <cellStyle name="Normal 34 20 3 3 2 2 2" xfId="24610" xr:uid="{00000000-0005-0000-0000-0000297A0000}"/>
    <cellStyle name="Normal 34 20 3 3 2 2 2 2" xfId="40654" xr:uid="{00000000-0005-0000-0000-00002A7A0000}"/>
    <cellStyle name="Normal 34 20 3 3 2 2 3" xfId="27769" xr:uid="{00000000-0005-0000-0000-00002B7A0000}"/>
    <cellStyle name="Normal 34 20 3 3 2 3" xfId="24077" xr:uid="{00000000-0005-0000-0000-00002C7A0000}"/>
    <cellStyle name="Normal 34 20 3 3 2 3 2" xfId="40130" xr:uid="{00000000-0005-0000-0000-00002D7A0000}"/>
    <cellStyle name="Normal 34 20 3 3 2 4" xfId="31170" xr:uid="{00000000-0005-0000-0000-00002E7A0000}"/>
    <cellStyle name="Normal 34 20 3 3 2 5" xfId="42011" xr:uid="{00000000-0005-0000-0000-00002F7A0000}"/>
    <cellStyle name="Normal 34 20 3 3 2 6" xfId="43246" xr:uid="{00000000-0005-0000-0000-0000307A0000}"/>
    <cellStyle name="Normal 34 20 3 3 2 7" xfId="46092" xr:uid="{00000000-0005-0000-0000-0000317A0000}"/>
    <cellStyle name="Normal 34 20 3 3 2 8" xfId="46859" xr:uid="{00000000-0005-0000-0000-0000327A0000}"/>
    <cellStyle name="Normal 34 20 3 3 2 9" xfId="47445" xr:uid="{00000000-0005-0000-0000-0000337A0000}"/>
    <cellStyle name="Normal 34 20 3 3 3" xfId="8327" xr:uid="{00000000-0005-0000-0000-0000347A0000}"/>
    <cellStyle name="Normal 34 20 3 3 3 2" xfId="10575" xr:uid="{00000000-0005-0000-0000-0000357A0000}"/>
    <cellStyle name="Normal 34 20 3 3 3 2 2" xfId="34432" xr:uid="{00000000-0005-0000-0000-0000367A0000}"/>
    <cellStyle name="Normal 34 20 3 3 3 3" xfId="29471" xr:uid="{00000000-0005-0000-0000-0000377A0000}"/>
    <cellStyle name="Normal 34 20 3 3 3 4" xfId="44111" xr:uid="{00000000-0005-0000-0000-0000387A0000}"/>
    <cellStyle name="Normal 34 20 3 3 4" xfId="15455" xr:uid="{00000000-0005-0000-0000-0000397A0000}"/>
    <cellStyle name="Normal 34 20 3 3 4 2" xfId="35341" xr:uid="{00000000-0005-0000-0000-00003A7A0000}"/>
    <cellStyle name="Normal 34 20 3 3 5" xfId="24982" xr:uid="{00000000-0005-0000-0000-00003B7A0000}"/>
    <cellStyle name="Normal 34 20 3 3 6" xfId="25509" xr:uid="{00000000-0005-0000-0000-00003C7A0000}"/>
    <cellStyle name="Normal 34 20 3 3 7" xfId="32862" xr:uid="{00000000-0005-0000-0000-00003D7A0000}"/>
    <cellStyle name="Normal 34 20 3 3 8" xfId="43702" xr:uid="{00000000-0005-0000-0000-00003E7A0000}"/>
    <cellStyle name="Normal 34 20 3 3 9" xfId="46620" xr:uid="{00000000-0005-0000-0000-00003F7A0000}"/>
    <cellStyle name="Normal 34 20 3 4" xfId="5459" xr:uid="{00000000-0005-0000-0000-0000407A0000}"/>
    <cellStyle name="Normal 34 20 3 4 2" xfId="8874" xr:uid="{00000000-0005-0000-0000-0000417A0000}"/>
    <cellStyle name="Normal 34 20 3 4 2 2" xfId="19516" xr:uid="{00000000-0005-0000-0000-0000427A0000}"/>
    <cellStyle name="Normal 34 20 3 4 2 2 2" xfId="35630" xr:uid="{00000000-0005-0000-0000-0000437A0000}"/>
    <cellStyle name="Normal 34 20 3 4 2 3" xfId="28924" xr:uid="{00000000-0005-0000-0000-0000447A0000}"/>
    <cellStyle name="Normal 34 20 3 4 3" xfId="12004" xr:uid="{00000000-0005-0000-0000-0000457A0000}"/>
    <cellStyle name="Normal 34 20 3 4 3 2" xfId="35025" xr:uid="{00000000-0005-0000-0000-0000467A0000}"/>
    <cellStyle name="Normal 34 20 3 4 4" xfId="32315" xr:uid="{00000000-0005-0000-0000-0000477A0000}"/>
    <cellStyle name="Normal 34 20 3 5" xfId="7177" xr:uid="{00000000-0005-0000-0000-0000487A0000}"/>
    <cellStyle name="Normal 34 20 3 5 2" xfId="20687" xr:uid="{00000000-0005-0000-0000-0000497A0000}"/>
    <cellStyle name="Normal 34 20 3 5 2 2" xfId="36786" xr:uid="{00000000-0005-0000-0000-00004A7A0000}"/>
    <cellStyle name="Normal 34 20 3 5 3" xfId="30621" xr:uid="{00000000-0005-0000-0000-00004B7A0000}"/>
    <cellStyle name="Normal 34 20 3 6" xfId="12566" xr:uid="{00000000-0005-0000-0000-00004C7A0000}"/>
    <cellStyle name="Normal 34 20 3 7" xfId="34008" xr:uid="{00000000-0005-0000-0000-00004D7A0000}"/>
    <cellStyle name="Normal 34 20 3 8" xfId="43496" xr:uid="{00000000-0005-0000-0000-00004E7A0000}"/>
    <cellStyle name="Normal 34 20 3 9" xfId="46395" xr:uid="{00000000-0005-0000-0000-00004F7A0000}"/>
    <cellStyle name="Normal 34 20 3_Avviksanalyse løpende RNB15 (1)" xfId="16774" xr:uid="{00000000-0005-0000-0000-0000507A0000}"/>
    <cellStyle name="Normal 34 20 4" xfId="3785" xr:uid="{00000000-0005-0000-0000-0000517A0000}"/>
    <cellStyle name="Normal 34 20 4 2" xfId="5673" xr:uid="{00000000-0005-0000-0000-0000527A0000}"/>
    <cellStyle name="Normal 34 20 4 2 2" xfId="9088" xr:uid="{00000000-0005-0000-0000-0000537A0000}"/>
    <cellStyle name="Normal 34 20 4 2 2 2" xfId="21785" xr:uid="{00000000-0005-0000-0000-0000547A0000}"/>
    <cellStyle name="Normal 34 20 4 2 2 2 2" xfId="37861" xr:uid="{00000000-0005-0000-0000-0000557A0000}"/>
    <cellStyle name="Normal 34 20 4 2 2 3" xfId="28710" xr:uid="{00000000-0005-0000-0000-0000567A0000}"/>
    <cellStyle name="Normal 34 20 4 2 3" xfId="20165" xr:uid="{00000000-0005-0000-0000-0000577A0000}"/>
    <cellStyle name="Normal 34 20 4 2 3 2" xfId="36266" xr:uid="{00000000-0005-0000-0000-0000587A0000}"/>
    <cellStyle name="Normal 34 20 4 2 4" xfId="32101" xr:uid="{00000000-0005-0000-0000-0000597A0000}"/>
    <cellStyle name="Normal 34 20 4 3" xfId="7391" xr:uid="{00000000-0005-0000-0000-00005A7A0000}"/>
    <cellStyle name="Normal 34 20 4 3 2" xfId="23198" xr:uid="{00000000-0005-0000-0000-00005B7A0000}"/>
    <cellStyle name="Normal 34 20 4 3 2 2" xfId="39267" xr:uid="{00000000-0005-0000-0000-00005C7A0000}"/>
    <cellStyle name="Normal 34 20 4 3 3" xfId="30407" xr:uid="{00000000-0005-0000-0000-00005D7A0000}"/>
    <cellStyle name="Normal 34 20 4 4" xfId="23650" xr:uid="{00000000-0005-0000-0000-00005E7A0000}"/>
    <cellStyle name="Normal 34 20 4 4 2" xfId="39706" xr:uid="{00000000-0005-0000-0000-00005F7A0000}"/>
    <cellStyle name="Normal 34 20 4 5" xfId="33794" xr:uid="{00000000-0005-0000-0000-0000607A0000}"/>
    <cellStyle name="Normal 34 20 5" xfId="4171" xr:uid="{00000000-0005-0000-0000-0000617A0000}"/>
    <cellStyle name="Normal 34 20 5 2" xfId="6021" xr:uid="{00000000-0005-0000-0000-0000627A0000}"/>
    <cellStyle name="Normal 34 20 5 2 2" xfId="9436" xr:uid="{00000000-0005-0000-0000-0000637A0000}"/>
    <cellStyle name="Normal 34 20 5 2 2 2" xfId="22714" xr:uid="{00000000-0005-0000-0000-0000647A0000}"/>
    <cellStyle name="Normal 34 20 5 2 2 2 2" xfId="38783" xr:uid="{00000000-0005-0000-0000-0000657A0000}"/>
    <cellStyle name="Normal 34 20 5 2 2 3" xfId="28362" xr:uid="{00000000-0005-0000-0000-0000667A0000}"/>
    <cellStyle name="Normal 34 20 5 2 3" xfId="22959" xr:uid="{00000000-0005-0000-0000-0000677A0000}"/>
    <cellStyle name="Normal 34 20 5 2 3 2" xfId="39028" xr:uid="{00000000-0005-0000-0000-0000687A0000}"/>
    <cellStyle name="Normal 34 20 5 2 4" xfId="31757" xr:uid="{00000000-0005-0000-0000-0000697A0000}"/>
    <cellStyle name="Normal 34 20 5 3" xfId="7752" xr:uid="{00000000-0005-0000-0000-00006A7A0000}"/>
    <cellStyle name="Normal 34 20 5 3 2" xfId="24264" xr:uid="{00000000-0005-0000-0000-00006B7A0000}"/>
    <cellStyle name="Normal 34 20 5 3 2 2" xfId="40317" xr:uid="{00000000-0005-0000-0000-00006C7A0000}"/>
    <cellStyle name="Normal 34 20 5 3 3" xfId="30047" xr:uid="{00000000-0005-0000-0000-00006D7A0000}"/>
    <cellStyle name="Normal 34 20 5 4" xfId="19980" xr:uid="{00000000-0005-0000-0000-00006E7A0000}"/>
    <cellStyle name="Normal 34 20 5 4 2" xfId="36084" xr:uid="{00000000-0005-0000-0000-00006F7A0000}"/>
    <cellStyle name="Normal 34 20 5 5" xfId="33434" xr:uid="{00000000-0005-0000-0000-0000707A0000}"/>
    <cellStyle name="Normal 34 20 6" xfId="4627" xr:uid="{00000000-0005-0000-0000-0000717A0000}"/>
    <cellStyle name="Normal 34 20 6 2" xfId="6364" xr:uid="{00000000-0005-0000-0000-0000727A0000}"/>
    <cellStyle name="Normal 34 20 6 2 2" xfId="9774" xr:uid="{00000000-0005-0000-0000-0000737A0000}"/>
    <cellStyle name="Normal 34 20 6 2 2 2" xfId="24560" xr:uid="{00000000-0005-0000-0000-0000747A0000}"/>
    <cellStyle name="Normal 34 20 6 2 2 2 2" xfId="40604" xr:uid="{00000000-0005-0000-0000-0000757A0000}"/>
    <cellStyle name="Normal 34 20 6 2 2 3" xfId="28025" xr:uid="{00000000-0005-0000-0000-0000767A0000}"/>
    <cellStyle name="Normal 34 20 6 2 3" xfId="22344" xr:uid="{00000000-0005-0000-0000-0000777A0000}"/>
    <cellStyle name="Normal 34 20 6 2 3 2" xfId="38416" xr:uid="{00000000-0005-0000-0000-0000787A0000}"/>
    <cellStyle name="Normal 34 20 6 2 4" xfId="31426" xr:uid="{00000000-0005-0000-0000-0000797A0000}"/>
    <cellStyle name="Normal 34 20 6 3" xfId="8070" xr:uid="{00000000-0005-0000-0000-00007A7A0000}"/>
    <cellStyle name="Normal 34 20 6 3 2" xfId="19461" xr:uid="{00000000-0005-0000-0000-00007B7A0000}"/>
    <cellStyle name="Normal 34 20 6 3 2 2" xfId="35575" xr:uid="{00000000-0005-0000-0000-00007C7A0000}"/>
    <cellStyle name="Normal 34 20 6 3 3" xfId="29728" xr:uid="{00000000-0005-0000-0000-00007D7A0000}"/>
    <cellStyle name="Normal 34 20 6 4" xfId="10943" xr:uid="{00000000-0005-0000-0000-00007E7A0000}"/>
    <cellStyle name="Normal 34 20 6 4 2" xfId="34685" xr:uid="{00000000-0005-0000-0000-00007F7A0000}"/>
    <cellStyle name="Normal 34 20 6 5" xfId="33119" xr:uid="{00000000-0005-0000-0000-0000807A0000}"/>
    <cellStyle name="Normal 34 20 7" xfId="4721" xr:uid="{00000000-0005-0000-0000-0000817A0000}"/>
    <cellStyle name="Normal 34 20 7 2" xfId="6441" xr:uid="{00000000-0005-0000-0000-0000827A0000}"/>
    <cellStyle name="Normal 34 20 7 2 2" xfId="9851" xr:uid="{00000000-0005-0000-0000-0000837A0000}"/>
    <cellStyle name="Normal 34 20 7 2 2 2" xfId="24575" xr:uid="{00000000-0005-0000-0000-0000847A0000}"/>
    <cellStyle name="Normal 34 20 7 2 2 2 2" xfId="40619" xr:uid="{00000000-0005-0000-0000-0000857A0000}"/>
    <cellStyle name="Normal 34 20 7 2 2 3" xfId="27948" xr:uid="{00000000-0005-0000-0000-0000867A0000}"/>
    <cellStyle name="Normal 34 20 7 2 3" xfId="20453" xr:uid="{00000000-0005-0000-0000-0000877A0000}"/>
    <cellStyle name="Normal 34 20 7 2 3 2" xfId="36552" xr:uid="{00000000-0005-0000-0000-0000887A0000}"/>
    <cellStyle name="Normal 34 20 7 2 4" xfId="31349" xr:uid="{00000000-0005-0000-0000-0000897A0000}"/>
    <cellStyle name="Normal 34 20 7 3" xfId="8147" xr:uid="{00000000-0005-0000-0000-00008A7A0000}"/>
    <cellStyle name="Normal 34 20 7 3 2" xfId="21013" xr:uid="{00000000-0005-0000-0000-00008B7A0000}"/>
    <cellStyle name="Normal 34 20 7 3 2 2" xfId="37107" xr:uid="{00000000-0005-0000-0000-00008C7A0000}"/>
    <cellStyle name="Normal 34 20 7 3 3" xfId="29651" xr:uid="{00000000-0005-0000-0000-00008D7A0000}"/>
    <cellStyle name="Normal 34 20 7 4" xfId="22225" xr:uid="{00000000-0005-0000-0000-00008E7A0000}"/>
    <cellStyle name="Normal 34 20 7 4 2" xfId="38299" xr:uid="{00000000-0005-0000-0000-00008F7A0000}"/>
    <cellStyle name="Normal 34 20 7 5" xfId="33042" xr:uid="{00000000-0005-0000-0000-0000907A0000}"/>
    <cellStyle name="Normal 34 20 8" xfId="5085" xr:uid="{00000000-0005-0000-0000-0000917A0000}"/>
    <cellStyle name="Normal 34 20 8 2" xfId="6804" xr:uid="{00000000-0005-0000-0000-0000927A0000}"/>
    <cellStyle name="Normal 34 20 8 2 2" xfId="10210" xr:uid="{00000000-0005-0000-0000-0000937A0000}"/>
    <cellStyle name="Normal 34 20 8 2 2 2" xfId="23641" xr:uid="{00000000-0005-0000-0000-0000947A0000}"/>
    <cellStyle name="Normal 34 20 8 2 2 2 2" xfId="39697" xr:uid="{00000000-0005-0000-0000-0000957A0000}"/>
    <cellStyle name="Normal 34 20 8 2 2 3" xfId="27589" xr:uid="{00000000-0005-0000-0000-0000967A0000}"/>
    <cellStyle name="Normal 34 20 8 2 3" xfId="19860" xr:uid="{00000000-0005-0000-0000-0000977A0000}"/>
    <cellStyle name="Normal 34 20 8 2 3 2" xfId="35973" xr:uid="{00000000-0005-0000-0000-0000987A0000}"/>
    <cellStyle name="Normal 34 20 8 2 4" xfId="30990" xr:uid="{00000000-0005-0000-0000-0000997A0000}"/>
    <cellStyle name="Normal 34 20 8 3" xfId="8507" xr:uid="{00000000-0005-0000-0000-00009A7A0000}"/>
    <cellStyle name="Normal 34 20 8 3 2" xfId="21113" xr:uid="{00000000-0005-0000-0000-00009B7A0000}"/>
    <cellStyle name="Normal 34 20 8 3 2 2" xfId="37195" xr:uid="{00000000-0005-0000-0000-00009C7A0000}"/>
    <cellStyle name="Normal 34 20 8 3 3" xfId="29291" xr:uid="{00000000-0005-0000-0000-00009D7A0000}"/>
    <cellStyle name="Normal 34 20 8 4" xfId="12179" xr:uid="{00000000-0005-0000-0000-00009E7A0000}"/>
    <cellStyle name="Normal 34 20 8 4 2" xfId="35112" xr:uid="{00000000-0005-0000-0000-00009F7A0000}"/>
    <cellStyle name="Normal 34 20 8 5" xfId="32682" xr:uid="{00000000-0005-0000-0000-0000A07A0000}"/>
    <cellStyle name="Normal 34 20 9" xfId="5183" xr:uid="{00000000-0005-0000-0000-0000A17A0000}"/>
    <cellStyle name="Normal 34 20 9 2" xfId="8602" xr:uid="{00000000-0005-0000-0000-0000A27A0000}"/>
    <cellStyle name="Normal 34 20 9 2 2" xfId="10509" xr:uid="{00000000-0005-0000-0000-0000A37A0000}"/>
    <cellStyle name="Normal 34 20 9 2 2 2" xfId="34399" xr:uid="{00000000-0005-0000-0000-0000A47A0000}"/>
    <cellStyle name="Normal 34 20 9 2 3" xfId="29196" xr:uid="{00000000-0005-0000-0000-0000A57A0000}"/>
    <cellStyle name="Normal 34 20 9 3" xfId="12137" xr:uid="{00000000-0005-0000-0000-0000A67A0000}"/>
    <cellStyle name="Normal 34 20 9 3 2" xfId="35089" xr:uid="{00000000-0005-0000-0000-0000A77A0000}"/>
    <cellStyle name="Normal 34 20 9 4" xfId="32587" xr:uid="{00000000-0005-0000-0000-0000A87A0000}"/>
    <cellStyle name="Normal 34 21" xfId="1803" xr:uid="{00000000-0005-0000-0000-0000A97A0000}"/>
    <cellStyle name="Normal 34 21 10" xfId="6995" xr:uid="{00000000-0005-0000-0000-0000AA7A0000}"/>
    <cellStyle name="Normal 34 21 10 2" xfId="23127" xr:uid="{00000000-0005-0000-0000-0000AB7A0000}"/>
    <cellStyle name="Normal 34 21 10 2 2" xfId="39196" xr:uid="{00000000-0005-0000-0000-0000AC7A0000}"/>
    <cellStyle name="Normal 34 21 10 3" xfId="30803" xr:uid="{00000000-0005-0000-0000-0000AD7A0000}"/>
    <cellStyle name="Normal 34 21 11" xfId="12567" xr:uid="{00000000-0005-0000-0000-0000AE7A0000}"/>
    <cellStyle name="Normal 34 21 12" xfId="34191" xr:uid="{00000000-0005-0000-0000-0000AF7A0000}"/>
    <cellStyle name="Normal 34 21 2" xfId="3390" xr:uid="{00000000-0005-0000-0000-0000B07A0000}"/>
    <cellStyle name="Normal 34 21 2 10" xfId="34108" xr:uid="{00000000-0005-0000-0000-0000B17A0000}"/>
    <cellStyle name="Normal 34 21 2 2" xfId="3615" xr:uid="{00000000-0005-0000-0000-0000B27A0000}"/>
    <cellStyle name="Normal 34 21 2 2 10" xfId="47214" xr:uid="{00000000-0005-0000-0000-0000B37A0000}"/>
    <cellStyle name="Normal 34 21 2 2 2" xfId="4045" xr:uid="{00000000-0005-0000-0000-0000B47A0000}"/>
    <cellStyle name="Normal 34 21 2 2 2 2" xfId="5933" xr:uid="{00000000-0005-0000-0000-0000B57A0000}"/>
    <cellStyle name="Normal 34 21 2 2 2 2 2" xfId="9348" xr:uid="{00000000-0005-0000-0000-0000B67A0000}"/>
    <cellStyle name="Normal 34 21 2 2 2 2 2 2" xfId="24500" xr:uid="{00000000-0005-0000-0000-0000B77A0000}"/>
    <cellStyle name="Normal 34 21 2 2 2 2 2 2 2" xfId="40544" xr:uid="{00000000-0005-0000-0000-0000B87A0000}"/>
    <cellStyle name="Normal 34 21 2 2 2 2 2 3" xfId="28450" xr:uid="{00000000-0005-0000-0000-0000B97A0000}"/>
    <cellStyle name="Normal 34 21 2 2 2 2 3" xfId="20256" xr:uid="{00000000-0005-0000-0000-0000BA7A0000}"/>
    <cellStyle name="Normal 34 21 2 2 2 2 3 2" xfId="36355" xr:uid="{00000000-0005-0000-0000-0000BB7A0000}"/>
    <cellStyle name="Normal 34 21 2 2 2 2 4" xfId="31844" xr:uid="{00000000-0005-0000-0000-0000BC7A0000}"/>
    <cellStyle name="Normal 34 21 2 2 2 3" xfId="7651" xr:uid="{00000000-0005-0000-0000-0000BD7A0000}"/>
    <cellStyle name="Normal 34 21 2 2 2 3 2" xfId="23241" xr:uid="{00000000-0005-0000-0000-0000BE7A0000}"/>
    <cellStyle name="Normal 34 21 2 2 2 3 2 2" xfId="39309" xr:uid="{00000000-0005-0000-0000-0000BF7A0000}"/>
    <cellStyle name="Normal 34 21 2 2 2 3 3" xfId="30147" xr:uid="{00000000-0005-0000-0000-0000C07A0000}"/>
    <cellStyle name="Normal 34 21 2 2 2 4" xfId="18198" xr:uid="{00000000-0005-0000-0000-0000C17A0000}"/>
    <cellStyle name="Normal 34 21 2 2 2 5" xfId="19966" xr:uid="{00000000-0005-0000-0000-0000C27A0000}"/>
    <cellStyle name="Normal 34 21 2 2 2 5 2" xfId="36070" xr:uid="{00000000-0005-0000-0000-0000C37A0000}"/>
    <cellStyle name="Normal 34 21 2 2 2 6" xfId="33534" xr:uid="{00000000-0005-0000-0000-0000C47A0000}"/>
    <cellStyle name="Normal 34 21 2 2 3" xfId="4985" xr:uid="{00000000-0005-0000-0000-0000C57A0000}"/>
    <cellStyle name="Normal 34 21 2 2 3 10" xfId="47404" xr:uid="{00000000-0005-0000-0000-0000C67A0000}"/>
    <cellStyle name="Normal 34 21 2 2 3 2" xfId="6704" xr:uid="{00000000-0005-0000-0000-0000C77A0000}"/>
    <cellStyle name="Normal 34 21 2 2 3 2 2" xfId="10110" xr:uid="{00000000-0005-0000-0000-0000C87A0000}"/>
    <cellStyle name="Normal 34 21 2 2 3 2 2 2" xfId="24626" xr:uid="{00000000-0005-0000-0000-0000C97A0000}"/>
    <cellStyle name="Normal 34 21 2 2 3 2 2 2 2" xfId="40670" xr:uid="{00000000-0005-0000-0000-0000CA7A0000}"/>
    <cellStyle name="Normal 34 21 2 2 3 2 2 3" xfId="27689" xr:uid="{00000000-0005-0000-0000-0000CB7A0000}"/>
    <cellStyle name="Normal 34 21 2 2 3 2 3" xfId="10353" xr:uid="{00000000-0005-0000-0000-0000CC7A0000}"/>
    <cellStyle name="Normal 34 21 2 2 3 2 3 2" xfId="34323" xr:uid="{00000000-0005-0000-0000-0000CD7A0000}"/>
    <cellStyle name="Normal 34 21 2 2 3 2 4" xfId="31090" xr:uid="{00000000-0005-0000-0000-0000CE7A0000}"/>
    <cellStyle name="Normal 34 21 2 2 3 2 5" xfId="43101" xr:uid="{00000000-0005-0000-0000-0000CF7A0000}"/>
    <cellStyle name="Normal 34 21 2 2 3 2 6" xfId="43395" xr:uid="{00000000-0005-0000-0000-0000D07A0000}"/>
    <cellStyle name="Normal 34 21 2 2 3 2 7" xfId="46243" xr:uid="{00000000-0005-0000-0000-0000D17A0000}"/>
    <cellStyle name="Normal 34 21 2 2 3 2 8" xfId="47015" xr:uid="{00000000-0005-0000-0000-0000D27A0000}"/>
    <cellStyle name="Normal 34 21 2 2 3 2 9" xfId="47600" xr:uid="{00000000-0005-0000-0000-0000D37A0000}"/>
    <cellStyle name="Normal 34 21 2 2 3 3" xfId="8407" xr:uid="{00000000-0005-0000-0000-0000D47A0000}"/>
    <cellStyle name="Normal 34 21 2 2 3 3 2" xfId="21086" xr:uid="{00000000-0005-0000-0000-0000D57A0000}"/>
    <cellStyle name="Normal 34 21 2 2 3 3 2 2" xfId="37171" xr:uid="{00000000-0005-0000-0000-0000D67A0000}"/>
    <cellStyle name="Normal 34 21 2 2 3 3 3" xfId="29391" xr:uid="{00000000-0005-0000-0000-0000D77A0000}"/>
    <cellStyle name="Normal 34 21 2 2 3 3 4" xfId="44112" xr:uid="{00000000-0005-0000-0000-0000D87A0000}"/>
    <cellStyle name="Normal 34 21 2 2 3 4" xfId="16546" xr:uid="{00000000-0005-0000-0000-0000D97A0000}"/>
    <cellStyle name="Normal 34 21 2 2 3 4 2" xfId="35490" xr:uid="{00000000-0005-0000-0000-0000DA7A0000}"/>
    <cellStyle name="Normal 34 21 2 2 3 5" xfId="25152" xr:uid="{00000000-0005-0000-0000-0000DB7A0000}"/>
    <cellStyle name="Normal 34 21 2 2 3 6" xfId="25510" xr:uid="{00000000-0005-0000-0000-0000DC7A0000}"/>
    <cellStyle name="Normal 34 21 2 2 3 7" xfId="32782" xr:uid="{00000000-0005-0000-0000-0000DD7A0000}"/>
    <cellStyle name="Normal 34 21 2 2 3 8" xfId="43856" xr:uid="{00000000-0005-0000-0000-0000DE7A0000}"/>
    <cellStyle name="Normal 34 21 2 2 3 9" xfId="46781" xr:uid="{00000000-0005-0000-0000-0000DF7A0000}"/>
    <cellStyle name="Normal 34 21 2 2 4" xfId="5539" xr:uid="{00000000-0005-0000-0000-0000E07A0000}"/>
    <cellStyle name="Normal 34 21 2 2 4 2" xfId="8954" xr:uid="{00000000-0005-0000-0000-0000E17A0000}"/>
    <cellStyle name="Normal 34 21 2 2 4 2 2" xfId="23431" xr:uid="{00000000-0005-0000-0000-0000E27A0000}"/>
    <cellStyle name="Normal 34 21 2 2 4 2 2 2" xfId="39487" xr:uid="{00000000-0005-0000-0000-0000E37A0000}"/>
    <cellStyle name="Normal 34 21 2 2 4 2 3" xfId="28844" xr:uid="{00000000-0005-0000-0000-0000E47A0000}"/>
    <cellStyle name="Normal 34 21 2 2 4 3" xfId="22074" xr:uid="{00000000-0005-0000-0000-0000E57A0000}"/>
    <cellStyle name="Normal 34 21 2 2 4 3 2" xfId="38148" xr:uid="{00000000-0005-0000-0000-0000E67A0000}"/>
    <cellStyle name="Normal 34 21 2 2 4 4" xfId="32235" xr:uid="{00000000-0005-0000-0000-0000E77A0000}"/>
    <cellStyle name="Normal 34 21 2 2 5" xfId="7257" xr:uid="{00000000-0005-0000-0000-0000E87A0000}"/>
    <cellStyle name="Normal 34 21 2 2 5 2" xfId="23171" xr:uid="{00000000-0005-0000-0000-0000E97A0000}"/>
    <cellStyle name="Normal 34 21 2 2 5 2 2" xfId="39240" xr:uid="{00000000-0005-0000-0000-0000EA7A0000}"/>
    <cellStyle name="Normal 34 21 2 2 5 3" xfId="30541" xr:uid="{00000000-0005-0000-0000-0000EB7A0000}"/>
    <cellStyle name="Normal 34 21 2 2 6" xfId="12569" xr:uid="{00000000-0005-0000-0000-0000EC7A0000}"/>
    <cellStyle name="Normal 34 21 2 2 7" xfId="33928" xr:uid="{00000000-0005-0000-0000-0000ED7A0000}"/>
    <cellStyle name="Normal 34 21 2 2 8" xfId="43647" xr:uid="{00000000-0005-0000-0000-0000EE7A0000}"/>
    <cellStyle name="Normal 34 21 2 2 9" xfId="46553" xr:uid="{00000000-0005-0000-0000-0000EF7A0000}"/>
    <cellStyle name="Normal 34 21 2 2_Avviksanalyse løpende RNB15 (1)" xfId="16775" xr:uid="{00000000-0005-0000-0000-0000F07A0000}"/>
    <cellStyle name="Normal 34 21 2 3" xfId="3865" xr:uid="{00000000-0005-0000-0000-0000F17A0000}"/>
    <cellStyle name="Normal 34 21 2 3 2" xfId="5753" xr:uid="{00000000-0005-0000-0000-0000F27A0000}"/>
    <cellStyle name="Normal 34 21 2 3 2 2" xfId="9168" xr:uid="{00000000-0005-0000-0000-0000F37A0000}"/>
    <cellStyle name="Normal 34 21 2 3 2 2 2" xfId="21300" xr:uid="{00000000-0005-0000-0000-0000F47A0000}"/>
    <cellStyle name="Normal 34 21 2 3 2 2 2 2" xfId="37380" xr:uid="{00000000-0005-0000-0000-0000F57A0000}"/>
    <cellStyle name="Normal 34 21 2 3 2 2 3" xfId="28630" xr:uid="{00000000-0005-0000-0000-0000F67A0000}"/>
    <cellStyle name="Normal 34 21 2 3 2 3" xfId="22088" xr:uid="{00000000-0005-0000-0000-0000F77A0000}"/>
    <cellStyle name="Normal 34 21 2 3 2 3 2" xfId="38162" xr:uid="{00000000-0005-0000-0000-0000F87A0000}"/>
    <cellStyle name="Normal 34 21 2 3 2 4" xfId="32021" xr:uid="{00000000-0005-0000-0000-0000F97A0000}"/>
    <cellStyle name="Normal 34 21 2 3 3" xfId="7471" xr:uid="{00000000-0005-0000-0000-0000FA7A0000}"/>
    <cellStyle name="Normal 34 21 2 3 3 2" xfId="24214" xr:uid="{00000000-0005-0000-0000-0000FB7A0000}"/>
    <cellStyle name="Normal 34 21 2 3 3 2 2" xfId="40267" xr:uid="{00000000-0005-0000-0000-0000FC7A0000}"/>
    <cellStyle name="Normal 34 21 2 3 3 3" xfId="30327" xr:uid="{00000000-0005-0000-0000-0000FD7A0000}"/>
    <cellStyle name="Normal 34 21 2 3 4" xfId="12513" xr:uid="{00000000-0005-0000-0000-0000FE7A0000}"/>
    <cellStyle name="Normal 34 21 2 3 4 2" xfId="35266" xr:uid="{00000000-0005-0000-0000-0000FF7A0000}"/>
    <cellStyle name="Normal 34 21 2 3 5" xfId="33714" xr:uid="{00000000-0005-0000-0000-0000007B0000}"/>
    <cellStyle name="Normal 34 21 2 4" xfId="4350" xr:uid="{00000000-0005-0000-0000-0000017B0000}"/>
    <cellStyle name="Normal 34 21 2 4 2" xfId="6179" xr:uid="{00000000-0005-0000-0000-0000027B0000}"/>
    <cellStyle name="Normal 34 21 2 4 2 2" xfId="9593" xr:uid="{00000000-0005-0000-0000-0000037B0000}"/>
    <cellStyle name="Normal 34 21 2 4 2 2 2" xfId="21430" xr:uid="{00000000-0005-0000-0000-0000047B0000}"/>
    <cellStyle name="Normal 34 21 2 4 2 2 2 2" xfId="37510" xr:uid="{00000000-0005-0000-0000-0000057B0000}"/>
    <cellStyle name="Normal 34 21 2 4 2 2 3" xfId="28205" xr:uid="{00000000-0005-0000-0000-0000067B0000}"/>
    <cellStyle name="Normal 34 21 2 4 2 3" xfId="22323" xr:uid="{00000000-0005-0000-0000-0000077B0000}"/>
    <cellStyle name="Normal 34 21 2 4 2 3 2" xfId="38395" xr:uid="{00000000-0005-0000-0000-0000087B0000}"/>
    <cellStyle name="Normal 34 21 2 4 2 4" xfId="31602" xr:uid="{00000000-0005-0000-0000-0000097B0000}"/>
    <cellStyle name="Normal 34 21 2 4 3" xfId="7912" xr:uid="{00000000-0005-0000-0000-00000A7B0000}"/>
    <cellStyle name="Normal 34 21 2 4 3 2" xfId="20941" xr:uid="{00000000-0005-0000-0000-00000B7B0000}"/>
    <cellStyle name="Normal 34 21 2 4 3 2 2" xfId="37037" xr:uid="{00000000-0005-0000-0000-00000C7B0000}"/>
    <cellStyle name="Normal 34 21 2 4 3 3" xfId="29887" xr:uid="{00000000-0005-0000-0000-00000D7B0000}"/>
    <cellStyle name="Normal 34 21 2 4 4" xfId="12364" xr:uid="{00000000-0005-0000-0000-00000E7B0000}"/>
    <cellStyle name="Normal 34 21 2 4 4 2" xfId="35206" xr:uid="{00000000-0005-0000-0000-00000F7B0000}"/>
    <cellStyle name="Normal 34 21 2 4 5" xfId="33275" xr:uid="{00000000-0005-0000-0000-0000107B0000}"/>
    <cellStyle name="Normal 34 21 2 5" xfId="4805" xr:uid="{00000000-0005-0000-0000-0000117B0000}"/>
    <cellStyle name="Normal 34 21 2 5 2" xfId="6525" xr:uid="{00000000-0005-0000-0000-0000127B0000}"/>
    <cellStyle name="Normal 34 21 2 5 2 2" xfId="9931" xr:uid="{00000000-0005-0000-0000-0000137B0000}"/>
    <cellStyle name="Normal 34 21 2 5 2 2 2" xfId="24590" xr:uid="{00000000-0005-0000-0000-0000147B0000}"/>
    <cellStyle name="Normal 34 21 2 5 2 2 2 2" xfId="40634" xr:uid="{00000000-0005-0000-0000-0000157B0000}"/>
    <cellStyle name="Normal 34 21 2 5 2 2 3" xfId="27868" xr:uid="{00000000-0005-0000-0000-0000167B0000}"/>
    <cellStyle name="Normal 34 21 2 5 2 3" xfId="22138" xr:uid="{00000000-0005-0000-0000-0000177B0000}"/>
    <cellStyle name="Normal 34 21 2 5 2 3 2" xfId="38212" xr:uid="{00000000-0005-0000-0000-0000187B0000}"/>
    <cellStyle name="Normal 34 21 2 5 2 4" xfId="31269" xr:uid="{00000000-0005-0000-0000-0000197B0000}"/>
    <cellStyle name="Normal 34 21 2 5 3" xfId="8227" xr:uid="{00000000-0005-0000-0000-00001A7B0000}"/>
    <cellStyle name="Normal 34 21 2 5 3 2" xfId="19896" xr:uid="{00000000-0005-0000-0000-00001B7B0000}"/>
    <cellStyle name="Normal 34 21 2 5 3 2 2" xfId="36009" xr:uid="{00000000-0005-0000-0000-00001C7B0000}"/>
    <cellStyle name="Normal 34 21 2 5 3 3" xfId="29570" xr:uid="{00000000-0005-0000-0000-00001D7B0000}"/>
    <cellStyle name="Normal 34 21 2 5 4" xfId="22690" xr:uid="{00000000-0005-0000-0000-00001E7B0000}"/>
    <cellStyle name="Normal 34 21 2 5 4 2" xfId="38759" xr:uid="{00000000-0005-0000-0000-00001F7B0000}"/>
    <cellStyle name="Normal 34 21 2 5 5" xfId="32962" xr:uid="{00000000-0005-0000-0000-0000207B0000}"/>
    <cellStyle name="Normal 34 21 2 6" xfId="5165" xr:uid="{00000000-0005-0000-0000-0000217B0000}"/>
    <cellStyle name="Normal 34 21 2 6 2" xfId="6884" xr:uid="{00000000-0005-0000-0000-0000227B0000}"/>
    <cellStyle name="Normal 34 21 2 6 2 2" xfId="10290" xr:uid="{00000000-0005-0000-0000-0000237B0000}"/>
    <cellStyle name="Normal 34 21 2 6 2 2 2" xfId="24733" xr:uid="{00000000-0005-0000-0000-0000247B0000}"/>
    <cellStyle name="Normal 34 21 2 6 2 2 2 2" xfId="40776" xr:uid="{00000000-0005-0000-0000-0000257B0000}"/>
    <cellStyle name="Normal 34 21 2 6 2 2 3" xfId="27509" xr:uid="{00000000-0005-0000-0000-0000267B0000}"/>
    <cellStyle name="Normal 34 21 2 6 2 3" xfId="23109" xr:uid="{00000000-0005-0000-0000-0000277B0000}"/>
    <cellStyle name="Normal 34 21 2 6 2 3 2" xfId="39178" xr:uid="{00000000-0005-0000-0000-0000287B0000}"/>
    <cellStyle name="Normal 34 21 2 6 2 4" xfId="30910" xr:uid="{00000000-0005-0000-0000-0000297B0000}"/>
    <cellStyle name="Normal 34 21 2 6 3" xfId="8587" xr:uid="{00000000-0005-0000-0000-00002A7B0000}"/>
    <cellStyle name="Normal 34 21 2 6 3 2" xfId="10305" xr:uid="{00000000-0005-0000-0000-00002B7B0000}"/>
    <cellStyle name="Normal 34 21 2 6 3 2 2" xfId="27498" xr:uid="{00000000-0005-0000-0000-00002C7B0000}"/>
    <cellStyle name="Normal 34 21 2 6 3 3" xfId="29211" xr:uid="{00000000-0005-0000-0000-00002D7B0000}"/>
    <cellStyle name="Normal 34 21 2 6 4" xfId="20065" xr:uid="{00000000-0005-0000-0000-00002E7B0000}"/>
    <cellStyle name="Normal 34 21 2 6 4 2" xfId="36169" xr:uid="{00000000-0005-0000-0000-00002F7B0000}"/>
    <cellStyle name="Normal 34 21 2 6 5" xfId="32602" xr:uid="{00000000-0005-0000-0000-0000307B0000}"/>
    <cellStyle name="Normal 34 21 2 7" xfId="5344" xr:uid="{00000000-0005-0000-0000-0000317B0000}"/>
    <cellStyle name="Normal 34 21 2 7 2" xfId="8759" xr:uid="{00000000-0005-0000-0000-0000327B0000}"/>
    <cellStyle name="Normal 34 21 2 7 2 2" xfId="24410" xr:uid="{00000000-0005-0000-0000-0000337B0000}"/>
    <cellStyle name="Normal 34 21 2 7 2 2 2" xfId="40454" xr:uid="{00000000-0005-0000-0000-0000347B0000}"/>
    <cellStyle name="Normal 34 21 2 7 2 3" xfId="29039" xr:uid="{00000000-0005-0000-0000-0000357B0000}"/>
    <cellStyle name="Normal 34 21 2 7 3" xfId="20082" xr:uid="{00000000-0005-0000-0000-0000367B0000}"/>
    <cellStyle name="Normal 34 21 2 7 3 2" xfId="36186" xr:uid="{00000000-0005-0000-0000-0000377B0000}"/>
    <cellStyle name="Normal 34 21 2 7 4" xfId="32430" xr:uid="{00000000-0005-0000-0000-0000387B0000}"/>
    <cellStyle name="Normal 34 21 2 8" xfId="7077" xr:uid="{00000000-0005-0000-0000-0000397B0000}"/>
    <cellStyle name="Normal 34 21 2 8 2" xfId="20658" xr:uid="{00000000-0005-0000-0000-00003A7B0000}"/>
    <cellStyle name="Normal 34 21 2 8 2 2" xfId="36757" xr:uid="{00000000-0005-0000-0000-00003B7B0000}"/>
    <cellStyle name="Normal 34 21 2 8 3" xfId="30721" xr:uid="{00000000-0005-0000-0000-00003C7B0000}"/>
    <cellStyle name="Normal 34 21 2 9" xfId="12568" xr:uid="{00000000-0005-0000-0000-00003D7B0000}"/>
    <cellStyle name="Normal 34 21 3" xfId="3531" xr:uid="{00000000-0005-0000-0000-00003E7B0000}"/>
    <cellStyle name="Normal 34 21 3 10" xfId="47060" xr:uid="{00000000-0005-0000-0000-00003F7B0000}"/>
    <cellStyle name="Normal 34 21 3 2" xfId="3966" xr:uid="{00000000-0005-0000-0000-0000407B0000}"/>
    <cellStyle name="Normal 34 21 3 2 2" xfId="5854" xr:uid="{00000000-0005-0000-0000-0000417B0000}"/>
    <cellStyle name="Normal 34 21 3 2 2 2" xfId="9269" xr:uid="{00000000-0005-0000-0000-0000427B0000}"/>
    <cellStyle name="Normal 34 21 3 2 2 2 2" xfId="21334" xr:uid="{00000000-0005-0000-0000-0000437B0000}"/>
    <cellStyle name="Normal 34 21 3 2 2 2 2 2" xfId="37414" xr:uid="{00000000-0005-0000-0000-0000447B0000}"/>
    <cellStyle name="Normal 34 21 3 2 2 2 3" xfId="28529" xr:uid="{00000000-0005-0000-0000-0000457B0000}"/>
    <cellStyle name="Normal 34 21 3 2 2 3" xfId="22928" xr:uid="{00000000-0005-0000-0000-0000467B0000}"/>
    <cellStyle name="Normal 34 21 3 2 2 3 2" xfId="38997" xr:uid="{00000000-0005-0000-0000-0000477B0000}"/>
    <cellStyle name="Normal 34 21 3 2 2 4" xfId="31920" xr:uid="{00000000-0005-0000-0000-0000487B0000}"/>
    <cellStyle name="Normal 34 21 3 2 3" xfId="7572" xr:uid="{00000000-0005-0000-0000-0000497B0000}"/>
    <cellStyle name="Normal 34 21 3 2 3 2" xfId="20822" xr:uid="{00000000-0005-0000-0000-00004A7B0000}"/>
    <cellStyle name="Normal 34 21 3 2 3 2 2" xfId="36921" xr:uid="{00000000-0005-0000-0000-00004B7B0000}"/>
    <cellStyle name="Normal 34 21 3 2 3 3" xfId="30226" xr:uid="{00000000-0005-0000-0000-00004C7B0000}"/>
    <cellStyle name="Normal 34 21 3 2 4" xfId="18199" xr:uid="{00000000-0005-0000-0000-00004D7B0000}"/>
    <cellStyle name="Normal 34 21 3 2 5" xfId="22792" xr:uid="{00000000-0005-0000-0000-00004E7B0000}"/>
    <cellStyle name="Normal 34 21 3 2 5 2" xfId="38861" xr:uid="{00000000-0005-0000-0000-00004F7B0000}"/>
    <cellStyle name="Normal 34 21 3 2 6" xfId="33613" xr:uid="{00000000-0005-0000-0000-0000507B0000}"/>
    <cellStyle name="Normal 34 21 3 3" xfId="4906" xr:uid="{00000000-0005-0000-0000-0000517B0000}"/>
    <cellStyle name="Normal 34 21 3 3 10" xfId="47250" xr:uid="{00000000-0005-0000-0000-0000527B0000}"/>
    <cellStyle name="Normal 34 21 3 3 2" xfId="6625" xr:uid="{00000000-0005-0000-0000-0000537B0000}"/>
    <cellStyle name="Normal 34 21 3 3 2 2" xfId="10031" xr:uid="{00000000-0005-0000-0000-0000547B0000}"/>
    <cellStyle name="Normal 34 21 3 3 2 2 2" xfId="21811" xr:uid="{00000000-0005-0000-0000-0000557B0000}"/>
    <cellStyle name="Normal 34 21 3 3 2 2 2 2" xfId="37887" xr:uid="{00000000-0005-0000-0000-0000567B0000}"/>
    <cellStyle name="Normal 34 21 3 3 2 2 3" xfId="27768" xr:uid="{00000000-0005-0000-0000-0000577B0000}"/>
    <cellStyle name="Normal 34 21 3 3 2 3" xfId="22371" xr:uid="{00000000-0005-0000-0000-0000587B0000}"/>
    <cellStyle name="Normal 34 21 3 3 2 3 2" xfId="38443" xr:uid="{00000000-0005-0000-0000-0000597B0000}"/>
    <cellStyle name="Normal 34 21 3 3 2 4" xfId="31169" xr:uid="{00000000-0005-0000-0000-00005A7B0000}"/>
    <cellStyle name="Normal 34 21 3 3 2 5" xfId="42012" xr:uid="{00000000-0005-0000-0000-00005B7B0000}"/>
    <cellStyle name="Normal 34 21 3 3 2 6" xfId="43247" xr:uid="{00000000-0005-0000-0000-00005C7B0000}"/>
    <cellStyle name="Normal 34 21 3 3 2 7" xfId="46093" xr:uid="{00000000-0005-0000-0000-00005D7B0000}"/>
    <cellStyle name="Normal 34 21 3 3 2 8" xfId="46860" xr:uid="{00000000-0005-0000-0000-00005E7B0000}"/>
    <cellStyle name="Normal 34 21 3 3 2 9" xfId="47446" xr:uid="{00000000-0005-0000-0000-00005F7B0000}"/>
    <cellStyle name="Normal 34 21 3 3 3" xfId="8328" xr:uid="{00000000-0005-0000-0000-0000607B0000}"/>
    <cellStyle name="Normal 34 21 3 3 3 2" xfId="19483" xr:uid="{00000000-0005-0000-0000-0000617B0000}"/>
    <cellStyle name="Normal 34 21 3 3 3 2 2" xfId="35597" xr:uid="{00000000-0005-0000-0000-0000627B0000}"/>
    <cellStyle name="Normal 34 21 3 3 3 3" xfId="29470" xr:uid="{00000000-0005-0000-0000-0000637B0000}"/>
    <cellStyle name="Normal 34 21 3 3 3 4" xfId="44113" xr:uid="{00000000-0005-0000-0000-0000647B0000}"/>
    <cellStyle name="Normal 34 21 3 3 4" xfId="15456" xr:uid="{00000000-0005-0000-0000-0000657B0000}"/>
    <cellStyle name="Normal 34 21 3 3 4 2" xfId="35342" xr:uid="{00000000-0005-0000-0000-0000667B0000}"/>
    <cellStyle name="Normal 34 21 3 3 5" xfId="24983" xr:uid="{00000000-0005-0000-0000-0000677B0000}"/>
    <cellStyle name="Normal 34 21 3 3 6" xfId="25511" xr:uid="{00000000-0005-0000-0000-0000687B0000}"/>
    <cellStyle name="Normal 34 21 3 3 7" xfId="32861" xr:uid="{00000000-0005-0000-0000-0000697B0000}"/>
    <cellStyle name="Normal 34 21 3 3 8" xfId="43703" xr:uid="{00000000-0005-0000-0000-00006A7B0000}"/>
    <cellStyle name="Normal 34 21 3 3 9" xfId="46621" xr:uid="{00000000-0005-0000-0000-00006B7B0000}"/>
    <cellStyle name="Normal 34 21 3 4" xfId="5460" xr:uid="{00000000-0005-0000-0000-00006C7B0000}"/>
    <cellStyle name="Normal 34 21 3 4 2" xfId="8875" xr:uid="{00000000-0005-0000-0000-00006D7B0000}"/>
    <cellStyle name="Normal 34 21 3 4 2 2" xfId="11754" xr:uid="{00000000-0005-0000-0000-00006E7B0000}"/>
    <cellStyle name="Normal 34 21 3 4 2 2 2" xfId="34852" xr:uid="{00000000-0005-0000-0000-00006F7B0000}"/>
    <cellStyle name="Normal 34 21 3 4 2 3" xfId="28923" xr:uid="{00000000-0005-0000-0000-0000707B0000}"/>
    <cellStyle name="Normal 34 21 3 4 3" xfId="22859" xr:uid="{00000000-0005-0000-0000-0000717B0000}"/>
    <cellStyle name="Normal 34 21 3 4 3 2" xfId="38928" xr:uid="{00000000-0005-0000-0000-0000727B0000}"/>
    <cellStyle name="Normal 34 21 3 4 4" xfId="32314" xr:uid="{00000000-0005-0000-0000-0000737B0000}"/>
    <cellStyle name="Normal 34 21 3 5" xfId="7178" xr:uid="{00000000-0005-0000-0000-0000747B0000}"/>
    <cellStyle name="Normal 34 21 3 5 2" xfId="20688" xr:uid="{00000000-0005-0000-0000-0000757B0000}"/>
    <cellStyle name="Normal 34 21 3 5 2 2" xfId="36787" xr:uid="{00000000-0005-0000-0000-0000767B0000}"/>
    <cellStyle name="Normal 34 21 3 5 3" xfId="30620" xr:uid="{00000000-0005-0000-0000-0000777B0000}"/>
    <cellStyle name="Normal 34 21 3 6" xfId="12570" xr:uid="{00000000-0005-0000-0000-0000787B0000}"/>
    <cellStyle name="Normal 34 21 3 7" xfId="34007" xr:uid="{00000000-0005-0000-0000-0000797B0000}"/>
    <cellStyle name="Normal 34 21 3 8" xfId="43497" xr:uid="{00000000-0005-0000-0000-00007A7B0000}"/>
    <cellStyle name="Normal 34 21 3 9" xfId="46396" xr:uid="{00000000-0005-0000-0000-00007B7B0000}"/>
    <cellStyle name="Normal 34 21 3_Avviksanalyse løpende RNB15 (1)" xfId="16776" xr:uid="{00000000-0005-0000-0000-00007C7B0000}"/>
    <cellStyle name="Normal 34 21 4" xfId="3786" xr:uid="{00000000-0005-0000-0000-00007D7B0000}"/>
    <cellStyle name="Normal 34 21 4 2" xfId="5674" xr:uid="{00000000-0005-0000-0000-00007E7B0000}"/>
    <cellStyle name="Normal 34 21 4 2 2" xfId="9089" xr:uid="{00000000-0005-0000-0000-00007F7B0000}"/>
    <cellStyle name="Normal 34 21 4 2 2 2" xfId="23451" xr:uid="{00000000-0005-0000-0000-0000807B0000}"/>
    <cellStyle name="Normal 34 21 4 2 2 2 2" xfId="39507" xr:uid="{00000000-0005-0000-0000-0000817B0000}"/>
    <cellStyle name="Normal 34 21 4 2 2 3" xfId="28709" xr:uid="{00000000-0005-0000-0000-0000827B0000}"/>
    <cellStyle name="Normal 34 21 4 2 3" xfId="23898" xr:uid="{00000000-0005-0000-0000-0000837B0000}"/>
    <cellStyle name="Normal 34 21 4 2 3 2" xfId="39954" xr:uid="{00000000-0005-0000-0000-0000847B0000}"/>
    <cellStyle name="Normal 34 21 4 2 4" xfId="32100" xr:uid="{00000000-0005-0000-0000-0000857B0000}"/>
    <cellStyle name="Normal 34 21 4 3" xfId="7392" xr:uid="{00000000-0005-0000-0000-0000867B0000}"/>
    <cellStyle name="Normal 34 21 4 3 2" xfId="20767" xr:uid="{00000000-0005-0000-0000-0000877B0000}"/>
    <cellStyle name="Normal 34 21 4 3 2 2" xfId="36866" xr:uid="{00000000-0005-0000-0000-0000887B0000}"/>
    <cellStyle name="Normal 34 21 4 3 3" xfId="30406" xr:uid="{00000000-0005-0000-0000-0000897B0000}"/>
    <cellStyle name="Normal 34 21 4 4" xfId="22780" xr:uid="{00000000-0005-0000-0000-00008A7B0000}"/>
    <cellStyle name="Normal 34 21 4 4 2" xfId="38849" xr:uid="{00000000-0005-0000-0000-00008B7B0000}"/>
    <cellStyle name="Normal 34 21 4 5" xfId="33793" xr:uid="{00000000-0005-0000-0000-00008C7B0000}"/>
    <cellStyle name="Normal 34 21 5" xfId="4172" xr:uid="{00000000-0005-0000-0000-00008D7B0000}"/>
    <cellStyle name="Normal 34 21 5 2" xfId="6022" xr:uid="{00000000-0005-0000-0000-00008E7B0000}"/>
    <cellStyle name="Normal 34 21 5 2 2" xfId="9437" xr:uid="{00000000-0005-0000-0000-00008F7B0000}"/>
    <cellStyle name="Normal 34 21 5 2 2 2" xfId="21385" xr:uid="{00000000-0005-0000-0000-0000907B0000}"/>
    <cellStyle name="Normal 34 21 5 2 2 2 2" xfId="37465" xr:uid="{00000000-0005-0000-0000-0000917B0000}"/>
    <cellStyle name="Normal 34 21 5 2 2 3" xfId="28361" xr:uid="{00000000-0005-0000-0000-0000927B0000}"/>
    <cellStyle name="Normal 34 21 5 2 3" xfId="20291" xr:uid="{00000000-0005-0000-0000-0000937B0000}"/>
    <cellStyle name="Normal 34 21 5 2 3 2" xfId="36390" xr:uid="{00000000-0005-0000-0000-0000947B0000}"/>
    <cellStyle name="Normal 34 21 5 2 4" xfId="31756" xr:uid="{00000000-0005-0000-0000-0000957B0000}"/>
    <cellStyle name="Normal 34 21 5 3" xfId="7753" xr:uid="{00000000-0005-0000-0000-0000967B0000}"/>
    <cellStyle name="Normal 34 21 5 3 2" xfId="21755" xr:uid="{00000000-0005-0000-0000-0000977B0000}"/>
    <cellStyle name="Normal 34 21 5 3 2 2" xfId="37833" xr:uid="{00000000-0005-0000-0000-0000987B0000}"/>
    <cellStyle name="Normal 34 21 5 3 3" xfId="30046" xr:uid="{00000000-0005-0000-0000-0000997B0000}"/>
    <cellStyle name="Normal 34 21 5 4" xfId="10994" xr:uid="{00000000-0005-0000-0000-00009A7B0000}"/>
    <cellStyle name="Normal 34 21 5 4 2" xfId="34728" xr:uid="{00000000-0005-0000-0000-00009B7B0000}"/>
    <cellStyle name="Normal 34 21 5 5" xfId="33433" xr:uid="{00000000-0005-0000-0000-00009C7B0000}"/>
    <cellStyle name="Normal 34 21 6" xfId="4628" xr:uid="{00000000-0005-0000-0000-00009D7B0000}"/>
    <cellStyle name="Normal 34 21 6 2" xfId="6365" xr:uid="{00000000-0005-0000-0000-00009E7B0000}"/>
    <cellStyle name="Normal 34 21 6 2 2" xfId="9775" xr:uid="{00000000-0005-0000-0000-00009F7B0000}"/>
    <cellStyle name="Normal 34 21 6 2 2 2" xfId="21803" xr:uid="{00000000-0005-0000-0000-0000A07B0000}"/>
    <cellStyle name="Normal 34 21 6 2 2 2 2" xfId="37879" xr:uid="{00000000-0005-0000-0000-0000A17B0000}"/>
    <cellStyle name="Normal 34 21 6 2 2 3" xfId="28024" xr:uid="{00000000-0005-0000-0000-0000A27B0000}"/>
    <cellStyle name="Normal 34 21 6 2 3" xfId="23025" xr:uid="{00000000-0005-0000-0000-0000A37B0000}"/>
    <cellStyle name="Normal 34 21 6 2 3 2" xfId="39094" xr:uid="{00000000-0005-0000-0000-0000A47B0000}"/>
    <cellStyle name="Normal 34 21 6 2 4" xfId="31425" xr:uid="{00000000-0005-0000-0000-0000A57B0000}"/>
    <cellStyle name="Normal 34 21 6 3" xfId="8071" xr:uid="{00000000-0005-0000-0000-0000A67B0000}"/>
    <cellStyle name="Normal 34 21 6 3 2" xfId="11898" xr:uid="{00000000-0005-0000-0000-0000A77B0000}"/>
    <cellStyle name="Normal 34 21 6 3 2 2" xfId="34934" xr:uid="{00000000-0005-0000-0000-0000A87B0000}"/>
    <cellStyle name="Normal 34 21 6 3 3" xfId="29727" xr:uid="{00000000-0005-0000-0000-0000A97B0000}"/>
    <cellStyle name="Normal 34 21 6 4" xfId="19674" xr:uid="{00000000-0005-0000-0000-0000AA7B0000}"/>
    <cellStyle name="Normal 34 21 6 4 2" xfId="35788" xr:uid="{00000000-0005-0000-0000-0000AB7B0000}"/>
    <cellStyle name="Normal 34 21 6 5" xfId="33118" xr:uid="{00000000-0005-0000-0000-0000AC7B0000}"/>
    <cellStyle name="Normal 34 21 7" xfId="4722" xr:uid="{00000000-0005-0000-0000-0000AD7B0000}"/>
    <cellStyle name="Normal 34 21 7 2" xfId="6442" xr:uid="{00000000-0005-0000-0000-0000AE7B0000}"/>
    <cellStyle name="Normal 34 21 7 2 2" xfId="9852" xr:uid="{00000000-0005-0000-0000-0000AF7B0000}"/>
    <cellStyle name="Normal 34 21 7 2 2 2" xfId="21806" xr:uid="{00000000-0005-0000-0000-0000B07B0000}"/>
    <cellStyle name="Normal 34 21 7 2 2 2 2" xfId="37882" xr:uid="{00000000-0005-0000-0000-0000B17B0000}"/>
    <cellStyle name="Normal 34 21 7 2 2 3" xfId="27947" xr:uid="{00000000-0005-0000-0000-0000B27B0000}"/>
    <cellStyle name="Normal 34 21 7 2 3" xfId="20454" xr:uid="{00000000-0005-0000-0000-0000B37B0000}"/>
    <cellStyle name="Normal 34 21 7 2 3 2" xfId="36553" xr:uid="{00000000-0005-0000-0000-0000B47B0000}"/>
    <cellStyle name="Normal 34 21 7 2 4" xfId="31348" xr:uid="{00000000-0005-0000-0000-0000B57B0000}"/>
    <cellStyle name="Normal 34 21 7 3" xfId="8148" xr:uid="{00000000-0005-0000-0000-0000B67B0000}"/>
    <cellStyle name="Normal 34 21 7 3 2" xfId="10600" xr:uid="{00000000-0005-0000-0000-0000B77B0000}"/>
    <cellStyle name="Normal 34 21 7 3 2 2" xfId="34448" xr:uid="{00000000-0005-0000-0000-0000B87B0000}"/>
    <cellStyle name="Normal 34 21 7 3 3" xfId="29650" xr:uid="{00000000-0005-0000-0000-0000B97B0000}"/>
    <cellStyle name="Normal 34 21 7 4" xfId="22829" xr:uid="{00000000-0005-0000-0000-0000BA7B0000}"/>
    <cellStyle name="Normal 34 21 7 4 2" xfId="38898" xr:uid="{00000000-0005-0000-0000-0000BB7B0000}"/>
    <cellStyle name="Normal 34 21 7 5" xfId="33041" xr:uid="{00000000-0005-0000-0000-0000BC7B0000}"/>
    <cellStyle name="Normal 34 21 8" xfId="5086" xr:uid="{00000000-0005-0000-0000-0000BD7B0000}"/>
    <cellStyle name="Normal 34 21 8 2" xfId="6805" xr:uid="{00000000-0005-0000-0000-0000BE7B0000}"/>
    <cellStyle name="Normal 34 21 8 2 2" xfId="10211" xr:uid="{00000000-0005-0000-0000-0000BF7B0000}"/>
    <cellStyle name="Normal 34 21 8 2 2 2" xfId="24644" xr:uid="{00000000-0005-0000-0000-0000C07B0000}"/>
    <cellStyle name="Normal 34 21 8 2 2 2 2" xfId="40688" xr:uid="{00000000-0005-0000-0000-0000C17B0000}"/>
    <cellStyle name="Normal 34 21 8 2 2 3" xfId="27588" xr:uid="{00000000-0005-0000-0000-0000C27B0000}"/>
    <cellStyle name="Normal 34 21 8 2 3" xfId="22702" xr:uid="{00000000-0005-0000-0000-0000C37B0000}"/>
    <cellStyle name="Normal 34 21 8 2 3 2" xfId="38771" xr:uid="{00000000-0005-0000-0000-0000C47B0000}"/>
    <cellStyle name="Normal 34 21 8 2 4" xfId="30989" xr:uid="{00000000-0005-0000-0000-0000C57B0000}"/>
    <cellStyle name="Normal 34 21 8 3" xfId="8508" xr:uid="{00000000-0005-0000-0000-0000C67B0000}"/>
    <cellStyle name="Normal 34 21 8 3 2" xfId="21114" xr:uid="{00000000-0005-0000-0000-0000C77B0000}"/>
    <cellStyle name="Normal 34 21 8 3 2 2" xfId="37196" xr:uid="{00000000-0005-0000-0000-0000C87B0000}"/>
    <cellStyle name="Normal 34 21 8 3 3" xfId="29290" xr:uid="{00000000-0005-0000-0000-0000C97B0000}"/>
    <cellStyle name="Normal 34 21 8 4" xfId="20058" xr:uid="{00000000-0005-0000-0000-0000CA7B0000}"/>
    <cellStyle name="Normal 34 21 8 4 2" xfId="36162" xr:uid="{00000000-0005-0000-0000-0000CB7B0000}"/>
    <cellStyle name="Normal 34 21 8 5" xfId="32681" xr:uid="{00000000-0005-0000-0000-0000CC7B0000}"/>
    <cellStyle name="Normal 34 21 9" xfId="5184" xr:uid="{00000000-0005-0000-0000-0000CD7B0000}"/>
    <cellStyle name="Normal 34 21 9 2" xfId="8603" xr:uid="{00000000-0005-0000-0000-0000CE7B0000}"/>
    <cellStyle name="Normal 34 21 9 2 2" xfId="19507" xr:uid="{00000000-0005-0000-0000-0000CF7B0000}"/>
    <cellStyle name="Normal 34 21 9 2 2 2" xfId="35621" xr:uid="{00000000-0005-0000-0000-0000D07B0000}"/>
    <cellStyle name="Normal 34 21 9 2 3" xfId="29195" xr:uid="{00000000-0005-0000-0000-0000D17B0000}"/>
    <cellStyle name="Normal 34 21 9 3" xfId="23849" xr:uid="{00000000-0005-0000-0000-0000D27B0000}"/>
    <cellStyle name="Normal 34 21 9 3 2" xfId="39905" xr:uid="{00000000-0005-0000-0000-0000D37B0000}"/>
    <cellStyle name="Normal 34 21 9 4" xfId="32586" xr:uid="{00000000-0005-0000-0000-0000D47B0000}"/>
    <cellStyle name="Normal 34 22" xfId="3381" xr:uid="{00000000-0005-0000-0000-0000D57B0000}"/>
    <cellStyle name="Normal 34 22 10" xfId="34116" xr:uid="{00000000-0005-0000-0000-0000D67B0000}"/>
    <cellStyle name="Normal 34 22 2" xfId="3607" xr:uid="{00000000-0005-0000-0000-0000D77B0000}"/>
    <cellStyle name="Normal 34 22 2 10" xfId="47206" xr:uid="{00000000-0005-0000-0000-0000D87B0000}"/>
    <cellStyle name="Normal 34 22 2 2" xfId="4037" xr:uid="{00000000-0005-0000-0000-0000D97B0000}"/>
    <cellStyle name="Normal 34 22 2 2 2" xfId="5925" xr:uid="{00000000-0005-0000-0000-0000DA7B0000}"/>
    <cellStyle name="Normal 34 22 2 2 2 2" xfId="9340" xr:uid="{00000000-0005-0000-0000-0000DB7B0000}"/>
    <cellStyle name="Normal 34 22 2 2 2 2 2" xfId="23494" xr:uid="{00000000-0005-0000-0000-0000DC7B0000}"/>
    <cellStyle name="Normal 34 22 2 2 2 2 2 2" xfId="39550" xr:uid="{00000000-0005-0000-0000-0000DD7B0000}"/>
    <cellStyle name="Normal 34 22 2 2 2 2 3" xfId="28458" xr:uid="{00000000-0005-0000-0000-0000DE7B0000}"/>
    <cellStyle name="Normal 34 22 2 2 2 3" xfId="23943" xr:uid="{00000000-0005-0000-0000-0000DF7B0000}"/>
    <cellStyle name="Normal 34 22 2 2 2 3 2" xfId="39997" xr:uid="{00000000-0005-0000-0000-0000E07B0000}"/>
    <cellStyle name="Normal 34 22 2 2 2 4" xfId="31851" xr:uid="{00000000-0005-0000-0000-0000E17B0000}"/>
    <cellStyle name="Normal 34 22 2 2 3" xfId="7643" xr:uid="{00000000-0005-0000-0000-0000E27B0000}"/>
    <cellStyle name="Normal 34 22 2 2 3 2" xfId="24242" xr:uid="{00000000-0005-0000-0000-0000E37B0000}"/>
    <cellStyle name="Normal 34 22 2 2 3 2 2" xfId="40295" xr:uid="{00000000-0005-0000-0000-0000E47B0000}"/>
    <cellStyle name="Normal 34 22 2 2 3 3" xfId="30155" xr:uid="{00000000-0005-0000-0000-0000E57B0000}"/>
    <cellStyle name="Normal 34 22 2 2 4" xfId="18200" xr:uid="{00000000-0005-0000-0000-0000E67B0000}"/>
    <cellStyle name="Normal 34 22 2 2 5" xfId="21748" xr:uid="{00000000-0005-0000-0000-0000E77B0000}"/>
    <cellStyle name="Normal 34 22 2 2 5 2" xfId="37826" xr:uid="{00000000-0005-0000-0000-0000E87B0000}"/>
    <cellStyle name="Normal 34 22 2 2 6" xfId="33542" xr:uid="{00000000-0005-0000-0000-0000E97B0000}"/>
    <cellStyle name="Normal 34 22 2 3" xfId="4977" xr:uid="{00000000-0005-0000-0000-0000EA7B0000}"/>
    <cellStyle name="Normal 34 22 2 3 10" xfId="47396" xr:uid="{00000000-0005-0000-0000-0000EB7B0000}"/>
    <cellStyle name="Normal 34 22 2 3 2" xfId="6696" xr:uid="{00000000-0005-0000-0000-0000EC7B0000}"/>
    <cellStyle name="Normal 34 22 2 3 2 2" xfId="10102" xr:uid="{00000000-0005-0000-0000-0000ED7B0000}"/>
    <cellStyle name="Normal 34 22 2 3 2 2 2" xfId="23619" xr:uid="{00000000-0005-0000-0000-0000EE7B0000}"/>
    <cellStyle name="Normal 34 22 2 3 2 2 2 2" xfId="39675" xr:uid="{00000000-0005-0000-0000-0000EF7B0000}"/>
    <cellStyle name="Normal 34 22 2 3 2 2 3" xfId="27697" xr:uid="{00000000-0005-0000-0000-0000F07B0000}"/>
    <cellStyle name="Normal 34 22 2 3 2 3" xfId="20544" xr:uid="{00000000-0005-0000-0000-0000F17B0000}"/>
    <cellStyle name="Normal 34 22 2 3 2 3 2" xfId="36643" xr:uid="{00000000-0005-0000-0000-0000F27B0000}"/>
    <cellStyle name="Normal 34 22 2 3 2 4" xfId="31098" xr:uid="{00000000-0005-0000-0000-0000F37B0000}"/>
    <cellStyle name="Normal 34 22 2 3 2 5" xfId="43093" xr:uid="{00000000-0005-0000-0000-0000F47B0000}"/>
    <cellStyle name="Normal 34 22 2 3 2 6" xfId="43387" xr:uid="{00000000-0005-0000-0000-0000F57B0000}"/>
    <cellStyle name="Normal 34 22 2 3 2 7" xfId="46235" xr:uid="{00000000-0005-0000-0000-0000F67B0000}"/>
    <cellStyle name="Normal 34 22 2 3 2 8" xfId="47007" xr:uid="{00000000-0005-0000-0000-0000F77B0000}"/>
    <cellStyle name="Normal 34 22 2 3 2 9" xfId="47592" xr:uid="{00000000-0005-0000-0000-0000F87B0000}"/>
    <cellStyle name="Normal 34 22 2 3 3" xfId="8399" xr:uid="{00000000-0005-0000-0000-0000F97B0000}"/>
    <cellStyle name="Normal 34 22 2 3 3 2" xfId="24359" xr:uid="{00000000-0005-0000-0000-0000FA7B0000}"/>
    <cellStyle name="Normal 34 22 2 3 3 2 2" xfId="40406" xr:uid="{00000000-0005-0000-0000-0000FB7B0000}"/>
    <cellStyle name="Normal 34 22 2 3 3 3" xfId="29399" xr:uid="{00000000-0005-0000-0000-0000FC7B0000}"/>
    <cellStyle name="Normal 34 22 2 3 3 4" xfId="44114" xr:uid="{00000000-0005-0000-0000-0000FD7B0000}"/>
    <cellStyle name="Normal 34 22 2 3 4" xfId="16538" xr:uid="{00000000-0005-0000-0000-0000FE7B0000}"/>
    <cellStyle name="Normal 34 22 2 3 4 2" xfId="35482" xr:uid="{00000000-0005-0000-0000-0000FF7B0000}"/>
    <cellStyle name="Normal 34 22 2 3 5" xfId="25144" xr:uid="{00000000-0005-0000-0000-0000007C0000}"/>
    <cellStyle name="Normal 34 22 2 3 6" xfId="25512" xr:uid="{00000000-0005-0000-0000-0000017C0000}"/>
    <cellStyle name="Normal 34 22 2 3 7" xfId="32790" xr:uid="{00000000-0005-0000-0000-0000027C0000}"/>
    <cellStyle name="Normal 34 22 2 3 8" xfId="43848" xr:uid="{00000000-0005-0000-0000-0000037C0000}"/>
    <cellStyle name="Normal 34 22 2 3 9" xfId="46773" xr:uid="{00000000-0005-0000-0000-0000047C0000}"/>
    <cellStyle name="Normal 34 22 2 4" xfId="5531" xr:uid="{00000000-0005-0000-0000-0000057C0000}"/>
    <cellStyle name="Normal 34 22 2 4 2" xfId="8946" xr:uid="{00000000-0005-0000-0000-0000067C0000}"/>
    <cellStyle name="Normal 34 22 2 4 2 2" xfId="24434" xr:uid="{00000000-0005-0000-0000-0000077C0000}"/>
    <cellStyle name="Normal 34 22 2 4 2 2 2" xfId="40478" xr:uid="{00000000-0005-0000-0000-0000087C0000}"/>
    <cellStyle name="Normal 34 22 2 4 2 3" xfId="28852" xr:uid="{00000000-0005-0000-0000-0000097C0000}"/>
    <cellStyle name="Normal 34 22 2 4 3" xfId="20108" xr:uid="{00000000-0005-0000-0000-00000A7C0000}"/>
    <cellStyle name="Normal 34 22 2 4 3 2" xfId="36212" xr:uid="{00000000-0005-0000-0000-00000B7C0000}"/>
    <cellStyle name="Normal 34 22 2 4 4" xfId="32243" xr:uid="{00000000-0005-0000-0000-00000C7C0000}"/>
    <cellStyle name="Normal 34 22 2 5" xfId="7249" xr:uid="{00000000-0005-0000-0000-00000D7C0000}"/>
    <cellStyle name="Normal 34 22 2 5 2" xfId="24171" xr:uid="{00000000-0005-0000-0000-00000E7C0000}"/>
    <cellStyle name="Normal 34 22 2 5 2 2" xfId="40224" xr:uid="{00000000-0005-0000-0000-00000F7C0000}"/>
    <cellStyle name="Normal 34 22 2 5 3" xfId="30549" xr:uid="{00000000-0005-0000-0000-0000107C0000}"/>
    <cellStyle name="Normal 34 22 2 6" xfId="12572" xr:uid="{00000000-0005-0000-0000-0000117C0000}"/>
    <cellStyle name="Normal 34 22 2 7" xfId="33936" xr:uid="{00000000-0005-0000-0000-0000127C0000}"/>
    <cellStyle name="Normal 34 22 2 8" xfId="43639" xr:uid="{00000000-0005-0000-0000-0000137C0000}"/>
    <cellStyle name="Normal 34 22 2 9" xfId="46545" xr:uid="{00000000-0005-0000-0000-0000147C0000}"/>
    <cellStyle name="Normal 34 22 2_Avviksanalyse løpende RNB15 (1)" xfId="16777" xr:uid="{00000000-0005-0000-0000-0000157C0000}"/>
    <cellStyle name="Normal 34 22 3" xfId="3857" xr:uid="{00000000-0005-0000-0000-0000167C0000}"/>
    <cellStyle name="Normal 34 22 3 2" xfId="5745" xr:uid="{00000000-0005-0000-0000-0000177C0000}"/>
    <cellStyle name="Normal 34 22 3 2 2" xfId="9160" xr:uid="{00000000-0005-0000-0000-0000187C0000}"/>
    <cellStyle name="Normal 34 22 3 2 2 2" xfId="23465" xr:uid="{00000000-0005-0000-0000-0000197C0000}"/>
    <cellStyle name="Normal 34 22 3 2 2 2 2" xfId="39521" xr:uid="{00000000-0005-0000-0000-00001A7C0000}"/>
    <cellStyle name="Normal 34 22 3 2 2 3" xfId="28638" xr:uid="{00000000-0005-0000-0000-00001B7C0000}"/>
    <cellStyle name="Normal 34 22 3 2 3" xfId="20188" xr:uid="{00000000-0005-0000-0000-00001C7C0000}"/>
    <cellStyle name="Normal 34 22 3 2 3 2" xfId="36288" xr:uid="{00000000-0005-0000-0000-00001D7C0000}"/>
    <cellStyle name="Normal 34 22 3 2 4" xfId="32029" xr:uid="{00000000-0005-0000-0000-00001E7C0000}"/>
    <cellStyle name="Normal 34 22 3 3" xfId="7463" xr:uid="{00000000-0005-0000-0000-00001F7C0000}"/>
    <cellStyle name="Normal 34 22 3 3 2" xfId="23211" xr:uid="{00000000-0005-0000-0000-0000207C0000}"/>
    <cellStyle name="Normal 34 22 3 3 2 2" xfId="39280" xr:uid="{00000000-0005-0000-0000-0000217C0000}"/>
    <cellStyle name="Normal 34 22 3 3 3" xfId="30335" xr:uid="{00000000-0005-0000-0000-0000227C0000}"/>
    <cellStyle name="Normal 34 22 3 4" xfId="22785" xr:uid="{00000000-0005-0000-0000-0000237C0000}"/>
    <cellStyle name="Normal 34 22 3 4 2" xfId="38854" xr:uid="{00000000-0005-0000-0000-0000247C0000}"/>
    <cellStyle name="Normal 34 22 3 5" xfId="33722" xr:uid="{00000000-0005-0000-0000-0000257C0000}"/>
    <cellStyle name="Normal 34 22 4" xfId="4342" xr:uid="{00000000-0005-0000-0000-0000267C0000}"/>
    <cellStyle name="Normal 34 22 4 2" xfId="6171" xr:uid="{00000000-0005-0000-0000-0000277C0000}"/>
    <cellStyle name="Normal 34 22 4 2 2" xfId="9585" xr:uid="{00000000-0005-0000-0000-0000287C0000}"/>
    <cellStyle name="Normal 34 22 4 2 2 2" xfId="21800" xr:uid="{00000000-0005-0000-0000-0000297C0000}"/>
    <cellStyle name="Normal 34 22 4 2 2 2 2" xfId="37876" xr:uid="{00000000-0005-0000-0000-00002A7C0000}"/>
    <cellStyle name="Normal 34 22 4 2 2 3" xfId="28213" xr:uid="{00000000-0005-0000-0000-00002B7C0000}"/>
    <cellStyle name="Normal 34 22 4 2 3" xfId="20349" xr:uid="{00000000-0005-0000-0000-00002C7C0000}"/>
    <cellStyle name="Normal 34 22 4 2 3 2" xfId="36448" xr:uid="{00000000-0005-0000-0000-00002D7C0000}"/>
    <cellStyle name="Normal 34 22 4 2 4" xfId="31610" xr:uid="{00000000-0005-0000-0000-00002E7C0000}"/>
    <cellStyle name="Normal 34 22 4 3" xfId="7904" xr:uid="{00000000-0005-0000-0000-00002F7C0000}"/>
    <cellStyle name="Normal 34 22 4 3 2" xfId="23285" xr:uid="{00000000-0005-0000-0000-0000307C0000}"/>
    <cellStyle name="Normal 34 22 4 3 2 2" xfId="39353" xr:uid="{00000000-0005-0000-0000-0000317C0000}"/>
    <cellStyle name="Normal 34 22 4 3 3" xfId="29895" xr:uid="{00000000-0005-0000-0000-0000327C0000}"/>
    <cellStyle name="Normal 34 22 4 4" xfId="20007" xr:uid="{00000000-0005-0000-0000-0000337C0000}"/>
    <cellStyle name="Normal 34 22 4 4 2" xfId="36111" xr:uid="{00000000-0005-0000-0000-0000347C0000}"/>
    <cellStyle name="Normal 34 22 4 5" xfId="33283" xr:uid="{00000000-0005-0000-0000-0000357C0000}"/>
    <cellStyle name="Normal 34 22 5" xfId="4797" xr:uid="{00000000-0005-0000-0000-0000367C0000}"/>
    <cellStyle name="Normal 34 22 5 2" xfId="6517" xr:uid="{00000000-0005-0000-0000-0000377C0000}"/>
    <cellStyle name="Normal 34 22 5 2 2" xfId="9923" xr:uid="{00000000-0005-0000-0000-0000387C0000}"/>
    <cellStyle name="Normal 34 22 5 2 2 2" xfId="21535" xr:uid="{00000000-0005-0000-0000-0000397C0000}"/>
    <cellStyle name="Normal 34 22 5 2 2 2 2" xfId="37615" xr:uid="{00000000-0005-0000-0000-00003A7C0000}"/>
    <cellStyle name="Normal 34 22 5 2 2 3" xfId="27876" xr:uid="{00000000-0005-0000-0000-00003B7C0000}"/>
    <cellStyle name="Normal 34 22 5 2 3" xfId="22362" xr:uid="{00000000-0005-0000-0000-00003C7C0000}"/>
    <cellStyle name="Normal 34 22 5 2 3 2" xfId="38434" xr:uid="{00000000-0005-0000-0000-00003D7C0000}"/>
    <cellStyle name="Normal 34 22 5 2 4" xfId="31277" xr:uid="{00000000-0005-0000-0000-00003E7C0000}"/>
    <cellStyle name="Normal 34 22 5 3" xfId="8219" xr:uid="{00000000-0005-0000-0000-00003F7C0000}"/>
    <cellStyle name="Normal 34 22 5 3 2" xfId="10592" xr:uid="{00000000-0005-0000-0000-0000407C0000}"/>
    <cellStyle name="Normal 34 22 5 3 2 2" xfId="34441" xr:uid="{00000000-0005-0000-0000-0000417C0000}"/>
    <cellStyle name="Normal 34 22 5 3 3" xfId="29578" xr:uid="{00000000-0005-0000-0000-0000427C0000}"/>
    <cellStyle name="Normal 34 22 5 4" xfId="12261" xr:uid="{00000000-0005-0000-0000-0000437C0000}"/>
    <cellStyle name="Normal 34 22 5 4 2" xfId="35137" xr:uid="{00000000-0005-0000-0000-0000447C0000}"/>
    <cellStyle name="Normal 34 22 5 5" xfId="32970" xr:uid="{00000000-0005-0000-0000-0000457C0000}"/>
    <cellStyle name="Normal 34 22 6" xfId="5157" xr:uid="{00000000-0005-0000-0000-0000467C0000}"/>
    <cellStyle name="Normal 34 22 6 2" xfId="6876" xr:uid="{00000000-0005-0000-0000-0000477C0000}"/>
    <cellStyle name="Normal 34 22 6 2 2" xfId="10282" xr:uid="{00000000-0005-0000-0000-0000487C0000}"/>
    <cellStyle name="Normal 34 22 6 2 2 2" xfId="24725" xr:uid="{00000000-0005-0000-0000-0000497C0000}"/>
    <cellStyle name="Normal 34 22 6 2 2 2 2" xfId="40768" xr:uid="{00000000-0005-0000-0000-00004A7C0000}"/>
    <cellStyle name="Normal 34 22 6 2 2 3" xfId="27517" xr:uid="{00000000-0005-0000-0000-00004B7C0000}"/>
    <cellStyle name="Normal 34 22 6 2 3" xfId="24110" xr:uid="{00000000-0005-0000-0000-00004C7C0000}"/>
    <cellStyle name="Normal 34 22 6 2 3 2" xfId="40163" xr:uid="{00000000-0005-0000-0000-00004D7C0000}"/>
    <cellStyle name="Normal 34 22 6 2 4" xfId="30918" xr:uid="{00000000-0005-0000-0000-00004E7C0000}"/>
    <cellStyle name="Normal 34 22 6 3" xfId="8579" xr:uid="{00000000-0005-0000-0000-00004F7C0000}"/>
    <cellStyle name="Normal 34 22 6 3 2" xfId="21132" xr:uid="{00000000-0005-0000-0000-0000507C0000}"/>
    <cellStyle name="Normal 34 22 6 3 2 2" xfId="37212" xr:uid="{00000000-0005-0000-0000-0000517C0000}"/>
    <cellStyle name="Normal 34 22 6 3 3" xfId="29219" xr:uid="{00000000-0005-0000-0000-0000527C0000}"/>
    <cellStyle name="Normal 34 22 6 4" xfId="12141" xr:uid="{00000000-0005-0000-0000-0000537C0000}"/>
    <cellStyle name="Normal 34 22 6 4 2" xfId="35091" xr:uid="{00000000-0005-0000-0000-0000547C0000}"/>
    <cellStyle name="Normal 34 22 6 5" xfId="32610" xr:uid="{00000000-0005-0000-0000-0000557C0000}"/>
    <cellStyle name="Normal 34 22 7" xfId="5336" xr:uid="{00000000-0005-0000-0000-0000567C0000}"/>
    <cellStyle name="Normal 34 22 7 2" xfId="8751" xr:uid="{00000000-0005-0000-0000-0000577C0000}"/>
    <cellStyle name="Normal 34 22 7 2 2" xfId="23405" xr:uid="{00000000-0005-0000-0000-0000587C0000}"/>
    <cellStyle name="Normal 34 22 7 2 2 2" xfId="39461" xr:uid="{00000000-0005-0000-0000-0000597C0000}"/>
    <cellStyle name="Normal 34 22 7 2 3" xfId="29047" xr:uid="{00000000-0005-0000-0000-00005A7C0000}"/>
    <cellStyle name="Normal 34 22 7 3" xfId="22240" xr:uid="{00000000-0005-0000-0000-00005B7C0000}"/>
    <cellStyle name="Normal 34 22 7 3 2" xfId="38314" xr:uid="{00000000-0005-0000-0000-00005C7C0000}"/>
    <cellStyle name="Normal 34 22 7 4" xfId="32438" xr:uid="{00000000-0005-0000-0000-00005D7C0000}"/>
    <cellStyle name="Normal 34 22 8" xfId="7069" xr:uid="{00000000-0005-0000-0000-00005E7C0000}"/>
    <cellStyle name="Normal 34 22 8 2" xfId="22174" xr:uid="{00000000-0005-0000-0000-00005F7C0000}"/>
    <cellStyle name="Normal 34 22 8 2 2" xfId="38248" xr:uid="{00000000-0005-0000-0000-0000607C0000}"/>
    <cellStyle name="Normal 34 22 8 3" xfId="30729" xr:uid="{00000000-0005-0000-0000-0000617C0000}"/>
    <cellStyle name="Normal 34 22 9" xfId="12571" xr:uid="{00000000-0005-0000-0000-0000627C0000}"/>
    <cellStyle name="Normal 34 23" xfId="3417" xr:uid="{00000000-0005-0000-0000-0000637C0000}"/>
    <cellStyle name="Normal 34 23 10" xfId="34095" xr:uid="{00000000-0005-0000-0000-0000647C0000}"/>
    <cellStyle name="Normal 34 23 11" xfId="43680" xr:uid="{00000000-0005-0000-0000-0000657C0000}"/>
    <cellStyle name="Normal 34 23 12" xfId="46590" xr:uid="{00000000-0005-0000-0000-0000667C0000}"/>
    <cellStyle name="Normal 34 23 13" xfId="47225" xr:uid="{00000000-0005-0000-0000-0000677C0000}"/>
    <cellStyle name="Normal 34 23 2" xfId="3630" xr:uid="{00000000-0005-0000-0000-0000687C0000}"/>
    <cellStyle name="Normal 34 23 2 10" xfId="46068" xr:uid="{00000000-0005-0000-0000-0000697C0000}"/>
    <cellStyle name="Normal 34 23 2 11" xfId="46831" xr:uid="{00000000-0005-0000-0000-00006A7C0000}"/>
    <cellStyle name="Normal 34 23 2 12" xfId="47419" xr:uid="{00000000-0005-0000-0000-00006B7C0000}"/>
    <cellStyle name="Normal 34 23 2 2" xfId="4058" xr:uid="{00000000-0005-0000-0000-00006C7C0000}"/>
    <cellStyle name="Normal 34 23 2 2 2" xfId="5946" xr:uid="{00000000-0005-0000-0000-00006D7C0000}"/>
    <cellStyle name="Normal 34 23 2 2 2 2" xfId="9361" xr:uid="{00000000-0005-0000-0000-00006E7C0000}"/>
    <cellStyle name="Normal 34 23 2 2 2 2 2" xfId="23497" xr:uid="{00000000-0005-0000-0000-00006F7C0000}"/>
    <cellStyle name="Normal 34 23 2 2 2 2 2 2" xfId="39553" xr:uid="{00000000-0005-0000-0000-0000707C0000}"/>
    <cellStyle name="Normal 34 23 2 2 2 2 3" xfId="28437" xr:uid="{00000000-0005-0000-0000-0000717C0000}"/>
    <cellStyle name="Normal 34 23 2 2 2 3" xfId="22298" xr:uid="{00000000-0005-0000-0000-0000727C0000}"/>
    <cellStyle name="Normal 34 23 2 2 2 3 2" xfId="38370" xr:uid="{00000000-0005-0000-0000-0000737C0000}"/>
    <cellStyle name="Normal 34 23 2 2 2 4" xfId="31832" xr:uid="{00000000-0005-0000-0000-0000747C0000}"/>
    <cellStyle name="Normal 34 23 2 2 3" xfId="7664" xr:uid="{00000000-0005-0000-0000-0000757C0000}"/>
    <cellStyle name="Normal 34 23 2 2 3 2" xfId="22477" xr:uid="{00000000-0005-0000-0000-0000767C0000}"/>
    <cellStyle name="Normal 34 23 2 2 3 2 2" xfId="38549" xr:uid="{00000000-0005-0000-0000-0000777C0000}"/>
    <cellStyle name="Normal 34 23 2 2 3 3" xfId="30134" xr:uid="{00000000-0005-0000-0000-0000787C0000}"/>
    <cellStyle name="Normal 34 23 2 2 4" xfId="11028" xr:uid="{00000000-0005-0000-0000-0000797C0000}"/>
    <cellStyle name="Normal 34 23 2 2 4 2" xfId="34737" xr:uid="{00000000-0005-0000-0000-00007A7C0000}"/>
    <cellStyle name="Normal 34 23 2 2 5" xfId="33521" xr:uid="{00000000-0005-0000-0000-00007B7C0000}"/>
    <cellStyle name="Normal 34 23 2 3" xfId="4998" xr:uid="{00000000-0005-0000-0000-00007C7C0000}"/>
    <cellStyle name="Normal 34 23 2 3 2" xfId="6717" xr:uid="{00000000-0005-0000-0000-00007D7C0000}"/>
    <cellStyle name="Normal 34 23 2 3 2 2" xfId="10123" xr:uid="{00000000-0005-0000-0000-00007E7C0000}"/>
    <cellStyle name="Normal 34 23 2 3 2 2 2" xfId="21615" xr:uid="{00000000-0005-0000-0000-00007F7C0000}"/>
    <cellStyle name="Normal 34 23 2 3 2 2 2 2" xfId="37695" xr:uid="{00000000-0005-0000-0000-0000807C0000}"/>
    <cellStyle name="Normal 34 23 2 3 2 2 3" xfId="27676" xr:uid="{00000000-0005-0000-0000-0000817C0000}"/>
    <cellStyle name="Normal 34 23 2 3 2 3" xfId="10660" xr:uid="{00000000-0005-0000-0000-0000827C0000}"/>
    <cellStyle name="Normal 34 23 2 3 2 3 2" xfId="34508" xr:uid="{00000000-0005-0000-0000-0000837C0000}"/>
    <cellStyle name="Normal 34 23 2 3 2 4" xfId="31077" xr:uid="{00000000-0005-0000-0000-0000847C0000}"/>
    <cellStyle name="Normal 34 23 2 3 3" xfId="8420" xr:uid="{00000000-0005-0000-0000-0000857C0000}"/>
    <cellStyle name="Normal 34 23 2 3 3 2" xfId="11862" xr:uid="{00000000-0005-0000-0000-0000867C0000}"/>
    <cellStyle name="Normal 34 23 2 3 3 2 2" xfId="34902" xr:uid="{00000000-0005-0000-0000-0000877C0000}"/>
    <cellStyle name="Normal 34 23 2 3 3 3" xfId="29378" xr:uid="{00000000-0005-0000-0000-0000887C0000}"/>
    <cellStyle name="Normal 34 23 2 3 4" xfId="22061" xr:uid="{00000000-0005-0000-0000-0000897C0000}"/>
    <cellStyle name="Normal 34 23 2 3 4 2" xfId="38135" xr:uid="{00000000-0005-0000-0000-00008A7C0000}"/>
    <cellStyle name="Normal 34 23 2 3 5" xfId="32769" xr:uid="{00000000-0005-0000-0000-00008B7C0000}"/>
    <cellStyle name="Normal 34 23 2 4" xfId="5552" xr:uid="{00000000-0005-0000-0000-00008C7C0000}"/>
    <cellStyle name="Normal 34 23 2 4 2" xfId="8967" xr:uid="{00000000-0005-0000-0000-00008D7C0000}"/>
    <cellStyle name="Normal 34 23 2 4 2 2" xfId="21902" xr:uid="{00000000-0005-0000-0000-00008E7C0000}"/>
    <cellStyle name="Normal 34 23 2 4 2 2 2" xfId="37977" xr:uid="{00000000-0005-0000-0000-00008F7C0000}"/>
    <cellStyle name="Normal 34 23 2 4 2 3" xfId="28831" xr:uid="{00000000-0005-0000-0000-0000907C0000}"/>
    <cellStyle name="Normal 34 23 2 4 3" xfId="20118" xr:uid="{00000000-0005-0000-0000-0000917C0000}"/>
    <cellStyle name="Normal 34 23 2 4 3 2" xfId="36221" xr:uid="{00000000-0005-0000-0000-0000927C0000}"/>
    <cellStyle name="Normal 34 23 2 4 4" xfId="32222" xr:uid="{00000000-0005-0000-0000-0000937C0000}"/>
    <cellStyle name="Normal 34 23 2 5" xfId="7270" xr:uid="{00000000-0005-0000-0000-0000947C0000}"/>
    <cellStyle name="Normal 34 23 2 5 2" xfId="22433" xr:uid="{00000000-0005-0000-0000-0000957C0000}"/>
    <cellStyle name="Normal 34 23 2 5 2 2" xfId="38505" xr:uid="{00000000-0005-0000-0000-0000967C0000}"/>
    <cellStyle name="Normal 34 23 2 5 3" xfId="30528" xr:uid="{00000000-0005-0000-0000-0000977C0000}"/>
    <cellStyle name="Normal 34 23 2 6" xfId="11089" xr:uid="{00000000-0005-0000-0000-0000987C0000}"/>
    <cellStyle name="Normal 34 23 2 6 2" xfId="34792" xr:uid="{00000000-0005-0000-0000-0000997C0000}"/>
    <cellStyle name="Normal 34 23 2 7" xfId="33915" xr:uid="{00000000-0005-0000-0000-00009A7C0000}"/>
    <cellStyle name="Normal 34 23 2 8" xfId="41687" xr:uid="{00000000-0005-0000-0000-00009B7C0000}"/>
    <cellStyle name="Normal 34 23 2 9" xfId="43228" xr:uid="{00000000-0005-0000-0000-00009C7C0000}"/>
    <cellStyle name="Normal 34 23 3" xfId="3878" xr:uid="{00000000-0005-0000-0000-00009D7C0000}"/>
    <cellStyle name="Normal 34 23 3 2" xfId="5766" xr:uid="{00000000-0005-0000-0000-00009E7C0000}"/>
    <cellStyle name="Normal 34 23 3 2 2" xfId="9181" xr:uid="{00000000-0005-0000-0000-00009F7C0000}"/>
    <cellStyle name="Normal 34 23 3 2 2 2" xfId="21924" xr:uid="{00000000-0005-0000-0000-0000A07C0000}"/>
    <cellStyle name="Normal 34 23 3 2 2 2 2" xfId="37999" xr:uid="{00000000-0005-0000-0000-0000A17C0000}"/>
    <cellStyle name="Normal 34 23 3 2 2 3" xfId="28617" xr:uid="{00000000-0005-0000-0000-0000A27C0000}"/>
    <cellStyle name="Normal 34 23 3 2 3" xfId="19429" xr:uid="{00000000-0005-0000-0000-0000A37C0000}"/>
    <cellStyle name="Normal 34 23 3 2 3 2" xfId="35543" xr:uid="{00000000-0005-0000-0000-0000A47C0000}"/>
    <cellStyle name="Normal 34 23 3 2 4" xfId="32008" xr:uid="{00000000-0005-0000-0000-0000A57C0000}"/>
    <cellStyle name="Normal 34 23 3 3" xfId="7484" xr:uid="{00000000-0005-0000-0000-0000A67C0000}"/>
    <cellStyle name="Normal 34 23 3 3 2" xfId="20801" xr:uid="{00000000-0005-0000-0000-0000A77C0000}"/>
    <cellStyle name="Normal 34 23 3 3 2 2" xfId="36900" xr:uid="{00000000-0005-0000-0000-0000A87C0000}"/>
    <cellStyle name="Normal 34 23 3 3 3" xfId="30314" xr:uid="{00000000-0005-0000-0000-0000A97C0000}"/>
    <cellStyle name="Normal 34 23 3 4" xfId="19551" xr:uid="{00000000-0005-0000-0000-0000AA7C0000}"/>
    <cellStyle name="Normal 34 23 3 4 2" xfId="35665" xr:uid="{00000000-0005-0000-0000-0000AB7C0000}"/>
    <cellStyle name="Normal 34 23 3 5" xfId="33701" xr:uid="{00000000-0005-0000-0000-0000AC7C0000}"/>
    <cellStyle name="Normal 34 23 3 6" xfId="44115" xr:uid="{00000000-0005-0000-0000-0000AD7C0000}"/>
    <cellStyle name="Normal 34 23 4" xfId="4818" xr:uid="{00000000-0005-0000-0000-0000AE7C0000}"/>
    <cellStyle name="Normal 34 23 4 2" xfId="6537" xr:uid="{00000000-0005-0000-0000-0000AF7C0000}"/>
    <cellStyle name="Normal 34 23 4 2 2" xfId="9943" xr:uid="{00000000-0005-0000-0000-0000B07C0000}"/>
    <cellStyle name="Normal 34 23 4 2 2 2" xfId="21543" xr:uid="{00000000-0005-0000-0000-0000B17C0000}"/>
    <cellStyle name="Normal 34 23 4 2 2 2 2" xfId="37623" xr:uid="{00000000-0005-0000-0000-0000B27C0000}"/>
    <cellStyle name="Normal 34 23 4 2 2 3" xfId="27856" xr:uid="{00000000-0005-0000-0000-0000B37C0000}"/>
    <cellStyle name="Normal 34 23 4 2 3" xfId="23057" xr:uid="{00000000-0005-0000-0000-0000B47C0000}"/>
    <cellStyle name="Normal 34 23 4 2 3 2" xfId="39126" xr:uid="{00000000-0005-0000-0000-0000B57C0000}"/>
    <cellStyle name="Normal 34 23 4 2 4" xfId="31257" xr:uid="{00000000-0005-0000-0000-0000B67C0000}"/>
    <cellStyle name="Normal 34 23 4 3" xfId="8240" xr:uid="{00000000-0005-0000-0000-0000B77C0000}"/>
    <cellStyle name="Normal 34 23 4 3 2" xfId="21041" xr:uid="{00000000-0005-0000-0000-0000B87C0000}"/>
    <cellStyle name="Normal 34 23 4 3 2 2" xfId="37132" xr:uid="{00000000-0005-0000-0000-0000B97C0000}"/>
    <cellStyle name="Normal 34 23 4 3 3" xfId="29557" xr:uid="{00000000-0005-0000-0000-0000BA7C0000}"/>
    <cellStyle name="Normal 34 23 4 4" xfId="23714" xr:uid="{00000000-0005-0000-0000-0000BB7C0000}"/>
    <cellStyle name="Normal 34 23 4 4 2" xfId="39770" xr:uid="{00000000-0005-0000-0000-0000BC7C0000}"/>
    <cellStyle name="Normal 34 23 4 5" xfId="32949" xr:uid="{00000000-0005-0000-0000-0000BD7C0000}"/>
    <cellStyle name="Normal 34 23 5" xfId="5382" xr:uid="{00000000-0005-0000-0000-0000BE7C0000}"/>
    <cellStyle name="Normal 34 23 5 2" xfId="8797" xr:uid="{00000000-0005-0000-0000-0000BF7C0000}"/>
    <cellStyle name="Normal 34 23 5 2 2" xfId="24414" xr:uid="{00000000-0005-0000-0000-0000C07C0000}"/>
    <cellStyle name="Normal 34 23 5 2 2 2" xfId="40458" xr:uid="{00000000-0005-0000-0000-0000C17C0000}"/>
    <cellStyle name="Normal 34 23 5 2 3" xfId="29001" xr:uid="{00000000-0005-0000-0000-0000C27C0000}"/>
    <cellStyle name="Normal 34 23 5 3" xfId="19815" xr:uid="{00000000-0005-0000-0000-0000C37C0000}"/>
    <cellStyle name="Normal 34 23 5 3 2" xfId="35928" xr:uid="{00000000-0005-0000-0000-0000C47C0000}"/>
    <cellStyle name="Normal 34 23 5 4" xfId="32392" xr:uid="{00000000-0005-0000-0000-0000C57C0000}"/>
    <cellStyle name="Normal 34 23 6" xfId="7090" xr:uid="{00000000-0005-0000-0000-0000C67C0000}"/>
    <cellStyle name="Normal 34 23 6 2" xfId="23146" xr:uid="{00000000-0005-0000-0000-0000C77C0000}"/>
    <cellStyle name="Normal 34 23 6 2 2" xfId="39215" xr:uid="{00000000-0005-0000-0000-0000C87C0000}"/>
    <cellStyle name="Normal 34 23 6 3" xfId="30708" xr:uid="{00000000-0005-0000-0000-0000C97C0000}"/>
    <cellStyle name="Normal 34 23 7" xfId="15130" xr:uid="{00000000-0005-0000-0000-0000CA7C0000}"/>
    <cellStyle name="Normal 34 23 7 2" xfId="35322" xr:uid="{00000000-0005-0000-0000-0000CB7C0000}"/>
    <cellStyle name="Normal 34 23 8" xfId="24951" xr:uid="{00000000-0005-0000-0000-0000CC7C0000}"/>
    <cellStyle name="Normal 34 23 9" xfId="25513" xr:uid="{00000000-0005-0000-0000-0000CD7C0000}"/>
    <cellStyle name="Normal 34 24" xfId="3523" xr:uid="{00000000-0005-0000-0000-0000CE7C0000}"/>
    <cellStyle name="Normal 34 24 2" xfId="3958" xr:uid="{00000000-0005-0000-0000-0000CF7C0000}"/>
    <cellStyle name="Normal 34 24 2 2" xfId="5846" xr:uid="{00000000-0005-0000-0000-0000D07C0000}"/>
    <cellStyle name="Normal 34 24 2 2 2" xfId="9261" xr:uid="{00000000-0005-0000-0000-0000D17C0000}"/>
    <cellStyle name="Normal 34 24 2 2 2 2" xfId="22606" xr:uid="{00000000-0005-0000-0000-0000D27C0000}"/>
    <cellStyle name="Normal 34 24 2 2 2 2 2" xfId="38675" xr:uid="{00000000-0005-0000-0000-0000D37C0000}"/>
    <cellStyle name="Normal 34 24 2 2 2 3" xfId="28537" xr:uid="{00000000-0005-0000-0000-0000D47C0000}"/>
    <cellStyle name="Normal 34 24 2 2 3" xfId="23930" xr:uid="{00000000-0005-0000-0000-0000D57C0000}"/>
    <cellStyle name="Normal 34 24 2 2 3 2" xfId="39984" xr:uid="{00000000-0005-0000-0000-0000D67C0000}"/>
    <cellStyle name="Normal 34 24 2 2 4" xfId="31928" xr:uid="{00000000-0005-0000-0000-0000D77C0000}"/>
    <cellStyle name="Normal 34 24 2 3" xfId="7564" xr:uid="{00000000-0005-0000-0000-0000D87C0000}"/>
    <cellStyle name="Normal 34 24 2 3 2" xfId="20820" xr:uid="{00000000-0005-0000-0000-0000D97C0000}"/>
    <cellStyle name="Normal 34 24 2 3 2 2" xfId="36919" xr:uid="{00000000-0005-0000-0000-0000DA7C0000}"/>
    <cellStyle name="Normal 34 24 2 3 3" xfId="30234" xr:uid="{00000000-0005-0000-0000-0000DB7C0000}"/>
    <cellStyle name="Normal 34 24 2 4" xfId="19564" xr:uid="{00000000-0005-0000-0000-0000DC7C0000}"/>
    <cellStyle name="Normal 34 24 2 4 2" xfId="35678" xr:uid="{00000000-0005-0000-0000-0000DD7C0000}"/>
    <cellStyle name="Normal 34 24 2 5" xfId="33621" xr:uid="{00000000-0005-0000-0000-0000DE7C0000}"/>
    <cellStyle name="Normal 34 24 3" xfId="4898" xr:uid="{00000000-0005-0000-0000-0000DF7C0000}"/>
    <cellStyle name="Normal 34 24 3 2" xfId="6617" xr:uid="{00000000-0005-0000-0000-0000E07C0000}"/>
    <cellStyle name="Normal 34 24 3 2 2" xfId="10023" xr:uid="{00000000-0005-0000-0000-0000E17C0000}"/>
    <cellStyle name="Normal 34 24 3 2 2 2" xfId="21575" xr:uid="{00000000-0005-0000-0000-0000E27C0000}"/>
    <cellStyle name="Normal 34 24 3 2 2 2 2" xfId="37655" xr:uid="{00000000-0005-0000-0000-0000E37C0000}"/>
    <cellStyle name="Normal 34 24 3 2 2 3" xfId="27776" xr:uid="{00000000-0005-0000-0000-0000E47C0000}"/>
    <cellStyle name="Normal 34 24 3 2 3" xfId="20520" xr:uid="{00000000-0005-0000-0000-0000E57C0000}"/>
    <cellStyle name="Normal 34 24 3 2 3 2" xfId="36619" xr:uid="{00000000-0005-0000-0000-0000E67C0000}"/>
    <cellStyle name="Normal 34 24 3 2 4" xfId="31177" xr:uid="{00000000-0005-0000-0000-0000E77C0000}"/>
    <cellStyle name="Normal 34 24 3 3" xfId="8320" xr:uid="{00000000-0005-0000-0000-0000E87C0000}"/>
    <cellStyle name="Normal 34 24 3 3 2" xfId="23346" xr:uid="{00000000-0005-0000-0000-0000E97C0000}"/>
    <cellStyle name="Normal 34 24 3 3 2 2" xfId="39407" xr:uid="{00000000-0005-0000-0000-0000EA7C0000}"/>
    <cellStyle name="Normal 34 24 3 3 3" xfId="29478" xr:uid="{00000000-0005-0000-0000-0000EB7C0000}"/>
    <cellStyle name="Normal 34 24 3 4" xfId="10890" xr:uid="{00000000-0005-0000-0000-0000EC7C0000}"/>
    <cellStyle name="Normal 34 24 3 4 2" xfId="34663" xr:uid="{00000000-0005-0000-0000-0000ED7C0000}"/>
    <cellStyle name="Normal 34 24 3 5" xfId="32869" xr:uid="{00000000-0005-0000-0000-0000EE7C0000}"/>
    <cellStyle name="Normal 34 24 4" xfId="5452" xr:uid="{00000000-0005-0000-0000-0000EF7C0000}"/>
    <cellStyle name="Normal 34 24 4 2" xfId="8867" xr:uid="{00000000-0005-0000-0000-0000F07C0000}"/>
    <cellStyle name="Normal 34 24 4 2 2" xfId="21210" xr:uid="{00000000-0005-0000-0000-0000F17C0000}"/>
    <cellStyle name="Normal 34 24 4 2 2 2" xfId="37290" xr:uid="{00000000-0005-0000-0000-0000F27C0000}"/>
    <cellStyle name="Normal 34 24 4 2 3" xfId="28931" xr:uid="{00000000-0005-0000-0000-0000F37C0000}"/>
    <cellStyle name="Normal 34 24 4 3" xfId="19838" xr:uid="{00000000-0005-0000-0000-0000F47C0000}"/>
    <cellStyle name="Normal 34 24 4 3 2" xfId="35951" xr:uid="{00000000-0005-0000-0000-0000F57C0000}"/>
    <cellStyle name="Normal 34 24 4 4" xfId="32322" xr:uid="{00000000-0005-0000-0000-0000F67C0000}"/>
    <cellStyle name="Normal 34 24 5" xfId="7170" xr:uid="{00000000-0005-0000-0000-0000F77C0000}"/>
    <cellStyle name="Normal 34 24 5 2" xfId="24159" xr:uid="{00000000-0005-0000-0000-0000F87C0000}"/>
    <cellStyle name="Normal 34 24 5 2 2" xfId="40212" xr:uid="{00000000-0005-0000-0000-0000F97C0000}"/>
    <cellStyle name="Normal 34 24 5 3" xfId="30628" xr:uid="{00000000-0005-0000-0000-0000FA7C0000}"/>
    <cellStyle name="Normal 34 24 6" xfId="19916" xr:uid="{00000000-0005-0000-0000-0000FB7C0000}"/>
    <cellStyle name="Normal 34 24 6 2" xfId="36020" xr:uid="{00000000-0005-0000-0000-0000FC7C0000}"/>
    <cellStyle name="Normal 34 24 7" xfId="34015" xr:uid="{00000000-0005-0000-0000-0000FD7C0000}"/>
    <cellStyle name="Normal 34 25" xfId="3670" xr:uid="{00000000-0005-0000-0000-0000FE7C0000}"/>
    <cellStyle name="Normal 34 25 2" xfId="5582" xr:uid="{00000000-0005-0000-0000-0000FF7C0000}"/>
    <cellStyle name="Normal 34 25 2 2" xfId="8997" xr:uid="{00000000-0005-0000-0000-0000007D0000}"/>
    <cellStyle name="Normal 34 25 2 2 2" xfId="24443" xr:uid="{00000000-0005-0000-0000-0000017D0000}"/>
    <cellStyle name="Normal 34 25 2 2 2 2" xfId="40487" xr:uid="{00000000-0005-0000-0000-0000027D0000}"/>
    <cellStyle name="Normal 34 25 2 2 3" xfId="28801" xr:uid="{00000000-0005-0000-0000-0000037D0000}"/>
    <cellStyle name="Normal 34 25 2 3" xfId="20130" xr:uid="{00000000-0005-0000-0000-0000047D0000}"/>
    <cellStyle name="Normal 34 25 2 3 2" xfId="36233" xr:uid="{00000000-0005-0000-0000-0000057D0000}"/>
    <cellStyle name="Normal 34 25 2 4" xfId="32192" xr:uid="{00000000-0005-0000-0000-0000067D0000}"/>
    <cellStyle name="Normal 34 25 3" xfId="7300" xr:uid="{00000000-0005-0000-0000-0000077D0000}"/>
    <cellStyle name="Normal 34 25 3 2" xfId="23180" xr:uid="{00000000-0005-0000-0000-0000087D0000}"/>
    <cellStyle name="Normal 34 25 3 2 2" xfId="39249" xr:uid="{00000000-0005-0000-0000-0000097D0000}"/>
    <cellStyle name="Normal 34 25 3 3" xfId="30498" xr:uid="{00000000-0005-0000-0000-00000A7D0000}"/>
    <cellStyle name="Normal 34 25 4" xfId="11083" xr:uid="{00000000-0005-0000-0000-00000B7D0000}"/>
    <cellStyle name="Normal 34 25 4 2" xfId="34786" xr:uid="{00000000-0005-0000-0000-00000C7D0000}"/>
    <cellStyle name="Normal 34 25 5" xfId="33885" xr:uid="{00000000-0005-0000-0000-00000D7D0000}"/>
    <cellStyle name="Normal 34 26" xfId="4115" xr:uid="{00000000-0005-0000-0000-00000E7D0000}"/>
    <cellStyle name="Normal 34 26 2" xfId="5968" xr:uid="{00000000-0005-0000-0000-00000F7D0000}"/>
    <cellStyle name="Normal 34 26 2 2" xfId="9383" xr:uid="{00000000-0005-0000-0000-0000107D0000}"/>
    <cellStyle name="Normal 34 26 2 2 2" xfId="21370" xr:uid="{00000000-0005-0000-0000-0000117D0000}"/>
    <cellStyle name="Normal 34 26 2 2 2 2" xfId="37450" xr:uid="{00000000-0005-0000-0000-0000127D0000}"/>
    <cellStyle name="Normal 34 26 2 2 3" xfId="28415" xr:uid="{00000000-0005-0000-0000-0000137D0000}"/>
    <cellStyle name="Normal 34 26 2 3" xfId="20270" xr:uid="{00000000-0005-0000-0000-0000147D0000}"/>
    <cellStyle name="Normal 34 26 2 3 2" xfId="36369" xr:uid="{00000000-0005-0000-0000-0000157D0000}"/>
    <cellStyle name="Normal 34 26 2 4" xfId="31810" xr:uid="{00000000-0005-0000-0000-0000167D0000}"/>
    <cellStyle name="Normal 34 26 3" xfId="7698" xr:uid="{00000000-0005-0000-0000-0000177D0000}"/>
    <cellStyle name="Normal 34 26 3 2" xfId="24253" xr:uid="{00000000-0005-0000-0000-0000187D0000}"/>
    <cellStyle name="Normal 34 26 3 2 2" xfId="40306" xr:uid="{00000000-0005-0000-0000-0000197D0000}"/>
    <cellStyle name="Normal 34 26 3 3" xfId="30101" xr:uid="{00000000-0005-0000-0000-00001A7D0000}"/>
    <cellStyle name="Normal 34 26 4" xfId="21833" xr:uid="{00000000-0005-0000-0000-00001B7D0000}"/>
    <cellStyle name="Normal 34 26 4 2" xfId="37909" xr:uid="{00000000-0005-0000-0000-00001C7D0000}"/>
    <cellStyle name="Normal 34 26 5" xfId="33487" xr:uid="{00000000-0005-0000-0000-00001D7D0000}"/>
    <cellStyle name="Normal 34 27" xfId="4458" xr:uid="{00000000-0005-0000-0000-00001E7D0000}"/>
    <cellStyle name="Normal 34 27 2" xfId="6255" xr:uid="{00000000-0005-0000-0000-00001F7D0000}"/>
    <cellStyle name="Normal 34 27 2 2" xfId="9665" xr:uid="{00000000-0005-0000-0000-0000207D0000}"/>
    <cellStyle name="Normal 34 27 2 2 2" xfId="21968" xr:uid="{00000000-0005-0000-0000-0000217D0000}"/>
    <cellStyle name="Normal 34 27 2 2 2 2" xfId="38043" xr:uid="{00000000-0005-0000-0000-0000227D0000}"/>
    <cellStyle name="Normal 34 27 2 2 3" xfId="28134" xr:uid="{00000000-0005-0000-0000-0000237D0000}"/>
    <cellStyle name="Normal 34 27 2 3" xfId="20381" xr:uid="{00000000-0005-0000-0000-0000247D0000}"/>
    <cellStyle name="Normal 34 27 2 3 2" xfId="36480" xr:uid="{00000000-0005-0000-0000-0000257D0000}"/>
    <cellStyle name="Normal 34 27 2 4" xfId="31535" xr:uid="{00000000-0005-0000-0000-0000267D0000}"/>
    <cellStyle name="Normal 34 27 3" xfId="7961" xr:uid="{00000000-0005-0000-0000-0000277D0000}"/>
    <cellStyle name="Normal 34 27 3 2" xfId="23295" xr:uid="{00000000-0005-0000-0000-0000287D0000}"/>
    <cellStyle name="Normal 34 27 3 2 2" xfId="39362" xr:uid="{00000000-0005-0000-0000-0000297D0000}"/>
    <cellStyle name="Normal 34 27 3 3" xfId="29838" xr:uid="{00000000-0005-0000-0000-00002A7D0000}"/>
    <cellStyle name="Normal 34 27 4" xfId="23744" xr:uid="{00000000-0005-0000-0000-00002B7D0000}"/>
    <cellStyle name="Normal 34 27 4 2" xfId="39800" xr:uid="{00000000-0005-0000-0000-00002C7D0000}"/>
    <cellStyle name="Normal 34 27 5" xfId="33228" xr:uid="{00000000-0005-0000-0000-00002D7D0000}"/>
    <cellStyle name="Normal 34 28" xfId="4471" xr:uid="{00000000-0005-0000-0000-00002E7D0000}"/>
    <cellStyle name="Normal 34 28 2" xfId="6268" xr:uid="{00000000-0005-0000-0000-00002F7D0000}"/>
    <cellStyle name="Normal 34 28 2 2" xfId="9678" xr:uid="{00000000-0005-0000-0000-0000307D0000}"/>
    <cellStyle name="Normal 34 28 2 2 2" xfId="21452" xr:uid="{00000000-0005-0000-0000-0000317D0000}"/>
    <cellStyle name="Normal 34 28 2 2 2 2" xfId="37532" xr:uid="{00000000-0005-0000-0000-0000327D0000}"/>
    <cellStyle name="Normal 34 28 2 2 3" xfId="28121" xr:uid="{00000000-0005-0000-0000-0000337D0000}"/>
    <cellStyle name="Normal 34 28 2 3" xfId="23007" xr:uid="{00000000-0005-0000-0000-0000347D0000}"/>
    <cellStyle name="Normal 34 28 2 3 2" xfId="39076" xr:uid="{00000000-0005-0000-0000-0000357D0000}"/>
    <cellStyle name="Normal 34 28 2 4" xfId="31522" xr:uid="{00000000-0005-0000-0000-0000367D0000}"/>
    <cellStyle name="Normal 34 28 3" xfId="7974" xr:uid="{00000000-0005-0000-0000-0000377D0000}"/>
    <cellStyle name="Normal 34 28 3 2" xfId="23298" xr:uid="{00000000-0005-0000-0000-0000387D0000}"/>
    <cellStyle name="Normal 34 28 3 2 2" xfId="39365" xr:uid="{00000000-0005-0000-0000-0000397D0000}"/>
    <cellStyle name="Normal 34 28 3 3" xfId="29825" xr:uid="{00000000-0005-0000-0000-00003A7D0000}"/>
    <cellStyle name="Normal 34 28 4" xfId="10970" xr:uid="{00000000-0005-0000-0000-00003B7D0000}"/>
    <cellStyle name="Normal 34 28 4 2" xfId="34707" xr:uid="{00000000-0005-0000-0000-00003C7D0000}"/>
    <cellStyle name="Normal 34 28 5" xfId="33215" xr:uid="{00000000-0005-0000-0000-00003D7D0000}"/>
    <cellStyle name="Normal 34 29" xfId="4526" xr:uid="{00000000-0005-0000-0000-00003E7D0000}"/>
    <cellStyle name="Normal 34 29 2" xfId="6318" xr:uid="{00000000-0005-0000-0000-00003F7D0000}"/>
    <cellStyle name="Normal 34 29 2 2" xfId="9728" xr:uid="{00000000-0005-0000-0000-0000407D0000}"/>
    <cellStyle name="Normal 34 29 2 2 2" xfId="23667" xr:uid="{00000000-0005-0000-0000-0000417D0000}"/>
    <cellStyle name="Normal 34 29 2 2 2 2" xfId="39723" xr:uid="{00000000-0005-0000-0000-0000427D0000}"/>
    <cellStyle name="Normal 34 29 2 2 3" xfId="28071" xr:uid="{00000000-0005-0000-0000-0000437D0000}"/>
    <cellStyle name="Normal 34 29 2 3" xfId="20405" xr:uid="{00000000-0005-0000-0000-0000447D0000}"/>
    <cellStyle name="Normal 34 29 2 3 2" xfId="36504" xr:uid="{00000000-0005-0000-0000-0000457D0000}"/>
    <cellStyle name="Normal 34 29 2 4" xfId="31472" xr:uid="{00000000-0005-0000-0000-0000467D0000}"/>
    <cellStyle name="Normal 34 29 3" xfId="8024" xr:uid="{00000000-0005-0000-0000-0000477D0000}"/>
    <cellStyle name="Normal 34 29 3 2" xfId="20974" xr:uid="{00000000-0005-0000-0000-0000487D0000}"/>
    <cellStyle name="Normal 34 29 3 2 2" xfId="37070" xr:uid="{00000000-0005-0000-0000-0000497D0000}"/>
    <cellStyle name="Normal 34 29 3 3" xfId="29774" xr:uid="{00000000-0005-0000-0000-00004A7D0000}"/>
    <cellStyle name="Normal 34 29 4" xfId="12308" xr:uid="{00000000-0005-0000-0000-00004B7D0000}"/>
    <cellStyle name="Normal 34 29 4 2" xfId="35184" xr:uid="{00000000-0005-0000-0000-00004C7D0000}"/>
    <cellStyle name="Normal 34 29 5" xfId="33165" xr:uid="{00000000-0005-0000-0000-00004D7D0000}"/>
    <cellStyle name="Normal 34 3" xfId="1804" xr:uid="{00000000-0005-0000-0000-00004E7D0000}"/>
    <cellStyle name="Normal 34 3 2" xfId="12574" xr:uid="{00000000-0005-0000-0000-00004F7D0000}"/>
    <cellStyle name="Normal 34 30" xfId="4620" xr:uid="{00000000-0005-0000-0000-0000507D0000}"/>
    <cellStyle name="Normal 34 30 2" xfId="6357" xr:uid="{00000000-0005-0000-0000-0000517D0000}"/>
    <cellStyle name="Normal 34 30 2 2" xfId="9767" xr:uid="{00000000-0005-0000-0000-0000527D0000}"/>
    <cellStyle name="Normal 34 30 2 2 2" xfId="21475" xr:uid="{00000000-0005-0000-0000-0000537D0000}"/>
    <cellStyle name="Normal 34 30 2 2 2 2" xfId="37555" xr:uid="{00000000-0005-0000-0000-0000547D0000}"/>
    <cellStyle name="Normal 34 30 2 2 3" xfId="28032" xr:uid="{00000000-0005-0000-0000-0000557D0000}"/>
    <cellStyle name="Normal 34 30 2 3" xfId="20420" xr:uid="{00000000-0005-0000-0000-0000567D0000}"/>
    <cellStyle name="Normal 34 30 2 3 2" xfId="36519" xr:uid="{00000000-0005-0000-0000-0000577D0000}"/>
    <cellStyle name="Normal 34 30 2 4" xfId="31433" xr:uid="{00000000-0005-0000-0000-0000587D0000}"/>
    <cellStyle name="Normal 34 30 3" xfId="8063" xr:uid="{00000000-0005-0000-0000-0000597D0000}"/>
    <cellStyle name="Normal 34 30 3 2" xfId="20990" xr:uid="{00000000-0005-0000-0000-00005A7D0000}"/>
    <cellStyle name="Normal 34 30 3 2 2" xfId="37086" xr:uid="{00000000-0005-0000-0000-00005B7D0000}"/>
    <cellStyle name="Normal 34 30 3 3" xfId="29735" xr:uid="{00000000-0005-0000-0000-00005C7D0000}"/>
    <cellStyle name="Normal 34 30 4" xfId="19673" xr:uid="{00000000-0005-0000-0000-00005D7D0000}"/>
    <cellStyle name="Normal 34 30 4 2" xfId="35787" xr:uid="{00000000-0005-0000-0000-00005E7D0000}"/>
    <cellStyle name="Normal 34 30 5" xfId="33126" xr:uid="{00000000-0005-0000-0000-00005F7D0000}"/>
    <cellStyle name="Normal 34 31" xfId="4714" xr:uid="{00000000-0005-0000-0000-0000607D0000}"/>
    <cellStyle name="Normal 34 31 2" xfId="6434" xr:uid="{00000000-0005-0000-0000-0000617D0000}"/>
    <cellStyle name="Normal 34 31 2 2" xfId="9844" xr:uid="{00000000-0005-0000-0000-0000627D0000}"/>
    <cellStyle name="Normal 34 31 2 2 2" xfId="21505" xr:uid="{00000000-0005-0000-0000-0000637D0000}"/>
    <cellStyle name="Normal 34 31 2 2 2 2" xfId="37585" xr:uid="{00000000-0005-0000-0000-0000647D0000}"/>
    <cellStyle name="Normal 34 31 2 2 3" xfId="27955" xr:uid="{00000000-0005-0000-0000-0000657D0000}"/>
    <cellStyle name="Normal 34 31 2 3" xfId="22354" xr:uid="{00000000-0005-0000-0000-0000667D0000}"/>
    <cellStyle name="Normal 34 31 2 3 2" xfId="38426" xr:uid="{00000000-0005-0000-0000-0000677D0000}"/>
    <cellStyle name="Normal 34 31 2 4" xfId="31356" xr:uid="{00000000-0005-0000-0000-0000687D0000}"/>
    <cellStyle name="Normal 34 31 3" xfId="8140" xr:uid="{00000000-0005-0000-0000-0000697D0000}"/>
    <cellStyle name="Normal 34 31 3 2" xfId="11888" xr:uid="{00000000-0005-0000-0000-00006A7D0000}"/>
    <cellStyle name="Normal 34 31 3 2 2" xfId="34925" xr:uid="{00000000-0005-0000-0000-00006B7D0000}"/>
    <cellStyle name="Normal 34 31 3 3" xfId="29658" xr:uid="{00000000-0005-0000-0000-00006C7D0000}"/>
    <cellStyle name="Normal 34 31 4" xfId="19688" xr:uid="{00000000-0005-0000-0000-00006D7D0000}"/>
    <cellStyle name="Normal 34 31 4 2" xfId="35802" xr:uid="{00000000-0005-0000-0000-00006E7D0000}"/>
    <cellStyle name="Normal 34 31 5" xfId="33049" xr:uid="{00000000-0005-0000-0000-00006F7D0000}"/>
    <cellStyle name="Normal 34 32" xfId="5078" xr:uid="{00000000-0005-0000-0000-0000707D0000}"/>
    <cellStyle name="Normal 34 32 2" xfId="6797" xr:uid="{00000000-0005-0000-0000-0000717D0000}"/>
    <cellStyle name="Normal 34 32 2 2" xfId="10203" xr:uid="{00000000-0005-0000-0000-0000727D0000}"/>
    <cellStyle name="Normal 34 32 2 2 2" xfId="21647" xr:uid="{00000000-0005-0000-0000-0000737D0000}"/>
    <cellStyle name="Normal 34 32 2 2 2 2" xfId="37727" xr:uid="{00000000-0005-0000-0000-0000747D0000}"/>
    <cellStyle name="Normal 34 32 2 2 3" xfId="27596" xr:uid="{00000000-0005-0000-0000-0000757D0000}"/>
    <cellStyle name="Normal 34 32 2 3" xfId="22390" xr:uid="{00000000-0005-0000-0000-0000767D0000}"/>
    <cellStyle name="Normal 34 32 2 3 2" xfId="38462" xr:uid="{00000000-0005-0000-0000-0000777D0000}"/>
    <cellStyle name="Normal 34 32 2 4" xfId="30997" xr:uid="{00000000-0005-0000-0000-0000787D0000}"/>
    <cellStyle name="Normal 34 32 3" xfId="8500" xr:uid="{00000000-0005-0000-0000-0000797D0000}"/>
    <cellStyle name="Normal 34 32 3 2" xfId="23726" xr:uid="{00000000-0005-0000-0000-00007A7D0000}"/>
    <cellStyle name="Normal 34 32 3 2 2" xfId="39782" xr:uid="{00000000-0005-0000-0000-00007B7D0000}"/>
    <cellStyle name="Normal 34 32 3 3" xfId="29298" xr:uid="{00000000-0005-0000-0000-00007C7D0000}"/>
    <cellStyle name="Normal 34 32 4" xfId="10845" xr:uid="{00000000-0005-0000-0000-00007D7D0000}"/>
    <cellStyle name="Normal 34 32 4 2" xfId="34643" xr:uid="{00000000-0005-0000-0000-00007E7D0000}"/>
    <cellStyle name="Normal 34 32 5" xfId="32689" xr:uid="{00000000-0005-0000-0000-00007F7D0000}"/>
    <cellStyle name="Normal 34 33" xfId="5187" xr:uid="{00000000-0005-0000-0000-0000807D0000}"/>
    <cellStyle name="Normal 34 33 2" xfId="8606" xr:uid="{00000000-0005-0000-0000-0000817D0000}"/>
    <cellStyle name="Normal 34 33 2 2" xfId="10507" xr:uid="{00000000-0005-0000-0000-0000827D0000}"/>
    <cellStyle name="Normal 34 33 2 2 2" xfId="34398" xr:uid="{00000000-0005-0000-0000-0000837D0000}"/>
    <cellStyle name="Normal 34 33 2 3" xfId="29192" xr:uid="{00000000-0005-0000-0000-0000847D0000}"/>
    <cellStyle name="Normal 34 33 3" xfId="10792" xr:uid="{00000000-0005-0000-0000-0000857D0000}"/>
    <cellStyle name="Normal 34 33 3 2" xfId="34615" xr:uid="{00000000-0005-0000-0000-0000867D0000}"/>
    <cellStyle name="Normal 34 33 4" xfId="32583" xr:uid="{00000000-0005-0000-0000-0000877D0000}"/>
    <cellStyle name="Normal 34 34" xfId="6987" xr:uid="{00000000-0005-0000-0000-0000887D0000}"/>
    <cellStyle name="Normal 34 34 2" xfId="20622" xr:uid="{00000000-0005-0000-0000-0000897D0000}"/>
    <cellStyle name="Normal 34 34 2 2" xfId="36721" xr:uid="{00000000-0005-0000-0000-00008A7D0000}"/>
    <cellStyle name="Normal 34 34 3" xfId="30811" xr:uid="{00000000-0005-0000-0000-00008B7D0000}"/>
    <cellStyle name="Normal 34 35" xfId="12504" xr:uid="{00000000-0005-0000-0000-00008C7D0000}"/>
    <cellStyle name="Normal 34 36" xfId="34199" xr:uid="{00000000-0005-0000-0000-00008D7D0000}"/>
    <cellStyle name="Normal 34 37" xfId="43442" xr:uid="{00000000-0005-0000-0000-00008E7D0000}"/>
    <cellStyle name="Normal 34 38" xfId="46330" xr:uid="{00000000-0005-0000-0000-00008F7D0000}"/>
    <cellStyle name="Normal 34 39" xfId="47043" xr:uid="{00000000-0005-0000-0000-0000907D0000}"/>
    <cellStyle name="Normal 34 4" xfId="1805" xr:uid="{00000000-0005-0000-0000-0000917D0000}"/>
    <cellStyle name="Normal 34 4 2" xfId="12576" xr:uid="{00000000-0005-0000-0000-0000927D0000}"/>
    <cellStyle name="Normal 34 5" xfId="1806" xr:uid="{00000000-0005-0000-0000-0000937D0000}"/>
    <cellStyle name="Normal 34 5 2" xfId="12578" xr:uid="{00000000-0005-0000-0000-0000947D0000}"/>
    <cellStyle name="Normal 34 6" xfId="1807" xr:uid="{00000000-0005-0000-0000-0000957D0000}"/>
    <cellStyle name="Normal 34 6 2" xfId="12580" xr:uid="{00000000-0005-0000-0000-0000967D0000}"/>
    <cellStyle name="Normal 34 7" xfId="1808" xr:uid="{00000000-0005-0000-0000-0000977D0000}"/>
    <cellStyle name="Normal 34 7 2" xfId="12582" xr:uid="{00000000-0005-0000-0000-0000987D0000}"/>
    <cellStyle name="Normal 34 8" xfId="1809" xr:uid="{00000000-0005-0000-0000-0000997D0000}"/>
    <cellStyle name="Normal 34 8 2" xfId="12584" xr:uid="{00000000-0005-0000-0000-00009A7D0000}"/>
    <cellStyle name="Normal 34 9" xfId="1810" xr:uid="{00000000-0005-0000-0000-00009B7D0000}"/>
    <cellStyle name="Normal 34 9 2" xfId="12586" xr:uid="{00000000-0005-0000-0000-00009C7D0000}"/>
    <cellStyle name="Normal 34_Ark1" xfId="12587" xr:uid="{00000000-0005-0000-0000-00009D7D0000}"/>
    <cellStyle name="Normal 35" xfId="3408" xr:uid="{00000000-0005-0000-0000-00009E7D0000}"/>
    <cellStyle name="Normal 35 10" xfId="1811" xr:uid="{00000000-0005-0000-0000-00009F7D0000}"/>
    <cellStyle name="Normal 35 10 2" xfId="12590" xr:uid="{00000000-0005-0000-0000-0000A07D0000}"/>
    <cellStyle name="Normal 35 11" xfId="1812" xr:uid="{00000000-0005-0000-0000-0000A17D0000}"/>
    <cellStyle name="Normal 35 11 2" xfId="12591" xr:uid="{00000000-0005-0000-0000-0000A27D0000}"/>
    <cellStyle name="Normal 35 12" xfId="1813" xr:uid="{00000000-0005-0000-0000-0000A37D0000}"/>
    <cellStyle name="Normal 35 12 2" xfId="12593" xr:uid="{00000000-0005-0000-0000-0000A47D0000}"/>
    <cellStyle name="Normal 35 13" xfId="1814" xr:uid="{00000000-0005-0000-0000-0000A57D0000}"/>
    <cellStyle name="Normal 35 13 2" xfId="12594" xr:uid="{00000000-0005-0000-0000-0000A67D0000}"/>
    <cellStyle name="Normal 35 14" xfId="1815" xr:uid="{00000000-0005-0000-0000-0000A77D0000}"/>
    <cellStyle name="Normal 35 14 2" xfId="12596" xr:uid="{00000000-0005-0000-0000-0000A87D0000}"/>
    <cellStyle name="Normal 35 15" xfId="1816" xr:uid="{00000000-0005-0000-0000-0000A97D0000}"/>
    <cellStyle name="Normal 35 15 2" xfId="12598" xr:uid="{00000000-0005-0000-0000-0000AA7D0000}"/>
    <cellStyle name="Normal 35 16" xfId="1817" xr:uid="{00000000-0005-0000-0000-0000AB7D0000}"/>
    <cellStyle name="Normal 35 16 2" xfId="12600" xr:uid="{00000000-0005-0000-0000-0000AC7D0000}"/>
    <cellStyle name="Normal 35 17" xfId="1818" xr:uid="{00000000-0005-0000-0000-0000AD7D0000}"/>
    <cellStyle name="Normal 35 17 2" xfId="1819" xr:uid="{00000000-0005-0000-0000-0000AE7D0000}"/>
    <cellStyle name="Normal 35 17 3" xfId="1820" xr:uid="{00000000-0005-0000-0000-0000AF7D0000}"/>
    <cellStyle name="Normal 35 17 3 2" xfId="3391" xr:uid="{00000000-0005-0000-0000-0000B07D0000}"/>
    <cellStyle name="Normal 35 17 3 2 2" xfId="3616" xr:uid="{00000000-0005-0000-0000-0000B17D0000}"/>
    <cellStyle name="Normal 35 17 3 3" xfId="3388" xr:uid="{00000000-0005-0000-0000-0000B27D0000}"/>
    <cellStyle name="Normal 35 17 3 4" xfId="12601" xr:uid="{00000000-0005-0000-0000-0000B37D0000}"/>
    <cellStyle name="Normal 35 17 4" xfId="4226" xr:uid="{00000000-0005-0000-0000-0000B47D0000}"/>
    <cellStyle name="Normal 35 18" xfId="3622" xr:uid="{00000000-0005-0000-0000-0000B57D0000}"/>
    <cellStyle name="Normal 35 18 2" xfId="4050" xr:uid="{00000000-0005-0000-0000-0000B67D0000}"/>
    <cellStyle name="Normal 35 18 2 2" xfId="5938" xr:uid="{00000000-0005-0000-0000-0000B77D0000}"/>
    <cellStyle name="Normal 35 18 2 2 2" xfId="9353" xr:uid="{00000000-0005-0000-0000-0000B87D0000}"/>
    <cellStyle name="Normal 35 18 2 2 2 2" xfId="10461" xr:uid="{00000000-0005-0000-0000-0000B97D0000}"/>
    <cellStyle name="Normal 35 18 2 2 2 2 2" xfId="34375" xr:uid="{00000000-0005-0000-0000-0000BA7D0000}"/>
    <cellStyle name="Normal 35 18 2 2 2 3" xfId="28445" xr:uid="{00000000-0005-0000-0000-0000BB7D0000}"/>
    <cellStyle name="Normal 35 18 2 2 3" xfId="20258" xr:uid="{00000000-0005-0000-0000-0000BC7D0000}"/>
    <cellStyle name="Normal 35 18 2 2 3 2" xfId="36357" xr:uid="{00000000-0005-0000-0000-0000BD7D0000}"/>
    <cellStyle name="Normal 35 18 2 2 4" xfId="31839" xr:uid="{00000000-0005-0000-0000-0000BE7D0000}"/>
    <cellStyle name="Normal 35 18 2 3" xfId="7656" xr:uid="{00000000-0005-0000-0000-0000BF7D0000}"/>
    <cellStyle name="Normal 35 18 2 3 2" xfId="20853" xr:uid="{00000000-0005-0000-0000-0000C07D0000}"/>
    <cellStyle name="Normal 35 18 2 3 2 2" xfId="36952" xr:uid="{00000000-0005-0000-0000-0000C17D0000}"/>
    <cellStyle name="Normal 35 18 2 3 3" xfId="30142" xr:uid="{00000000-0005-0000-0000-0000C27D0000}"/>
    <cellStyle name="Normal 35 18 2 4" xfId="12425" xr:uid="{00000000-0005-0000-0000-0000C37D0000}"/>
    <cellStyle name="Normal 35 18 2 4 2" xfId="35229" xr:uid="{00000000-0005-0000-0000-0000C47D0000}"/>
    <cellStyle name="Normal 35 18 2 5" xfId="33529" xr:uid="{00000000-0005-0000-0000-0000C57D0000}"/>
    <cellStyle name="Normal 35 18 3" xfId="4990" xr:uid="{00000000-0005-0000-0000-0000C67D0000}"/>
    <cellStyle name="Normal 35 18 3 2" xfId="6709" xr:uid="{00000000-0005-0000-0000-0000C77D0000}"/>
    <cellStyle name="Normal 35 18 3 2 2" xfId="10115" xr:uid="{00000000-0005-0000-0000-0000C87D0000}"/>
    <cellStyle name="Normal 35 18 3 2 2 2" xfId="24627" xr:uid="{00000000-0005-0000-0000-0000C97D0000}"/>
    <cellStyle name="Normal 35 18 3 2 2 2 2" xfId="40671" xr:uid="{00000000-0005-0000-0000-0000CA7D0000}"/>
    <cellStyle name="Normal 35 18 3 2 2 3" xfId="27684" xr:uid="{00000000-0005-0000-0000-0000CB7D0000}"/>
    <cellStyle name="Normal 35 18 3 2 3" xfId="23086" xr:uid="{00000000-0005-0000-0000-0000CC7D0000}"/>
    <cellStyle name="Normal 35 18 3 2 3 2" xfId="39155" xr:uid="{00000000-0005-0000-0000-0000CD7D0000}"/>
    <cellStyle name="Normal 35 18 3 2 4" xfId="31085" xr:uid="{00000000-0005-0000-0000-0000CE7D0000}"/>
    <cellStyle name="Normal 35 18 3 3" xfId="8412" xr:uid="{00000000-0005-0000-0000-0000CF7D0000}"/>
    <cellStyle name="Normal 35 18 3 3 2" xfId="24362" xr:uid="{00000000-0005-0000-0000-0000D07D0000}"/>
    <cellStyle name="Normal 35 18 3 3 2 2" xfId="40409" xr:uid="{00000000-0005-0000-0000-0000D17D0000}"/>
    <cellStyle name="Normal 35 18 3 3 3" xfId="29386" xr:uid="{00000000-0005-0000-0000-0000D27D0000}"/>
    <cellStyle name="Normal 35 18 3 4" xfId="19728" xr:uid="{00000000-0005-0000-0000-0000D37D0000}"/>
    <cellStyle name="Normal 35 18 3 4 2" xfId="35842" xr:uid="{00000000-0005-0000-0000-0000D47D0000}"/>
    <cellStyle name="Normal 35 18 3 5" xfId="32777" xr:uid="{00000000-0005-0000-0000-0000D57D0000}"/>
    <cellStyle name="Normal 35 18 4" xfId="5544" xr:uid="{00000000-0005-0000-0000-0000D67D0000}"/>
    <cellStyle name="Normal 35 18 4 2" xfId="8959" xr:uid="{00000000-0005-0000-0000-0000D77D0000}"/>
    <cellStyle name="Normal 35 18 4 2 2" xfId="21231" xr:uid="{00000000-0005-0000-0000-0000D87D0000}"/>
    <cellStyle name="Normal 35 18 4 2 2 2" xfId="37311" xr:uid="{00000000-0005-0000-0000-0000D97D0000}"/>
    <cellStyle name="Normal 35 18 4 2 3" xfId="28839" xr:uid="{00000000-0005-0000-0000-0000DA7D0000}"/>
    <cellStyle name="Normal 35 18 4 3" xfId="22252" xr:uid="{00000000-0005-0000-0000-0000DB7D0000}"/>
    <cellStyle name="Normal 35 18 4 3 2" xfId="38326" xr:uid="{00000000-0005-0000-0000-0000DC7D0000}"/>
    <cellStyle name="Normal 35 18 4 4" xfId="32230" xr:uid="{00000000-0005-0000-0000-0000DD7D0000}"/>
    <cellStyle name="Normal 35 18 5" xfId="7262" xr:uid="{00000000-0005-0000-0000-0000DE7D0000}"/>
    <cellStyle name="Normal 35 18 5 2" xfId="20715" xr:uid="{00000000-0005-0000-0000-0000DF7D0000}"/>
    <cellStyle name="Normal 35 18 5 2 2" xfId="36814" xr:uid="{00000000-0005-0000-0000-0000E07D0000}"/>
    <cellStyle name="Normal 35 18 5 3" xfId="30536" xr:uid="{00000000-0005-0000-0000-0000E17D0000}"/>
    <cellStyle name="Normal 35 18 6" xfId="22766" xr:uid="{00000000-0005-0000-0000-0000E27D0000}"/>
    <cellStyle name="Normal 35 18 6 2" xfId="38835" xr:uid="{00000000-0005-0000-0000-0000E37D0000}"/>
    <cellStyle name="Normal 35 18 7" xfId="33923" xr:uid="{00000000-0005-0000-0000-0000E47D0000}"/>
    <cellStyle name="Normal 35 19" xfId="3870" xr:uid="{00000000-0005-0000-0000-0000E57D0000}"/>
    <cellStyle name="Normal 35 19 2" xfId="5758" xr:uid="{00000000-0005-0000-0000-0000E67D0000}"/>
    <cellStyle name="Normal 35 19 2 2" xfId="9173" xr:uid="{00000000-0005-0000-0000-0000E77D0000}"/>
    <cellStyle name="Normal 35 19 2 2 2" xfId="21302" xr:uid="{00000000-0005-0000-0000-0000E87D0000}"/>
    <cellStyle name="Normal 35 19 2 2 2 2" xfId="37382" xr:uid="{00000000-0005-0000-0000-0000E97D0000}"/>
    <cellStyle name="Normal 35 19 2 2 3" xfId="28625" xr:uid="{00000000-0005-0000-0000-0000EA7D0000}"/>
    <cellStyle name="Normal 35 19 2 3" xfId="23913" xr:uid="{00000000-0005-0000-0000-0000EB7D0000}"/>
    <cellStyle name="Normal 35 19 2 3 2" xfId="39969" xr:uid="{00000000-0005-0000-0000-0000EC7D0000}"/>
    <cellStyle name="Normal 35 19 2 4" xfId="32016" xr:uid="{00000000-0005-0000-0000-0000ED7D0000}"/>
    <cellStyle name="Normal 35 19 3" xfId="7476" xr:uid="{00000000-0005-0000-0000-0000EE7D0000}"/>
    <cellStyle name="Normal 35 19 3 2" xfId="22457" xr:uid="{00000000-0005-0000-0000-0000EF7D0000}"/>
    <cellStyle name="Normal 35 19 3 2 2" xfId="38529" xr:uid="{00000000-0005-0000-0000-0000F07D0000}"/>
    <cellStyle name="Normal 35 19 3 3" xfId="30322" xr:uid="{00000000-0005-0000-0000-0000F17D0000}"/>
    <cellStyle name="Normal 35 19 4" xfId="22757" xr:uid="{00000000-0005-0000-0000-0000F27D0000}"/>
    <cellStyle name="Normal 35 19 4 2" xfId="38826" xr:uid="{00000000-0005-0000-0000-0000F37D0000}"/>
    <cellStyle name="Normal 35 19 5" xfId="33709" xr:uid="{00000000-0005-0000-0000-0000F47D0000}"/>
    <cellStyle name="Normal 35 2" xfId="1821" xr:uid="{00000000-0005-0000-0000-0000F57D0000}"/>
    <cellStyle name="Normal 35 2 2" xfId="12602" xr:uid="{00000000-0005-0000-0000-0000F67D0000}"/>
    <cellStyle name="Normal 35 20" xfId="4810" xr:uid="{00000000-0005-0000-0000-0000F77D0000}"/>
    <cellStyle name="Normal 35 20 2" xfId="5374" xr:uid="{00000000-0005-0000-0000-0000F87D0000}"/>
    <cellStyle name="Normal 35 20 2 2" xfId="8789" xr:uid="{00000000-0005-0000-0000-0000F97D0000}"/>
    <cellStyle name="Normal 35 20 2 2 2" xfId="22558" xr:uid="{00000000-0005-0000-0000-0000FA7D0000}"/>
    <cellStyle name="Normal 35 20 2 2 2 2" xfId="38627" xr:uid="{00000000-0005-0000-0000-0000FB7D0000}"/>
    <cellStyle name="Normal 35 20 2 2 3" xfId="29009" xr:uid="{00000000-0005-0000-0000-0000FC7D0000}"/>
    <cellStyle name="Normal 35 20 2 3" xfId="19813" xr:uid="{00000000-0005-0000-0000-0000FD7D0000}"/>
    <cellStyle name="Normal 35 20 2 3 2" xfId="35926" xr:uid="{00000000-0005-0000-0000-0000FE7D0000}"/>
    <cellStyle name="Normal 35 20 2 4" xfId="32400" xr:uid="{00000000-0005-0000-0000-0000FF7D0000}"/>
    <cellStyle name="Normal 35 20 3" xfId="8232" xr:uid="{00000000-0005-0000-0000-0000007E0000}"/>
    <cellStyle name="Normal 35 20 3 2" xfId="22515" xr:uid="{00000000-0005-0000-0000-0000017E0000}"/>
    <cellStyle name="Normal 35 20 3 2 2" xfId="38585" xr:uid="{00000000-0005-0000-0000-0000027E0000}"/>
    <cellStyle name="Normal 35 20 3 3" xfId="29565" xr:uid="{00000000-0005-0000-0000-0000037E0000}"/>
    <cellStyle name="Normal 35 20 4" xfId="10895" xr:uid="{00000000-0005-0000-0000-0000047E0000}"/>
    <cellStyle name="Normal 35 20 4 2" xfId="34668" xr:uid="{00000000-0005-0000-0000-0000057E0000}"/>
    <cellStyle name="Normal 35 20 5" xfId="32957" xr:uid="{00000000-0005-0000-0000-0000067E0000}"/>
    <cellStyle name="Normal 35 21" xfId="7082" xr:uid="{00000000-0005-0000-0000-0000077E0000}"/>
    <cellStyle name="Normal 35 21 2" xfId="20660" xr:uid="{00000000-0005-0000-0000-0000087E0000}"/>
    <cellStyle name="Normal 35 21 2 2" xfId="36759" xr:uid="{00000000-0005-0000-0000-0000097E0000}"/>
    <cellStyle name="Normal 35 21 3" xfId="30716" xr:uid="{00000000-0005-0000-0000-00000A7E0000}"/>
    <cellStyle name="Normal 35 22" xfId="23760" xr:uid="{00000000-0005-0000-0000-00000B7E0000}"/>
    <cellStyle name="Normal 35 22 2" xfId="39816" xr:uid="{00000000-0005-0000-0000-00000C7E0000}"/>
    <cellStyle name="Normal 35 23" xfId="34103" xr:uid="{00000000-0005-0000-0000-00000D7E0000}"/>
    <cellStyle name="Normal 35 3" xfId="1822" xr:uid="{00000000-0005-0000-0000-00000E7E0000}"/>
    <cellStyle name="Normal 35 3 2" xfId="12603" xr:uid="{00000000-0005-0000-0000-00000F7E0000}"/>
    <cellStyle name="Normal 35 4" xfId="1823" xr:uid="{00000000-0005-0000-0000-0000107E0000}"/>
    <cellStyle name="Normal 35 4 2" xfId="12604" xr:uid="{00000000-0005-0000-0000-0000117E0000}"/>
    <cellStyle name="Normal 35 5" xfId="1824" xr:uid="{00000000-0005-0000-0000-0000127E0000}"/>
    <cellStyle name="Normal 35 5 2" xfId="12605" xr:uid="{00000000-0005-0000-0000-0000137E0000}"/>
    <cellStyle name="Normal 35 6" xfId="1825" xr:uid="{00000000-0005-0000-0000-0000147E0000}"/>
    <cellStyle name="Normal 35 6 2" xfId="12606" xr:uid="{00000000-0005-0000-0000-0000157E0000}"/>
    <cellStyle name="Normal 35 7" xfId="1826" xr:uid="{00000000-0005-0000-0000-0000167E0000}"/>
    <cellStyle name="Normal 35 7 2" xfId="12607" xr:uid="{00000000-0005-0000-0000-0000177E0000}"/>
    <cellStyle name="Normal 35 8" xfId="1827" xr:uid="{00000000-0005-0000-0000-0000187E0000}"/>
    <cellStyle name="Normal 35 8 2" xfId="12608" xr:uid="{00000000-0005-0000-0000-0000197E0000}"/>
    <cellStyle name="Normal 35 9" xfId="1828" xr:uid="{00000000-0005-0000-0000-00001A7E0000}"/>
    <cellStyle name="Normal 35 9 2" xfId="12609" xr:uid="{00000000-0005-0000-0000-00001B7E0000}"/>
    <cellStyle name="Normal 36" xfId="1829" xr:uid="{00000000-0005-0000-0000-00001C7E0000}"/>
    <cellStyle name="Normal 36 2" xfId="1830" xr:uid="{00000000-0005-0000-0000-00001D7E0000}"/>
    <cellStyle name="Normal 36 2 2" xfId="12610" xr:uid="{00000000-0005-0000-0000-00001E7E0000}"/>
    <cellStyle name="Normal 36 3" xfId="1831" xr:uid="{00000000-0005-0000-0000-00001F7E0000}"/>
    <cellStyle name="Normal 36 3 2" xfId="12611" xr:uid="{00000000-0005-0000-0000-0000207E0000}"/>
    <cellStyle name="Normal 36 4" xfId="1832" xr:uid="{00000000-0005-0000-0000-0000217E0000}"/>
    <cellStyle name="Normal 36 4 2" xfId="12612" xr:uid="{00000000-0005-0000-0000-0000227E0000}"/>
    <cellStyle name="Normal 36 5" xfId="1833" xr:uid="{00000000-0005-0000-0000-0000237E0000}"/>
    <cellStyle name="Normal 36 5 2" xfId="12613" xr:uid="{00000000-0005-0000-0000-0000247E0000}"/>
    <cellStyle name="Normal 36 6" xfId="1834" xr:uid="{00000000-0005-0000-0000-0000257E0000}"/>
    <cellStyle name="Normal 36 6 2" xfId="12614" xr:uid="{00000000-0005-0000-0000-0000267E0000}"/>
    <cellStyle name="Normal 36 7" xfId="1835" xr:uid="{00000000-0005-0000-0000-0000277E0000}"/>
    <cellStyle name="Normal 36 7 2" xfId="12615" xr:uid="{00000000-0005-0000-0000-0000287E0000}"/>
    <cellStyle name="Normal 36 8" xfId="1836" xr:uid="{00000000-0005-0000-0000-0000297E0000}"/>
    <cellStyle name="Normal 36 8 2" xfId="12616" xr:uid="{00000000-0005-0000-0000-00002A7E0000}"/>
    <cellStyle name="Normal 36 9" xfId="12617" xr:uid="{00000000-0005-0000-0000-00002B7E0000}"/>
    <cellStyle name="Normal 37" xfId="1837" xr:uid="{00000000-0005-0000-0000-00002C7E0000}"/>
    <cellStyle name="Normal 37 2" xfId="1838" xr:uid="{00000000-0005-0000-0000-00002D7E0000}"/>
    <cellStyle name="Normal 37 2 2" xfId="12618" xr:uid="{00000000-0005-0000-0000-00002E7E0000}"/>
    <cellStyle name="Normal 37 3" xfId="1839" xr:uid="{00000000-0005-0000-0000-00002F7E0000}"/>
    <cellStyle name="Normal 37 3 2" xfId="12619" xr:uid="{00000000-0005-0000-0000-0000307E0000}"/>
    <cellStyle name="Normal 37 4" xfId="1840" xr:uid="{00000000-0005-0000-0000-0000317E0000}"/>
    <cellStyle name="Normal 37 4 2" xfId="12620" xr:uid="{00000000-0005-0000-0000-0000327E0000}"/>
    <cellStyle name="Normal 37 5" xfId="1841" xr:uid="{00000000-0005-0000-0000-0000337E0000}"/>
    <cellStyle name="Normal 37 5 2" xfId="12622" xr:uid="{00000000-0005-0000-0000-0000347E0000}"/>
    <cellStyle name="Normal 37 6" xfId="1842" xr:uid="{00000000-0005-0000-0000-0000357E0000}"/>
    <cellStyle name="Normal 37 6 2" xfId="12624" xr:uid="{00000000-0005-0000-0000-0000367E0000}"/>
    <cellStyle name="Normal 37 7" xfId="1843" xr:uid="{00000000-0005-0000-0000-0000377E0000}"/>
    <cellStyle name="Normal 37 7 2" xfId="12626" xr:uid="{00000000-0005-0000-0000-0000387E0000}"/>
    <cellStyle name="Normal 37 8" xfId="1844" xr:uid="{00000000-0005-0000-0000-0000397E0000}"/>
    <cellStyle name="Normal 37 8 2" xfId="12628" xr:uid="{00000000-0005-0000-0000-00003A7E0000}"/>
    <cellStyle name="Normal 37 9" xfId="12629" xr:uid="{00000000-0005-0000-0000-00003B7E0000}"/>
    <cellStyle name="Normal 38" xfId="1845" xr:uid="{00000000-0005-0000-0000-00003C7E0000}"/>
    <cellStyle name="Normal 38 2" xfId="1846" xr:uid="{00000000-0005-0000-0000-00003D7E0000}"/>
    <cellStyle name="Normal 38 2 2" xfId="12630" xr:uid="{00000000-0005-0000-0000-00003E7E0000}"/>
    <cellStyle name="Normal 38 3" xfId="1847" xr:uid="{00000000-0005-0000-0000-00003F7E0000}"/>
    <cellStyle name="Normal 38 3 2" xfId="12631" xr:uid="{00000000-0005-0000-0000-0000407E0000}"/>
    <cellStyle name="Normal 38 4" xfId="1848" xr:uid="{00000000-0005-0000-0000-0000417E0000}"/>
    <cellStyle name="Normal 38 4 2" xfId="12633" xr:uid="{00000000-0005-0000-0000-0000427E0000}"/>
    <cellStyle name="Normal 38 5" xfId="1849" xr:uid="{00000000-0005-0000-0000-0000437E0000}"/>
    <cellStyle name="Normal 38 5 2" xfId="12635" xr:uid="{00000000-0005-0000-0000-0000447E0000}"/>
    <cellStyle name="Normal 38 6" xfId="1850" xr:uid="{00000000-0005-0000-0000-0000457E0000}"/>
    <cellStyle name="Normal 38 6 2" xfId="12636" xr:uid="{00000000-0005-0000-0000-0000467E0000}"/>
    <cellStyle name="Normal 38 7" xfId="1851" xr:uid="{00000000-0005-0000-0000-0000477E0000}"/>
    <cellStyle name="Normal 38 7 2" xfId="12637" xr:uid="{00000000-0005-0000-0000-0000487E0000}"/>
    <cellStyle name="Normal 38 8" xfId="1852" xr:uid="{00000000-0005-0000-0000-0000497E0000}"/>
    <cellStyle name="Normal 38 8 2" xfId="12638" xr:uid="{00000000-0005-0000-0000-00004A7E0000}"/>
    <cellStyle name="Normal 38 9" xfId="12639" xr:uid="{00000000-0005-0000-0000-00004B7E0000}"/>
    <cellStyle name="Normal 39" xfId="1853" xr:uid="{00000000-0005-0000-0000-00004C7E0000}"/>
    <cellStyle name="Normal 39 2" xfId="1854" xr:uid="{00000000-0005-0000-0000-00004D7E0000}"/>
    <cellStyle name="Normal 39 2 2" xfId="12640" xr:uid="{00000000-0005-0000-0000-00004E7E0000}"/>
    <cellStyle name="Normal 39 3" xfId="1855" xr:uid="{00000000-0005-0000-0000-00004F7E0000}"/>
    <cellStyle name="Normal 39 3 2" xfId="12641" xr:uid="{00000000-0005-0000-0000-0000507E0000}"/>
    <cellStyle name="Normal 39 4" xfId="1856" xr:uid="{00000000-0005-0000-0000-0000517E0000}"/>
    <cellStyle name="Normal 39 4 2" xfId="12642" xr:uid="{00000000-0005-0000-0000-0000527E0000}"/>
    <cellStyle name="Normal 39 5" xfId="1857" xr:uid="{00000000-0005-0000-0000-0000537E0000}"/>
    <cellStyle name="Normal 39 5 2" xfId="12643" xr:uid="{00000000-0005-0000-0000-0000547E0000}"/>
    <cellStyle name="Normal 39 6" xfId="1858" xr:uid="{00000000-0005-0000-0000-0000557E0000}"/>
    <cellStyle name="Normal 39 6 2" xfId="12644" xr:uid="{00000000-0005-0000-0000-0000567E0000}"/>
    <cellStyle name="Normal 39 7" xfId="1859" xr:uid="{00000000-0005-0000-0000-0000577E0000}"/>
    <cellStyle name="Normal 39 7 2" xfId="12645" xr:uid="{00000000-0005-0000-0000-0000587E0000}"/>
    <cellStyle name="Normal 39 8" xfId="1860" xr:uid="{00000000-0005-0000-0000-0000597E0000}"/>
    <cellStyle name="Normal 39 8 2" xfId="12646" xr:uid="{00000000-0005-0000-0000-00005A7E0000}"/>
    <cellStyle name="Normal 39 9" xfId="12647" xr:uid="{00000000-0005-0000-0000-00005B7E0000}"/>
    <cellStyle name="Normal 4" xfId="1861" xr:uid="{00000000-0005-0000-0000-00005C7E0000}"/>
    <cellStyle name="Normal 4 10" xfId="1862" xr:uid="{00000000-0005-0000-0000-00005D7E0000}"/>
    <cellStyle name="Normal 4 10 2" xfId="12648" xr:uid="{00000000-0005-0000-0000-00005E7E0000}"/>
    <cellStyle name="Normal 4 11" xfId="1863" xr:uid="{00000000-0005-0000-0000-00005F7E0000}"/>
    <cellStyle name="Normal 4 11 2" xfId="12649" xr:uid="{00000000-0005-0000-0000-0000607E0000}"/>
    <cellStyle name="Normal 4 12" xfId="1864" xr:uid="{00000000-0005-0000-0000-0000617E0000}"/>
    <cellStyle name="Normal 4 12 2" xfId="12650" xr:uid="{00000000-0005-0000-0000-0000627E0000}"/>
    <cellStyle name="Normal 4 13" xfId="1865" xr:uid="{00000000-0005-0000-0000-0000637E0000}"/>
    <cellStyle name="Normal 4 13 2" xfId="12651" xr:uid="{00000000-0005-0000-0000-0000647E0000}"/>
    <cellStyle name="Normal 4 14" xfId="1866" xr:uid="{00000000-0005-0000-0000-0000657E0000}"/>
    <cellStyle name="Normal 4 14 2" xfId="12652" xr:uid="{00000000-0005-0000-0000-0000667E0000}"/>
    <cellStyle name="Normal 4 15" xfId="1867" xr:uid="{00000000-0005-0000-0000-0000677E0000}"/>
    <cellStyle name="Normal 4 15 2" xfId="12653" xr:uid="{00000000-0005-0000-0000-0000687E0000}"/>
    <cellStyle name="Normal 4 16" xfId="1868" xr:uid="{00000000-0005-0000-0000-0000697E0000}"/>
    <cellStyle name="Normal 4 16 2" xfId="12654" xr:uid="{00000000-0005-0000-0000-00006A7E0000}"/>
    <cellStyle name="Normal 4 17" xfId="1869" xr:uid="{00000000-0005-0000-0000-00006B7E0000}"/>
    <cellStyle name="Normal 4 17 2" xfId="12655" xr:uid="{00000000-0005-0000-0000-00006C7E0000}"/>
    <cellStyle name="Normal 4 18" xfId="1870" xr:uid="{00000000-0005-0000-0000-00006D7E0000}"/>
    <cellStyle name="Normal 4 18 2" xfId="12656" xr:uid="{00000000-0005-0000-0000-00006E7E0000}"/>
    <cellStyle name="Normal 4 19" xfId="1871" xr:uid="{00000000-0005-0000-0000-00006F7E0000}"/>
    <cellStyle name="Normal 4 19 10" xfId="6996" xr:uid="{00000000-0005-0000-0000-0000707E0000}"/>
    <cellStyle name="Normal 4 19 10 2" xfId="20625" xr:uid="{00000000-0005-0000-0000-0000717E0000}"/>
    <cellStyle name="Normal 4 19 10 2 2" xfId="36724" xr:uid="{00000000-0005-0000-0000-0000727E0000}"/>
    <cellStyle name="Normal 4 19 10 3" xfId="30802" xr:uid="{00000000-0005-0000-0000-0000737E0000}"/>
    <cellStyle name="Normal 4 19 11" xfId="12657" xr:uid="{00000000-0005-0000-0000-0000747E0000}"/>
    <cellStyle name="Normal 4 19 12" xfId="34190" xr:uid="{00000000-0005-0000-0000-0000757E0000}"/>
    <cellStyle name="Normal 4 19 2" xfId="3392" xr:uid="{00000000-0005-0000-0000-0000767E0000}"/>
    <cellStyle name="Normal 4 19 2 10" xfId="34107" xr:uid="{00000000-0005-0000-0000-0000777E0000}"/>
    <cellStyle name="Normal 4 19 2 2" xfId="3617" xr:uid="{00000000-0005-0000-0000-0000787E0000}"/>
    <cellStyle name="Normal 4 19 2 2 10" xfId="47215" xr:uid="{00000000-0005-0000-0000-0000797E0000}"/>
    <cellStyle name="Normal 4 19 2 2 2" xfId="4046" xr:uid="{00000000-0005-0000-0000-00007A7E0000}"/>
    <cellStyle name="Normal 4 19 2 2 2 2" xfId="5934" xr:uid="{00000000-0005-0000-0000-00007B7E0000}"/>
    <cellStyle name="Normal 4 19 2 2 2 2 2" xfId="9349" xr:uid="{00000000-0005-0000-0000-00007C7E0000}"/>
    <cellStyle name="Normal 4 19 2 2 2 2 2 2" xfId="21941" xr:uid="{00000000-0005-0000-0000-00007D7E0000}"/>
    <cellStyle name="Normal 4 19 2 2 2 2 2 2 2" xfId="38016" xr:uid="{00000000-0005-0000-0000-00007E7E0000}"/>
    <cellStyle name="Normal 4 19 2 2 2 2 2 3" xfId="28449" xr:uid="{00000000-0005-0000-0000-00007F7E0000}"/>
    <cellStyle name="Normal 4 19 2 2 2 2 3" xfId="20257" xr:uid="{00000000-0005-0000-0000-0000807E0000}"/>
    <cellStyle name="Normal 4 19 2 2 2 2 3 2" xfId="36356" xr:uid="{00000000-0005-0000-0000-0000817E0000}"/>
    <cellStyle name="Normal 4 19 2 2 2 2 4" xfId="31843" xr:uid="{00000000-0005-0000-0000-0000827E0000}"/>
    <cellStyle name="Normal 4 19 2 2 2 3" xfId="7652" xr:uid="{00000000-0005-0000-0000-0000837E0000}"/>
    <cellStyle name="Normal 4 19 2 2 2 3 2" xfId="20852" xr:uid="{00000000-0005-0000-0000-0000847E0000}"/>
    <cellStyle name="Normal 4 19 2 2 2 3 2 2" xfId="36951" xr:uid="{00000000-0005-0000-0000-0000857E0000}"/>
    <cellStyle name="Normal 4 19 2 2 2 3 3" xfId="30146" xr:uid="{00000000-0005-0000-0000-0000867E0000}"/>
    <cellStyle name="Normal 4 19 2 2 2 4" xfId="18201" xr:uid="{00000000-0005-0000-0000-0000877E0000}"/>
    <cellStyle name="Normal 4 19 2 2 2 5" xfId="19967" xr:uid="{00000000-0005-0000-0000-0000887E0000}"/>
    <cellStyle name="Normal 4 19 2 2 2 5 2" xfId="36071" xr:uid="{00000000-0005-0000-0000-0000897E0000}"/>
    <cellStyle name="Normal 4 19 2 2 2 6" xfId="33533" xr:uid="{00000000-0005-0000-0000-00008A7E0000}"/>
    <cellStyle name="Normal 4 19 2 2 3" xfId="4986" xr:uid="{00000000-0005-0000-0000-00008B7E0000}"/>
    <cellStyle name="Normal 4 19 2 2 3 10" xfId="47405" xr:uid="{00000000-0005-0000-0000-00008C7E0000}"/>
    <cellStyle name="Normal 4 19 2 2 3 2" xfId="6705" xr:uid="{00000000-0005-0000-0000-00008D7E0000}"/>
    <cellStyle name="Normal 4 19 2 2 3 2 2" xfId="10111" xr:uid="{00000000-0005-0000-0000-00008E7E0000}"/>
    <cellStyle name="Normal 4 19 2 2 3 2 2 2" xfId="22024" xr:uid="{00000000-0005-0000-0000-00008F7E0000}"/>
    <cellStyle name="Normal 4 19 2 2 3 2 2 2 2" xfId="38099" xr:uid="{00000000-0005-0000-0000-0000907E0000}"/>
    <cellStyle name="Normal 4 19 2 2 3 2 2 3" xfId="27688" xr:uid="{00000000-0005-0000-0000-0000917E0000}"/>
    <cellStyle name="Normal 4 19 2 2 3 2 3" xfId="11961" xr:uid="{00000000-0005-0000-0000-0000927E0000}"/>
    <cellStyle name="Normal 4 19 2 2 3 2 3 2" xfId="34983" xr:uid="{00000000-0005-0000-0000-0000937E0000}"/>
    <cellStyle name="Normal 4 19 2 2 3 2 4" xfId="31089" xr:uid="{00000000-0005-0000-0000-0000947E0000}"/>
    <cellStyle name="Normal 4 19 2 2 3 2 5" xfId="43102" xr:uid="{00000000-0005-0000-0000-0000957E0000}"/>
    <cellStyle name="Normal 4 19 2 2 3 2 6" xfId="43396" xr:uid="{00000000-0005-0000-0000-0000967E0000}"/>
    <cellStyle name="Normal 4 19 2 2 3 2 7" xfId="46244" xr:uid="{00000000-0005-0000-0000-0000977E0000}"/>
    <cellStyle name="Normal 4 19 2 2 3 2 8" xfId="47016" xr:uid="{00000000-0005-0000-0000-0000987E0000}"/>
    <cellStyle name="Normal 4 19 2 2 3 2 9" xfId="47601" xr:uid="{00000000-0005-0000-0000-0000997E0000}"/>
    <cellStyle name="Normal 4 19 2 2 3 3" xfId="8408" xr:uid="{00000000-0005-0000-0000-00009A7E0000}"/>
    <cellStyle name="Normal 4 19 2 2 3 3 2" xfId="10557" xr:uid="{00000000-0005-0000-0000-00009B7E0000}"/>
    <cellStyle name="Normal 4 19 2 2 3 3 2 2" xfId="34423" xr:uid="{00000000-0005-0000-0000-00009C7E0000}"/>
    <cellStyle name="Normal 4 19 2 2 3 3 3" xfId="29390" xr:uid="{00000000-0005-0000-0000-00009D7E0000}"/>
    <cellStyle name="Normal 4 19 2 2 3 3 4" xfId="44116" xr:uid="{00000000-0005-0000-0000-00009E7E0000}"/>
    <cellStyle name="Normal 4 19 2 2 3 4" xfId="16547" xr:uid="{00000000-0005-0000-0000-00009F7E0000}"/>
    <cellStyle name="Normal 4 19 2 2 3 4 2" xfId="35491" xr:uid="{00000000-0005-0000-0000-0000A07E0000}"/>
    <cellStyle name="Normal 4 19 2 2 3 5" xfId="25153" xr:uid="{00000000-0005-0000-0000-0000A17E0000}"/>
    <cellStyle name="Normal 4 19 2 2 3 6" xfId="25514" xr:uid="{00000000-0005-0000-0000-0000A27E0000}"/>
    <cellStyle name="Normal 4 19 2 2 3 7" xfId="32781" xr:uid="{00000000-0005-0000-0000-0000A37E0000}"/>
    <cellStyle name="Normal 4 19 2 2 3 8" xfId="43857" xr:uid="{00000000-0005-0000-0000-0000A47E0000}"/>
    <cellStyle name="Normal 4 19 2 2 3 9" xfId="46782" xr:uid="{00000000-0005-0000-0000-0000A57E0000}"/>
    <cellStyle name="Normal 4 19 2 2 4" xfId="5540" xr:uid="{00000000-0005-0000-0000-0000A67E0000}"/>
    <cellStyle name="Normal 4 19 2 2 4 2" xfId="8955" xr:uid="{00000000-0005-0000-0000-0000A77E0000}"/>
    <cellStyle name="Normal 4 19 2 2 4 2 2" xfId="21230" xr:uid="{00000000-0005-0000-0000-0000A87E0000}"/>
    <cellStyle name="Normal 4 19 2 2 4 2 2 2" xfId="37310" xr:uid="{00000000-0005-0000-0000-0000A97E0000}"/>
    <cellStyle name="Normal 4 19 2 2 4 2 3" xfId="28843" xr:uid="{00000000-0005-0000-0000-0000AA7E0000}"/>
    <cellStyle name="Normal 4 19 2 2 4 3" xfId="22869" xr:uid="{00000000-0005-0000-0000-0000AB7E0000}"/>
    <cellStyle name="Normal 4 19 2 2 4 3 2" xfId="38938" xr:uid="{00000000-0005-0000-0000-0000AC7E0000}"/>
    <cellStyle name="Normal 4 19 2 2 4 4" xfId="32234" xr:uid="{00000000-0005-0000-0000-0000AD7E0000}"/>
    <cellStyle name="Normal 4 19 2 2 5" xfId="7258" xr:uid="{00000000-0005-0000-0000-0000AE7E0000}"/>
    <cellStyle name="Normal 4 19 2 2 5 2" xfId="20714" xr:uid="{00000000-0005-0000-0000-0000AF7E0000}"/>
    <cellStyle name="Normal 4 19 2 2 5 2 2" xfId="36813" xr:uid="{00000000-0005-0000-0000-0000B07E0000}"/>
    <cellStyle name="Normal 4 19 2 2 5 3" xfId="30540" xr:uid="{00000000-0005-0000-0000-0000B17E0000}"/>
    <cellStyle name="Normal 4 19 2 2 6" xfId="12659" xr:uid="{00000000-0005-0000-0000-0000B27E0000}"/>
    <cellStyle name="Normal 4 19 2 2 7" xfId="33927" xr:uid="{00000000-0005-0000-0000-0000B37E0000}"/>
    <cellStyle name="Normal 4 19 2 2 8" xfId="43648" xr:uid="{00000000-0005-0000-0000-0000B47E0000}"/>
    <cellStyle name="Normal 4 19 2 2 9" xfId="46554" xr:uid="{00000000-0005-0000-0000-0000B57E0000}"/>
    <cellStyle name="Normal 4 19 2 2_Avviksanalyse løpende RNB15 (1)" xfId="16778" xr:uid="{00000000-0005-0000-0000-0000B67E0000}"/>
    <cellStyle name="Normal 4 19 2 3" xfId="3866" xr:uid="{00000000-0005-0000-0000-0000B77E0000}"/>
    <cellStyle name="Normal 4 19 2 3 2" xfId="5754" xr:uid="{00000000-0005-0000-0000-0000B87E0000}"/>
    <cellStyle name="Normal 4 19 2 3 2 2" xfId="9169" xr:uid="{00000000-0005-0000-0000-0000B97E0000}"/>
    <cellStyle name="Normal 4 19 2 3 2 2 2" xfId="24471" xr:uid="{00000000-0005-0000-0000-0000BA7E0000}"/>
    <cellStyle name="Normal 4 19 2 3 2 2 2 2" xfId="40515" xr:uid="{00000000-0005-0000-0000-0000BB7E0000}"/>
    <cellStyle name="Normal 4 19 2 3 2 2 3" xfId="28629" xr:uid="{00000000-0005-0000-0000-0000BC7E0000}"/>
    <cellStyle name="Normal 4 19 2 3 2 3" xfId="22909" xr:uid="{00000000-0005-0000-0000-0000BD7E0000}"/>
    <cellStyle name="Normal 4 19 2 3 2 3 2" xfId="38978" xr:uid="{00000000-0005-0000-0000-0000BE7E0000}"/>
    <cellStyle name="Normal 4 19 2 3 2 4" xfId="32020" xr:uid="{00000000-0005-0000-0000-0000BF7E0000}"/>
    <cellStyle name="Normal 4 19 2 3 3" xfId="7472" xr:uid="{00000000-0005-0000-0000-0000C07E0000}"/>
    <cellStyle name="Normal 4 19 2 3 3 2" xfId="22458" xr:uid="{00000000-0005-0000-0000-0000C17E0000}"/>
    <cellStyle name="Normal 4 19 2 3 3 2 2" xfId="38530" xr:uid="{00000000-0005-0000-0000-0000C27E0000}"/>
    <cellStyle name="Normal 4 19 2 3 3 3" xfId="30326" xr:uid="{00000000-0005-0000-0000-0000C37E0000}"/>
    <cellStyle name="Normal 4 19 2 3 4" xfId="19941" xr:uid="{00000000-0005-0000-0000-0000C47E0000}"/>
    <cellStyle name="Normal 4 19 2 3 4 2" xfId="36045" xr:uid="{00000000-0005-0000-0000-0000C57E0000}"/>
    <cellStyle name="Normal 4 19 2 3 5" xfId="33713" xr:uid="{00000000-0005-0000-0000-0000C67E0000}"/>
    <cellStyle name="Normal 4 19 2 4" xfId="4351" xr:uid="{00000000-0005-0000-0000-0000C77E0000}"/>
    <cellStyle name="Normal 4 19 2 4 2" xfId="6180" xr:uid="{00000000-0005-0000-0000-0000C87E0000}"/>
    <cellStyle name="Normal 4 19 2 4 2 2" xfId="9594" xr:uid="{00000000-0005-0000-0000-0000C97E0000}"/>
    <cellStyle name="Normal 4 19 2 4 2 2 2" xfId="24536" xr:uid="{00000000-0005-0000-0000-0000CA7E0000}"/>
    <cellStyle name="Normal 4 19 2 4 2 2 2 2" xfId="40580" xr:uid="{00000000-0005-0000-0000-0000CB7E0000}"/>
    <cellStyle name="Normal 4 19 2 4 2 2 3" xfId="28204" xr:uid="{00000000-0005-0000-0000-0000CC7E0000}"/>
    <cellStyle name="Normal 4 19 2 4 2 3" xfId="22990" xr:uid="{00000000-0005-0000-0000-0000CD7E0000}"/>
    <cellStyle name="Normal 4 19 2 4 2 3 2" xfId="39059" xr:uid="{00000000-0005-0000-0000-0000CE7E0000}"/>
    <cellStyle name="Normal 4 19 2 4 2 4" xfId="31601" xr:uid="{00000000-0005-0000-0000-0000CF7E0000}"/>
    <cellStyle name="Normal 4 19 2 4 3" xfId="7913" xr:uid="{00000000-0005-0000-0000-0000D07E0000}"/>
    <cellStyle name="Normal 4 19 2 4 3 2" xfId="24289" xr:uid="{00000000-0005-0000-0000-0000D17E0000}"/>
    <cellStyle name="Normal 4 19 2 4 3 2 2" xfId="40341" xr:uid="{00000000-0005-0000-0000-0000D27E0000}"/>
    <cellStyle name="Normal 4 19 2 4 3 3" xfId="29886" xr:uid="{00000000-0005-0000-0000-0000D37E0000}"/>
    <cellStyle name="Normal 4 19 2 4 4" xfId="22817" xr:uid="{00000000-0005-0000-0000-0000D47E0000}"/>
    <cellStyle name="Normal 4 19 2 4 4 2" xfId="38886" xr:uid="{00000000-0005-0000-0000-0000D57E0000}"/>
    <cellStyle name="Normal 4 19 2 4 5" xfId="33274" xr:uid="{00000000-0005-0000-0000-0000D67E0000}"/>
    <cellStyle name="Normal 4 19 2 5" xfId="4806" xr:uid="{00000000-0005-0000-0000-0000D77E0000}"/>
    <cellStyle name="Normal 4 19 2 5 2" xfId="6526" xr:uid="{00000000-0005-0000-0000-0000D87E0000}"/>
    <cellStyle name="Normal 4 19 2 5 2 2" xfId="9932" xr:uid="{00000000-0005-0000-0000-0000D97E0000}"/>
    <cellStyle name="Normal 4 19 2 5 2 2 2" xfId="22625" xr:uid="{00000000-0005-0000-0000-0000DA7E0000}"/>
    <cellStyle name="Normal 4 19 2 5 2 2 2 2" xfId="38694" xr:uid="{00000000-0005-0000-0000-0000DB7E0000}"/>
    <cellStyle name="Normal 4 19 2 5 2 2 3" xfId="27867" xr:uid="{00000000-0005-0000-0000-0000DC7E0000}"/>
    <cellStyle name="Normal 4 19 2 5 2 3" xfId="23055" xr:uid="{00000000-0005-0000-0000-0000DD7E0000}"/>
    <cellStyle name="Normal 4 19 2 5 2 3 2" xfId="39124" xr:uid="{00000000-0005-0000-0000-0000DE7E0000}"/>
    <cellStyle name="Normal 4 19 2 5 2 4" xfId="31268" xr:uid="{00000000-0005-0000-0000-0000DF7E0000}"/>
    <cellStyle name="Normal 4 19 2 5 3" xfId="8228" xr:uid="{00000000-0005-0000-0000-0000E07E0000}"/>
    <cellStyle name="Normal 4 19 2 5 3 2" xfId="19887" xr:uid="{00000000-0005-0000-0000-0000E17E0000}"/>
    <cellStyle name="Normal 4 19 2 5 3 2 2" xfId="36000" xr:uid="{00000000-0005-0000-0000-0000E27E0000}"/>
    <cellStyle name="Normal 4 19 2 5 3 3" xfId="29569" xr:uid="{00000000-0005-0000-0000-0000E37E0000}"/>
    <cellStyle name="Normal 4 19 2 5 4" xfId="23837" xr:uid="{00000000-0005-0000-0000-0000E47E0000}"/>
    <cellStyle name="Normal 4 19 2 5 4 2" xfId="39893" xr:uid="{00000000-0005-0000-0000-0000E57E0000}"/>
    <cellStyle name="Normal 4 19 2 5 5" xfId="32961" xr:uid="{00000000-0005-0000-0000-0000E67E0000}"/>
    <cellStyle name="Normal 4 19 2 6" xfId="5166" xr:uid="{00000000-0005-0000-0000-0000E77E0000}"/>
    <cellStyle name="Normal 4 19 2 6 2" xfId="6885" xr:uid="{00000000-0005-0000-0000-0000E87E0000}"/>
    <cellStyle name="Normal 4 19 2 6 2 2" xfId="10291" xr:uid="{00000000-0005-0000-0000-0000E97E0000}"/>
    <cellStyle name="Normal 4 19 2 6 2 2 2" xfId="24734" xr:uid="{00000000-0005-0000-0000-0000EA7E0000}"/>
    <cellStyle name="Normal 4 19 2 6 2 2 2 2" xfId="40777" xr:uid="{00000000-0005-0000-0000-0000EB7E0000}"/>
    <cellStyle name="Normal 4 19 2 6 2 2 3" xfId="27508" xr:uid="{00000000-0005-0000-0000-0000EC7E0000}"/>
    <cellStyle name="Normal 4 19 2 6 2 3" xfId="20594" xr:uid="{00000000-0005-0000-0000-0000ED7E0000}"/>
    <cellStyle name="Normal 4 19 2 6 2 3 2" xfId="36693" xr:uid="{00000000-0005-0000-0000-0000EE7E0000}"/>
    <cellStyle name="Normal 4 19 2 6 2 4" xfId="30909" xr:uid="{00000000-0005-0000-0000-0000EF7E0000}"/>
    <cellStyle name="Normal 4 19 2 6 3" xfId="8588" xr:uid="{00000000-0005-0000-0000-0000F07E0000}"/>
    <cellStyle name="Normal 4 19 2 6 3 2" xfId="11823" xr:uid="{00000000-0005-0000-0000-0000F17E0000}"/>
    <cellStyle name="Normal 4 19 2 6 3 2 2" xfId="34883" xr:uid="{00000000-0005-0000-0000-0000F27E0000}"/>
    <cellStyle name="Normal 4 19 2 6 3 3" xfId="29210" xr:uid="{00000000-0005-0000-0000-0000F37E0000}"/>
    <cellStyle name="Normal 4 19 2 6 4" xfId="10797" xr:uid="{00000000-0005-0000-0000-0000F47E0000}"/>
    <cellStyle name="Normal 4 19 2 6 4 2" xfId="34620" xr:uid="{00000000-0005-0000-0000-0000F57E0000}"/>
    <cellStyle name="Normal 4 19 2 6 5" xfId="32601" xr:uid="{00000000-0005-0000-0000-0000F67E0000}"/>
    <cellStyle name="Normal 4 19 2 7" xfId="5345" xr:uid="{00000000-0005-0000-0000-0000F77E0000}"/>
    <cellStyle name="Normal 4 19 2 7 2" xfId="8760" xr:uid="{00000000-0005-0000-0000-0000F87E0000}"/>
    <cellStyle name="Normal 4 19 2 7 2 2" xfId="21896" xr:uid="{00000000-0005-0000-0000-0000F97E0000}"/>
    <cellStyle name="Normal 4 19 2 7 2 2 2" xfId="37971" xr:uid="{00000000-0005-0000-0000-0000FA7E0000}"/>
    <cellStyle name="Normal 4 19 2 7 2 3" xfId="29038" xr:uid="{00000000-0005-0000-0000-0000FB7E0000}"/>
    <cellStyle name="Normal 4 19 2 7 3" xfId="23857" xr:uid="{00000000-0005-0000-0000-0000FC7E0000}"/>
    <cellStyle name="Normal 4 19 2 7 3 2" xfId="39913" xr:uid="{00000000-0005-0000-0000-0000FD7E0000}"/>
    <cellStyle name="Normal 4 19 2 7 4" xfId="32429" xr:uid="{00000000-0005-0000-0000-0000FE7E0000}"/>
    <cellStyle name="Normal 4 19 2 8" xfId="7078" xr:uid="{00000000-0005-0000-0000-0000FF7E0000}"/>
    <cellStyle name="Normal 4 19 2 8 2" xfId="24145" xr:uid="{00000000-0005-0000-0000-0000007F0000}"/>
    <cellStyle name="Normal 4 19 2 8 2 2" xfId="40198" xr:uid="{00000000-0005-0000-0000-0000017F0000}"/>
    <cellStyle name="Normal 4 19 2 8 3" xfId="30720" xr:uid="{00000000-0005-0000-0000-0000027F0000}"/>
    <cellStyle name="Normal 4 19 2 9" xfId="12658" xr:uid="{00000000-0005-0000-0000-0000037F0000}"/>
    <cellStyle name="Normal 4 19 3" xfId="3532" xr:uid="{00000000-0005-0000-0000-0000047F0000}"/>
    <cellStyle name="Normal 4 19 3 10" xfId="47069" xr:uid="{00000000-0005-0000-0000-0000057F0000}"/>
    <cellStyle name="Normal 4 19 3 2" xfId="3967" xr:uid="{00000000-0005-0000-0000-0000067F0000}"/>
    <cellStyle name="Normal 4 19 3 2 2" xfId="5855" xr:uid="{00000000-0005-0000-0000-0000077F0000}"/>
    <cellStyle name="Normal 4 19 3 2 2 2" xfId="9270" xr:uid="{00000000-0005-0000-0000-0000087F0000}"/>
    <cellStyle name="Normal 4 19 3 2 2 2 2" xfId="24488" xr:uid="{00000000-0005-0000-0000-0000097F0000}"/>
    <cellStyle name="Normal 4 19 3 2 2 2 2 2" xfId="40532" xr:uid="{00000000-0005-0000-0000-00000A7F0000}"/>
    <cellStyle name="Normal 4 19 3 2 2 2 3" xfId="28528" xr:uid="{00000000-0005-0000-0000-00000B7F0000}"/>
    <cellStyle name="Normal 4 19 3 2 2 3" xfId="10679" xr:uid="{00000000-0005-0000-0000-00000C7F0000}"/>
    <cellStyle name="Normal 4 19 3 2 2 3 2" xfId="34527" xr:uid="{00000000-0005-0000-0000-00000D7F0000}"/>
    <cellStyle name="Normal 4 19 3 2 2 4" xfId="31919" xr:uid="{00000000-0005-0000-0000-00000E7F0000}"/>
    <cellStyle name="Normal 4 19 3 2 3" xfId="7573" xr:uid="{00000000-0005-0000-0000-00000F7F0000}"/>
    <cellStyle name="Normal 4 19 3 2 3 2" xfId="24228" xr:uid="{00000000-0005-0000-0000-0000107F0000}"/>
    <cellStyle name="Normal 4 19 3 2 3 2 2" xfId="40281" xr:uid="{00000000-0005-0000-0000-0000117F0000}"/>
    <cellStyle name="Normal 4 19 3 2 3 3" xfId="30225" xr:uid="{00000000-0005-0000-0000-0000127F0000}"/>
    <cellStyle name="Normal 4 19 3 2 4" xfId="18202" xr:uid="{00000000-0005-0000-0000-0000137F0000}"/>
    <cellStyle name="Normal 4 19 3 2 5" xfId="11044" xr:uid="{00000000-0005-0000-0000-0000147F0000}"/>
    <cellStyle name="Normal 4 19 3 2 5 2" xfId="34752" xr:uid="{00000000-0005-0000-0000-0000157F0000}"/>
    <cellStyle name="Normal 4 19 3 2 6" xfId="33612" xr:uid="{00000000-0005-0000-0000-0000167F0000}"/>
    <cellStyle name="Normal 4 19 3 3" xfId="4907" xr:uid="{00000000-0005-0000-0000-0000177F0000}"/>
    <cellStyle name="Normal 4 19 3 3 10" xfId="47259" xr:uid="{00000000-0005-0000-0000-0000187F0000}"/>
    <cellStyle name="Normal 4 19 3 3 2" xfId="6626" xr:uid="{00000000-0005-0000-0000-0000197F0000}"/>
    <cellStyle name="Normal 4 19 3 3 2 2" xfId="10032" xr:uid="{00000000-0005-0000-0000-00001A7F0000}"/>
    <cellStyle name="Normal 4 19 3 3 2 2 2" xfId="23605" xr:uid="{00000000-0005-0000-0000-00001B7F0000}"/>
    <cellStyle name="Normal 4 19 3 3 2 2 2 2" xfId="39661" xr:uid="{00000000-0005-0000-0000-00001C7F0000}"/>
    <cellStyle name="Normal 4 19 3 3 2 2 3" xfId="27767" xr:uid="{00000000-0005-0000-0000-00001D7F0000}"/>
    <cellStyle name="Normal 4 19 3 3 2 3" xfId="23075" xr:uid="{00000000-0005-0000-0000-00001E7F0000}"/>
    <cellStyle name="Normal 4 19 3 3 2 3 2" xfId="39144" xr:uid="{00000000-0005-0000-0000-00001F7F0000}"/>
    <cellStyle name="Normal 4 19 3 3 2 4" xfId="31168" xr:uid="{00000000-0005-0000-0000-0000207F0000}"/>
    <cellStyle name="Normal 4 19 3 3 2 5" xfId="42502" xr:uid="{00000000-0005-0000-0000-0000217F0000}"/>
    <cellStyle name="Normal 4 19 3 3 2 6" xfId="43253" xr:uid="{00000000-0005-0000-0000-0000227F0000}"/>
    <cellStyle name="Normal 4 19 3 3 2 7" xfId="46100" xr:uid="{00000000-0005-0000-0000-0000237F0000}"/>
    <cellStyle name="Normal 4 19 3 3 2 8" xfId="46869" xr:uid="{00000000-0005-0000-0000-0000247F0000}"/>
    <cellStyle name="Normal 4 19 3 3 2 9" xfId="47455" xr:uid="{00000000-0005-0000-0000-0000257F0000}"/>
    <cellStyle name="Normal 4 19 3 3 3" xfId="8329" xr:uid="{00000000-0005-0000-0000-0000267F0000}"/>
    <cellStyle name="Normal 4 19 3 3 3 2" xfId="11870" xr:uid="{00000000-0005-0000-0000-0000277F0000}"/>
    <cellStyle name="Normal 4 19 3 3 3 2 2" xfId="34907" xr:uid="{00000000-0005-0000-0000-0000287F0000}"/>
    <cellStyle name="Normal 4 19 3 3 3 3" xfId="29469" xr:uid="{00000000-0005-0000-0000-0000297F0000}"/>
    <cellStyle name="Normal 4 19 3 3 3 4" xfId="44117" xr:uid="{00000000-0005-0000-0000-00002A7F0000}"/>
    <cellStyle name="Normal 4 19 3 3 4" xfId="15946" xr:uid="{00000000-0005-0000-0000-00002B7F0000}"/>
    <cellStyle name="Normal 4 19 3 3 4 2" xfId="35348" xr:uid="{00000000-0005-0000-0000-00002C7F0000}"/>
    <cellStyle name="Normal 4 19 3 3 5" xfId="25002" xr:uid="{00000000-0005-0000-0000-00002D7F0000}"/>
    <cellStyle name="Normal 4 19 3 3 6" xfId="25515" xr:uid="{00000000-0005-0000-0000-00002E7F0000}"/>
    <cellStyle name="Normal 4 19 3 3 7" xfId="32860" xr:uid="{00000000-0005-0000-0000-00002F7F0000}"/>
    <cellStyle name="Normal 4 19 3 3 8" xfId="43713" xr:uid="{00000000-0005-0000-0000-0000307F0000}"/>
    <cellStyle name="Normal 4 19 3 3 9" xfId="46637" xr:uid="{00000000-0005-0000-0000-0000317F0000}"/>
    <cellStyle name="Normal 4 19 3 4" xfId="5461" xr:uid="{00000000-0005-0000-0000-0000327F0000}"/>
    <cellStyle name="Normal 4 19 3 4 2" xfId="8876" xr:uid="{00000000-0005-0000-0000-0000337F0000}"/>
    <cellStyle name="Normal 4 19 3 4 2 2" xfId="24427" xr:uid="{00000000-0005-0000-0000-0000347F0000}"/>
    <cellStyle name="Normal 4 19 3 4 2 2 2" xfId="40471" xr:uid="{00000000-0005-0000-0000-0000357F0000}"/>
    <cellStyle name="Normal 4 19 3 4 2 3" xfId="28922" xr:uid="{00000000-0005-0000-0000-0000367F0000}"/>
    <cellStyle name="Normal 4 19 3 4 3" xfId="20094" xr:uid="{00000000-0005-0000-0000-0000377F0000}"/>
    <cellStyle name="Normal 4 19 3 4 3 2" xfId="36198" xr:uid="{00000000-0005-0000-0000-0000387F0000}"/>
    <cellStyle name="Normal 4 19 3 4 4" xfId="32313" xr:uid="{00000000-0005-0000-0000-0000397F0000}"/>
    <cellStyle name="Normal 4 19 3 5" xfId="7179" xr:uid="{00000000-0005-0000-0000-00003A7F0000}"/>
    <cellStyle name="Normal 4 19 3 5 2" xfId="24161" xr:uid="{00000000-0005-0000-0000-00003B7F0000}"/>
    <cellStyle name="Normal 4 19 3 5 2 2" xfId="40214" xr:uid="{00000000-0005-0000-0000-00003C7F0000}"/>
    <cellStyle name="Normal 4 19 3 5 3" xfId="30619" xr:uid="{00000000-0005-0000-0000-00003D7F0000}"/>
    <cellStyle name="Normal 4 19 3 6" xfId="12660" xr:uid="{00000000-0005-0000-0000-00003E7F0000}"/>
    <cellStyle name="Normal 4 19 3 7" xfId="34006" xr:uid="{00000000-0005-0000-0000-00003F7F0000}"/>
    <cellStyle name="Normal 4 19 3 8" xfId="43505" xr:uid="{00000000-0005-0000-0000-0000407F0000}"/>
    <cellStyle name="Normal 4 19 3 9" xfId="46407" xr:uid="{00000000-0005-0000-0000-0000417F0000}"/>
    <cellStyle name="Normal 4 19 3_Avviksanalyse løpende RNB15 (1)" xfId="16779" xr:uid="{00000000-0005-0000-0000-0000427F0000}"/>
    <cellStyle name="Normal 4 19 4" xfId="3787" xr:uid="{00000000-0005-0000-0000-0000437F0000}"/>
    <cellStyle name="Normal 4 19 4 2" xfId="5675" xr:uid="{00000000-0005-0000-0000-0000447F0000}"/>
    <cellStyle name="Normal 4 19 4 2 2" xfId="9090" xr:uid="{00000000-0005-0000-0000-0000457F0000}"/>
    <cellStyle name="Normal 4 19 4 2 2 2" xfId="21269" xr:uid="{00000000-0005-0000-0000-0000467F0000}"/>
    <cellStyle name="Normal 4 19 4 2 2 2 2" xfId="37349" xr:uid="{00000000-0005-0000-0000-0000477F0000}"/>
    <cellStyle name="Normal 4 19 4 2 2 3" xfId="28708" xr:uid="{00000000-0005-0000-0000-0000487F0000}"/>
    <cellStyle name="Normal 4 19 4 2 3" xfId="22266" xr:uid="{00000000-0005-0000-0000-0000497F0000}"/>
    <cellStyle name="Normal 4 19 4 2 3 2" xfId="38340" xr:uid="{00000000-0005-0000-0000-00004A7F0000}"/>
    <cellStyle name="Normal 4 19 4 2 4" xfId="32099" xr:uid="{00000000-0005-0000-0000-00004B7F0000}"/>
    <cellStyle name="Normal 4 19 4 3" xfId="7393" xr:uid="{00000000-0005-0000-0000-00004C7F0000}"/>
    <cellStyle name="Normal 4 19 4 3 2" xfId="20768" xr:uid="{00000000-0005-0000-0000-00004D7F0000}"/>
    <cellStyle name="Normal 4 19 4 3 2 2" xfId="36867" xr:uid="{00000000-0005-0000-0000-00004E7F0000}"/>
    <cellStyle name="Normal 4 19 4 3 3" xfId="30405" xr:uid="{00000000-0005-0000-0000-00004F7F0000}"/>
    <cellStyle name="Normal 4 19 4 4" xfId="11070" xr:uid="{00000000-0005-0000-0000-0000507F0000}"/>
    <cellStyle name="Normal 4 19 4 4 2" xfId="34775" xr:uid="{00000000-0005-0000-0000-0000517F0000}"/>
    <cellStyle name="Normal 4 19 4 5" xfId="33792" xr:uid="{00000000-0005-0000-0000-0000527F0000}"/>
    <cellStyle name="Normal 4 19 5" xfId="4173" xr:uid="{00000000-0005-0000-0000-0000537F0000}"/>
    <cellStyle name="Normal 4 19 5 2" xfId="6023" xr:uid="{00000000-0005-0000-0000-0000547F0000}"/>
    <cellStyle name="Normal 4 19 5 2 2" xfId="9438" xr:uid="{00000000-0005-0000-0000-0000557F0000}"/>
    <cellStyle name="Normal 4 19 5 2 2 2" xfId="10446" xr:uid="{00000000-0005-0000-0000-0000567F0000}"/>
    <cellStyle name="Normal 4 19 5 2 2 2 2" xfId="34368" xr:uid="{00000000-0005-0000-0000-0000577F0000}"/>
    <cellStyle name="Normal 4 19 5 2 2 3" xfId="28360" xr:uid="{00000000-0005-0000-0000-0000587F0000}"/>
    <cellStyle name="Normal 4 19 5 2 3" xfId="23963" xr:uid="{00000000-0005-0000-0000-0000597F0000}"/>
    <cellStyle name="Normal 4 19 5 2 3 2" xfId="40017" xr:uid="{00000000-0005-0000-0000-00005A7F0000}"/>
    <cellStyle name="Normal 4 19 5 2 4" xfId="31755" xr:uid="{00000000-0005-0000-0000-00005B7F0000}"/>
    <cellStyle name="Normal 4 19 5 3" xfId="7754" xr:uid="{00000000-0005-0000-0000-00005C7F0000}"/>
    <cellStyle name="Normal 4 19 5 3 2" xfId="23262" xr:uid="{00000000-0005-0000-0000-00005D7F0000}"/>
    <cellStyle name="Normal 4 19 5 3 2 2" xfId="39330" xr:uid="{00000000-0005-0000-0000-00005E7F0000}"/>
    <cellStyle name="Normal 4 19 5 3 3" xfId="30045" xr:uid="{00000000-0005-0000-0000-00005F7F0000}"/>
    <cellStyle name="Normal 4 19 5 4" xfId="19607" xr:uid="{00000000-0005-0000-0000-0000607F0000}"/>
    <cellStyle name="Normal 4 19 5 4 2" xfId="35721" xr:uid="{00000000-0005-0000-0000-0000617F0000}"/>
    <cellStyle name="Normal 4 19 5 5" xfId="33432" xr:uid="{00000000-0005-0000-0000-0000627F0000}"/>
    <cellStyle name="Normal 4 19 6" xfId="4629" xr:uid="{00000000-0005-0000-0000-0000637F0000}"/>
    <cellStyle name="Normal 4 19 6 2" xfId="6366" xr:uid="{00000000-0005-0000-0000-0000647F0000}"/>
    <cellStyle name="Normal 4 19 6 2 2" xfId="9776" xr:uid="{00000000-0005-0000-0000-0000657F0000}"/>
    <cellStyle name="Normal 4 19 6 2 2 2" xfId="23555" xr:uid="{00000000-0005-0000-0000-0000667F0000}"/>
    <cellStyle name="Normal 4 19 6 2 2 2 2" xfId="39611" xr:uid="{00000000-0005-0000-0000-0000677F0000}"/>
    <cellStyle name="Normal 4 19 6 2 2 3" xfId="28023" xr:uid="{00000000-0005-0000-0000-0000687F0000}"/>
    <cellStyle name="Normal 4 19 6 2 3" xfId="20423" xr:uid="{00000000-0005-0000-0000-0000697F0000}"/>
    <cellStyle name="Normal 4 19 6 2 3 2" xfId="36522" xr:uid="{00000000-0005-0000-0000-00006A7F0000}"/>
    <cellStyle name="Normal 4 19 6 2 4" xfId="31424" xr:uid="{00000000-0005-0000-0000-00006B7F0000}"/>
    <cellStyle name="Normal 4 19 6 3" xfId="8072" xr:uid="{00000000-0005-0000-0000-00006C7F0000}"/>
    <cellStyle name="Normal 4 19 6 3 2" xfId="24312" xr:uid="{00000000-0005-0000-0000-00006D7F0000}"/>
    <cellStyle name="Normal 4 19 6 3 2 2" xfId="40363" xr:uid="{00000000-0005-0000-0000-00006E7F0000}"/>
    <cellStyle name="Normal 4 19 6 3 3" xfId="29726" xr:uid="{00000000-0005-0000-0000-00006F7F0000}"/>
    <cellStyle name="Normal 4 19 6 4" xfId="12296" xr:uid="{00000000-0005-0000-0000-0000707F0000}"/>
    <cellStyle name="Normal 4 19 6 4 2" xfId="35172" xr:uid="{00000000-0005-0000-0000-0000717F0000}"/>
    <cellStyle name="Normal 4 19 6 5" xfId="33117" xr:uid="{00000000-0005-0000-0000-0000727F0000}"/>
    <cellStyle name="Normal 4 19 7" xfId="4723" xr:uid="{00000000-0005-0000-0000-0000737F0000}"/>
    <cellStyle name="Normal 4 19 7 2" xfId="6443" xr:uid="{00000000-0005-0000-0000-0000747F0000}"/>
    <cellStyle name="Normal 4 19 7 2 2" xfId="9853" xr:uid="{00000000-0005-0000-0000-0000757F0000}"/>
    <cellStyle name="Normal 4 19 7 2 2 2" xfId="23570" xr:uid="{00000000-0005-0000-0000-0000767F0000}"/>
    <cellStyle name="Normal 4 19 7 2 2 2 2" xfId="39626" xr:uid="{00000000-0005-0000-0000-0000777F0000}"/>
    <cellStyle name="Normal 4 19 7 2 2 3" xfId="27946" xr:uid="{00000000-0005-0000-0000-0000787F0000}"/>
    <cellStyle name="Normal 4 19 7 2 3" xfId="24043" xr:uid="{00000000-0005-0000-0000-0000797F0000}"/>
    <cellStyle name="Normal 4 19 7 2 3 2" xfId="40096" xr:uid="{00000000-0005-0000-0000-00007A7F0000}"/>
    <cellStyle name="Normal 4 19 7 2 4" xfId="31347" xr:uid="{00000000-0005-0000-0000-00007B7F0000}"/>
    <cellStyle name="Normal 4 19 7 3" xfId="8149" xr:uid="{00000000-0005-0000-0000-00007C7F0000}"/>
    <cellStyle name="Normal 4 19 7 3 2" xfId="19536" xr:uid="{00000000-0005-0000-0000-00007D7F0000}"/>
    <cellStyle name="Normal 4 19 7 3 2 2" xfId="35650" xr:uid="{00000000-0005-0000-0000-00007E7F0000}"/>
    <cellStyle name="Normal 4 19 7 3 3" xfId="29649" xr:uid="{00000000-0005-0000-0000-00007F7F0000}"/>
    <cellStyle name="Normal 4 19 7 4" xfId="23709" xr:uid="{00000000-0005-0000-0000-0000807F0000}"/>
    <cellStyle name="Normal 4 19 7 4 2" xfId="39765" xr:uid="{00000000-0005-0000-0000-0000817F0000}"/>
    <cellStyle name="Normal 4 19 7 5" xfId="33040" xr:uid="{00000000-0005-0000-0000-0000827F0000}"/>
    <cellStyle name="Normal 4 19 8" xfId="5087" xr:uid="{00000000-0005-0000-0000-0000837F0000}"/>
    <cellStyle name="Normal 4 19 8 2" xfId="6806" xr:uid="{00000000-0005-0000-0000-0000847F0000}"/>
    <cellStyle name="Normal 4 19 8 2 2" xfId="10212" xr:uid="{00000000-0005-0000-0000-0000857F0000}"/>
    <cellStyle name="Normal 4 19 8 2 2 2" xfId="21692" xr:uid="{00000000-0005-0000-0000-0000867F0000}"/>
    <cellStyle name="Normal 4 19 8 2 2 2 2" xfId="37771" xr:uid="{00000000-0005-0000-0000-0000877F0000}"/>
    <cellStyle name="Normal 4 19 8 2 2 3" xfId="27587" xr:uid="{00000000-0005-0000-0000-0000887F0000}"/>
    <cellStyle name="Normal 4 19 8 2 3" xfId="11805" xr:uid="{00000000-0005-0000-0000-0000897F0000}"/>
    <cellStyle name="Normal 4 19 8 2 3 2" xfId="34873" xr:uid="{00000000-0005-0000-0000-00008A7F0000}"/>
    <cellStyle name="Normal 4 19 8 2 4" xfId="30988" xr:uid="{00000000-0005-0000-0000-00008B7F0000}"/>
    <cellStyle name="Normal 4 19 8 3" xfId="8509" xr:uid="{00000000-0005-0000-0000-00008C7F0000}"/>
    <cellStyle name="Normal 4 19 8 3 2" xfId="10531" xr:uid="{00000000-0005-0000-0000-00008D7F0000}"/>
    <cellStyle name="Normal 4 19 8 3 2 2" xfId="34410" xr:uid="{00000000-0005-0000-0000-00008E7F0000}"/>
    <cellStyle name="Normal 4 19 8 3 3" xfId="29289" xr:uid="{00000000-0005-0000-0000-00008F7F0000}"/>
    <cellStyle name="Normal 4 19 8 4" xfId="10837" xr:uid="{00000000-0005-0000-0000-0000907F0000}"/>
    <cellStyle name="Normal 4 19 8 4 2" xfId="34635" xr:uid="{00000000-0005-0000-0000-0000917F0000}"/>
    <cellStyle name="Normal 4 19 8 5" xfId="32680" xr:uid="{00000000-0005-0000-0000-0000927F0000}"/>
    <cellStyle name="Normal 4 19 9" xfId="5185" xr:uid="{00000000-0005-0000-0000-0000937F0000}"/>
    <cellStyle name="Normal 4 19 9 2" xfId="8604" xr:uid="{00000000-0005-0000-0000-0000947F0000}"/>
    <cellStyle name="Normal 4 19 9 2 2" xfId="11818" xr:uid="{00000000-0005-0000-0000-0000957F0000}"/>
    <cellStyle name="Normal 4 19 9 2 2 2" xfId="34880" xr:uid="{00000000-0005-0000-0000-0000967F0000}"/>
    <cellStyle name="Normal 4 19 9 2 3" xfId="29194" xr:uid="{00000000-0005-0000-0000-0000977F0000}"/>
    <cellStyle name="Normal 4 19 9 3" xfId="22237" xr:uid="{00000000-0005-0000-0000-0000987F0000}"/>
    <cellStyle name="Normal 4 19 9 3 2" xfId="38311" xr:uid="{00000000-0005-0000-0000-0000997F0000}"/>
    <cellStyle name="Normal 4 19 9 4" xfId="32585" xr:uid="{00000000-0005-0000-0000-00009A7F0000}"/>
    <cellStyle name="Normal 4 2" xfId="1872" xr:uid="{00000000-0005-0000-0000-00009B7F0000}"/>
    <cellStyle name="Normal 4 2 2" xfId="1873" xr:uid="{00000000-0005-0000-0000-00009C7F0000}"/>
    <cellStyle name="Normal 4 2 2 2" xfId="12661" xr:uid="{00000000-0005-0000-0000-00009D7F0000}"/>
    <cellStyle name="Normal 4 2 2 3" xfId="12662" xr:uid="{00000000-0005-0000-0000-00009E7F0000}"/>
    <cellStyle name="Normal 4 2 3" xfId="1874" xr:uid="{00000000-0005-0000-0000-00009F7F0000}"/>
    <cellStyle name="Normal 4 2 3 2" xfId="1875" xr:uid="{00000000-0005-0000-0000-0000A07F0000}"/>
    <cellStyle name="Normal 4 2 4" xfId="12663" xr:uid="{00000000-0005-0000-0000-0000A17F0000}"/>
    <cellStyle name="Normal 4 2_Ark1" xfId="3671" xr:uid="{00000000-0005-0000-0000-0000A27F0000}"/>
    <cellStyle name="Normal 4 20" xfId="1876" xr:uid="{00000000-0005-0000-0000-0000A37F0000}"/>
    <cellStyle name="Normal 4 20 2" xfId="12665" xr:uid="{00000000-0005-0000-0000-0000A47F0000}"/>
    <cellStyle name="Normal 4 20 3" xfId="12664" xr:uid="{00000000-0005-0000-0000-0000A57F0000}"/>
    <cellStyle name="Normal 4 21" xfId="1877" xr:uid="{00000000-0005-0000-0000-0000A67F0000}"/>
    <cellStyle name="Normal 4 22" xfId="4145" xr:uid="{00000000-0005-0000-0000-0000A77F0000}"/>
    <cellStyle name="Normal 4 22 2" xfId="25516" xr:uid="{00000000-0005-0000-0000-0000A87F0000}"/>
    <cellStyle name="Normal 4 23" xfId="4229" xr:uid="{00000000-0005-0000-0000-0000A97F0000}"/>
    <cellStyle name="Normal 4 24" xfId="4356" xr:uid="{00000000-0005-0000-0000-0000AA7F0000}"/>
    <cellStyle name="Normal 4 25" xfId="4358" xr:uid="{00000000-0005-0000-0000-0000AB7F0000}"/>
    <cellStyle name="Normal 4 26" xfId="4197" xr:uid="{00000000-0005-0000-0000-0000AC7F0000}"/>
    <cellStyle name="Normal 4 27" xfId="4196" xr:uid="{00000000-0005-0000-0000-0000AD7F0000}"/>
    <cellStyle name="Normal 4 28" xfId="4185" xr:uid="{00000000-0005-0000-0000-0000AE7F0000}"/>
    <cellStyle name="Normal 4 29" xfId="4361" xr:uid="{00000000-0005-0000-0000-0000AF7F0000}"/>
    <cellStyle name="Normal 4 3" xfId="1878" xr:uid="{00000000-0005-0000-0000-0000B07F0000}"/>
    <cellStyle name="Normal 4 3 2" xfId="1879" xr:uid="{00000000-0005-0000-0000-0000B17F0000}"/>
    <cellStyle name="Normal 4 3 2 2" xfId="1880" xr:uid="{00000000-0005-0000-0000-0000B27F0000}"/>
    <cellStyle name="Normal 4 3 2 3" xfId="12666" xr:uid="{00000000-0005-0000-0000-0000B37F0000}"/>
    <cellStyle name="Normal 4 3 3" xfId="12667" xr:uid="{00000000-0005-0000-0000-0000B47F0000}"/>
    <cellStyle name="Normal 4 3_NGL-pris" xfId="1881" xr:uid="{00000000-0005-0000-0000-0000B57F0000}"/>
    <cellStyle name="Normal 4 30" xfId="4188" xr:uid="{00000000-0005-0000-0000-0000B67F0000}"/>
    <cellStyle name="Normal 4 31" xfId="4360" xr:uid="{00000000-0005-0000-0000-0000B77F0000}"/>
    <cellStyle name="Normal 4 32" xfId="4184" xr:uid="{00000000-0005-0000-0000-0000B87F0000}"/>
    <cellStyle name="Normal 4 33" xfId="4147" xr:uid="{00000000-0005-0000-0000-0000B97F0000}"/>
    <cellStyle name="Normal 4 34" xfId="4223" xr:uid="{00000000-0005-0000-0000-0000BA7F0000}"/>
    <cellStyle name="Normal 4 35" xfId="4362" xr:uid="{00000000-0005-0000-0000-0000BB7F0000}"/>
    <cellStyle name="Normal 4 36" xfId="5171" xr:uid="{00000000-0005-0000-0000-0000BC7F0000}"/>
    <cellStyle name="Normal 4 4" xfId="1882" xr:uid="{00000000-0005-0000-0000-0000BD7F0000}"/>
    <cellStyle name="Normal 4 4 2" xfId="12668" xr:uid="{00000000-0005-0000-0000-0000BE7F0000}"/>
    <cellStyle name="Normal 4 5" xfId="1883" xr:uid="{00000000-0005-0000-0000-0000BF7F0000}"/>
    <cellStyle name="Normal 4 5 2" xfId="1884" xr:uid="{00000000-0005-0000-0000-0000C07F0000}"/>
    <cellStyle name="Normal 4 5 2 2" xfId="1885" xr:uid="{00000000-0005-0000-0000-0000C17F0000}"/>
    <cellStyle name="Normal 4 5 2 3" xfId="12669" xr:uid="{00000000-0005-0000-0000-0000C27F0000}"/>
    <cellStyle name="Normal 4 5_Ark1" xfId="12670" xr:uid="{00000000-0005-0000-0000-0000C37F0000}"/>
    <cellStyle name="Normal 4 6" xfId="1886" xr:uid="{00000000-0005-0000-0000-0000C47F0000}"/>
    <cellStyle name="Normal 4 6 2" xfId="12671" xr:uid="{00000000-0005-0000-0000-0000C57F0000}"/>
    <cellStyle name="Normal 4 7" xfId="1887" xr:uid="{00000000-0005-0000-0000-0000C67F0000}"/>
    <cellStyle name="Normal 4 7 2" xfId="12672" xr:uid="{00000000-0005-0000-0000-0000C77F0000}"/>
    <cellStyle name="Normal 4 8" xfId="1888" xr:uid="{00000000-0005-0000-0000-0000C87F0000}"/>
    <cellStyle name="Normal 4 8 2" xfId="12673" xr:uid="{00000000-0005-0000-0000-0000C97F0000}"/>
    <cellStyle name="Normal 4 9" xfId="1889" xr:uid="{00000000-0005-0000-0000-0000CA7F0000}"/>
    <cellStyle name="Normal 4 9 2" xfId="12674" xr:uid="{00000000-0005-0000-0000-0000CB7F0000}"/>
    <cellStyle name="Normal 4_Ark1" xfId="12675" xr:uid="{00000000-0005-0000-0000-0000CC7F0000}"/>
    <cellStyle name="Normal 40" xfId="1890" xr:uid="{00000000-0005-0000-0000-0000CD7F0000}"/>
    <cellStyle name="Normal 40 2" xfId="1891" xr:uid="{00000000-0005-0000-0000-0000CE7F0000}"/>
    <cellStyle name="Normal 40 2 2" xfId="12676" xr:uid="{00000000-0005-0000-0000-0000CF7F0000}"/>
    <cellStyle name="Normal 40 3" xfId="1892" xr:uid="{00000000-0005-0000-0000-0000D07F0000}"/>
    <cellStyle name="Normal 40 3 2" xfId="12677" xr:uid="{00000000-0005-0000-0000-0000D17F0000}"/>
    <cellStyle name="Normal 40 4" xfId="1893" xr:uid="{00000000-0005-0000-0000-0000D27F0000}"/>
    <cellStyle name="Normal 40 4 2" xfId="12678" xr:uid="{00000000-0005-0000-0000-0000D37F0000}"/>
    <cellStyle name="Normal 40 5" xfId="1894" xr:uid="{00000000-0005-0000-0000-0000D47F0000}"/>
    <cellStyle name="Normal 40 5 2" xfId="12679" xr:uid="{00000000-0005-0000-0000-0000D57F0000}"/>
    <cellStyle name="Normal 40 6" xfId="1895" xr:uid="{00000000-0005-0000-0000-0000D67F0000}"/>
    <cellStyle name="Normal 40 6 2" xfId="12680" xr:uid="{00000000-0005-0000-0000-0000D77F0000}"/>
    <cellStyle name="Normal 40 7" xfId="1896" xr:uid="{00000000-0005-0000-0000-0000D87F0000}"/>
    <cellStyle name="Normal 40 7 2" xfId="12681" xr:uid="{00000000-0005-0000-0000-0000D97F0000}"/>
    <cellStyle name="Normal 40 8" xfId="1897" xr:uid="{00000000-0005-0000-0000-0000DA7F0000}"/>
    <cellStyle name="Normal 40 8 2" xfId="12682" xr:uid="{00000000-0005-0000-0000-0000DB7F0000}"/>
    <cellStyle name="Normal 40 9" xfId="12683" xr:uid="{00000000-0005-0000-0000-0000DC7F0000}"/>
    <cellStyle name="Normal 41" xfId="1085" xr:uid="{00000000-0005-0000-0000-0000DD7F0000}"/>
    <cellStyle name="Normal 41 10" xfId="1898" xr:uid="{00000000-0005-0000-0000-0000DE7F0000}"/>
    <cellStyle name="Normal 41 10 2" xfId="12684" xr:uid="{00000000-0005-0000-0000-0000DF7F0000}"/>
    <cellStyle name="Normal 41 11" xfId="1899" xr:uid="{00000000-0005-0000-0000-0000E07F0000}"/>
    <cellStyle name="Normal 41 11 2" xfId="12685" xr:uid="{00000000-0005-0000-0000-0000E17F0000}"/>
    <cellStyle name="Normal 41 12" xfId="1900" xr:uid="{00000000-0005-0000-0000-0000E27F0000}"/>
    <cellStyle name="Normal 41 12 2" xfId="12686" xr:uid="{00000000-0005-0000-0000-0000E37F0000}"/>
    <cellStyle name="Normal 41 13" xfId="1901" xr:uid="{00000000-0005-0000-0000-0000E47F0000}"/>
    <cellStyle name="Normal 41 13 2" xfId="12687" xr:uid="{00000000-0005-0000-0000-0000E57F0000}"/>
    <cellStyle name="Normal 41 14" xfId="1902" xr:uid="{00000000-0005-0000-0000-0000E67F0000}"/>
    <cellStyle name="Normal 41 14 2" xfId="12688" xr:uid="{00000000-0005-0000-0000-0000E77F0000}"/>
    <cellStyle name="Normal 41 15" xfId="1903" xr:uid="{00000000-0005-0000-0000-0000E87F0000}"/>
    <cellStyle name="Normal 41 15 2" xfId="12689" xr:uid="{00000000-0005-0000-0000-0000E97F0000}"/>
    <cellStyle name="Normal 41 16" xfId="1904" xr:uid="{00000000-0005-0000-0000-0000EA7F0000}"/>
    <cellStyle name="Normal 41 16 2" xfId="12690" xr:uid="{00000000-0005-0000-0000-0000EB7F0000}"/>
    <cellStyle name="Normal 41 17" xfId="1905" xr:uid="{00000000-0005-0000-0000-0000EC7F0000}"/>
    <cellStyle name="Normal 41 17 2" xfId="1906" xr:uid="{00000000-0005-0000-0000-0000ED7F0000}"/>
    <cellStyle name="Normal 41 17 2 2" xfId="12691" xr:uid="{00000000-0005-0000-0000-0000EE7F0000}"/>
    <cellStyle name="Normal 41 17 3" xfId="12692" xr:uid="{00000000-0005-0000-0000-0000EF7F0000}"/>
    <cellStyle name="Normal 41 18" xfId="5372" xr:uid="{00000000-0005-0000-0000-0000F07F0000}"/>
    <cellStyle name="Normal 41 18 2" xfId="8787" xr:uid="{00000000-0005-0000-0000-0000F17F0000}"/>
    <cellStyle name="Normal 41 18 2 2" xfId="21190" xr:uid="{00000000-0005-0000-0000-0000F27F0000}"/>
    <cellStyle name="Normal 41 18 2 2 2" xfId="37270" xr:uid="{00000000-0005-0000-0000-0000F37F0000}"/>
    <cellStyle name="Normal 41 18 2 3" xfId="29011" xr:uid="{00000000-0005-0000-0000-0000F47F0000}"/>
    <cellStyle name="Normal 41 18 3" xfId="12039" xr:uid="{00000000-0005-0000-0000-0000F57F0000}"/>
    <cellStyle name="Normal 41 18 3 2" xfId="35040" xr:uid="{00000000-0005-0000-0000-0000F67F0000}"/>
    <cellStyle name="Normal 41 18 4" xfId="32402" xr:uid="{00000000-0005-0000-0000-0000F77F0000}"/>
    <cellStyle name="Normal 41 19" xfId="6969" xr:uid="{00000000-0005-0000-0000-0000F87F0000}"/>
    <cellStyle name="Normal 41 19 2" xfId="20613" xr:uid="{00000000-0005-0000-0000-0000F97F0000}"/>
    <cellStyle name="Normal 41 19 2 2" xfId="36712" xr:uid="{00000000-0005-0000-0000-0000FA7F0000}"/>
    <cellStyle name="Normal 41 19 3" xfId="30829" xr:uid="{00000000-0005-0000-0000-0000FB7F0000}"/>
    <cellStyle name="Normal 41 2" xfId="1907" xr:uid="{00000000-0005-0000-0000-0000FC7F0000}"/>
    <cellStyle name="Normal 41 2 2" xfId="12693" xr:uid="{00000000-0005-0000-0000-0000FD7F0000}"/>
    <cellStyle name="Normal 41 20" xfId="19913" xr:uid="{00000000-0005-0000-0000-0000FE7F0000}"/>
    <cellStyle name="Normal 41 20 2" xfId="36018" xr:uid="{00000000-0005-0000-0000-0000FF7F0000}"/>
    <cellStyle name="Normal 41 21" xfId="34217" xr:uid="{00000000-0005-0000-0000-000000800000}"/>
    <cellStyle name="Normal 41 3" xfId="1908" xr:uid="{00000000-0005-0000-0000-000001800000}"/>
    <cellStyle name="Normal 41 3 2" xfId="12694" xr:uid="{00000000-0005-0000-0000-000002800000}"/>
    <cellStyle name="Normal 41 4" xfId="1909" xr:uid="{00000000-0005-0000-0000-000003800000}"/>
    <cellStyle name="Normal 41 4 2" xfId="12695" xr:uid="{00000000-0005-0000-0000-000004800000}"/>
    <cellStyle name="Normal 41 5" xfId="1910" xr:uid="{00000000-0005-0000-0000-000005800000}"/>
    <cellStyle name="Normal 41 5 2" xfId="12696" xr:uid="{00000000-0005-0000-0000-000006800000}"/>
    <cellStyle name="Normal 41 6" xfId="1911" xr:uid="{00000000-0005-0000-0000-000007800000}"/>
    <cellStyle name="Normal 41 6 2" xfId="12697" xr:uid="{00000000-0005-0000-0000-000008800000}"/>
    <cellStyle name="Normal 41 7" xfId="1912" xr:uid="{00000000-0005-0000-0000-000009800000}"/>
    <cellStyle name="Normal 41 7 2" xfId="12698" xr:uid="{00000000-0005-0000-0000-00000A800000}"/>
    <cellStyle name="Normal 41 8" xfId="1913" xr:uid="{00000000-0005-0000-0000-00000B800000}"/>
    <cellStyle name="Normal 41 8 2" xfId="12699" xr:uid="{00000000-0005-0000-0000-00000C800000}"/>
    <cellStyle name="Normal 41 9" xfId="1914" xr:uid="{00000000-0005-0000-0000-00000D800000}"/>
    <cellStyle name="Normal 41 9 2" xfId="12700" xr:uid="{00000000-0005-0000-0000-00000E800000}"/>
    <cellStyle name="Normal 42" xfId="1915" xr:uid="{00000000-0005-0000-0000-00000F800000}"/>
    <cellStyle name="Normal 42 10" xfId="1916" xr:uid="{00000000-0005-0000-0000-000010800000}"/>
    <cellStyle name="Normal 42 10 2" xfId="12701" xr:uid="{00000000-0005-0000-0000-000011800000}"/>
    <cellStyle name="Normal 42 11" xfId="1917" xr:uid="{00000000-0005-0000-0000-000012800000}"/>
    <cellStyle name="Normal 42 11 2" xfId="12702" xr:uid="{00000000-0005-0000-0000-000013800000}"/>
    <cellStyle name="Normal 42 12" xfId="1918" xr:uid="{00000000-0005-0000-0000-000014800000}"/>
    <cellStyle name="Normal 42 12 2" xfId="12703" xr:uid="{00000000-0005-0000-0000-000015800000}"/>
    <cellStyle name="Normal 42 13" xfId="1919" xr:uid="{00000000-0005-0000-0000-000016800000}"/>
    <cellStyle name="Normal 42 13 2" xfId="12704" xr:uid="{00000000-0005-0000-0000-000017800000}"/>
    <cellStyle name="Normal 42 14" xfId="1920" xr:uid="{00000000-0005-0000-0000-000018800000}"/>
    <cellStyle name="Normal 42 14 2" xfId="12705" xr:uid="{00000000-0005-0000-0000-000019800000}"/>
    <cellStyle name="Normal 42 15" xfId="1921" xr:uid="{00000000-0005-0000-0000-00001A800000}"/>
    <cellStyle name="Normal 42 15 2" xfId="12706" xr:uid="{00000000-0005-0000-0000-00001B800000}"/>
    <cellStyle name="Normal 42 16" xfId="1922" xr:uid="{00000000-0005-0000-0000-00001C800000}"/>
    <cellStyle name="Normal 42 16 2" xfId="12707" xr:uid="{00000000-0005-0000-0000-00001D800000}"/>
    <cellStyle name="Normal 42 17" xfId="1923" xr:uid="{00000000-0005-0000-0000-00001E800000}"/>
    <cellStyle name="Normal 42 17 2" xfId="12708" xr:uid="{00000000-0005-0000-0000-00001F800000}"/>
    <cellStyle name="Normal 42 18" xfId="1924" xr:uid="{00000000-0005-0000-0000-000020800000}"/>
    <cellStyle name="Normal 42 18 2" xfId="12709" xr:uid="{00000000-0005-0000-0000-000021800000}"/>
    <cellStyle name="Normal 42 19" xfId="1925" xr:uid="{00000000-0005-0000-0000-000022800000}"/>
    <cellStyle name="Normal 42 19 2" xfId="12710" xr:uid="{00000000-0005-0000-0000-000023800000}"/>
    <cellStyle name="Normal 42 2" xfId="1926" xr:uid="{00000000-0005-0000-0000-000024800000}"/>
    <cellStyle name="Normal 42 2 2" xfId="12711" xr:uid="{00000000-0005-0000-0000-000025800000}"/>
    <cellStyle name="Normal 42 20" xfId="1927" xr:uid="{00000000-0005-0000-0000-000026800000}"/>
    <cellStyle name="Normal 42 20 2" xfId="12712" xr:uid="{00000000-0005-0000-0000-000027800000}"/>
    <cellStyle name="Normal 42 21" xfId="1928" xr:uid="{00000000-0005-0000-0000-000028800000}"/>
    <cellStyle name="Normal 42 21 2" xfId="12713" xr:uid="{00000000-0005-0000-0000-000029800000}"/>
    <cellStyle name="Normal 42 22" xfId="1929" xr:uid="{00000000-0005-0000-0000-00002A800000}"/>
    <cellStyle name="Normal 42 22 2" xfId="12714" xr:uid="{00000000-0005-0000-0000-00002B800000}"/>
    <cellStyle name="Normal 42 23" xfId="12715" xr:uid="{00000000-0005-0000-0000-00002C800000}"/>
    <cellStyle name="Normal 42 3" xfId="1930" xr:uid="{00000000-0005-0000-0000-00002D800000}"/>
    <cellStyle name="Normal 42 3 2" xfId="12716" xr:uid="{00000000-0005-0000-0000-00002E800000}"/>
    <cellStyle name="Normal 42 4" xfId="1931" xr:uid="{00000000-0005-0000-0000-00002F800000}"/>
    <cellStyle name="Normal 42 4 2" xfId="12717" xr:uid="{00000000-0005-0000-0000-000030800000}"/>
    <cellStyle name="Normal 42 5" xfId="1932" xr:uid="{00000000-0005-0000-0000-000031800000}"/>
    <cellStyle name="Normal 42 5 2" xfId="12718" xr:uid="{00000000-0005-0000-0000-000032800000}"/>
    <cellStyle name="Normal 42 6" xfId="1933" xr:uid="{00000000-0005-0000-0000-000033800000}"/>
    <cellStyle name="Normal 42 6 2" xfId="12719" xr:uid="{00000000-0005-0000-0000-000034800000}"/>
    <cellStyle name="Normal 42 7" xfId="1934" xr:uid="{00000000-0005-0000-0000-000035800000}"/>
    <cellStyle name="Normal 42 7 2" xfId="12720" xr:uid="{00000000-0005-0000-0000-000036800000}"/>
    <cellStyle name="Normal 42 8" xfId="1935" xr:uid="{00000000-0005-0000-0000-000037800000}"/>
    <cellStyle name="Normal 42 8 2" xfId="12721" xr:uid="{00000000-0005-0000-0000-000038800000}"/>
    <cellStyle name="Normal 42 9" xfId="1936" xr:uid="{00000000-0005-0000-0000-000039800000}"/>
    <cellStyle name="Normal 42 9 2" xfId="12722" xr:uid="{00000000-0005-0000-0000-00003A800000}"/>
    <cellStyle name="Normal 43" xfId="1937" xr:uid="{00000000-0005-0000-0000-00003B800000}"/>
    <cellStyle name="Normal 43 2" xfId="1938" xr:uid="{00000000-0005-0000-0000-00003C800000}"/>
    <cellStyle name="Normal 43 2 2" xfId="12723" xr:uid="{00000000-0005-0000-0000-00003D800000}"/>
    <cellStyle name="Normal 43 3" xfId="1939" xr:uid="{00000000-0005-0000-0000-00003E800000}"/>
    <cellStyle name="Normal 43 3 2" xfId="12724" xr:uid="{00000000-0005-0000-0000-00003F800000}"/>
    <cellStyle name="Normal 43 4" xfId="1940" xr:uid="{00000000-0005-0000-0000-000040800000}"/>
    <cellStyle name="Normal 43 4 2" xfId="12725" xr:uid="{00000000-0005-0000-0000-000041800000}"/>
    <cellStyle name="Normal 43 5" xfId="1941" xr:uid="{00000000-0005-0000-0000-000042800000}"/>
    <cellStyle name="Normal 43 5 2" xfId="12726" xr:uid="{00000000-0005-0000-0000-000043800000}"/>
    <cellStyle name="Normal 43 6" xfId="1942" xr:uid="{00000000-0005-0000-0000-000044800000}"/>
    <cellStyle name="Normal 43 6 2" xfId="12727" xr:uid="{00000000-0005-0000-0000-000045800000}"/>
    <cellStyle name="Normal 43 7" xfId="1943" xr:uid="{00000000-0005-0000-0000-000046800000}"/>
    <cellStyle name="Normal 43 7 2" xfId="12728" xr:uid="{00000000-0005-0000-0000-000047800000}"/>
    <cellStyle name="Normal 43 8" xfId="1944" xr:uid="{00000000-0005-0000-0000-000048800000}"/>
    <cellStyle name="Normal 43 8 2" xfId="12729" xr:uid="{00000000-0005-0000-0000-000049800000}"/>
    <cellStyle name="Normal 43 9" xfId="12730" xr:uid="{00000000-0005-0000-0000-00004A800000}"/>
    <cellStyle name="Normal 44" xfId="3689" xr:uid="{00000000-0005-0000-0000-00004B800000}"/>
    <cellStyle name="Normal 44 2" xfId="1945" xr:uid="{00000000-0005-0000-0000-00004C800000}"/>
    <cellStyle name="Normal 44 2 2" xfId="12731" xr:uid="{00000000-0005-0000-0000-00004D800000}"/>
    <cellStyle name="Normal 44 3" xfId="5585" xr:uid="{00000000-0005-0000-0000-00004E800000}"/>
    <cellStyle name="Normal 44 3 2" xfId="9000" xr:uid="{00000000-0005-0000-0000-00004F800000}"/>
    <cellStyle name="Normal 44 3 2 2" xfId="21245" xr:uid="{00000000-0005-0000-0000-000050800000}"/>
    <cellStyle name="Normal 44 3 2 2 2" xfId="37325" xr:uid="{00000000-0005-0000-0000-000051800000}"/>
    <cellStyle name="Normal 44 3 2 3" xfId="28798" xr:uid="{00000000-0005-0000-0000-000052800000}"/>
    <cellStyle name="Normal 44 3 3" xfId="22878" xr:uid="{00000000-0005-0000-0000-000053800000}"/>
    <cellStyle name="Normal 44 3 3 2" xfId="38947" xr:uid="{00000000-0005-0000-0000-000054800000}"/>
    <cellStyle name="Normal 44 3 4" xfId="32189" xr:uid="{00000000-0005-0000-0000-000055800000}"/>
    <cellStyle name="Normal 44 4" xfId="7303" xr:uid="{00000000-0005-0000-0000-000056800000}"/>
    <cellStyle name="Normal 44 4 2" xfId="20732" xr:uid="{00000000-0005-0000-0000-000057800000}"/>
    <cellStyle name="Normal 44 4 2 2" xfId="36831" xr:uid="{00000000-0005-0000-0000-000058800000}"/>
    <cellStyle name="Normal 44 4 3" xfId="30495" xr:uid="{00000000-0005-0000-0000-000059800000}"/>
    <cellStyle name="Normal 44 5" xfId="12592" xr:uid="{00000000-0005-0000-0000-00005A800000}"/>
    <cellStyle name="Normal 44 5 2" xfId="35288" xr:uid="{00000000-0005-0000-0000-00005B800000}"/>
    <cellStyle name="Normal 44 6" xfId="33882" xr:uid="{00000000-0005-0000-0000-00005C800000}"/>
    <cellStyle name="Normal 45" xfId="1946" xr:uid="{00000000-0005-0000-0000-00005D800000}"/>
    <cellStyle name="Normal 45 2" xfId="1947" xr:uid="{00000000-0005-0000-0000-00005E800000}"/>
    <cellStyle name="Normal 45 2 2" xfId="12732" xr:uid="{00000000-0005-0000-0000-00005F800000}"/>
    <cellStyle name="Normal 45 3" xfId="12733" xr:uid="{00000000-0005-0000-0000-000060800000}"/>
    <cellStyle name="Normal 46" xfId="1948" xr:uid="{00000000-0005-0000-0000-000061800000}"/>
    <cellStyle name="Normal 46 2" xfId="1949" xr:uid="{00000000-0005-0000-0000-000062800000}"/>
    <cellStyle name="Normal 46 2 2" xfId="12734" xr:uid="{00000000-0005-0000-0000-000063800000}"/>
    <cellStyle name="Normal 46 3" xfId="12735" xr:uid="{00000000-0005-0000-0000-000064800000}"/>
    <cellStyle name="Normal 47" xfId="3709" xr:uid="{00000000-0005-0000-0000-000065800000}"/>
    <cellStyle name="Normal 47 2" xfId="1950" xr:uid="{00000000-0005-0000-0000-000066800000}"/>
    <cellStyle name="Normal 47 2 2" xfId="12736" xr:uid="{00000000-0005-0000-0000-000067800000}"/>
    <cellStyle name="Normal 47 3" xfId="5597" xr:uid="{00000000-0005-0000-0000-000068800000}"/>
    <cellStyle name="Normal 47 3 2" xfId="9012" xr:uid="{00000000-0005-0000-0000-000069800000}"/>
    <cellStyle name="Normal 47 3 2 2" xfId="24446" xr:uid="{00000000-0005-0000-0000-00006A800000}"/>
    <cellStyle name="Normal 47 3 2 2 2" xfId="40490" xr:uid="{00000000-0005-0000-0000-00006B800000}"/>
    <cellStyle name="Normal 47 3 2 3" xfId="28786" xr:uid="{00000000-0005-0000-0000-00006C800000}"/>
    <cellStyle name="Normal 47 3 3" xfId="20135" xr:uid="{00000000-0005-0000-0000-00006D800000}"/>
    <cellStyle name="Normal 47 3 3 2" xfId="36238" xr:uid="{00000000-0005-0000-0000-00006E800000}"/>
    <cellStyle name="Normal 47 3 4" xfId="32177" xr:uid="{00000000-0005-0000-0000-00006F800000}"/>
    <cellStyle name="Normal 47 4" xfId="7315" xr:uid="{00000000-0005-0000-0000-000070800000}"/>
    <cellStyle name="Normal 47 4 2" xfId="22435" xr:uid="{00000000-0005-0000-0000-000071800000}"/>
    <cellStyle name="Normal 47 4 2 2" xfId="38507" xr:uid="{00000000-0005-0000-0000-000072800000}"/>
    <cellStyle name="Normal 47 4 3" xfId="30483" xr:uid="{00000000-0005-0000-0000-000073800000}"/>
    <cellStyle name="Normal 47 5" xfId="22636" xr:uid="{00000000-0005-0000-0000-000074800000}"/>
    <cellStyle name="Normal 47 5 2" xfId="38705" xr:uid="{00000000-0005-0000-0000-000075800000}"/>
    <cellStyle name="Normal 47 6" xfId="33870" xr:uid="{00000000-0005-0000-0000-000076800000}"/>
    <cellStyle name="Normal 48" xfId="3710" xr:uid="{00000000-0005-0000-0000-000077800000}"/>
    <cellStyle name="Normal 48 2" xfId="1951" xr:uid="{00000000-0005-0000-0000-000078800000}"/>
    <cellStyle name="Normal 48 2 2" xfId="12737" xr:uid="{00000000-0005-0000-0000-000079800000}"/>
    <cellStyle name="Normal 48 3" xfId="5598" xr:uid="{00000000-0005-0000-0000-00007A800000}"/>
    <cellStyle name="Normal 48 3 2" xfId="9013" xr:uid="{00000000-0005-0000-0000-00007B800000}"/>
    <cellStyle name="Normal 48 3 2 2" xfId="21908" xr:uid="{00000000-0005-0000-0000-00007C800000}"/>
    <cellStyle name="Normal 48 3 2 2 2" xfId="37983" xr:uid="{00000000-0005-0000-0000-00007D800000}"/>
    <cellStyle name="Normal 48 3 2 3" xfId="28785" xr:uid="{00000000-0005-0000-0000-00007E800000}"/>
    <cellStyle name="Normal 48 3 3" xfId="23884" xr:uid="{00000000-0005-0000-0000-00007F800000}"/>
    <cellStyle name="Normal 48 3 3 2" xfId="39940" xr:uid="{00000000-0005-0000-0000-000080800000}"/>
    <cellStyle name="Normal 48 3 4" xfId="32176" xr:uid="{00000000-0005-0000-0000-000081800000}"/>
    <cellStyle name="Normal 48 4" xfId="7316" xr:uid="{00000000-0005-0000-0000-000082800000}"/>
    <cellStyle name="Normal 48 4 2" xfId="23183" xr:uid="{00000000-0005-0000-0000-000083800000}"/>
    <cellStyle name="Normal 48 4 2 2" xfId="39252" xr:uid="{00000000-0005-0000-0000-000084800000}"/>
    <cellStyle name="Normal 48 4 3" xfId="30482" xr:uid="{00000000-0005-0000-0000-000085800000}"/>
    <cellStyle name="Normal 48 5" xfId="19923" xr:uid="{00000000-0005-0000-0000-000086800000}"/>
    <cellStyle name="Normal 48 5 2" xfId="36027" xr:uid="{00000000-0005-0000-0000-000087800000}"/>
    <cellStyle name="Normal 48 6" xfId="33869" xr:uid="{00000000-0005-0000-0000-000088800000}"/>
    <cellStyle name="Normal 49" xfId="3711" xr:uid="{00000000-0005-0000-0000-000089800000}"/>
    <cellStyle name="Normal 49 2" xfId="1952" xr:uid="{00000000-0005-0000-0000-00008A800000}"/>
    <cellStyle name="Normal 49 2 2" xfId="12738" xr:uid="{00000000-0005-0000-0000-00008B800000}"/>
    <cellStyle name="Normal 49 3" xfId="5599" xr:uid="{00000000-0005-0000-0000-00008C800000}"/>
    <cellStyle name="Normal 49 3 2" xfId="9014" xr:uid="{00000000-0005-0000-0000-00008D800000}"/>
    <cellStyle name="Normal 49 3 2 2" xfId="23442" xr:uid="{00000000-0005-0000-0000-00008E800000}"/>
    <cellStyle name="Normal 49 3 2 2 2" xfId="39498" xr:uid="{00000000-0005-0000-0000-00008F800000}"/>
    <cellStyle name="Normal 49 3 2 3" xfId="28784" xr:uid="{00000000-0005-0000-0000-000090800000}"/>
    <cellStyle name="Normal 49 3 3" xfId="12739" xr:uid="{00000000-0005-0000-0000-000091800000}"/>
    <cellStyle name="Normal 49 3 4" xfId="22260" xr:uid="{00000000-0005-0000-0000-000092800000}"/>
    <cellStyle name="Normal 49 3 4 2" xfId="38334" xr:uid="{00000000-0005-0000-0000-000093800000}"/>
    <cellStyle name="Normal 49 3 5" xfId="32175" xr:uid="{00000000-0005-0000-0000-000094800000}"/>
    <cellStyle name="Normal 49 4" xfId="7317" xr:uid="{00000000-0005-0000-0000-000095800000}"/>
    <cellStyle name="Normal 49 4 2" xfId="20737" xr:uid="{00000000-0005-0000-0000-000096800000}"/>
    <cellStyle name="Normal 49 4 2 2" xfId="36836" xr:uid="{00000000-0005-0000-0000-000097800000}"/>
    <cellStyle name="Normal 49 4 3" xfId="30481" xr:uid="{00000000-0005-0000-0000-000098800000}"/>
    <cellStyle name="Normal 49 5" xfId="23770" xr:uid="{00000000-0005-0000-0000-000099800000}"/>
    <cellStyle name="Normal 49 5 2" xfId="39826" xr:uid="{00000000-0005-0000-0000-00009A800000}"/>
    <cellStyle name="Normal 49 6" xfId="33868" xr:uid="{00000000-0005-0000-0000-00009B800000}"/>
    <cellStyle name="Normal 5" xfId="1953" xr:uid="{00000000-0005-0000-0000-00009C800000}"/>
    <cellStyle name="Normal 5 10" xfId="1954" xr:uid="{00000000-0005-0000-0000-00009D800000}"/>
    <cellStyle name="Normal 5 10 2" xfId="12740" xr:uid="{00000000-0005-0000-0000-00009E800000}"/>
    <cellStyle name="Normal 5 11" xfId="1955" xr:uid="{00000000-0005-0000-0000-00009F800000}"/>
    <cellStyle name="Normal 5 11 2" xfId="12741" xr:uid="{00000000-0005-0000-0000-0000A0800000}"/>
    <cellStyle name="Normal 5 12" xfId="1956" xr:uid="{00000000-0005-0000-0000-0000A1800000}"/>
    <cellStyle name="Normal 5 12 2" xfId="12742" xr:uid="{00000000-0005-0000-0000-0000A2800000}"/>
    <cellStyle name="Normal 5 13" xfId="1957" xr:uid="{00000000-0005-0000-0000-0000A3800000}"/>
    <cellStyle name="Normal 5 13 2" xfId="12743" xr:uid="{00000000-0005-0000-0000-0000A4800000}"/>
    <cellStyle name="Normal 5 14" xfId="1958" xr:uid="{00000000-0005-0000-0000-0000A5800000}"/>
    <cellStyle name="Normal 5 14 2" xfId="12744" xr:uid="{00000000-0005-0000-0000-0000A6800000}"/>
    <cellStyle name="Normal 5 15" xfId="1959" xr:uid="{00000000-0005-0000-0000-0000A7800000}"/>
    <cellStyle name="Normal 5 15 2" xfId="12745" xr:uid="{00000000-0005-0000-0000-0000A8800000}"/>
    <cellStyle name="Normal 5 16" xfId="1960" xr:uid="{00000000-0005-0000-0000-0000A9800000}"/>
    <cellStyle name="Normal 5 16 2" xfId="12746" xr:uid="{00000000-0005-0000-0000-0000AA800000}"/>
    <cellStyle name="Normal 5 17" xfId="1961" xr:uid="{00000000-0005-0000-0000-0000AB800000}"/>
    <cellStyle name="Normal 5 17 2" xfId="12747" xr:uid="{00000000-0005-0000-0000-0000AC800000}"/>
    <cellStyle name="Normal 5 18" xfId="1962" xr:uid="{00000000-0005-0000-0000-0000AD800000}"/>
    <cellStyle name="Normal 5 18 2" xfId="12748" xr:uid="{00000000-0005-0000-0000-0000AE800000}"/>
    <cellStyle name="Normal 5 19" xfId="1963" xr:uid="{00000000-0005-0000-0000-0000AF800000}"/>
    <cellStyle name="Normal 5 19 2" xfId="12749" xr:uid="{00000000-0005-0000-0000-0000B0800000}"/>
    <cellStyle name="Normal 5 2" xfId="1964" xr:uid="{00000000-0005-0000-0000-0000B1800000}"/>
    <cellStyle name="Normal 5 2 2" xfId="12750" xr:uid="{00000000-0005-0000-0000-0000B2800000}"/>
    <cellStyle name="Normal 5 20" xfId="1965" xr:uid="{00000000-0005-0000-0000-0000B3800000}"/>
    <cellStyle name="Normal 5 20 2" xfId="12751" xr:uid="{00000000-0005-0000-0000-0000B4800000}"/>
    <cellStyle name="Normal 5 21" xfId="1966" xr:uid="{00000000-0005-0000-0000-0000B5800000}"/>
    <cellStyle name="Normal 5 21 10" xfId="6997" xr:uid="{00000000-0005-0000-0000-0000B6800000}"/>
    <cellStyle name="Normal 5 21 10 2" xfId="20626" xr:uid="{00000000-0005-0000-0000-0000B7800000}"/>
    <cellStyle name="Normal 5 21 10 2 2" xfId="36725" xr:uid="{00000000-0005-0000-0000-0000B8800000}"/>
    <cellStyle name="Normal 5 21 10 3" xfId="30801" xr:uid="{00000000-0005-0000-0000-0000B9800000}"/>
    <cellStyle name="Normal 5 21 11" xfId="12752" xr:uid="{00000000-0005-0000-0000-0000BA800000}"/>
    <cellStyle name="Normal 5 21 12" xfId="34189" xr:uid="{00000000-0005-0000-0000-0000BB800000}"/>
    <cellStyle name="Normal 5 21 2" xfId="3393" xr:uid="{00000000-0005-0000-0000-0000BC800000}"/>
    <cellStyle name="Normal 5 21 2 10" xfId="34106" xr:uid="{00000000-0005-0000-0000-0000BD800000}"/>
    <cellStyle name="Normal 5 21 2 2" xfId="3618" xr:uid="{00000000-0005-0000-0000-0000BE800000}"/>
    <cellStyle name="Normal 5 21 2 2 10" xfId="47216" xr:uid="{00000000-0005-0000-0000-0000BF800000}"/>
    <cellStyle name="Normal 5 21 2 2 2" xfId="4047" xr:uid="{00000000-0005-0000-0000-0000C0800000}"/>
    <cellStyle name="Normal 5 21 2 2 2 2" xfId="5935" xr:uid="{00000000-0005-0000-0000-0000C1800000}"/>
    <cellStyle name="Normal 5 21 2 2 2 2 2" xfId="9350" xr:uid="{00000000-0005-0000-0000-0000C2800000}"/>
    <cellStyle name="Normal 5 21 2 2 2 2 2 2" xfId="23496" xr:uid="{00000000-0005-0000-0000-0000C3800000}"/>
    <cellStyle name="Normal 5 21 2 2 2 2 2 2 2" xfId="39552" xr:uid="{00000000-0005-0000-0000-0000C4800000}"/>
    <cellStyle name="Normal 5 21 2 2 2 2 2 3" xfId="28448" xr:uid="{00000000-0005-0000-0000-0000C5800000}"/>
    <cellStyle name="Normal 5 21 2 2 2 2 3" xfId="23945" xr:uid="{00000000-0005-0000-0000-0000C6800000}"/>
    <cellStyle name="Normal 5 21 2 2 2 2 3 2" xfId="39999" xr:uid="{00000000-0005-0000-0000-0000C7800000}"/>
    <cellStyle name="Normal 5 21 2 2 2 2 4" xfId="31842" xr:uid="{00000000-0005-0000-0000-0000C8800000}"/>
    <cellStyle name="Normal 5 21 2 2 2 3" xfId="7653" xr:uid="{00000000-0005-0000-0000-0000C9800000}"/>
    <cellStyle name="Normal 5 21 2 2 2 3 2" xfId="24244" xr:uid="{00000000-0005-0000-0000-0000CA800000}"/>
    <cellStyle name="Normal 5 21 2 2 2 3 2 2" xfId="40297" xr:uid="{00000000-0005-0000-0000-0000CB800000}"/>
    <cellStyle name="Normal 5 21 2 2 2 3 3" xfId="30145" xr:uid="{00000000-0005-0000-0000-0000CC800000}"/>
    <cellStyle name="Normal 5 21 2 2 2 4" xfId="18205" xr:uid="{00000000-0005-0000-0000-0000CD800000}"/>
    <cellStyle name="Normal 5 21 2 2 2 5" xfId="23797" xr:uid="{00000000-0005-0000-0000-0000CE800000}"/>
    <cellStyle name="Normal 5 21 2 2 2 5 2" xfId="39853" xr:uid="{00000000-0005-0000-0000-0000CF800000}"/>
    <cellStyle name="Normal 5 21 2 2 2 6" xfId="33532" xr:uid="{00000000-0005-0000-0000-0000D0800000}"/>
    <cellStyle name="Normal 5 21 2 2 3" xfId="4987" xr:uid="{00000000-0005-0000-0000-0000D1800000}"/>
    <cellStyle name="Normal 5 21 2 2 3 10" xfId="47406" xr:uid="{00000000-0005-0000-0000-0000D2800000}"/>
    <cellStyle name="Normal 5 21 2 2 3 2" xfId="6706" xr:uid="{00000000-0005-0000-0000-0000D3800000}"/>
    <cellStyle name="Normal 5 21 2 2 3 2 2" xfId="10112" xr:uid="{00000000-0005-0000-0000-0000D4800000}"/>
    <cellStyle name="Normal 5 21 2 2 3 2 2 2" xfId="23621" xr:uid="{00000000-0005-0000-0000-0000D5800000}"/>
    <cellStyle name="Normal 5 21 2 2 3 2 2 2 2" xfId="39677" xr:uid="{00000000-0005-0000-0000-0000D6800000}"/>
    <cellStyle name="Normal 5 21 2 2 3 2 2 3" xfId="27687" xr:uid="{00000000-0005-0000-0000-0000D7800000}"/>
    <cellStyle name="Normal 5 21 2 2 3 2 3" xfId="20545" xr:uid="{00000000-0005-0000-0000-0000D8800000}"/>
    <cellStyle name="Normal 5 21 2 2 3 2 3 2" xfId="36644" xr:uid="{00000000-0005-0000-0000-0000D9800000}"/>
    <cellStyle name="Normal 5 21 2 2 3 2 4" xfId="31088" xr:uid="{00000000-0005-0000-0000-0000DA800000}"/>
    <cellStyle name="Normal 5 21 2 2 3 2 5" xfId="43103" xr:uid="{00000000-0005-0000-0000-0000DB800000}"/>
    <cellStyle name="Normal 5 21 2 2 3 2 6" xfId="43397" xr:uid="{00000000-0005-0000-0000-0000DC800000}"/>
    <cellStyle name="Normal 5 21 2 2 3 2 7" xfId="46245" xr:uid="{00000000-0005-0000-0000-0000DD800000}"/>
    <cellStyle name="Normal 5 21 2 2 3 2 8" xfId="47017" xr:uid="{00000000-0005-0000-0000-0000DE800000}"/>
    <cellStyle name="Normal 5 21 2 2 3 2 9" xfId="47602" xr:uid="{00000000-0005-0000-0000-0000DF800000}"/>
    <cellStyle name="Normal 5 21 2 2 3 3" xfId="8409" xr:uid="{00000000-0005-0000-0000-0000E0800000}"/>
    <cellStyle name="Normal 5 21 2 2 3 3 2" xfId="19492" xr:uid="{00000000-0005-0000-0000-0000E1800000}"/>
    <cellStyle name="Normal 5 21 2 2 3 3 2 2" xfId="35606" xr:uid="{00000000-0005-0000-0000-0000E2800000}"/>
    <cellStyle name="Normal 5 21 2 2 3 3 3" xfId="29389" xr:uid="{00000000-0005-0000-0000-0000E3800000}"/>
    <cellStyle name="Normal 5 21 2 2 3 3 4" xfId="44119" xr:uid="{00000000-0005-0000-0000-0000E4800000}"/>
    <cellStyle name="Normal 5 21 2 2 3 4" xfId="16548" xr:uid="{00000000-0005-0000-0000-0000E5800000}"/>
    <cellStyle name="Normal 5 21 2 2 3 4 2" xfId="35492" xr:uid="{00000000-0005-0000-0000-0000E6800000}"/>
    <cellStyle name="Normal 5 21 2 2 3 5" xfId="25154" xr:uid="{00000000-0005-0000-0000-0000E7800000}"/>
    <cellStyle name="Normal 5 21 2 2 3 6" xfId="25517" xr:uid="{00000000-0005-0000-0000-0000E8800000}"/>
    <cellStyle name="Normal 5 21 2 2 3 7" xfId="32780" xr:uid="{00000000-0005-0000-0000-0000E9800000}"/>
    <cellStyle name="Normal 5 21 2 2 3 8" xfId="43858" xr:uid="{00000000-0005-0000-0000-0000EA800000}"/>
    <cellStyle name="Normal 5 21 2 2 3 9" xfId="46783" xr:uid="{00000000-0005-0000-0000-0000EB800000}"/>
    <cellStyle name="Normal 5 21 2 2 4" xfId="5541" xr:uid="{00000000-0005-0000-0000-0000EC800000}"/>
    <cellStyle name="Normal 5 21 2 2 4 2" xfId="8956" xr:uid="{00000000-0005-0000-0000-0000ED800000}"/>
    <cellStyle name="Normal 5 21 2 2 4 2 2" xfId="24436" xr:uid="{00000000-0005-0000-0000-0000EE800000}"/>
    <cellStyle name="Normal 5 21 2 2 4 2 2 2" xfId="40480" xr:uid="{00000000-0005-0000-0000-0000EF800000}"/>
    <cellStyle name="Normal 5 21 2 2 4 2 3" xfId="28842" xr:uid="{00000000-0005-0000-0000-0000F0800000}"/>
    <cellStyle name="Normal 5 21 2 2 4 3" xfId="20112" xr:uid="{00000000-0005-0000-0000-0000F1800000}"/>
    <cellStyle name="Normal 5 21 2 2 4 3 2" xfId="36216" xr:uid="{00000000-0005-0000-0000-0000F2800000}"/>
    <cellStyle name="Normal 5 21 2 2 4 4" xfId="32233" xr:uid="{00000000-0005-0000-0000-0000F3800000}"/>
    <cellStyle name="Normal 5 21 2 2 5" xfId="7259" xr:uid="{00000000-0005-0000-0000-0000F4800000}"/>
    <cellStyle name="Normal 5 21 2 2 5 2" xfId="24173" xr:uid="{00000000-0005-0000-0000-0000F5800000}"/>
    <cellStyle name="Normal 5 21 2 2 5 2 2" xfId="40226" xr:uid="{00000000-0005-0000-0000-0000F6800000}"/>
    <cellStyle name="Normal 5 21 2 2 5 3" xfId="30539" xr:uid="{00000000-0005-0000-0000-0000F7800000}"/>
    <cellStyle name="Normal 5 21 2 2 6" xfId="12754" xr:uid="{00000000-0005-0000-0000-0000F8800000}"/>
    <cellStyle name="Normal 5 21 2 2 7" xfId="33926" xr:uid="{00000000-0005-0000-0000-0000F9800000}"/>
    <cellStyle name="Normal 5 21 2 2 8" xfId="43649" xr:uid="{00000000-0005-0000-0000-0000FA800000}"/>
    <cellStyle name="Normal 5 21 2 2 9" xfId="46555" xr:uid="{00000000-0005-0000-0000-0000FB800000}"/>
    <cellStyle name="Normal 5 21 2 2_Avviksanalyse løpende RNB15 (1)" xfId="16780" xr:uid="{00000000-0005-0000-0000-0000FC800000}"/>
    <cellStyle name="Normal 5 21 2 3" xfId="3867" xr:uid="{00000000-0005-0000-0000-0000FD800000}"/>
    <cellStyle name="Normal 5 21 2 3 2" xfId="5755" xr:uid="{00000000-0005-0000-0000-0000FE800000}"/>
    <cellStyle name="Normal 5 21 2 3 2 2" xfId="9170" xr:uid="{00000000-0005-0000-0000-0000FF800000}"/>
    <cellStyle name="Normal 5 21 2 3 2 2 2" xfId="21922" xr:uid="{00000000-0005-0000-0000-000000810000}"/>
    <cellStyle name="Normal 5 21 2 3 2 2 2 2" xfId="37997" xr:uid="{00000000-0005-0000-0000-000001810000}"/>
    <cellStyle name="Normal 5 21 2 3 2 2 3" xfId="28628" xr:uid="{00000000-0005-0000-0000-000002810000}"/>
    <cellStyle name="Normal 5 21 2 3 2 3" xfId="20192" xr:uid="{00000000-0005-0000-0000-000003810000}"/>
    <cellStyle name="Normal 5 21 2 3 2 3 2" xfId="36292" xr:uid="{00000000-0005-0000-0000-000004810000}"/>
    <cellStyle name="Normal 5 21 2 3 2 4" xfId="32019" xr:uid="{00000000-0005-0000-0000-000005810000}"/>
    <cellStyle name="Normal 5 21 2 3 3" xfId="7473" xr:uid="{00000000-0005-0000-0000-000006810000}"/>
    <cellStyle name="Normal 5 21 2 3 3 2" xfId="23213" xr:uid="{00000000-0005-0000-0000-000007810000}"/>
    <cellStyle name="Normal 5 21 2 3 3 2 2" xfId="39282" xr:uid="{00000000-0005-0000-0000-000008810000}"/>
    <cellStyle name="Normal 5 21 2 3 3 3" xfId="30325" xr:uid="{00000000-0005-0000-0000-000009810000}"/>
    <cellStyle name="Normal 5 21 2 3 4" xfId="23783" xr:uid="{00000000-0005-0000-0000-00000A810000}"/>
    <cellStyle name="Normal 5 21 2 3 4 2" xfId="39839" xr:uid="{00000000-0005-0000-0000-00000B810000}"/>
    <cellStyle name="Normal 5 21 2 3 5" xfId="33712" xr:uid="{00000000-0005-0000-0000-00000C810000}"/>
    <cellStyle name="Normal 5 21 2 4" xfId="4352" xr:uid="{00000000-0005-0000-0000-00000D810000}"/>
    <cellStyle name="Normal 5 21 2 4 2" xfId="6181" xr:uid="{00000000-0005-0000-0000-00000E810000}"/>
    <cellStyle name="Normal 5 21 2 4 2 2" xfId="9595" xr:uid="{00000000-0005-0000-0000-00000F810000}"/>
    <cellStyle name="Normal 5 21 2 4 2 2 2" xfId="21964" xr:uid="{00000000-0005-0000-0000-000010810000}"/>
    <cellStyle name="Normal 5 21 2 4 2 2 2 2" xfId="38039" xr:uid="{00000000-0005-0000-0000-000011810000}"/>
    <cellStyle name="Normal 5 21 2 4 2 2 3" xfId="28203" xr:uid="{00000000-0005-0000-0000-000012810000}"/>
    <cellStyle name="Normal 5 21 2 4 2 3" xfId="20353" xr:uid="{00000000-0005-0000-0000-000013810000}"/>
    <cellStyle name="Normal 5 21 2 4 2 3 2" xfId="36452" xr:uid="{00000000-0005-0000-0000-000014810000}"/>
    <cellStyle name="Normal 5 21 2 4 2 4" xfId="31600" xr:uid="{00000000-0005-0000-0000-000015810000}"/>
    <cellStyle name="Normal 5 21 2 4 3" xfId="7914" xr:uid="{00000000-0005-0000-0000-000016810000}"/>
    <cellStyle name="Normal 5 21 2 4 3 2" xfId="21863" xr:uid="{00000000-0005-0000-0000-000017810000}"/>
    <cellStyle name="Normal 5 21 2 4 3 2 2" xfId="37939" xr:uid="{00000000-0005-0000-0000-000018810000}"/>
    <cellStyle name="Normal 5 21 2 4 3 3" xfId="29885" xr:uid="{00000000-0005-0000-0000-000019810000}"/>
    <cellStyle name="Normal 5 21 2 4 4" xfId="20008" xr:uid="{00000000-0005-0000-0000-00001A810000}"/>
    <cellStyle name="Normal 5 21 2 4 4 2" xfId="36112" xr:uid="{00000000-0005-0000-0000-00001B810000}"/>
    <cellStyle name="Normal 5 21 2 4 5" xfId="33273" xr:uid="{00000000-0005-0000-0000-00001C810000}"/>
    <cellStyle name="Normal 5 21 2 5" xfId="4807" xr:uid="{00000000-0005-0000-0000-00001D810000}"/>
    <cellStyle name="Normal 5 21 2 5 2" xfId="6527" xr:uid="{00000000-0005-0000-0000-00001E810000}"/>
    <cellStyle name="Normal 5 21 2 5 2 2" xfId="9933" xr:uid="{00000000-0005-0000-0000-00001F810000}"/>
    <cellStyle name="Normal 5 21 2 5 2 2 2" xfId="23585" xr:uid="{00000000-0005-0000-0000-000020810000}"/>
    <cellStyle name="Normal 5 21 2 5 2 2 2 2" xfId="39641" xr:uid="{00000000-0005-0000-0000-000021810000}"/>
    <cellStyle name="Normal 5 21 2 5 2 2 3" xfId="27866" xr:uid="{00000000-0005-0000-0000-000022810000}"/>
    <cellStyle name="Normal 5 21 2 5 2 3" xfId="20484" xr:uid="{00000000-0005-0000-0000-000023810000}"/>
    <cellStyle name="Normal 5 21 2 5 2 3 2" xfId="36583" xr:uid="{00000000-0005-0000-0000-000024810000}"/>
    <cellStyle name="Normal 5 21 2 5 2 4" xfId="31267" xr:uid="{00000000-0005-0000-0000-000025810000}"/>
    <cellStyle name="Normal 5 21 2 5 3" xfId="8229" xr:uid="{00000000-0005-0000-0000-000026810000}"/>
    <cellStyle name="Normal 5 21 2 5 3 2" xfId="21036" xr:uid="{00000000-0005-0000-0000-000027810000}"/>
    <cellStyle name="Normal 5 21 2 5 3 2 2" xfId="37127" xr:uid="{00000000-0005-0000-0000-000028810000}"/>
    <cellStyle name="Normal 5 21 2 5 3 3" xfId="29568" xr:uid="{00000000-0005-0000-0000-000029810000}"/>
    <cellStyle name="Normal 5 21 2 5 4" xfId="22736" xr:uid="{00000000-0005-0000-0000-00002A810000}"/>
    <cellStyle name="Normal 5 21 2 5 4 2" xfId="38805" xr:uid="{00000000-0005-0000-0000-00002B810000}"/>
    <cellStyle name="Normal 5 21 2 5 5" xfId="32960" xr:uid="{00000000-0005-0000-0000-00002C810000}"/>
    <cellStyle name="Normal 5 21 2 6" xfId="5167" xr:uid="{00000000-0005-0000-0000-00002D810000}"/>
    <cellStyle name="Normal 5 21 2 6 2" xfId="6886" xr:uid="{00000000-0005-0000-0000-00002E810000}"/>
    <cellStyle name="Normal 5 21 2 6 2 2" xfId="10292" xr:uid="{00000000-0005-0000-0000-00002F810000}"/>
    <cellStyle name="Normal 5 21 2 6 2 2 2" xfId="24735" xr:uid="{00000000-0005-0000-0000-000030810000}"/>
    <cellStyle name="Normal 5 21 2 6 2 2 2 2" xfId="40778" xr:uid="{00000000-0005-0000-0000-000031810000}"/>
    <cellStyle name="Normal 5 21 2 6 2 2 3" xfId="27507" xr:uid="{00000000-0005-0000-0000-000032810000}"/>
    <cellStyle name="Normal 5 21 2 6 2 3" xfId="24112" xr:uid="{00000000-0005-0000-0000-000033810000}"/>
    <cellStyle name="Normal 5 21 2 6 2 3 2" xfId="40165" xr:uid="{00000000-0005-0000-0000-000034810000}"/>
    <cellStyle name="Normal 5 21 2 6 2 4" xfId="30908" xr:uid="{00000000-0005-0000-0000-000035810000}"/>
    <cellStyle name="Normal 5 21 2 6 3" xfId="8589" xr:uid="{00000000-0005-0000-0000-000036810000}"/>
    <cellStyle name="Normal 5 21 2 6 3 2" xfId="23382" xr:uid="{00000000-0005-0000-0000-000037810000}"/>
    <cellStyle name="Normal 5 21 2 6 3 2 2" xfId="39438" xr:uid="{00000000-0005-0000-0000-000038810000}"/>
    <cellStyle name="Normal 5 21 2 6 3 3" xfId="29209" xr:uid="{00000000-0005-0000-0000-000039810000}"/>
    <cellStyle name="Normal 5 21 2 6 4" xfId="19766" xr:uid="{00000000-0005-0000-0000-00003A810000}"/>
    <cellStyle name="Normal 5 21 2 6 4 2" xfId="35880" xr:uid="{00000000-0005-0000-0000-00003B810000}"/>
    <cellStyle name="Normal 5 21 2 6 5" xfId="32600" xr:uid="{00000000-0005-0000-0000-00003C810000}"/>
    <cellStyle name="Normal 5 21 2 7" xfId="5346" xr:uid="{00000000-0005-0000-0000-00003D810000}"/>
    <cellStyle name="Normal 5 21 2 7 2" xfId="8761" xr:uid="{00000000-0005-0000-0000-00003E810000}"/>
    <cellStyle name="Normal 5 21 2 7 2 2" xfId="23407" xr:uid="{00000000-0005-0000-0000-00003F810000}"/>
    <cellStyle name="Normal 5 21 2 7 2 2 2" xfId="39463" xr:uid="{00000000-0005-0000-0000-000040810000}"/>
    <cellStyle name="Normal 5 21 2 7 2 3" xfId="29037" xr:uid="{00000000-0005-0000-0000-000041810000}"/>
    <cellStyle name="Normal 5 21 2 7 3" xfId="10723" xr:uid="{00000000-0005-0000-0000-000042810000}"/>
    <cellStyle name="Normal 5 21 2 7 3 2" xfId="34571" xr:uid="{00000000-0005-0000-0000-000043810000}"/>
    <cellStyle name="Normal 5 21 2 7 4" xfId="32428" xr:uid="{00000000-0005-0000-0000-000044810000}"/>
    <cellStyle name="Normal 5 21 2 8" xfId="7079" xr:uid="{00000000-0005-0000-0000-000045810000}"/>
    <cellStyle name="Normal 5 21 2 8 2" xfId="22415" xr:uid="{00000000-0005-0000-0000-000046810000}"/>
    <cellStyle name="Normal 5 21 2 8 2 2" xfId="38487" xr:uid="{00000000-0005-0000-0000-000047810000}"/>
    <cellStyle name="Normal 5 21 2 8 3" xfId="30719" xr:uid="{00000000-0005-0000-0000-000048810000}"/>
    <cellStyle name="Normal 5 21 2 9" xfId="12753" xr:uid="{00000000-0005-0000-0000-000049810000}"/>
    <cellStyle name="Normal 5 21 3" xfId="3533" xr:uid="{00000000-0005-0000-0000-00004A810000}"/>
    <cellStyle name="Normal 5 21 3 10" xfId="47070" xr:uid="{00000000-0005-0000-0000-00004B810000}"/>
    <cellStyle name="Normal 5 21 3 2" xfId="3968" xr:uid="{00000000-0005-0000-0000-00004C810000}"/>
    <cellStyle name="Normal 5 21 3 2 2" xfId="5856" xr:uid="{00000000-0005-0000-0000-00004D810000}"/>
    <cellStyle name="Normal 5 21 3 2 2 2" xfId="9271" xr:uid="{00000000-0005-0000-0000-00004E810000}"/>
    <cellStyle name="Normal 5 21 3 2 2 2 2" xfId="21933" xr:uid="{00000000-0005-0000-0000-00004F810000}"/>
    <cellStyle name="Normal 5 21 3 2 2 2 2 2" xfId="38008" xr:uid="{00000000-0005-0000-0000-000050810000}"/>
    <cellStyle name="Normal 5 21 3 2 2 2 3" xfId="28527" xr:uid="{00000000-0005-0000-0000-000051810000}"/>
    <cellStyle name="Normal 5 21 3 2 2 3" xfId="19431" xr:uid="{00000000-0005-0000-0000-000052810000}"/>
    <cellStyle name="Normal 5 21 3 2 2 3 2" xfId="35545" xr:uid="{00000000-0005-0000-0000-000053810000}"/>
    <cellStyle name="Normal 5 21 3 2 2 4" xfId="31918" xr:uid="{00000000-0005-0000-0000-000054810000}"/>
    <cellStyle name="Normal 5 21 3 2 3" xfId="7574" xr:uid="{00000000-0005-0000-0000-000055810000}"/>
    <cellStyle name="Normal 5 21 3 2 3 2" xfId="22206" xr:uid="{00000000-0005-0000-0000-000056810000}"/>
    <cellStyle name="Normal 5 21 3 2 3 2 2" xfId="38280" xr:uid="{00000000-0005-0000-0000-000057810000}"/>
    <cellStyle name="Normal 5 21 3 2 3 3" xfId="30224" xr:uid="{00000000-0005-0000-0000-000058810000}"/>
    <cellStyle name="Normal 5 21 3 2 4" xfId="18206" xr:uid="{00000000-0005-0000-0000-000059810000}"/>
    <cellStyle name="Normal 5 21 3 2 5" xfId="19566" xr:uid="{00000000-0005-0000-0000-00005A810000}"/>
    <cellStyle name="Normal 5 21 3 2 5 2" xfId="35680" xr:uid="{00000000-0005-0000-0000-00005B810000}"/>
    <cellStyle name="Normal 5 21 3 2 6" xfId="33611" xr:uid="{00000000-0005-0000-0000-00005C810000}"/>
    <cellStyle name="Normal 5 21 3 3" xfId="4908" xr:uid="{00000000-0005-0000-0000-00005D810000}"/>
    <cellStyle name="Normal 5 21 3 3 10" xfId="47260" xr:uid="{00000000-0005-0000-0000-00005E810000}"/>
    <cellStyle name="Normal 5 21 3 3 2" xfId="6627" xr:uid="{00000000-0005-0000-0000-00005F810000}"/>
    <cellStyle name="Normal 5 21 3 3 2 2" xfId="10033" xr:uid="{00000000-0005-0000-0000-000060810000}"/>
    <cellStyle name="Normal 5 21 3 3 2 2 2" xfId="21579" xr:uid="{00000000-0005-0000-0000-000061810000}"/>
    <cellStyle name="Normal 5 21 3 3 2 2 2 2" xfId="37659" xr:uid="{00000000-0005-0000-0000-000062810000}"/>
    <cellStyle name="Normal 5 21 3 3 2 2 3" xfId="27766" xr:uid="{00000000-0005-0000-0000-000063810000}"/>
    <cellStyle name="Normal 5 21 3 3 2 3" xfId="20524" xr:uid="{00000000-0005-0000-0000-000064810000}"/>
    <cellStyle name="Normal 5 21 3 3 2 3 2" xfId="36623" xr:uid="{00000000-0005-0000-0000-000065810000}"/>
    <cellStyle name="Normal 5 21 3 3 2 4" xfId="31167" xr:uid="{00000000-0005-0000-0000-000066810000}"/>
    <cellStyle name="Normal 5 21 3 3 2 5" xfId="42503" xr:uid="{00000000-0005-0000-0000-000067810000}"/>
    <cellStyle name="Normal 5 21 3 3 2 6" xfId="43254" xr:uid="{00000000-0005-0000-0000-000068810000}"/>
    <cellStyle name="Normal 5 21 3 3 2 7" xfId="46101" xr:uid="{00000000-0005-0000-0000-000069810000}"/>
    <cellStyle name="Normal 5 21 3 3 2 8" xfId="46870" xr:uid="{00000000-0005-0000-0000-00006A810000}"/>
    <cellStyle name="Normal 5 21 3 3 2 9" xfId="47456" xr:uid="{00000000-0005-0000-0000-00006B810000}"/>
    <cellStyle name="Normal 5 21 3 3 3" xfId="8330" xr:uid="{00000000-0005-0000-0000-00006C810000}"/>
    <cellStyle name="Normal 5 21 3 3 3 2" xfId="21651" xr:uid="{00000000-0005-0000-0000-00006D810000}"/>
    <cellStyle name="Normal 5 21 3 3 3 2 2" xfId="37731" xr:uid="{00000000-0005-0000-0000-00006E810000}"/>
    <cellStyle name="Normal 5 21 3 3 3 3" xfId="29468" xr:uid="{00000000-0005-0000-0000-00006F810000}"/>
    <cellStyle name="Normal 5 21 3 3 3 4" xfId="44120" xr:uid="{00000000-0005-0000-0000-000070810000}"/>
    <cellStyle name="Normal 5 21 3 3 4" xfId="15947" xr:uid="{00000000-0005-0000-0000-000071810000}"/>
    <cellStyle name="Normal 5 21 3 3 4 2" xfId="35349" xr:uid="{00000000-0005-0000-0000-000072810000}"/>
    <cellStyle name="Normal 5 21 3 3 5" xfId="25003" xr:uid="{00000000-0005-0000-0000-000073810000}"/>
    <cellStyle name="Normal 5 21 3 3 6" xfId="25518" xr:uid="{00000000-0005-0000-0000-000074810000}"/>
    <cellStyle name="Normal 5 21 3 3 7" xfId="32859" xr:uid="{00000000-0005-0000-0000-000075810000}"/>
    <cellStyle name="Normal 5 21 3 3 8" xfId="43714" xr:uid="{00000000-0005-0000-0000-000076810000}"/>
    <cellStyle name="Normal 5 21 3 3 9" xfId="46638" xr:uid="{00000000-0005-0000-0000-000077810000}"/>
    <cellStyle name="Normal 5 21 3 4" xfId="5462" xr:uid="{00000000-0005-0000-0000-000078810000}"/>
    <cellStyle name="Normal 5 21 3 4 2" xfId="8877" xr:uid="{00000000-0005-0000-0000-000079810000}"/>
    <cellStyle name="Normal 5 21 3 4 2 2" xfId="22740" xr:uid="{00000000-0005-0000-0000-00007A810000}"/>
    <cellStyle name="Normal 5 21 3 4 2 2 2" xfId="38809" xr:uid="{00000000-0005-0000-0000-00007B810000}"/>
    <cellStyle name="Normal 5 21 3 4 2 3" xfId="28921" xr:uid="{00000000-0005-0000-0000-00007C810000}"/>
    <cellStyle name="Normal 5 21 3 4 3" xfId="10698" xr:uid="{00000000-0005-0000-0000-00007D810000}"/>
    <cellStyle name="Normal 5 21 3 4 3 2" xfId="34546" xr:uid="{00000000-0005-0000-0000-00007E810000}"/>
    <cellStyle name="Normal 5 21 3 4 4" xfId="32312" xr:uid="{00000000-0005-0000-0000-00007F810000}"/>
    <cellStyle name="Normal 5 21 3 5" xfId="7180" xr:uid="{00000000-0005-0000-0000-000080810000}"/>
    <cellStyle name="Normal 5 21 3 5 2" xfId="22178" xr:uid="{00000000-0005-0000-0000-000081810000}"/>
    <cellStyle name="Normal 5 21 3 5 2 2" xfId="38252" xr:uid="{00000000-0005-0000-0000-000082810000}"/>
    <cellStyle name="Normal 5 21 3 5 3" xfId="30618" xr:uid="{00000000-0005-0000-0000-000083810000}"/>
    <cellStyle name="Normal 5 21 3 6" xfId="12755" xr:uid="{00000000-0005-0000-0000-000084810000}"/>
    <cellStyle name="Normal 5 21 3 7" xfId="34005" xr:uid="{00000000-0005-0000-0000-000085810000}"/>
    <cellStyle name="Normal 5 21 3 8" xfId="43506" xr:uid="{00000000-0005-0000-0000-000086810000}"/>
    <cellStyle name="Normal 5 21 3 9" xfId="46408" xr:uid="{00000000-0005-0000-0000-000087810000}"/>
    <cellStyle name="Normal 5 21 3_Avviksanalyse løpende RNB15 (1)" xfId="16781" xr:uid="{00000000-0005-0000-0000-000088810000}"/>
    <cellStyle name="Normal 5 21 4" xfId="3788" xr:uid="{00000000-0005-0000-0000-000089810000}"/>
    <cellStyle name="Normal 5 21 4 2" xfId="5676" xr:uid="{00000000-0005-0000-0000-00008A810000}"/>
    <cellStyle name="Normal 5 21 4 2 2" xfId="9091" xr:uid="{00000000-0005-0000-0000-00008B810000}"/>
    <cellStyle name="Normal 5 21 4 2 2 2" xfId="21270" xr:uid="{00000000-0005-0000-0000-00008C810000}"/>
    <cellStyle name="Normal 5 21 4 2 2 2 2" xfId="37350" xr:uid="{00000000-0005-0000-0000-00008D810000}"/>
    <cellStyle name="Normal 5 21 4 2 2 3" xfId="28707" xr:uid="{00000000-0005-0000-0000-00008E810000}"/>
    <cellStyle name="Normal 5 21 4 2 3" xfId="22895" xr:uid="{00000000-0005-0000-0000-00008F810000}"/>
    <cellStyle name="Normal 5 21 4 2 3 2" xfId="38964" xr:uid="{00000000-0005-0000-0000-000090810000}"/>
    <cellStyle name="Normal 5 21 4 2 4" xfId="32098" xr:uid="{00000000-0005-0000-0000-000091810000}"/>
    <cellStyle name="Normal 5 21 4 3" xfId="7394" xr:uid="{00000000-0005-0000-0000-000092810000}"/>
    <cellStyle name="Normal 5 21 4 3 2" xfId="20769" xr:uid="{00000000-0005-0000-0000-000093810000}"/>
    <cellStyle name="Normal 5 21 4 3 2 2" xfId="36868" xr:uid="{00000000-0005-0000-0000-000094810000}"/>
    <cellStyle name="Normal 5 21 4 3 3" xfId="30404" xr:uid="{00000000-0005-0000-0000-000095810000}"/>
    <cellStyle name="Normal 5 21 4 4" xfId="19544" xr:uid="{00000000-0005-0000-0000-000096810000}"/>
    <cellStyle name="Normal 5 21 4 4 2" xfId="35658" xr:uid="{00000000-0005-0000-0000-000097810000}"/>
    <cellStyle name="Normal 5 21 4 5" xfId="33791" xr:uid="{00000000-0005-0000-0000-000098810000}"/>
    <cellStyle name="Normal 5 21 5" xfId="4175" xr:uid="{00000000-0005-0000-0000-000099810000}"/>
    <cellStyle name="Normal 5 21 5 2" xfId="6024" xr:uid="{00000000-0005-0000-0000-00009A810000}"/>
    <cellStyle name="Normal 5 21 5 2 2" xfId="9439" xr:uid="{00000000-0005-0000-0000-00009B810000}"/>
    <cellStyle name="Normal 5 21 5 2 2 2" xfId="19405" xr:uid="{00000000-0005-0000-0000-00009C810000}"/>
    <cellStyle name="Normal 5 21 5 2 2 2 2" xfId="35519" xr:uid="{00000000-0005-0000-0000-00009D810000}"/>
    <cellStyle name="Normal 5 21 5 2 2 3" xfId="28359" xr:uid="{00000000-0005-0000-0000-00009E810000}"/>
    <cellStyle name="Normal 5 21 5 2 3" xfId="22307" xr:uid="{00000000-0005-0000-0000-00009F810000}"/>
    <cellStyle name="Normal 5 21 5 2 3 2" xfId="38379" xr:uid="{00000000-0005-0000-0000-0000A0810000}"/>
    <cellStyle name="Normal 5 21 5 2 4" xfId="31754" xr:uid="{00000000-0005-0000-0000-0000A1810000}"/>
    <cellStyle name="Normal 5 21 5 3" xfId="7756" xr:uid="{00000000-0005-0000-0000-0000A2810000}"/>
    <cellStyle name="Normal 5 21 5 3 2" xfId="20893" xr:uid="{00000000-0005-0000-0000-0000A3810000}"/>
    <cellStyle name="Normal 5 21 5 3 2 2" xfId="36992" xr:uid="{00000000-0005-0000-0000-0000A4810000}"/>
    <cellStyle name="Normal 5 21 5 3 3" xfId="30043" xr:uid="{00000000-0005-0000-0000-0000A5810000}"/>
    <cellStyle name="Normal 5 21 5 4" xfId="23804" xr:uid="{00000000-0005-0000-0000-0000A6810000}"/>
    <cellStyle name="Normal 5 21 5 4 2" xfId="39860" xr:uid="{00000000-0005-0000-0000-0000A7810000}"/>
    <cellStyle name="Normal 5 21 5 5" xfId="33430" xr:uid="{00000000-0005-0000-0000-0000A8810000}"/>
    <cellStyle name="Normal 5 21 6" xfId="4630" xr:uid="{00000000-0005-0000-0000-0000A9810000}"/>
    <cellStyle name="Normal 5 21 6 2" xfId="6367" xr:uid="{00000000-0005-0000-0000-0000AA810000}"/>
    <cellStyle name="Normal 5 21 6 2 2" xfId="9777" xr:uid="{00000000-0005-0000-0000-0000AB810000}"/>
    <cellStyle name="Normal 5 21 6 2 2 2" xfId="21479" xr:uid="{00000000-0005-0000-0000-0000AC810000}"/>
    <cellStyle name="Normal 5 21 6 2 2 2 2" xfId="37559" xr:uid="{00000000-0005-0000-0000-0000AD810000}"/>
    <cellStyle name="Normal 5 21 6 2 2 3" xfId="28022" xr:uid="{00000000-0005-0000-0000-0000AE810000}"/>
    <cellStyle name="Normal 5 21 6 2 3" xfId="20424" xr:uid="{00000000-0005-0000-0000-0000AF810000}"/>
    <cellStyle name="Normal 5 21 6 2 3 2" xfId="36523" xr:uid="{00000000-0005-0000-0000-0000B0810000}"/>
    <cellStyle name="Normal 5 21 6 2 4" xfId="31423" xr:uid="{00000000-0005-0000-0000-0000B1810000}"/>
    <cellStyle name="Normal 5 21 6 3" xfId="8073" xr:uid="{00000000-0005-0000-0000-0000B2810000}"/>
    <cellStyle name="Normal 5 21 6 3 2" xfId="21767" xr:uid="{00000000-0005-0000-0000-0000B3810000}"/>
    <cellStyle name="Normal 5 21 6 3 2 2" xfId="37844" xr:uid="{00000000-0005-0000-0000-0000B4810000}"/>
    <cellStyle name="Normal 5 21 6 3 3" xfId="29725" xr:uid="{00000000-0005-0000-0000-0000B5810000}"/>
    <cellStyle name="Normal 5 21 6 4" xfId="20028" xr:uid="{00000000-0005-0000-0000-0000B6810000}"/>
    <cellStyle name="Normal 5 21 6 4 2" xfId="36132" xr:uid="{00000000-0005-0000-0000-0000B7810000}"/>
    <cellStyle name="Normal 5 21 6 5" xfId="33116" xr:uid="{00000000-0005-0000-0000-0000B8810000}"/>
    <cellStyle name="Normal 5 21 7" xfId="4724" xr:uid="{00000000-0005-0000-0000-0000B9810000}"/>
    <cellStyle name="Normal 5 21 7 2" xfId="6444" xr:uid="{00000000-0005-0000-0000-0000BA810000}"/>
    <cellStyle name="Normal 5 21 7 2 2" xfId="9854" xr:uid="{00000000-0005-0000-0000-0000BB810000}"/>
    <cellStyle name="Normal 5 21 7 2 2 2" xfId="21509" xr:uid="{00000000-0005-0000-0000-0000BC810000}"/>
    <cellStyle name="Normal 5 21 7 2 2 2 2" xfId="37589" xr:uid="{00000000-0005-0000-0000-0000BD810000}"/>
    <cellStyle name="Normal 5 21 7 2 2 3" xfId="27945" xr:uid="{00000000-0005-0000-0000-0000BE810000}"/>
    <cellStyle name="Normal 5 21 7 2 3" xfId="22356" xr:uid="{00000000-0005-0000-0000-0000BF810000}"/>
    <cellStyle name="Normal 5 21 7 2 3 2" xfId="38428" xr:uid="{00000000-0005-0000-0000-0000C0810000}"/>
    <cellStyle name="Normal 5 21 7 2 4" xfId="31346" xr:uid="{00000000-0005-0000-0000-0000C1810000}"/>
    <cellStyle name="Normal 5 21 7 3" xfId="8150" xr:uid="{00000000-0005-0000-0000-0000C2810000}"/>
    <cellStyle name="Normal 5 21 7 3 2" xfId="11887" xr:uid="{00000000-0005-0000-0000-0000C3810000}"/>
    <cellStyle name="Normal 5 21 7 3 2 2" xfId="34924" xr:uid="{00000000-0005-0000-0000-0000C4810000}"/>
    <cellStyle name="Normal 5 21 7 3 3" xfId="29648" xr:uid="{00000000-0005-0000-0000-0000C5810000}"/>
    <cellStyle name="Normal 5 21 7 4" xfId="19692" xr:uid="{00000000-0005-0000-0000-0000C6810000}"/>
    <cellStyle name="Normal 5 21 7 4 2" xfId="35806" xr:uid="{00000000-0005-0000-0000-0000C7810000}"/>
    <cellStyle name="Normal 5 21 7 5" xfId="33039" xr:uid="{00000000-0005-0000-0000-0000C8810000}"/>
    <cellStyle name="Normal 5 21 8" xfId="5088" xr:uid="{00000000-0005-0000-0000-0000C9810000}"/>
    <cellStyle name="Normal 5 21 8 2" xfId="6807" xr:uid="{00000000-0005-0000-0000-0000CA810000}"/>
    <cellStyle name="Normal 5 21 8 2 2" xfId="10213" xr:uid="{00000000-0005-0000-0000-0000CB810000}"/>
    <cellStyle name="Normal 5 21 8 2 2 2" xfId="21725" xr:uid="{00000000-0005-0000-0000-0000CC810000}"/>
    <cellStyle name="Normal 5 21 8 2 2 2 2" xfId="37803" xr:uid="{00000000-0005-0000-0000-0000CD810000}"/>
    <cellStyle name="Normal 5 21 8 2 2 3" xfId="27586" xr:uid="{00000000-0005-0000-0000-0000CE810000}"/>
    <cellStyle name="Normal 5 21 8 2 3" xfId="11934" xr:uid="{00000000-0005-0000-0000-0000CF810000}"/>
    <cellStyle name="Normal 5 21 8 2 3 2" xfId="34957" xr:uid="{00000000-0005-0000-0000-0000D0810000}"/>
    <cellStyle name="Normal 5 21 8 2 4" xfId="30987" xr:uid="{00000000-0005-0000-0000-0000D1810000}"/>
    <cellStyle name="Normal 5 21 8 3" xfId="8510" xr:uid="{00000000-0005-0000-0000-0000D2810000}"/>
    <cellStyle name="Normal 5 21 8 3 2" xfId="22745" xr:uid="{00000000-0005-0000-0000-0000D3810000}"/>
    <cellStyle name="Normal 5 21 8 3 2 2" xfId="38814" xr:uid="{00000000-0005-0000-0000-0000D4810000}"/>
    <cellStyle name="Normal 5 21 8 3 3" xfId="29288" xr:uid="{00000000-0005-0000-0000-0000D5810000}"/>
    <cellStyle name="Normal 5 21 8 4" xfId="19751" xr:uid="{00000000-0005-0000-0000-0000D6810000}"/>
    <cellStyle name="Normal 5 21 8 4 2" xfId="35865" xr:uid="{00000000-0005-0000-0000-0000D7810000}"/>
    <cellStyle name="Normal 5 21 8 5" xfId="32679" xr:uid="{00000000-0005-0000-0000-0000D8810000}"/>
    <cellStyle name="Normal 5 21 9" xfId="5186" xr:uid="{00000000-0005-0000-0000-0000D9810000}"/>
    <cellStyle name="Normal 5 21 9 2" xfId="8605" xr:uid="{00000000-0005-0000-0000-0000DA810000}"/>
    <cellStyle name="Normal 5 21 9 2 2" xfId="21137" xr:uid="{00000000-0005-0000-0000-0000DB810000}"/>
    <cellStyle name="Normal 5 21 9 2 2 2" xfId="37217" xr:uid="{00000000-0005-0000-0000-0000DC810000}"/>
    <cellStyle name="Normal 5 21 9 2 3" xfId="29193" xr:uid="{00000000-0005-0000-0000-0000DD810000}"/>
    <cellStyle name="Normal 5 21 9 3" xfId="10791" xr:uid="{00000000-0005-0000-0000-0000DE810000}"/>
    <cellStyle name="Normal 5 21 9 3 2" xfId="34614" xr:uid="{00000000-0005-0000-0000-0000DF810000}"/>
    <cellStyle name="Normal 5 21 9 4" xfId="32584" xr:uid="{00000000-0005-0000-0000-0000E0810000}"/>
    <cellStyle name="Normal 5 22" xfId="12756" xr:uid="{00000000-0005-0000-0000-0000E1810000}"/>
    <cellStyle name="Normal 5 3" xfId="1967" xr:uid="{00000000-0005-0000-0000-0000E2810000}"/>
    <cellStyle name="Normal 5 3 2" xfId="12757" xr:uid="{00000000-0005-0000-0000-0000E3810000}"/>
    <cellStyle name="Normal 5 3 2 2" xfId="25520" xr:uid="{00000000-0005-0000-0000-0000E4810000}"/>
    <cellStyle name="Normal 5 3 2 2 2" xfId="40966" xr:uid="{00000000-0005-0000-0000-0000E5810000}"/>
    <cellStyle name="Normal 5 3 2 3" xfId="44122" xr:uid="{00000000-0005-0000-0000-0000E6810000}"/>
    <cellStyle name="Normal 5 3 3" xfId="25519" xr:uid="{00000000-0005-0000-0000-0000E7810000}"/>
    <cellStyle name="Normal 5 3 3 2" xfId="40965" xr:uid="{00000000-0005-0000-0000-0000E8810000}"/>
    <cellStyle name="Normal 5 3 4" xfId="44121" xr:uid="{00000000-0005-0000-0000-0000E9810000}"/>
    <cellStyle name="Normal 5 4" xfId="1968" xr:uid="{00000000-0005-0000-0000-0000EA810000}"/>
    <cellStyle name="Normal 5 4 2" xfId="12758" xr:uid="{00000000-0005-0000-0000-0000EB810000}"/>
    <cellStyle name="Normal 5 4 2 2" xfId="25522" xr:uid="{00000000-0005-0000-0000-0000EC810000}"/>
    <cellStyle name="Normal 5 4 2 2 2" xfId="40968" xr:uid="{00000000-0005-0000-0000-0000ED810000}"/>
    <cellStyle name="Normal 5 4 2 3" xfId="44124" xr:uid="{00000000-0005-0000-0000-0000EE810000}"/>
    <cellStyle name="Normal 5 4 3" xfId="25521" xr:uid="{00000000-0005-0000-0000-0000EF810000}"/>
    <cellStyle name="Normal 5 4 3 2" xfId="40967" xr:uid="{00000000-0005-0000-0000-0000F0810000}"/>
    <cellStyle name="Normal 5 4 4" xfId="44123" xr:uid="{00000000-0005-0000-0000-0000F1810000}"/>
    <cellStyle name="Normal 5 5" xfId="1969" xr:uid="{00000000-0005-0000-0000-0000F2810000}"/>
    <cellStyle name="Normal 5 5 2" xfId="12759" xr:uid="{00000000-0005-0000-0000-0000F3810000}"/>
    <cellStyle name="Normal 5 5 2 2" xfId="25524" xr:uid="{00000000-0005-0000-0000-0000F4810000}"/>
    <cellStyle name="Normal 5 5 2 2 2" xfId="40970" xr:uid="{00000000-0005-0000-0000-0000F5810000}"/>
    <cellStyle name="Normal 5 5 2 3" xfId="44126" xr:uid="{00000000-0005-0000-0000-0000F6810000}"/>
    <cellStyle name="Normal 5 5 3" xfId="25523" xr:uid="{00000000-0005-0000-0000-0000F7810000}"/>
    <cellStyle name="Normal 5 5 3 2" xfId="40969" xr:uid="{00000000-0005-0000-0000-0000F8810000}"/>
    <cellStyle name="Normal 5 5 4" xfId="44125" xr:uid="{00000000-0005-0000-0000-0000F9810000}"/>
    <cellStyle name="Normal 5 6" xfId="1970" xr:uid="{00000000-0005-0000-0000-0000FA810000}"/>
    <cellStyle name="Normal 5 6 2" xfId="12760" xr:uid="{00000000-0005-0000-0000-0000FB810000}"/>
    <cellStyle name="Normal 5 6 2 2" xfId="25526" xr:uid="{00000000-0005-0000-0000-0000FC810000}"/>
    <cellStyle name="Normal 5 6 2 2 2" xfId="40972" xr:uid="{00000000-0005-0000-0000-0000FD810000}"/>
    <cellStyle name="Normal 5 6 2 3" xfId="44128" xr:uid="{00000000-0005-0000-0000-0000FE810000}"/>
    <cellStyle name="Normal 5 6 3" xfId="25525" xr:uid="{00000000-0005-0000-0000-0000FF810000}"/>
    <cellStyle name="Normal 5 6 3 2" xfId="40971" xr:uid="{00000000-0005-0000-0000-000000820000}"/>
    <cellStyle name="Normal 5 6 4" xfId="44127" xr:uid="{00000000-0005-0000-0000-000001820000}"/>
    <cellStyle name="Normal 5 7" xfId="1971" xr:uid="{00000000-0005-0000-0000-000002820000}"/>
    <cellStyle name="Normal 5 7 2" xfId="12761" xr:uid="{00000000-0005-0000-0000-000003820000}"/>
    <cellStyle name="Normal 5 7 2 2" xfId="25528" xr:uid="{00000000-0005-0000-0000-000004820000}"/>
    <cellStyle name="Normal 5 7 2 2 2" xfId="40974" xr:uid="{00000000-0005-0000-0000-000005820000}"/>
    <cellStyle name="Normal 5 7 2 3" xfId="44130" xr:uid="{00000000-0005-0000-0000-000006820000}"/>
    <cellStyle name="Normal 5 7 3" xfId="25527" xr:uid="{00000000-0005-0000-0000-000007820000}"/>
    <cellStyle name="Normal 5 7 3 2" xfId="40973" xr:uid="{00000000-0005-0000-0000-000008820000}"/>
    <cellStyle name="Normal 5 7 4" xfId="44129" xr:uid="{00000000-0005-0000-0000-000009820000}"/>
    <cellStyle name="Normal 5 8" xfId="1972" xr:uid="{00000000-0005-0000-0000-00000A820000}"/>
    <cellStyle name="Normal 5 8 2" xfId="12762" xr:uid="{00000000-0005-0000-0000-00000B820000}"/>
    <cellStyle name="Normal 5 8 2 2" xfId="25530" xr:uid="{00000000-0005-0000-0000-00000C820000}"/>
    <cellStyle name="Normal 5 8 2 2 2" xfId="40976" xr:uid="{00000000-0005-0000-0000-00000D820000}"/>
    <cellStyle name="Normal 5 8 2 3" xfId="44132" xr:uid="{00000000-0005-0000-0000-00000E820000}"/>
    <cellStyle name="Normal 5 8 3" xfId="25529" xr:uid="{00000000-0005-0000-0000-00000F820000}"/>
    <cellStyle name="Normal 5 8 3 2" xfId="40975" xr:uid="{00000000-0005-0000-0000-000010820000}"/>
    <cellStyle name="Normal 5 8 4" xfId="44131" xr:uid="{00000000-0005-0000-0000-000011820000}"/>
    <cellStyle name="Normal 5 9" xfId="1973" xr:uid="{00000000-0005-0000-0000-000012820000}"/>
    <cellStyle name="Normal 5 9 2" xfId="12763" xr:uid="{00000000-0005-0000-0000-000013820000}"/>
    <cellStyle name="Normal 5 9 2 2" xfId="25532" xr:uid="{00000000-0005-0000-0000-000014820000}"/>
    <cellStyle name="Normal 5 9 2 2 2" xfId="40978" xr:uid="{00000000-0005-0000-0000-000015820000}"/>
    <cellStyle name="Normal 5 9 2 3" xfId="44134" xr:uid="{00000000-0005-0000-0000-000016820000}"/>
    <cellStyle name="Normal 5 9 3" xfId="25531" xr:uid="{00000000-0005-0000-0000-000017820000}"/>
    <cellStyle name="Normal 5 9 3 2" xfId="40977" xr:uid="{00000000-0005-0000-0000-000018820000}"/>
    <cellStyle name="Normal 5 9 4" xfId="44133" xr:uid="{00000000-0005-0000-0000-000019820000}"/>
    <cellStyle name="Normal 5_Ark1" xfId="3672" xr:uid="{00000000-0005-0000-0000-00001A820000}"/>
    <cellStyle name="Normal 50" xfId="3712" xr:uid="{00000000-0005-0000-0000-00001B820000}"/>
    <cellStyle name="Normal 50 10" xfId="12764" xr:uid="{00000000-0005-0000-0000-00001C820000}"/>
    <cellStyle name="Normal 50 10 2" xfId="25534" xr:uid="{00000000-0005-0000-0000-00001D820000}"/>
    <cellStyle name="Normal 50 10 2 2" xfId="40980" xr:uid="{00000000-0005-0000-0000-00001E820000}"/>
    <cellStyle name="Normal 50 10 3" xfId="44135" xr:uid="{00000000-0005-0000-0000-00001F820000}"/>
    <cellStyle name="Normal 50 11" xfId="12765" xr:uid="{00000000-0005-0000-0000-000020820000}"/>
    <cellStyle name="Normal 50 11 2" xfId="25535" xr:uid="{00000000-0005-0000-0000-000021820000}"/>
    <cellStyle name="Normal 50 11 2 2" xfId="40981" xr:uid="{00000000-0005-0000-0000-000022820000}"/>
    <cellStyle name="Normal 50 11 3" xfId="44136" xr:uid="{00000000-0005-0000-0000-000023820000}"/>
    <cellStyle name="Normal 50 12" xfId="12766" xr:uid="{00000000-0005-0000-0000-000024820000}"/>
    <cellStyle name="Normal 50 12 2" xfId="25536" xr:uid="{00000000-0005-0000-0000-000025820000}"/>
    <cellStyle name="Normal 50 12 2 2" xfId="40982" xr:uid="{00000000-0005-0000-0000-000026820000}"/>
    <cellStyle name="Normal 50 12 3" xfId="44137" xr:uid="{00000000-0005-0000-0000-000027820000}"/>
    <cellStyle name="Normal 50 13" xfId="12767" xr:uid="{00000000-0005-0000-0000-000028820000}"/>
    <cellStyle name="Normal 50 13 2" xfId="25537" xr:uid="{00000000-0005-0000-0000-000029820000}"/>
    <cellStyle name="Normal 50 13 2 2" xfId="40983" xr:uid="{00000000-0005-0000-0000-00002A820000}"/>
    <cellStyle name="Normal 50 13 3" xfId="44138" xr:uid="{00000000-0005-0000-0000-00002B820000}"/>
    <cellStyle name="Normal 50 14" xfId="12768" xr:uid="{00000000-0005-0000-0000-00002C820000}"/>
    <cellStyle name="Normal 50 14 2" xfId="25538" xr:uid="{00000000-0005-0000-0000-00002D820000}"/>
    <cellStyle name="Normal 50 14 2 2" xfId="40984" xr:uid="{00000000-0005-0000-0000-00002E820000}"/>
    <cellStyle name="Normal 50 14 3" xfId="44139" xr:uid="{00000000-0005-0000-0000-00002F820000}"/>
    <cellStyle name="Normal 50 15" xfId="12769" xr:uid="{00000000-0005-0000-0000-000030820000}"/>
    <cellStyle name="Normal 50 15 2" xfId="25539" xr:uid="{00000000-0005-0000-0000-000031820000}"/>
    <cellStyle name="Normal 50 15 2 2" xfId="40985" xr:uid="{00000000-0005-0000-0000-000032820000}"/>
    <cellStyle name="Normal 50 15 3" xfId="44140" xr:uid="{00000000-0005-0000-0000-000033820000}"/>
    <cellStyle name="Normal 50 16" xfId="12770" xr:uid="{00000000-0005-0000-0000-000034820000}"/>
    <cellStyle name="Normal 50 16 2" xfId="25540" xr:uid="{00000000-0005-0000-0000-000035820000}"/>
    <cellStyle name="Normal 50 16 2 2" xfId="40986" xr:uid="{00000000-0005-0000-0000-000036820000}"/>
    <cellStyle name="Normal 50 16 3" xfId="44141" xr:uid="{00000000-0005-0000-0000-000037820000}"/>
    <cellStyle name="Normal 50 17" xfId="12771" xr:uid="{00000000-0005-0000-0000-000038820000}"/>
    <cellStyle name="Normal 50 17 2" xfId="25541" xr:uid="{00000000-0005-0000-0000-000039820000}"/>
    <cellStyle name="Normal 50 17 2 2" xfId="40987" xr:uid="{00000000-0005-0000-0000-00003A820000}"/>
    <cellStyle name="Normal 50 17 3" xfId="44142" xr:uid="{00000000-0005-0000-0000-00003B820000}"/>
    <cellStyle name="Normal 50 18" xfId="12772" xr:uid="{00000000-0005-0000-0000-00003C820000}"/>
    <cellStyle name="Normal 50 18 2" xfId="25542" xr:uid="{00000000-0005-0000-0000-00003D820000}"/>
    <cellStyle name="Normal 50 18 2 2" xfId="40988" xr:uid="{00000000-0005-0000-0000-00003E820000}"/>
    <cellStyle name="Normal 50 18 3" xfId="44143" xr:uid="{00000000-0005-0000-0000-00003F820000}"/>
    <cellStyle name="Normal 50 19" xfId="12773" xr:uid="{00000000-0005-0000-0000-000040820000}"/>
    <cellStyle name="Normal 50 19 2" xfId="25543" xr:uid="{00000000-0005-0000-0000-000041820000}"/>
    <cellStyle name="Normal 50 19 2 2" xfId="40989" xr:uid="{00000000-0005-0000-0000-000042820000}"/>
    <cellStyle name="Normal 50 19 3" xfId="44144" xr:uid="{00000000-0005-0000-0000-000043820000}"/>
    <cellStyle name="Normal 50 2" xfId="1974" xr:uid="{00000000-0005-0000-0000-000044820000}"/>
    <cellStyle name="Normal 50 2 10" xfId="12774" xr:uid="{00000000-0005-0000-0000-000045820000}"/>
    <cellStyle name="Normal 50 2 10 2" xfId="25545" xr:uid="{00000000-0005-0000-0000-000046820000}"/>
    <cellStyle name="Normal 50 2 10 2 2" xfId="40991" xr:uid="{00000000-0005-0000-0000-000047820000}"/>
    <cellStyle name="Normal 50 2 10 3" xfId="44146" xr:uid="{00000000-0005-0000-0000-000048820000}"/>
    <cellStyle name="Normal 50 2 11" xfId="12775" xr:uid="{00000000-0005-0000-0000-000049820000}"/>
    <cellStyle name="Normal 50 2 11 2" xfId="25546" xr:uid="{00000000-0005-0000-0000-00004A820000}"/>
    <cellStyle name="Normal 50 2 11 2 2" xfId="40992" xr:uid="{00000000-0005-0000-0000-00004B820000}"/>
    <cellStyle name="Normal 50 2 11 3" xfId="44147" xr:uid="{00000000-0005-0000-0000-00004C820000}"/>
    <cellStyle name="Normal 50 2 12" xfId="12776" xr:uid="{00000000-0005-0000-0000-00004D820000}"/>
    <cellStyle name="Normal 50 2 12 2" xfId="25547" xr:uid="{00000000-0005-0000-0000-00004E820000}"/>
    <cellStyle name="Normal 50 2 12 2 2" xfId="40993" xr:uid="{00000000-0005-0000-0000-00004F820000}"/>
    <cellStyle name="Normal 50 2 12 3" xfId="44148" xr:uid="{00000000-0005-0000-0000-000050820000}"/>
    <cellStyle name="Normal 50 2 13" xfId="12777" xr:uid="{00000000-0005-0000-0000-000051820000}"/>
    <cellStyle name="Normal 50 2 13 2" xfId="25548" xr:uid="{00000000-0005-0000-0000-000052820000}"/>
    <cellStyle name="Normal 50 2 13 2 2" xfId="40994" xr:uid="{00000000-0005-0000-0000-000053820000}"/>
    <cellStyle name="Normal 50 2 13 3" xfId="44149" xr:uid="{00000000-0005-0000-0000-000054820000}"/>
    <cellStyle name="Normal 50 2 14" xfId="12778" xr:uid="{00000000-0005-0000-0000-000055820000}"/>
    <cellStyle name="Normal 50 2 14 2" xfId="25549" xr:uid="{00000000-0005-0000-0000-000056820000}"/>
    <cellStyle name="Normal 50 2 14 2 2" xfId="40995" xr:uid="{00000000-0005-0000-0000-000057820000}"/>
    <cellStyle name="Normal 50 2 14 3" xfId="44150" xr:uid="{00000000-0005-0000-0000-000058820000}"/>
    <cellStyle name="Normal 50 2 15" xfId="12779" xr:uid="{00000000-0005-0000-0000-000059820000}"/>
    <cellStyle name="Normal 50 2 15 2" xfId="25550" xr:uid="{00000000-0005-0000-0000-00005A820000}"/>
    <cellStyle name="Normal 50 2 15 2 2" xfId="40996" xr:uid="{00000000-0005-0000-0000-00005B820000}"/>
    <cellStyle name="Normal 50 2 15 3" xfId="44151" xr:uid="{00000000-0005-0000-0000-00005C820000}"/>
    <cellStyle name="Normal 50 2 16" xfId="12780" xr:uid="{00000000-0005-0000-0000-00005D820000}"/>
    <cellStyle name="Normal 50 2 16 2" xfId="25551" xr:uid="{00000000-0005-0000-0000-00005E820000}"/>
    <cellStyle name="Normal 50 2 16 2 2" xfId="40997" xr:uid="{00000000-0005-0000-0000-00005F820000}"/>
    <cellStyle name="Normal 50 2 16 3" xfId="44152" xr:uid="{00000000-0005-0000-0000-000060820000}"/>
    <cellStyle name="Normal 50 2 17" xfId="12781" xr:uid="{00000000-0005-0000-0000-000061820000}"/>
    <cellStyle name="Normal 50 2 17 2" xfId="25552" xr:uid="{00000000-0005-0000-0000-000062820000}"/>
    <cellStyle name="Normal 50 2 17 2 2" xfId="40998" xr:uid="{00000000-0005-0000-0000-000063820000}"/>
    <cellStyle name="Normal 50 2 17 3" xfId="44153" xr:uid="{00000000-0005-0000-0000-000064820000}"/>
    <cellStyle name="Normal 50 2 18" xfId="12782" xr:uid="{00000000-0005-0000-0000-000065820000}"/>
    <cellStyle name="Normal 50 2 18 2" xfId="25553" xr:uid="{00000000-0005-0000-0000-000066820000}"/>
    <cellStyle name="Normal 50 2 18 2 2" xfId="40999" xr:uid="{00000000-0005-0000-0000-000067820000}"/>
    <cellStyle name="Normal 50 2 18 3" xfId="44154" xr:uid="{00000000-0005-0000-0000-000068820000}"/>
    <cellStyle name="Normal 50 2 19" xfId="12783" xr:uid="{00000000-0005-0000-0000-000069820000}"/>
    <cellStyle name="Normal 50 2 19 2" xfId="25554" xr:uid="{00000000-0005-0000-0000-00006A820000}"/>
    <cellStyle name="Normal 50 2 19 2 2" xfId="41000" xr:uid="{00000000-0005-0000-0000-00006B820000}"/>
    <cellStyle name="Normal 50 2 19 3" xfId="44155" xr:uid="{00000000-0005-0000-0000-00006C820000}"/>
    <cellStyle name="Normal 50 2 2" xfId="1975" xr:uid="{00000000-0005-0000-0000-00006D820000}"/>
    <cellStyle name="Normal 50 2 2 2" xfId="1976" xr:uid="{00000000-0005-0000-0000-00006E820000}"/>
    <cellStyle name="Normal 50 2 2 2 2" xfId="1977" xr:uid="{00000000-0005-0000-0000-00006F820000}"/>
    <cellStyle name="Normal 50 2 2 2 2 2" xfId="25557" xr:uid="{00000000-0005-0000-0000-000070820000}"/>
    <cellStyle name="Normal 50 2 2 2 2 2 2" xfId="41003" xr:uid="{00000000-0005-0000-0000-000071820000}"/>
    <cellStyle name="Normal 50 2 2 2 2 3" xfId="44158" xr:uid="{00000000-0005-0000-0000-000072820000}"/>
    <cellStyle name="Normal 50 2 2 2 3" xfId="25556" xr:uid="{00000000-0005-0000-0000-000073820000}"/>
    <cellStyle name="Normal 50 2 2 2 3 2" xfId="41002" xr:uid="{00000000-0005-0000-0000-000074820000}"/>
    <cellStyle name="Normal 50 2 2 2 4" xfId="44157" xr:uid="{00000000-0005-0000-0000-000075820000}"/>
    <cellStyle name="Normal 50 2 2 3" xfId="1978" xr:uid="{00000000-0005-0000-0000-000076820000}"/>
    <cellStyle name="Normal 50 2 2 3 2" xfId="25558" xr:uid="{00000000-0005-0000-0000-000077820000}"/>
    <cellStyle name="Normal 50 2 2 3 2 2" xfId="41004" xr:uid="{00000000-0005-0000-0000-000078820000}"/>
    <cellStyle name="Normal 50 2 2 3 3" xfId="44159" xr:uid="{00000000-0005-0000-0000-000079820000}"/>
    <cellStyle name="Normal 50 2 2 4" xfId="25555" xr:uid="{00000000-0005-0000-0000-00007A820000}"/>
    <cellStyle name="Normal 50 2 2 4 2" xfId="41001" xr:uid="{00000000-0005-0000-0000-00007B820000}"/>
    <cellStyle name="Normal 50 2 2 5" xfId="44156" xr:uid="{00000000-0005-0000-0000-00007C820000}"/>
    <cellStyle name="Normal 50 2 20" xfId="12784" xr:uid="{00000000-0005-0000-0000-00007D820000}"/>
    <cellStyle name="Normal 50 2 20 2" xfId="25559" xr:uid="{00000000-0005-0000-0000-00007E820000}"/>
    <cellStyle name="Normal 50 2 20 2 2" xfId="41005" xr:uid="{00000000-0005-0000-0000-00007F820000}"/>
    <cellStyle name="Normal 50 2 20 3" xfId="44160" xr:uid="{00000000-0005-0000-0000-000080820000}"/>
    <cellStyle name="Normal 50 2 21" xfId="12785" xr:uid="{00000000-0005-0000-0000-000081820000}"/>
    <cellStyle name="Normal 50 2 21 2" xfId="25560" xr:uid="{00000000-0005-0000-0000-000082820000}"/>
    <cellStyle name="Normal 50 2 21 2 2" xfId="41006" xr:uid="{00000000-0005-0000-0000-000083820000}"/>
    <cellStyle name="Normal 50 2 21 3" xfId="44161" xr:uid="{00000000-0005-0000-0000-000084820000}"/>
    <cellStyle name="Normal 50 2 22" xfId="12786" xr:uid="{00000000-0005-0000-0000-000085820000}"/>
    <cellStyle name="Normal 50 2 22 2" xfId="25561" xr:uid="{00000000-0005-0000-0000-000086820000}"/>
    <cellStyle name="Normal 50 2 22 2 2" xfId="41007" xr:uid="{00000000-0005-0000-0000-000087820000}"/>
    <cellStyle name="Normal 50 2 22 3" xfId="44162" xr:uid="{00000000-0005-0000-0000-000088820000}"/>
    <cellStyle name="Normal 50 2 23" xfId="12787" xr:uid="{00000000-0005-0000-0000-000089820000}"/>
    <cellStyle name="Normal 50 2 23 2" xfId="25562" xr:uid="{00000000-0005-0000-0000-00008A820000}"/>
    <cellStyle name="Normal 50 2 23 2 2" xfId="41008" xr:uid="{00000000-0005-0000-0000-00008B820000}"/>
    <cellStyle name="Normal 50 2 23 3" xfId="44163" xr:uid="{00000000-0005-0000-0000-00008C820000}"/>
    <cellStyle name="Normal 50 2 24" xfId="12788" xr:uid="{00000000-0005-0000-0000-00008D820000}"/>
    <cellStyle name="Normal 50 2 24 2" xfId="25563" xr:uid="{00000000-0005-0000-0000-00008E820000}"/>
    <cellStyle name="Normal 50 2 24 2 2" xfId="41009" xr:uid="{00000000-0005-0000-0000-00008F820000}"/>
    <cellStyle name="Normal 50 2 24 3" xfId="44164" xr:uid="{00000000-0005-0000-0000-000090820000}"/>
    <cellStyle name="Normal 50 2 25" xfId="12789" xr:uid="{00000000-0005-0000-0000-000091820000}"/>
    <cellStyle name="Normal 50 2 25 2" xfId="25564" xr:uid="{00000000-0005-0000-0000-000092820000}"/>
    <cellStyle name="Normal 50 2 25 2 2" xfId="41010" xr:uid="{00000000-0005-0000-0000-000093820000}"/>
    <cellStyle name="Normal 50 2 25 3" xfId="44165" xr:uid="{00000000-0005-0000-0000-000094820000}"/>
    <cellStyle name="Normal 50 2 26" xfId="12790" xr:uid="{00000000-0005-0000-0000-000095820000}"/>
    <cellStyle name="Normal 50 2 26 2" xfId="25565" xr:uid="{00000000-0005-0000-0000-000096820000}"/>
    <cellStyle name="Normal 50 2 26 2 2" xfId="41011" xr:uid="{00000000-0005-0000-0000-000097820000}"/>
    <cellStyle name="Normal 50 2 26 3" xfId="44166" xr:uid="{00000000-0005-0000-0000-000098820000}"/>
    <cellStyle name="Normal 50 2 27" xfId="12791" xr:uid="{00000000-0005-0000-0000-000099820000}"/>
    <cellStyle name="Normal 50 2 27 2" xfId="25566" xr:uid="{00000000-0005-0000-0000-00009A820000}"/>
    <cellStyle name="Normal 50 2 27 2 2" xfId="41012" xr:uid="{00000000-0005-0000-0000-00009B820000}"/>
    <cellStyle name="Normal 50 2 27 3" xfId="44167" xr:uid="{00000000-0005-0000-0000-00009C820000}"/>
    <cellStyle name="Normal 50 2 28" xfId="12792" xr:uid="{00000000-0005-0000-0000-00009D820000}"/>
    <cellStyle name="Normal 50 2 28 2" xfId="25567" xr:uid="{00000000-0005-0000-0000-00009E820000}"/>
    <cellStyle name="Normal 50 2 28 2 2" xfId="41013" xr:uid="{00000000-0005-0000-0000-00009F820000}"/>
    <cellStyle name="Normal 50 2 28 3" xfId="44168" xr:uid="{00000000-0005-0000-0000-0000A0820000}"/>
    <cellStyle name="Normal 50 2 29" xfId="12793" xr:uid="{00000000-0005-0000-0000-0000A1820000}"/>
    <cellStyle name="Normal 50 2 29 2" xfId="25568" xr:uid="{00000000-0005-0000-0000-0000A2820000}"/>
    <cellStyle name="Normal 50 2 29 2 2" xfId="41014" xr:uid="{00000000-0005-0000-0000-0000A3820000}"/>
    <cellStyle name="Normal 50 2 29 3" xfId="44169" xr:uid="{00000000-0005-0000-0000-0000A4820000}"/>
    <cellStyle name="Normal 50 2 3" xfId="1979" xr:uid="{00000000-0005-0000-0000-0000A5820000}"/>
    <cellStyle name="Normal 50 2 3 2" xfId="1980" xr:uid="{00000000-0005-0000-0000-0000A6820000}"/>
    <cellStyle name="Normal 50 2 3 2 2" xfId="25570" xr:uid="{00000000-0005-0000-0000-0000A7820000}"/>
    <cellStyle name="Normal 50 2 3 2 2 2" xfId="41016" xr:uid="{00000000-0005-0000-0000-0000A8820000}"/>
    <cellStyle name="Normal 50 2 3 2 3" xfId="44171" xr:uid="{00000000-0005-0000-0000-0000A9820000}"/>
    <cellStyle name="Normal 50 2 3 3" xfId="25569" xr:uid="{00000000-0005-0000-0000-0000AA820000}"/>
    <cellStyle name="Normal 50 2 3 3 2" xfId="41015" xr:uid="{00000000-0005-0000-0000-0000AB820000}"/>
    <cellStyle name="Normal 50 2 3 4" xfId="44170" xr:uid="{00000000-0005-0000-0000-0000AC820000}"/>
    <cellStyle name="Normal 50 2 30" xfId="12794" xr:uid="{00000000-0005-0000-0000-0000AD820000}"/>
    <cellStyle name="Normal 50 2 30 2" xfId="25571" xr:uid="{00000000-0005-0000-0000-0000AE820000}"/>
    <cellStyle name="Normal 50 2 30 2 2" xfId="41017" xr:uid="{00000000-0005-0000-0000-0000AF820000}"/>
    <cellStyle name="Normal 50 2 30 3" xfId="44172" xr:uid="{00000000-0005-0000-0000-0000B0820000}"/>
    <cellStyle name="Normal 50 2 31" xfId="12795" xr:uid="{00000000-0005-0000-0000-0000B1820000}"/>
    <cellStyle name="Normal 50 2 31 2" xfId="25572" xr:uid="{00000000-0005-0000-0000-0000B2820000}"/>
    <cellStyle name="Normal 50 2 31 2 2" xfId="41018" xr:uid="{00000000-0005-0000-0000-0000B3820000}"/>
    <cellStyle name="Normal 50 2 31 3" xfId="44173" xr:uid="{00000000-0005-0000-0000-0000B4820000}"/>
    <cellStyle name="Normal 50 2 32" xfId="12796" xr:uid="{00000000-0005-0000-0000-0000B5820000}"/>
    <cellStyle name="Normal 50 2 32 2" xfId="25573" xr:uid="{00000000-0005-0000-0000-0000B6820000}"/>
    <cellStyle name="Normal 50 2 32 2 2" xfId="41019" xr:uid="{00000000-0005-0000-0000-0000B7820000}"/>
    <cellStyle name="Normal 50 2 32 3" xfId="44174" xr:uid="{00000000-0005-0000-0000-0000B8820000}"/>
    <cellStyle name="Normal 50 2 33" xfId="25544" xr:uid="{00000000-0005-0000-0000-0000B9820000}"/>
    <cellStyle name="Normal 50 2 33 2" xfId="40990" xr:uid="{00000000-0005-0000-0000-0000BA820000}"/>
    <cellStyle name="Normal 50 2 34" xfId="44145" xr:uid="{00000000-0005-0000-0000-0000BB820000}"/>
    <cellStyle name="Normal 50 2 4" xfId="1981" xr:uid="{00000000-0005-0000-0000-0000BC820000}"/>
    <cellStyle name="Normal 50 2 4 2" xfId="1982" xr:uid="{00000000-0005-0000-0000-0000BD820000}"/>
    <cellStyle name="Normal 50 2 4 2 2" xfId="25575" xr:uid="{00000000-0005-0000-0000-0000BE820000}"/>
    <cellStyle name="Normal 50 2 4 2 2 2" xfId="41021" xr:uid="{00000000-0005-0000-0000-0000BF820000}"/>
    <cellStyle name="Normal 50 2 4 2 3" xfId="44176" xr:uid="{00000000-0005-0000-0000-0000C0820000}"/>
    <cellStyle name="Normal 50 2 4 3" xfId="25574" xr:uid="{00000000-0005-0000-0000-0000C1820000}"/>
    <cellStyle name="Normal 50 2 4 3 2" xfId="41020" xr:uid="{00000000-0005-0000-0000-0000C2820000}"/>
    <cellStyle name="Normal 50 2 4 4" xfId="44175" xr:uid="{00000000-0005-0000-0000-0000C3820000}"/>
    <cellStyle name="Normal 50 2 5" xfId="1983" xr:uid="{00000000-0005-0000-0000-0000C4820000}"/>
    <cellStyle name="Normal 50 2 5 2" xfId="25576" xr:uid="{00000000-0005-0000-0000-0000C5820000}"/>
    <cellStyle name="Normal 50 2 5 2 2" xfId="41022" xr:uid="{00000000-0005-0000-0000-0000C6820000}"/>
    <cellStyle name="Normal 50 2 5 3" xfId="44177" xr:uid="{00000000-0005-0000-0000-0000C7820000}"/>
    <cellStyle name="Normal 50 2 6" xfId="12797" xr:uid="{00000000-0005-0000-0000-0000C8820000}"/>
    <cellStyle name="Normal 50 2 6 2" xfId="25577" xr:uid="{00000000-0005-0000-0000-0000C9820000}"/>
    <cellStyle name="Normal 50 2 6 2 2" xfId="41023" xr:uid="{00000000-0005-0000-0000-0000CA820000}"/>
    <cellStyle name="Normal 50 2 6 3" xfId="44178" xr:uid="{00000000-0005-0000-0000-0000CB820000}"/>
    <cellStyle name="Normal 50 2 7" xfId="12798" xr:uid="{00000000-0005-0000-0000-0000CC820000}"/>
    <cellStyle name="Normal 50 2 7 2" xfId="25578" xr:uid="{00000000-0005-0000-0000-0000CD820000}"/>
    <cellStyle name="Normal 50 2 7 2 2" xfId="41024" xr:uid="{00000000-0005-0000-0000-0000CE820000}"/>
    <cellStyle name="Normal 50 2 7 3" xfId="44179" xr:uid="{00000000-0005-0000-0000-0000CF820000}"/>
    <cellStyle name="Normal 50 2 8" xfId="12799" xr:uid="{00000000-0005-0000-0000-0000D0820000}"/>
    <cellStyle name="Normal 50 2 8 2" xfId="25579" xr:uid="{00000000-0005-0000-0000-0000D1820000}"/>
    <cellStyle name="Normal 50 2 8 2 2" xfId="41025" xr:uid="{00000000-0005-0000-0000-0000D2820000}"/>
    <cellStyle name="Normal 50 2 8 3" xfId="44180" xr:uid="{00000000-0005-0000-0000-0000D3820000}"/>
    <cellStyle name="Normal 50 2 9" xfId="12800" xr:uid="{00000000-0005-0000-0000-0000D4820000}"/>
    <cellStyle name="Normal 50 2 9 2" xfId="25580" xr:uid="{00000000-0005-0000-0000-0000D5820000}"/>
    <cellStyle name="Normal 50 2 9 2 2" xfId="41026" xr:uid="{00000000-0005-0000-0000-0000D6820000}"/>
    <cellStyle name="Normal 50 2 9 3" xfId="44181" xr:uid="{00000000-0005-0000-0000-0000D7820000}"/>
    <cellStyle name="Normal 50 20" xfId="12801" xr:uid="{00000000-0005-0000-0000-0000D8820000}"/>
    <cellStyle name="Normal 50 20 2" xfId="25581" xr:uid="{00000000-0005-0000-0000-0000D9820000}"/>
    <cellStyle name="Normal 50 20 2 2" xfId="41027" xr:uid="{00000000-0005-0000-0000-0000DA820000}"/>
    <cellStyle name="Normal 50 20 3" xfId="44182" xr:uid="{00000000-0005-0000-0000-0000DB820000}"/>
    <cellStyle name="Normal 50 21" xfId="12802" xr:uid="{00000000-0005-0000-0000-0000DC820000}"/>
    <cellStyle name="Normal 50 21 2" xfId="25582" xr:uid="{00000000-0005-0000-0000-0000DD820000}"/>
    <cellStyle name="Normal 50 21 2 2" xfId="41028" xr:uid="{00000000-0005-0000-0000-0000DE820000}"/>
    <cellStyle name="Normal 50 21 3" xfId="44183" xr:uid="{00000000-0005-0000-0000-0000DF820000}"/>
    <cellStyle name="Normal 50 22" xfId="12803" xr:uid="{00000000-0005-0000-0000-0000E0820000}"/>
    <cellStyle name="Normal 50 22 2" xfId="25583" xr:uid="{00000000-0005-0000-0000-0000E1820000}"/>
    <cellStyle name="Normal 50 22 2 2" xfId="41029" xr:uid="{00000000-0005-0000-0000-0000E2820000}"/>
    <cellStyle name="Normal 50 22 3" xfId="44184" xr:uid="{00000000-0005-0000-0000-0000E3820000}"/>
    <cellStyle name="Normal 50 23" xfId="12804" xr:uid="{00000000-0005-0000-0000-0000E4820000}"/>
    <cellStyle name="Normal 50 23 2" xfId="25584" xr:uid="{00000000-0005-0000-0000-0000E5820000}"/>
    <cellStyle name="Normal 50 23 2 2" xfId="41030" xr:uid="{00000000-0005-0000-0000-0000E6820000}"/>
    <cellStyle name="Normal 50 23 3" xfId="44185" xr:uid="{00000000-0005-0000-0000-0000E7820000}"/>
    <cellStyle name="Normal 50 24" xfId="12805" xr:uid="{00000000-0005-0000-0000-0000E8820000}"/>
    <cellStyle name="Normal 50 24 2" xfId="25585" xr:uid="{00000000-0005-0000-0000-0000E9820000}"/>
    <cellStyle name="Normal 50 24 2 2" xfId="41031" xr:uid="{00000000-0005-0000-0000-0000EA820000}"/>
    <cellStyle name="Normal 50 24 3" xfId="44186" xr:uid="{00000000-0005-0000-0000-0000EB820000}"/>
    <cellStyle name="Normal 50 25" xfId="12806" xr:uid="{00000000-0005-0000-0000-0000EC820000}"/>
    <cellStyle name="Normal 50 25 2" xfId="25586" xr:uid="{00000000-0005-0000-0000-0000ED820000}"/>
    <cellStyle name="Normal 50 25 2 2" xfId="41032" xr:uid="{00000000-0005-0000-0000-0000EE820000}"/>
    <cellStyle name="Normal 50 25 3" xfId="44187" xr:uid="{00000000-0005-0000-0000-0000EF820000}"/>
    <cellStyle name="Normal 50 26" xfId="12807" xr:uid="{00000000-0005-0000-0000-0000F0820000}"/>
    <cellStyle name="Normal 50 26 2" xfId="25587" xr:uid="{00000000-0005-0000-0000-0000F1820000}"/>
    <cellStyle name="Normal 50 26 2 2" xfId="41033" xr:uid="{00000000-0005-0000-0000-0000F2820000}"/>
    <cellStyle name="Normal 50 26 3" xfId="44188" xr:uid="{00000000-0005-0000-0000-0000F3820000}"/>
    <cellStyle name="Normal 50 27" xfId="12808" xr:uid="{00000000-0005-0000-0000-0000F4820000}"/>
    <cellStyle name="Normal 50 27 2" xfId="25588" xr:uid="{00000000-0005-0000-0000-0000F5820000}"/>
    <cellStyle name="Normal 50 27 2 2" xfId="41034" xr:uid="{00000000-0005-0000-0000-0000F6820000}"/>
    <cellStyle name="Normal 50 27 3" xfId="44189" xr:uid="{00000000-0005-0000-0000-0000F7820000}"/>
    <cellStyle name="Normal 50 28" xfId="12809" xr:uid="{00000000-0005-0000-0000-0000F8820000}"/>
    <cellStyle name="Normal 50 28 2" xfId="25589" xr:uid="{00000000-0005-0000-0000-0000F9820000}"/>
    <cellStyle name="Normal 50 28 2 2" xfId="41035" xr:uid="{00000000-0005-0000-0000-0000FA820000}"/>
    <cellStyle name="Normal 50 28 3" xfId="44190" xr:uid="{00000000-0005-0000-0000-0000FB820000}"/>
    <cellStyle name="Normal 50 29" xfId="12810" xr:uid="{00000000-0005-0000-0000-0000FC820000}"/>
    <cellStyle name="Normal 50 29 2" xfId="25590" xr:uid="{00000000-0005-0000-0000-0000FD820000}"/>
    <cellStyle name="Normal 50 29 2 2" xfId="41036" xr:uid="{00000000-0005-0000-0000-0000FE820000}"/>
    <cellStyle name="Normal 50 29 3" xfId="44191" xr:uid="{00000000-0005-0000-0000-0000FF820000}"/>
    <cellStyle name="Normal 50 3" xfId="1984" xr:uid="{00000000-0005-0000-0000-000000830000}"/>
    <cellStyle name="Normal 50 3 2" xfId="1985" xr:uid="{00000000-0005-0000-0000-000001830000}"/>
    <cellStyle name="Normal 50 3 2 2" xfId="1986" xr:uid="{00000000-0005-0000-0000-000002830000}"/>
    <cellStyle name="Normal 50 3 2 2 2" xfId="25593" xr:uid="{00000000-0005-0000-0000-000003830000}"/>
    <cellStyle name="Normal 50 3 2 2 2 2" xfId="41039" xr:uid="{00000000-0005-0000-0000-000004830000}"/>
    <cellStyle name="Normal 50 3 2 2 3" xfId="44194" xr:uid="{00000000-0005-0000-0000-000005830000}"/>
    <cellStyle name="Normal 50 3 2 3" xfId="25592" xr:uid="{00000000-0005-0000-0000-000006830000}"/>
    <cellStyle name="Normal 50 3 2 3 2" xfId="41038" xr:uid="{00000000-0005-0000-0000-000007830000}"/>
    <cellStyle name="Normal 50 3 2 4" xfId="44193" xr:uid="{00000000-0005-0000-0000-000008830000}"/>
    <cellStyle name="Normal 50 3 3" xfId="1987" xr:uid="{00000000-0005-0000-0000-000009830000}"/>
    <cellStyle name="Normal 50 3 3 2" xfId="25594" xr:uid="{00000000-0005-0000-0000-00000A830000}"/>
    <cellStyle name="Normal 50 3 3 2 2" xfId="41040" xr:uid="{00000000-0005-0000-0000-00000B830000}"/>
    <cellStyle name="Normal 50 3 3 3" xfId="44195" xr:uid="{00000000-0005-0000-0000-00000C830000}"/>
    <cellStyle name="Normal 50 3 4" xfId="25591" xr:uid="{00000000-0005-0000-0000-00000D830000}"/>
    <cellStyle name="Normal 50 3 4 2" xfId="41037" xr:uid="{00000000-0005-0000-0000-00000E830000}"/>
    <cellStyle name="Normal 50 3 5" xfId="44192" xr:uid="{00000000-0005-0000-0000-00000F830000}"/>
    <cellStyle name="Normal 50 30" xfId="12811" xr:uid="{00000000-0005-0000-0000-000010830000}"/>
    <cellStyle name="Normal 50 30 2" xfId="25595" xr:uid="{00000000-0005-0000-0000-000011830000}"/>
    <cellStyle name="Normal 50 30 2 2" xfId="41041" xr:uid="{00000000-0005-0000-0000-000012830000}"/>
    <cellStyle name="Normal 50 30 3" xfId="44196" xr:uid="{00000000-0005-0000-0000-000013830000}"/>
    <cellStyle name="Normal 50 31" xfId="12812" xr:uid="{00000000-0005-0000-0000-000014830000}"/>
    <cellStyle name="Normal 50 31 2" xfId="25596" xr:uid="{00000000-0005-0000-0000-000015830000}"/>
    <cellStyle name="Normal 50 31 2 2" xfId="41042" xr:uid="{00000000-0005-0000-0000-000016830000}"/>
    <cellStyle name="Normal 50 31 3" xfId="44197" xr:uid="{00000000-0005-0000-0000-000017830000}"/>
    <cellStyle name="Normal 50 32" xfId="12813" xr:uid="{00000000-0005-0000-0000-000018830000}"/>
    <cellStyle name="Normal 50 32 2" xfId="25597" xr:uid="{00000000-0005-0000-0000-000019830000}"/>
    <cellStyle name="Normal 50 32 2 2" xfId="41043" xr:uid="{00000000-0005-0000-0000-00001A830000}"/>
    <cellStyle name="Normal 50 32 3" xfId="44198" xr:uid="{00000000-0005-0000-0000-00001B830000}"/>
    <cellStyle name="Normal 50 33" xfId="12814" xr:uid="{00000000-0005-0000-0000-00001C830000}"/>
    <cellStyle name="Normal 50 33 2" xfId="25598" xr:uid="{00000000-0005-0000-0000-00001D830000}"/>
    <cellStyle name="Normal 50 33 2 2" xfId="41044" xr:uid="{00000000-0005-0000-0000-00001E830000}"/>
    <cellStyle name="Normal 50 33 3" xfId="44199" xr:uid="{00000000-0005-0000-0000-00001F830000}"/>
    <cellStyle name="Normal 50 34" xfId="12815" xr:uid="{00000000-0005-0000-0000-000020830000}"/>
    <cellStyle name="Normal 50 34 2" xfId="25599" xr:uid="{00000000-0005-0000-0000-000021830000}"/>
    <cellStyle name="Normal 50 34 2 2" xfId="41045" xr:uid="{00000000-0005-0000-0000-000022830000}"/>
    <cellStyle name="Normal 50 34 3" xfId="44200" xr:uid="{00000000-0005-0000-0000-000023830000}"/>
    <cellStyle name="Normal 50 35" xfId="21714" xr:uid="{00000000-0005-0000-0000-000024830000}"/>
    <cellStyle name="Normal 50 35 2" xfId="37792" xr:uid="{00000000-0005-0000-0000-000025830000}"/>
    <cellStyle name="Normal 50 35 3" xfId="40979" xr:uid="{00000000-0005-0000-0000-000026830000}"/>
    <cellStyle name="Normal 50 36" xfId="25533" xr:uid="{00000000-0005-0000-0000-000027830000}"/>
    <cellStyle name="Normal 50 37" xfId="33867" xr:uid="{00000000-0005-0000-0000-000028830000}"/>
    <cellStyle name="Normal 50 4" xfId="1988" xr:uid="{00000000-0005-0000-0000-000029830000}"/>
    <cellStyle name="Normal 50 4 2" xfId="1989" xr:uid="{00000000-0005-0000-0000-00002A830000}"/>
    <cellStyle name="Normal 50 4 2 2" xfId="25601" xr:uid="{00000000-0005-0000-0000-00002B830000}"/>
    <cellStyle name="Normal 50 4 2 2 2" xfId="41047" xr:uid="{00000000-0005-0000-0000-00002C830000}"/>
    <cellStyle name="Normal 50 4 2 3" xfId="44202" xr:uid="{00000000-0005-0000-0000-00002D830000}"/>
    <cellStyle name="Normal 50 4 3" xfId="25600" xr:uid="{00000000-0005-0000-0000-00002E830000}"/>
    <cellStyle name="Normal 50 4 3 2" xfId="41046" xr:uid="{00000000-0005-0000-0000-00002F830000}"/>
    <cellStyle name="Normal 50 4 4" xfId="44201" xr:uid="{00000000-0005-0000-0000-000030830000}"/>
    <cellStyle name="Normal 50 5" xfId="1990" xr:uid="{00000000-0005-0000-0000-000031830000}"/>
    <cellStyle name="Normal 50 5 2" xfId="1991" xr:uid="{00000000-0005-0000-0000-000032830000}"/>
    <cellStyle name="Normal 50 5 2 2" xfId="1992" xr:uid="{00000000-0005-0000-0000-000033830000}"/>
    <cellStyle name="Normal 50 5 2 2 2" xfId="25604" xr:uid="{00000000-0005-0000-0000-000034830000}"/>
    <cellStyle name="Normal 50 5 2 2 2 2" xfId="41050" xr:uid="{00000000-0005-0000-0000-000035830000}"/>
    <cellStyle name="Normal 50 5 2 2 3" xfId="44205" xr:uid="{00000000-0005-0000-0000-000036830000}"/>
    <cellStyle name="Normal 50 5 2 3" xfId="25603" xr:uid="{00000000-0005-0000-0000-000037830000}"/>
    <cellStyle name="Normal 50 5 2 3 2" xfId="41049" xr:uid="{00000000-0005-0000-0000-000038830000}"/>
    <cellStyle name="Normal 50 5 2 4" xfId="44204" xr:uid="{00000000-0005-0000-0000-000039830000}"/>
    <cellStyle name="Normal 50 5 3" xfId="1993" xr:uid="{00000000-0005-0000-0000-00003A830000}"/>
    <cellStyle name="Normal 50 5 3 2" xfId="1994" xr:uid="{00000000-0005-0000-0000-00003B830000}"/>
    <cellStyle name="Normal 50 5 3 2 2" xfId="25606" xr:uid="{00000000-0005-0000-0000-00003C830000}"/>
    <cellStyle name="Normal 50 5 3 2 2 2" xfId="41052" xr:uid="{00000000-0005-0000-0000-00003D830000}"/>
    <cellStyle name="Normal 50 5 3 2 3" xfId="44207" xr:uid="{00000000-0005-0000-0000-00003E830000}"/>
    <cellStyle name="Normal 50 5 3 3" xfId="25605" xr:uid="{00000000-0005-0000-0000-00003F830000}"/>
    <cellStyle name="Normal 50 5 3 3 2" xfId="41051" xr:uid="{00000000-0005-0000-0000-000040830000}"/>
    <cellStyle name="Normal 50 5 3 4" xfId="44206" xr:uid="{00000000-0005-0000-0000-000041830000}"/>
    <cellStyle name="Normal 50 5 4" xfId="1995" xr:uid="{00000000-0005-0000-0000-000042830000}"/>
    <cellStyle name="Normal 50 5 4 2" xfId="25607" xr:uid="{00000000-0005-0000-0000-000043830000}"/>
    <cellStyle name="Normal 50 5 4 2 2" xfId="41053" xr:uid="{00000000-0005-0000-0000-000044830000}"/>
    <cellStyle name="Normal 50 5 4 3" xfId="44208" xr:uid="{00000000-0005-0000-0000-000045830000}"/>
    <cellStyle name="Normal 50 5 5" xfId="25602" xr:uid="{00000000-0005-0000-0000-000046830000}"/>
    <cellStyle name="Normal 50 5 5 2" xfId="41048" xr:uid="{00000000-0005-0000-0000-000047830000}"/>
    <cellStyle name="Normal 50 5 6" xfId="44203" xr:uid="{00000000-0005-0000-0000-000048830000}"/>
    <cellStyle name="Normal 50 6" xfId="1996" xr:uid="{00000000-0005-0000-0000-000049830000}"/>
    <cellStyle name="Normal 50 6 2" xfId="25608" xr:uid="{00000000-0005-0000-0000-00004A830000}"/>
    <cellStyle name="Normal 50 6 2 2" xfId="41054" xr:uid="{00000000-0005-0000-0000-00004B830000}"/>
    <cellStyle name="Normal 50 6 3" xfId="44209" xr:uid="{00000000-0005-0000-0000-00004C830000}"/>
    <cellStyle name="Normal 50 7" xfId="5600" xr:uid="{00000000-0005-0000-0000-00004D830000}"/>
    <cellStyle name="Normal 50 7 2" xfId="9015" xr:uid="{00000000-0005-0000-0000-00004E830000}"/>
    <cellStyle name="Normal 50 7 2 2" xfId="21251" xr:uid="{00000000-0005-0000-0000-00004F830000}"/>
    <cellStyle name="Normal 50 7 2 2 2" xfId="37331" xr:uid="{00000000-0005-0000-0000-000050830000}"/>
    <cellStyle name="Normal 50 7 2 3" xfId="28783" xr:uid="{00000000-0005-0000-0000-000051830000}"/>
    <cellStyle name="Normal 50 7 2 4" xfId="41055" xr:uid="{00000000-0005-0000-0000-000052830000}"/>
    <cellStyle name="Normal 50 7 3" xfId="12816" xr:uid="{00000000-0005-0000-0000-000053830000}"/>
    <cellStyle name="Normal 50 7 3 2" xfId="44210" xr:uid="{00000000-0005-0000-0000-000054830000}"/>
    <cellStyle name="Normal 50 7 4" xfId="22881" xr:uid="{00000000-0005-0000-0000-000055830000}"/>
    <cellStyle name="Normal 50 7 4 2" xfId="38950" xr:uid="{00000000-0005-0000-0000-000056830000}"/>
    <cellStyle name="Normal 50 7 5" xfId="25609" xr:uid="{00000000-0005-0000-0000-000057830000}"/>
    <cellStyle name="Normal 50 7 6" xfId="32174" xr:uid="{00000000-0005-0000-0000-000058830000}"/>
    <cellStyle name="Normal 50 8" xfId="7318" xr:uid="{00000000-0005-0000-0000-000059830000}"/>
    <cellStyle name="Normal 50 8 2" xfId="12817" xr:uid="{00000000-0005-0000-0000-00005A830000}"/>
    <cellStyle name="Normal 50 8 3" xfId="20738" xr:uid="{00000000-0005-0000-0000-00005B830000}"/>
    <cellStyle name="Normal 50 8 3 2" xfId="36837" xr:uid="{00000000-0005-0000-0000-00005C830000}"/>
    <cellStyle name="Normal 50 8 3 3" xfId="44211" xr:uid="{00000000-0005-0000-0000-00005D830000}"/>
    <cellStyle name="Normal 50 8 4" xfId="25610" xr:uid="{00000000-0005-0000-0000-00005E830000}"/>
    <cellStyle name="Normal 50 8 5" xfId="30480" xr:uid="{00000000-0005-0000-0000-00005F830000}"/>
    <cellStyle name="Normal 50 9" xfId="12818" xr:uid="{00000000-0005-0000-0000-000060830000}"/>
    <cellStyle name="Normal 50 9 2" xfId="25611" xr:uid="{00000000-0005-0000-0000-000061830000}"/>
    <cellStyle name="Normal 50 9 2 2" xfId="41056" xr:uid="{00000000-0005-0000-0000-000062830000}"/>
    <cellStyle name="Normal 50 9 3" xfId="44212" xr:uid="{00000000-0005-0000-0000-000063830000}"/>
    <cellStyle name="Normal 51" xfId="4107" xr:uid="{00000000-0005-0000-0000-000064830000}"/>
    <cellStyle name="Normal 51 2" xfId="1997" xr:uid="{00000000-0005-0000-0000-000065830000}"/>
    <cellStyle name="Normal 51 2 2" xfId="12819" xr:uid="{00000000-0005-0000-0000-000066830000}"/>
    <cellStyle name="Normal 51 2 2 2" xfId="25614" xr:uid="{00000000-0005-0000-0000-000067830000}"/>
    <cellStyle name="Normal 51 2 2 2 2" xfId="41059" xr:uid="{00000000-0005-0000-0000-000068830000}"/>
    <cellStyle name="Normal 51 2 2 3" xfId="44215" xr:uid="{00000000-0005-0000-0000-000069830000}"/>
    <cellStyle name="Normal 51 2 3" xfId="25613" xr:uid="{00000000-0005-0000-0000-00006A830000}"/>
    <cellStyle name="Normal 51 2 3 2" xfId="41058" xr:uid="{00000000-0005-0000-0000-00006B830000}"/>
    <cellStyle name="Normal 51 2 4" xfId="44214" xr:uid="{00000000-0005-0000-0000-00006C830000}"/>
    <cellStyle name="Normal 51 3" xfId="5960" xr:uid="{00000000-0005-0000-0000-00006D830000}"/>
    <cellStyle name="Normal 51 3 2" xfId="9375" xr:uid="{00000000-0005-0000-0000-00006E830000}"/>
    <cellStyle name="Normal 51 3 2 2" xfId="21945" xr:uid="{00000000-0005-0000-0000-00006F830000}"/>
    <cellStyle name="Normal 51 3 2 2 2" xfId="38020" xr:uid="{00000000-0005-0000-0000-000070830000}"/>
    <cellStyle name="Normal 51 3 2 3" xfId="28423" xr:uid="{00000000-0005-0000-0000-000071830000}"/>
    <cellStyle name="Normal 51 3 3" xfId="22101" xr:uid="{00000000-0005-0000-0000-000072830000}"/>
    <cellStyle name="Normal 51 3 3 2" xfId="38175" xr:uid="{00000000-0005-0000-0000-000073830000}"/>
    <cellStyle name="Normal 51 3 4" xfId="31818" xr:uid="{00000000-0005-0000-0000-000074830000}"/>
    <cellStyle name="Normal 51 3 5" xfId="41057" xr:uid="{00000000-0005-0000-0000-000075830000}"/>
    <cellStyle name="Normal 51 4" xfId="7690" xr:uid="{00000000-0005-0000-0000-000076830000}"/>
    <cellStyle name="Normal 51 4 2" xfId="23249" xr:uid="{00000000-0005-0000-0000-000077830000}"/>
    <cellStyle name="Normal 51 4 2 2" xfId="39317" xr:uid="{00000000-0005-0000-0000-000078830000}"/>
    <cellStyle name="Normal 51 4 3" xfId="30109" xr:uid="{00000000-0005-0000-0000-000079830000}"/>
    <cellStyle name="Normal 51 4 4" xfId="44213" xr:uid="{00000000-0005-0000-0000-00007A830000}"/>
    <cellStyle name="Normal 51 5" xfId="19577" xr:uid="{00000000-0005-0000-0000-00007B830000}"/>
    <cellStyle name="Normal 51 5 2" xfId="35691" xr:uid="{00000000-0005-0000-0000-00007C830000}"/>
    <cellStyle name="Normal 51 6" xfId="25612" xr:uid="{00000000-0005-0000-0000-00007D830000}"/>
    <cellStyle name="Normal 51 7" xfId="33495" xr:uid="{00000000-0005-0000-0000-00007E830000}"/>
    <cellStyle name="Normal 52" xfId="4134" xr:uid="{00000000-0005-0000-0000-00007F830000}"/>
    <cellStyle name="Normal 52 2" xfId="1998" xr:uid="{00000000-0005-0000-0000-000080830000}"/>
    <cellStyle name="Normal 52 2 2" xfId="1999" xr:uid="{00000000-0005-0000-0000-000081830000}"/>
    <cellStyle name="Normal 52 2 2 2" xfId="25617" xr:uid="{00000000-0005-0000-0000-000082830000}"/>
    <cellStyle name="Normal 52 2 2 2 2" xfId="41062" xr:uid="{00000000-0005-0000-0000-000083830000}"/>
    <cellStyle name="Normal 52 2 2 3" xfId="44218" xr:uid="{00000000-0005-0000-0000-000084830000}"/>
    <cellStyle name="Normal 52 2 3" xfId="25616" xr:uid="{00000000-0005-0000-0000-000085830000}"/>
    <cellStyle name="Normal 52 2 3 2" xfId="41061" xr:uid="{00000000-0005-0000-0000-000086830000}"/>
    <cellStyle name="Normal 52 2 4" xfId="44217" xr:uid="{00000000-0005-0000-0000-000087830000}"/>
    <cellStyle name="Normal 52 3" xfId="2000" xr:uid="{00000000-0005-0000-0000-000088830000}"/>
    <cellStyle name="Normal 52 3 2" xfId="12821" xr:uid="{00000000-0005-0000-0000-000089830000}"/>
    <cellStyle name="Normal 52 3 2 2" xfId="25619" xr:uid="{00000000-0005-0000-0000-00008A830000}"/>
    <cellStyle name="Normal 52 3 2 2 2" xfId="41063" xr:uid="{00000000-0005-0000-0000-00008B830000}"/>
    <cellStyle name="Normal 52 3 2 3" xfId="44219" xr:uid="{00000000-0005-0000-0000-00008C830000}"/>
    <cellStyle name="Normal 52 3 3" xfId="12820" xr:uid="{00000000-0005-0000-0000-00008D830000}"/>
    <cellStyle name="Normal 52 3 4" xfId="25618" xr:uid="{00000000-0005-0000-0000-00008E830000}"/>
    <cellStyle name="Normal 52 4" xfId="5987" xr:uid="{00000000-0005-0000-0000-00008F830000}"/>
    <cellStyle name="Normal 52 4 2" xfId="9402" xr:uid="{00000000-0005-0000-0000-000090830000}"/>
    <cellStyle name="Normal 52 4 2 2" xfId="21377" xr:uid="{00000000-0005-0000-0000-000091830000}"/>
    <cellStyle name="Normal 52 4 2 2 2" xfId="37457" xr:uid="{00000000-0005-0000-0000-000092830000}"/>
    <cellStyle name="Normal 52 4 2 3" xfId="28396" xr:uid="{00000000-0005-0000-0000-000093830000}"/>
    <cellStyle name="Normal 52 4 3" xfId="20277" xr:uid="{00000000-0005-0000-0000-000094830000}"/>
    <cellStyle name="Normal 52 4 3 2" xfId="36376" xr:uid="{00000000-0005-0000-0000-000095830000}"/>
    <cellStyle name="Normal 52 4 4" xfId="31791" xr:uid="{00000000-0005-0000-0000-000096830000}"/>
    <cellStyle name="Normal 52 4 5" xfId="41060" xr:uid="{00000000-0005-0000-0000-000097830000}"/>
    <cellStyle name="Normal 52 5" xfId="7717" xr:uid="{00000000-0005-0000-0000-000098830000}"/>
    <cellStyle name="Normal 52 5 2" xfId="20878" xr:uid="{00000000-0005-0000-0000-000099830000}"/>
    <cellStyle name="Normal 52 5 2 2" xfId="36977" xr:uid="{00000000-0005-0000-0000-00009A830000}"/>
    <cellStyle name="Normal 52 5 3" xfId="30082" xr:uid="{00000000-0005-0000-0000-00009B830000}"/>
    <cellStyle name="Normal 52 5 4" xfId="44216" xr:uid="{00000000-0005-0000-0000-00009C830000}"/>
    <cellStyle name="Normal 52 6" xfId="22522" xr:uid="{00000000-0005-0000-0000-00009D830000}"/>
    <cellStyle name="Normal 52 6 2" xfId="38592" xr:uid="{00000000-0005-0000-0000-00009E830000}"/>
    <cellStyle name="Normal 52 7" xfId="25615" xr:uid="{00000000-0005-0000-0000-00009F830000}"/>
    <cellStyle name="Normal 52 8" xfId="33468" xr:uid="{00000000-0005-0000-0000-0000A0830000}"/>
    <cellStyle name="Normal 53" xfId="4139" xr:uid="{00000000-0005-0000-0000-0000A1830000}"/>
    <cellStyle name="Normal 53 2" xfId="2001" xr:uid="{00000000-0005-0000-0000-0000A2830000}"/>
    <cellStyle name="Normal 53 2 2" xfId="2002" xr:uid="{00000000-0005-0000-0000-0000A3830000}"/>
    <cellStyle name="Normal 53 2 2 2" xfId="25622" xr:uid="{00000000-0005-0000-0000-0000A4830000}"/>
    <cellStyle name="Normal 53 2 2 2 2" xfId="41066" xr:uid="{00000000-0005-0000-0000-0000A5830000}"/>
    <cellStyle name="Normal 53 2 2 3" xfId="44222" xr:uid="{00000000-0005-0000-0000-0000A6830000}"/>
    <cellStyle name="Normal 53 2 3" xfId="25621" xr:uid="{00000000-0005-0000-0000-0000A7830000}"/>
    <cellStyle name="Normal 53 2 3 2" xfId="41065" xr:uid="{00000000-0005-0000-0000-0000A8830000}"/>
    <cellStyle name="Normal 53 2 4" xfId="44221" xr:uid="{00000000-0005-0000-0000-0000A9830000}"/>
    <cellStyle name="Normal 53 3" xfId="2003" xr:uid="{00000000-0005-0000-0000-0000AA830000}"/>
    <cellStyle name="Normal 53 3 2" xfId="12823" xr:uid="{00000000-0005-0000-0000-0000AB830000}"/>
    <cellStyle name="Normal 53 3 2 2" xfId="25624" xr:uid="{00000000-0005-0000-0000-0000AC830000}"/>
    <cellStyle name="Normal 53 3 2 2 2" xfId="41067" xr:uid="{00000000-0005-0000-0000-0000AD830000}"/>
    <cellStyle name="Normal 53 3 2 3" xfId="44223" xr:uid="{00000000-0005-0000-0000-0000AE830000}"/>
    <cellStyle name="Normal 53 3 3" xfId="12822" xr:uid="{00000000-0005-0000-0000-0000AF830000}"/>
    <cellStyle name="Normal 53 3 4" xfId="25623" xr:uid="{00000000-0005-0000-0000-0000B0830000}"/>
    <cellStyle name="Normal 53 4" xfId="5992" xr:uid="{00000000-0005-0000-0000-0000B1830000}"/>
    <cellStyle name="Normal 53 4 2" xfId="9407" xr:uid="{00000000-0005-0000-0000-0000B2830000}"/>
    <cellStyle name="Normal 53 4 2 2" xfId="21379" xr:uid="{00000000-0005-0000-0000-0000B3830000}"/>
    <cellStyle name="Normal 53 4 2 2 2" xfId="37459" xr:uid="{00000000-0005-0000-0000-0000B4830000}"/>
    <cellStyle name="Normal 53 4 2 3" xfId="28391" xr:uid="{00000000-0005-0000-0000-0000B5830000}"/>
    <cellStyle name="Normal 53 4 3" xfId="20279" xr:uid="{00000000-0005-0000-0000-0000B6830000}"/>
    <cellStyle name="Normal 53 4 3 2" xfId="36378" xr:uid="{00000000-0005-0000-0000-0000B7830000}"/>
    <cellStyle name="Normal 53 4 4" xfId="31786" xr:uid="{00000000-0005-0000-0000-0000B8830000}"/>
    <cellStyle name="Normal 53 4 5" xfId="41064" xr:uid="{00000000-0005-0000-0000-0000B9830000}"/>
    <cellStyle name="Normal 53 5" xfId="7722" xr:uid="{00000000-0005-0000-0000-0000BA830000}"/>
    <cellStyle name="Normal 53 5 2" xfId="20880" xr:uid="{00000000-0005-0000-0000-0000BB830000}"/>
    <cellStyle name="Normal 53 5 2 2" xfId="36979" xr:uid="{00000000-0005-0000-0000-0000BC830000}"/>
    <cellStyle name="Normal 53 5 3" xfId="30077" xr:uid="{00000000-0005-0000-0000-0000BD830000}"/>
    <cellStyle name="Normal 53 5 4" xfId="44220" xr:uid="{00000000-0005-0000-0000-0000BE830000}"/>
    <cellStyle name="Normal 53 6" xfId="23801" xr:uid="{00000000-0005-0000-0000-0000BF830000}"/>
    <cellStyle name="Normal 53 6 2" xfId="39857" xr:uid="{00000000-0005-0000-0000-0000C0830000}"/>
    <cellStyle name="Normal 53 7" xfId="25620" xr:uid="{00000000-0005-0000-0000-0000C1830000}"/>
    <cellStyle name="Normal 53 8" xfId="33463" xr:uid="{00000000-0005-0000-0000-0000C2830000}"/>
    <cellStyle name="Normal 54" xfId="4140" xr:uid="{00000000-0005-0000-0000-0000C3830000}"/>
    <cellStyle name="Normal 54 2" xfId="2004" xr:uid="{00000000-0005-0000-0000-0000C4830000}"/>
    <cellStyle name="Normal 54 2 2" xfId="2005" xr:uid="{00000000-0005-0000-0000-0000C5830000}"/>
    <cellStyle name="Normal 54 2 2 2" xfId="25627" xr:uid="{00000000-0005-0000-0000-0000C6830000}"/>
    <cellStyle name="Normal 54 2 2 2 2" xfId="41070" xr:uid="{00000000-0005-0000-0000-0000C7830000}"/>
    <cellStyle name="Normal 54 2 2 3" xfId="44226" xr:uid="{00000000-0005-0000-0000-0000C8830000}"/>
    <cellStyle name="Normal 54 2 3" xfId="25626" xr:uid="{00000000-0005-0000-0000-0000C9830000}"/>
    <cellStyle name="Normal 54 2 3 2" xfId="41069" xr:uid="{00000000-0005-0000-0000-0000CA830000}"/>
    <cellStyle name="Normal 54 2 4" xfId="44225" xr:uid="{00000000-0005-0000-0000-0000CB830000}"/>
    <cellStyle name="Normal 54 3" xfId="2006" xr:uid="{00000000-0005-0000-0000-0000CC830000}"/>
    <cellStyle name="Normal 54 3 2" xfId="25628" xr:uid="{00000000-0005-0000-0000-0000CD830000}"/>
    <cellStyle name="Normal 54 3 2 2" xfId="41071" xr:uid="{00000000-0005-0000-0000-0000CE830000}"/>
    <cellStyle name="Normal 54 3 3" xfId="44227" xr:uid="{00000000-0005-0000-0000-0000CF830000}"/>
    <cellStyle name="Normal 54 4" xfId="5993" xr:uid="{00000000-0005-0000-0000-0000D0830000}"/>
    <cellStyle name="Normal 54 4 2" xfId="9408" xr:uid="{00000000-0005-0000-0000-0000D1830000}"/>
    <cellStyle name="Normal 54 4 2 2" xfId="21380" xr:uid="{00000000-0005-0000-0000-0000D2830000}"/>
    <cellStyle name="Normal 54 4 2 2 2" xfId="37460" xr:uid="{00000000-0005-0000-0000-0000D3830000}"/>
    <cellStyle name="Normal 54 4 2 3" xfId="28390" xr:uid="{00000000-0005-0000-0000-0000D4830000}"/>
    <cellStyle name="Normal 54 4 3" xfId="20280" xr:uid="{00000000-0005-0000-0000-0000D5830000}"/>
    <cellStyle name="Normal 54 4 3 2" xfId="36379" xr:uid="{00000000-0005-0000-0000-0000D6830000}"/>
    <cellStyle name="Normal 54 4 4" xfId="31785" xr:uid="{00000000-0005-0000-0000-0000D7830000}"/>
    <cellStyle name="Normal 54 4 5" xfId="41068" xr:uid="{00000000-0005-0000-0000-0000D8830000}"/>
    <cellStyle name="Normal 54 5" xfId="7723" xr:uid="{00000000-0005-0000-0000-0000D9830000}"/>
    <cellStyle name="Normal 54 5 2" xfId="24258" xr:uid="{00000000-0005-0000-0000-0000DA830000}"/>
    <cellStyle name="Normal 54 5 2 2" xfId="40311" xr:uid="{00000000-0005-0000-0000-0000DB830000}"/>
    <cellStyle name="Normal 54 5 3" xfId="30076" xr:uid="{00000000-0005-0000-0000-0000DC830000}"/>
    <cellStyle name="Normal 54 5 4" xfId="44224" xr:uid="{00000000-0005-0000-0000-0000DD830000}"/>
    <cellStyle name="Normal 54 6" xfId="21747" xr:uid="{00000000-0005-0000-0000-0000DE830000}"/>
    <cellStyle name="Normal 54 6 2" xfId="37825" xr:uid="{00000000-0005-0000-0000-0000DF830000}"/>
    <cellStyle name="Normal 54 7" xfId="25625" xr:uid="{00000000-0005-0000-0000-0000E0830000}"/>
    <cellStyle name="Normal 54 8" xfId="33462" xr:uid="{00000000-0005-0000-0000-0000E1830000}"/>
    <cellStyle name="Normal 55" xfId="4141" xr:uid="{00000000-0005-0000-0000-0000E2830000}"/>
    <cellStyle name="Normal 55 2" xfId="2007" xr:uid="{00000000-0005-0000-0000-0000E3830000}"/>
    <cellStyle name="Normal 55 2 2" xfId="2008" xr:uid="{00000000-0005-0000-0000-0000E4830000}"/>
    <cellStyle name="Normal 55 2 2 2" xfId="25631" xr:uid="{00000000-0005-0000-0000-0000E5830000}"/>
    <cellStyle name="Normal 55 2 2 2 2" xfId="41074" xr:uid="{00000000-0005-0000-0000-0000E6830000}"/>
    <cellStyle name="Normal 55 2 2 3" xfId="44230" xr:uid="{00000000-0005-0000-0000-0000E7830000}"/>
    <cellStyle name="Normal 55 2 3" xfId="25630" xr:uid="{00000000-0005-0000-0000-0000E8830000}"/>
    <cellStyle name="Normal 55 2 3 2" xfId="41073" xr:uid="{00000000-0005-0000-0000-0000E9830000}"/>
    <cellStyle name="Normal 55 2 4" xfId="44229" xr:uid="{00000000-0005-0000-0000-0000EA830000}"/>
    <cellStyle name="Normal 55 3" xfId="2009" xr:uid="{00000000-0005-0000-0000-0000EB830000}"/>
    <cellStyle name="Normal 55 3 2" xfId="25632" xr:uid="{00000000-0005-0000-0000-0000EC830000}"/>
    <cellStyle name="Normal 55 3 2 2" xfId="41075" xr:uid="{00000000-0005-0000-0000-0000ED830000}"/>
    <cellStyle name="Normal 55 3 3" xfId="44231" xr:uid="{00000000-0005-0000-0000-0000EE830000}"/>
    <cellStyle name="Normal 55 4" xfId="5994" xr:uid="{00000000-0005-0000-0000-0000EF830000}"/>
    <cellStyle name="Normal 55 4 2" xfId="9409" xr:uid="{00000000-0005-0000-0000-0000F0830000}"/>
    <cellStyle name="Normal 55 4 2 2" xfId="21381" xr:uid="{00000000-0005-0000-0000-0000F1830000}"/>
    <cellStyle name="Normal 55 4 2 2 2" xfId="37461" xr:uid="{00000000-0005-0000-0000-0000F2830000}"/>
    <cellStyle name="Normal 55 4 2 3" xfId="28389" xr:uid="{00000000-0005-0000-0000-0000F3830000}"/>
    <cellStyle name="Normal 55 4 3" xfId="20281" xr:uid="{00000000-0005-0000-0000-0000F4830000}"/>
    <cellStyle name="Normal 55 4 3 2" xfId="36380" xr:uid="{00000000-0005-0000-0000-0000F5830000}"/>
    <cellStyle name="Normal 55 4 4" xfId="31784" xr:uid="{00000000-0005-0000-0000-0000F6830000}"/>
    <cellStyle name="Normal 55 4 5" xfId="41072" xr:uid="{00000000-0005-0000-0000-0000F7830000}"/>
    <cellStyle name="Normal 55 5" xfId="7724" xr:uid="{00000000-0005-0000-0000-0000F8830000}"/>
    <cellStyle name="Normal 55 5 2" xfId="21746" xr:uid="{00000000-0005-0000-0000-0000F9830000}"/>
    <cellStyle name="Normal 55 5 2 2" xfId="37824" xr:uid="{00000000-0005-0000-0000-0000FA830000}"/>
    <cellStyle name="Normal 55 5 3" xfId="30075" xr:uid="{00000000-0005-0000-0000-0000FB830000}"/>
    <cellStyle name="Normal 55 5 4" xfId="44228" xr:uid="{00000000-0005-0000-0000-0000FC830000}"/>
    <cellStyle name="Normal 55 6" xfId="22803" xr:uid="{00000000-0005-0000-0000-0000FD830000}"/>
    <cellStyle name="Normal 55 6 2" xfId="38872" xr:uid="{00000000-0005-0000-0000-0000FE830000}"/>
    <cellStyle name="Normal 55 7" xfId="25629" xr:uid="{00000000-0005-0000-0000-0000FF830000}"/>
    <cellStyle name="Normal 55 8" xfId="33461" xr:uid="{00000000-0005-0000-0000-000000840000}"/>
    <cellStyle name="Normal 56" xfId="4142" xr:uid="{00000000-0005-0000-0000-000001840000}"/>
    <cellStyle name="Normal 56 2" xfId="2010" xr:uid="{00000000-0005-0000-0000-000002840000}"/>
    <cellStyle name="Normal 56 2 2" xfId="2011" xr:uid="{00000000-0005-0000-0000-000003840000}"/>
    <cellStyle name="Normal 56 2 2 2" xfId="25635" xr:uid="{00000000-0005-0000-0000-000004840000}"/>
    <cellStyle name="Normal 56 2 2 2 2" xfId="41078" xr:uid="{00000000-0005-0000-0000-000005840000}"/>
    <cellStyle name="Normal 56 2 2 3" xfId="44234" xr:uid="{00000000-0005-0000-0000-000006840000}"/>
    <cellStyle name="Normal 56 2 3" xfId="25634" xr:uid="{00000000-0005-0000-0000-000007840000}"/>
    <cellStyle name="Normal 56 2 3 2" xfId="41077" xr:uid="{00000000-0005-0000-0000-000008840000}"/>
    <cellStyle name="Normal 56 2 4" xfId="44233" xr:uid="{00000000-0005-0000-0000-000009840000}"/>
    <cellStyle name="Normal 56 3" xfId="2012" xr:uid="{00000000-0005-0000-0000-00000A840000}"/>
    <cellStyle name="Normal 56 3 2" xfId="25636" xr:uid="{00000000-0005-0000-0000-00000B840000}"/>
    <cellStyle name="Normal 56 3 2 2" xfId="41079" xr:uid="{00000000-0005-0000-0000-00000C840000}"/>
    <cellStyle name="Normal 56 3 3" xfId="44235" xr:uid="{00000000-0005-0000-0000-00000D840000}"/>
    <cellStyle name="Normal 56 4" xfId="5995" xr:uid="{00000000-0005-0000-0000-00000E840000}"/>
    <cellStyle name="Normal 56 4 2" xfId="9410" xr:uid="{00000000-0005-0000-0000-00000F840000}"/>
    <cellStyle name="Normal 56 4 2 2" xfId="24511" xr:uid="{00000000-0005-0000-0000-000010840000}"/>
    <cellStyle name="Normal 56 4 2 2 2" xfId="40555" xr:uid="{00000000-0005-0000-0000-000011840000}"/>
    <cellStyle name="Normal 56 4 2 3" xfId="28388" xr:uid="{00000000-0005-0000-0000-000012840000}"/>
    <cellStyle name="Normal 56 4 3" xfId="23957" xr:uid="{00000000-0005-0000-0000-000013840000}"/>
    <cellStyle name="Normal 56 4 3 2" xfId="40011" xr:uid="{00000000-0005-0000-0000-000014840000}"/>
    <cellStyle name="Normal 56 4 4" xfId="31783" xr:uid="{00000000-0005-0000-0000-000015840000}"/>
    <cellStyle name="Normal 56 4 5" xfId="41076" xr:uid="{00000000-0005-0000-0000-000016840000}"/>
    <cellStyle name="Normal 56 5" xfId="7725" xr:uid="{00000000-0005-0000-0000-000017840000}"/>
    <cellStyle name="Normal 56 5 2" xfId="23256" xr:uid="{00000000-0005-0000-0000-000018840000}"/>
    <cellStyle name="Normal 56 5 2 2" xfId="39324" xr:uid="{00000000-0005-0000-0000-000019840000}"/>
    <cellStyle name="Normal 56 5 3" xfId="30074" xr:uid="{00000000-0005-0000-0000-00001A840000}"/>
    <cellStyle name="Normal 56 5 4" xfId="44232" xr:uid="{00000000-0005-0000-0000-00001B840000}"/>
    <cellStyle name="Normal 56 6" xfId="11003" xr:uid="{00000000-0005-0000-0000-00001C840000}"/>
    <cellStyle name="Normal 56 6 2" xfId="34732" xr:uid="{00000000-0005-0000-0000-00001D840000}"/>
    <cellStyle name="Normal 56 7" xfId="25633" xr:uid="{00000000-0005-0000-0000-00001E840000}"/>
    <cellStyle name="Normal 56 8" xfId="33460" xr:uid="{00000000-0005-0000-0000-00001F840000}"/>
    <cellStyle name="Normal 57" xfId="4143" xr:uid="{00000000-0005-0000-0000-000020840000}"/>
    <cellStyle name="Normal 57 2" xfId="2013" xr:uid="{00000000-0005-0000-0000-000021840000}"/>
    <cellStyle name="Normal 57 2 2" xfId="2014" xr:uid="{00000000-0005-0000-0000-000022840000}"/>
    <cellStyle name="Normal 57 2 2 2" xfId="25639" xr:uid="{00000000-0005-0000-0000-000023840000}"/>
    <cellStyle name="Normal 57 2 2 2 2" xfId="41082" xr:uid="{00000000-0005-0000-0000-000024840000}"/>
    <cellStyle name="Normal 57 2 2 3" xfId="44238" xr:uid="{00000000-0005-0000-0000-000025840000}"/>
    <cellStyle name="Normal 57 2 3" xfId="25638" xr:uid="{00000000-0005-0000-0000-000026840000}"/>
    <cellStyle name="Normal 57 2 3 2" xfId="41081" xr:uid="{00000000-0005-0000-0000-000027840000}"/>
    <cellStyle name="Normal 57 2 4" xfId="44237" xr:uid="{00000000-0005-0000-0000-000028840000}"/>
    <cellStyle name="Normal 57 3" xfId="2015" xr:uid="{00000000-0005-0000-0000-000029840000}"/>
    <cellStyle name="Normal 57 3 2" xfId="25640" xr:uid="{00000000-0005-0000-0000-00002A840000}"/>
    <cellStyle name="Normal 57 3 2 2" xfId="41083" xr:uid="{00000000-0005-0000-0000-00002B840000}"/>
    <cellStyle name="Normal 57 3 3" xfId="44239" xr:uid="{00000000-0005-0000-0000-00002C840000}"/>
    <cellStyle name="Normal 57 4" xfId="5996" xr:uid="{00000000-0005-0000-0000-00002D840000}"/>
    <cellStyle name="Normal 57 4 2" xfId="9411" xr:uid="{00000000-0005-0000-0000-00002E840000}"/>
    <cellStyle name="Normal 57 4 2 2" xfId="22611" xr:uid="{00000000-0005-0000-0000-00002F840000}"/>
    <cellStyle name="Normal 57 4 2 2 2" xfId="38680" xr:uid="{00000000-0005-0000-0000-000030840000}"/>
    <cellStyle name="Normal 57 4 2 3" xfId="28387" xr:uid="{00000000-0005-0000-0000-000031840000}"/>
    <cellStyle name="Normal 57 4 3" xfId="22304" xr:uid="{00000000-0005-0000-0000-000032840000}"/>
    <cellStyle name="Normal 57 4 3 2" xfId="38376" xr:uid="{00000000-0005-0000-0000-000033840000}"/>
    <cellStyle name="Normal 57 4 4" xfId="31782" xr:uid="{00000000-0005-0000-0000-000034840000}"/>
    <cellStyle name="Normal 57 4 5" xfId="41080" xr:uid="{00000000-0005-0000-0000-000035840000}"/>
    <cellStyle name="Normal 57 5" xfId="7726" xr:uid="{00000000-0005-0000-0000-000036840000}"/>
    <cellStyle name="Normal 57 5 2" xfId="20881" xr:uid="{00000000-0005-0000-0000-000037840000}"/>
    <cellStyle name="Normal 57 5 2 2" xfId="36980" xr:uid="{00000000-0005-0000-0000-000038840000}"/>
    <cellStyle name="Normal 57 5 3" xfId="30073" xr:uid="{00000000-0005-0000-0000-000039840000}"/>
    <cellStyle name="Normal 57 5 4" xfId="44236" xr:uid="{00000000-0005-0000-0000-00003A840000}"/>
    <cellStyle name="Normal 57 6" xfId="19606" xr:uid="{00000000-0005-0000-0000-00003B840000}"/>
    <cellStyle name="Normal 57 6 2" xfId="35720" xr:uid="{00000000-0005-0000-0000-00003C840000}"/>
    <cellStyle name="Normal 57 7" xfId="25637" xr:uid="{00000000-0005-0000-0000-00003D840000}"/>
    <cellStyle name="Normal 57 8" xfId="34307" xr:uid="{00000000-0005-0000-0000-00003E840000}"/>
    <cellStyle name="Normal 58" xfId="4177" xr:uid="{00000000-0005-0000-0000-00003F840000}"/>
    <cellStyle name="Normal 58 2" xfId="2016" xr:uid="{00000000-0005-0000-0000-000040840000}"/>
    <cellStyle name="Normal 58 2 2" xfId="2017" xr:uid="{00000000-0005-0000-0000-000041840000}"/>
    <cellStyle name="Normal 58 2 2 2" xfId="25643" xr:uid="{00000000-0005-0000-0000-000042840000}"/>
    <cellStyle name="Normal 58 2 2 2 2" xfId="41086" xr:uid="{00000000-0005-0000-0000-000043840000}"/>
    <cellStyle name="Normal 58 2 2 3" xfId="44242" xr:uid="{00000000-0005-0000-0000-000044840000}"/>
    <cellStyle name="Normal 58 2 3" xfId="25642" xr:uid="{00000000-0005-0000-0000-000045840000}"/>
    <cellStyle name="Normal 58 2 3 2" xfId="41085" xr:uid="{00000000-0005-0000-0000-000046840000}"/>
    <cellStyle name="Normal 58 2 4" xfId="44241" xr:uid="{00000000-0005-0000-0000-000047840000}"/>
    <cellStyle name="Normal 58 3" xfId="2018" xr:uid="{00000000-0005-0000-0000-000048840000}"/>
    <cellStyle name="Normal 58 3 2" xfId="25644" xr:uid="{00000000-0005-0000-0000-000049840000}"/>
    <cellStyle name="Normal 58 3 2 2" xfId="41087" xr:uid="{00000000-0005-0000-0000-00004A840000}"/>
    <cellStyle name="Normal 58 3 3" xfId="44243" xr:uid="{00000000-0005-0000-0000-00004B840000}"/>
    <cellStyle name="Normal 58 4" xfId="25641" xr:uid="{00000000-0005-0000-0000-00004C840000}"/>
    <cellStyle name="Normal 58 4 2" xfId="41084" xr:uid="{00000000-0005-0000-0000-00004D840000}"/>
    <cellStyle name="Normal 58 5" xfId="44240" xr:uid="{00000000-0005-0000-0000-00004E840000}"/>
    <cellStyle name="Normal 59" xfId="4178" xr:uid="{00000000-0005-0000-0000-00004F840000}"/>
    <cellStyle name="Normal 59 2" xfId="2019" xr:uid="{00000000-0005-0000-0000-000050840000}"/>
    <cellStyle name="Normal 59 2 2" xfId="2020" xr:uid="{00000000-0005-0000-0000-000051840000}"/>
    <cellStyle name="Normal 59 2 2 2" xfId="25647" xr:uid="{00000000-0005-0000-0000-000052840000}"/>
    <cellStyle name="Normal 59 2 2 2 2" xfId="41090" xr:uid="{00000000-0005-0000-0000-000053840000}"/>
    <cellStyle name="Normal 59 2 2 3" xfId="44246" xr:uid="{00000000-0005-0000-0000-000054840000}"/>
    <cellStyle name="Normal 59 2 3" xfId="25646" xr:uid="{00000000-0005-0000-0000-000055840000}"/>
    <cellStyle name="Normal 59 2 3 2" xfId="41089" xr:uid="{00000000-0005-0000-0000-000056840000}"/>
    <cellStyle name="Normal 59 2 4" xfId="44245" xr:uid="{00000000-0005-0000-0000-000057840000}"/>
    <cellStyle name="Normal 59 3" xfId="2021" xr:uid="{00000000-0005-0000-0000-000058840000}"/>
    <cellStyle name="Normal 59 3 2" xfId="25648" xr:uid="{00000000-0005-0000-0000-000059840000}"/>
    <cellStyle name="Normal 59 3 2 2" xfId="41091" xr:uid="{00000000-0005-0000-0000-00005A840000}"/>
    <cellStyle name="Normal 59 3 3" xfId="44247" xr:uid="{00000000-0005-0000-0000-00005B840000}"/>
    <cellStyle name="Normal 59 4" xfId="25645" xr:uid="{00000000-0005-0000-0000-00005C840000}"/>
    <cellStyle name="Normal 59 4 2" xfId="41088" xr:uid="{00000000-0005-0000-0000-00005D840000}"/>
    <cellStyle name="Normal 59 5" xfId="44244" xr:uid="{00000000-0005-0000-0000-00005E840000}"/>
    <cellStyle name="Normal 6" xfId="2022" xr:uid="{00000000-0005-0000-0000-00005F840000}"/>
    <cellStyle name="Normal 6 2" xfId="2023" xr:uid="{00000000-0005-0000-0000-000060840000}"/>
    <cellStyle name="Normal 6 2 2" xfId="12824" xr:uid="{00000000-0005-0000-0000-000061840000}"/>
    <cellStyle name="Normal 6 2 2 2" xfId="25651" xr:uid="{00000000-0005-0000-0000-000062840000}"/>
    <cellStyle name="Normal 6 2 2 2 2" xfId="41094" xr:uid="{00000000-0005-0000-0000-000063840000}"/>
    <cellStyle name="Normal 6 2 2 3" xfId="44250" xr:uid="{00000000-0005-0000-0000-000064840000}"/>
    <cellStyle name="Normal 6 2 3" xfId="25650" xr:uid="{00000000-0005-0000-0000-000065840000}"/>
    <cellStyle name="Normal 6 2 3 2" xfId="41093" xr:uid="{00000000-0005-0000-0000-000066840000}"/>
    <cellStyle name="Normal 6 2 4" xfId="44249" xr:uid="{00000000-0005-0000-0000-000067840000}"/>
    <cellStyle name="Normal 6 2_Tabell 9 I" xfId="27483" xr:uid="{00000000-0005-0000-0000-000068840000}"/>
    <cellStyle name="Normal 6 3" xfId="12825" xr:uid="{00000000-0005-0000-0000-000069840000}"/>
    <cellStyle name="Normal 6 3 2" xfId="25652" xr:uid="{00000000-0005-0000-0000-00006A840000}"/>
    <cellStyle name="Normal 6 3 2 2" xfId="41095" xr:uid="{00000000-0005-0000-0000-00006B840000}"/>
    <cellStyle name="Normal 6 3 3" xfId="44251" xr:uid="{00000000-0005-0000-0000-00006C840000}"/>
    <cellStyle name="Normal 6 4" xfId="25649" xr:uid="{00000000-0005-0000-0000-00006D840000}"/>
    <cellStyle name="Normal 6 4 2" xfId="41092" xr:uid="{00000000-0005-0000-0000-00006E840000}"/>
    <cellStyle name="Normal 6 5" xfId="44248" xr:uid="{00000000-0005-0000-0000-00006F840000}"/>
    <cellStyle name="Normal 6_Tabell 9 I" xfId="27482" xr:uid="{00000000-0005-0000-0000-000070840000}"/>
    <cellStyle name="Normal 60" xfId="4179" xr:uid="{00000000-0005-0000-0000-000071840000}"/>
    <cellStyle name="Normal 60 2" xfId="2024" xr:uid="{00000000-0005-0000-0000-000072840000}"/>
    <cellStyle name="Normal 60 2 2" xfId="2025" xr:uid="{00000000-0005-0000-0000-000073840000}"/>
    <cellStyle name="Normal 60 2 2 2" xfId="25655" xr:uid="{00000000-0005-0000-0000-000074840000}"/>
    <cellStyle name="Normal 60 2 2 2 2" xfId="41098" xr:uid="{00000000-0005-0000-0000-000075840000}"/>
    <cellStyle name="Normal 60 2 2 3" xfId="44254" xr:uid="{00000000-0005-0000-0000-000076840000}"/>
    <cellStyle name="Normal 60 2 3" xfId="25654" xr:uid="{00000000-0005-0000-0000-000077840000}"/>
    <cellStyle name="Normal 60 2 3 2" xfId="41097" xr:uid="{00000000-0005-0000-0000-000078840000}"/>
    <cellStyle name="Normal 60 2 4" xfId="44253" xr:uid="{00000000-0005-0000-0000-000079840000}"/>
    <cellStyle name="Normal 60 3" xfId="2026" xr:uid="{00000000-0005-0000-0000-00007A840000}"/>
    <cellStyle name="Normal 60 3 2" xfId="25656" xr:uid="{00000000-0005-0000-0000-00007B840000}"/>
    <cellStyle name="Normal 60 3 2 2" xfId="41099" xr:uid="{00000000-0005-0000-0000-00007C840000}"/>
    <cellStyle name="Normal 60 3 3" xfId="44255" xr:uid="{00000000-0005-0000-0000-00007D840000}"/>
    <cellStyle name="Normal 60 4" xfId="25653" xr:uid="{00000000-0005-0000-0000-00007E840000}"/>
    <cellStyle name="Normal 60 4 2" xfId="41096" xr:uid="{00000000-0005-0000-0000-00007F840000}"/>
    <cellStyle name="Normal 60 5" xfId="44252" xr:uid="{00000000-0005-0000-0000-000080840000}"/>
    <cellStyle name="Normal 61" xfId="4272" xr:uid="{00000000-0005-0000-0000-000081840000}"/>
    <cellStyle name="Normal 61 2" xfId="2027" xr:uid="{00000000-0005-0000-0000-000082840000}"/>
    <cellStyle name="Normal 61 2 2" xfId="12826" xr:uid="{00000000-0005-0000-0000-000083840000}"/>
    <cellStyle name="Normal 61 2 2 2" xfId="25659" xr:uid="{00000000-0005-0000-0000-000084840000}"/>
    <cellStyle name="Normal 61 2 2 2 2" xfId="41102" xr:uid="{00000000-0005-0000-0000-000085840000}"/>
    <cellStyle name="Normal 61 2 2 3" xfId="44258" xr:uid="{00000000-0005-0000-0000-000086840000}"/>
    <cellStyle name="Normal 61 2 3" xfId="25658" xr:uid="{00000000-0005-0000-0000-000087840000}"/>
    <cellStyle name="Normal 61 2 3 2" xfId="41101" xr:uid="{00000000-0005-0000-0000-000088840000}"/>
    <cellStyle name="Normal 61 2 4" xfId="44257" xr:uid="{00000000-0005-0000-0000-000089840000}"/>
    <cellStyle name="Normal 61 3" xfId="25657" xr:uid="{00000000-0005-0000-0000-00008A840000}"/>
    <cellStyle name="Normal 61 3 2" xfId="41100" xr:uid="{00000000-0005-0000-0000-00008B840000}"/>
    <cellStyle name="Normal 61 4" xfId="44256" xr:uid="{00000000-0005-0000-0000-00008C840000}"/>
    <cellStyle name="Normal 62" xfId="4180" xr:uid="{00000000-0005-0000-0000-00008D840000}"/>
    <cellStyle name="Normal 62 2" xfId="2028" xr:uid="{00000000-0005-0000-0000-00008E840000}"/>
    <cellStyle name="Normal 62 2 2" xfId="2029" xr:uid="{00000000-0005-0000-0000-00008F840000}"/>
    <cellStyle name="Normal 62 2 2 2" xfId="25662" xr:uid="{00000000-0005-0000-0000-000090840000}"/>
    <cellStyle name="Normal 62 2 2 2 2" xfId="41105" xr:uid="{00000000-0005-0000-0000-000091840000}"/>
    <cellStyle name="Normal 62 2 2 3" xfId="44261" xr:uid="{00000000-0005-0000-0000-000092840000}"/>
    <cellStyle name="Normal 62 2 3" xfId="25661" xr:uid="{00000000-0005-0000-0000-000093840000}"/>
    <cellStyle name="Normal 62 2 3 2" xfId="41104" xr:uid="{00000000-0005-0000-0000-000094840000}"/>
    <cellStyle name="Normal 62 2 4" xfId="44260" xr:uid="{00000000-0005-0000-0000-000095840000}"/>
    <cellStyle name="Normal 62 3" xfId="2030" xr:uid="{00000000-0005-0000-0000-000096840000}"/>
    <cellStyle name="Normal 62 3 2" xfId="25663" xr:uid="{00000000-0005-0000-0000-000097840000}"/>
    <cellStyle name="Normal 62 3 2 2" xfId="41106" xr:uid="{00000000-0005-0000-0000-000098840000}"/>
    <cellStyle name="Normal 62 3 3" xfId="44262" xr:uid="{00000000-0005-0000-0000-000099840000}"/>
    <cellStyle name="Normal 62 4" xfId="25660" xr:uid="{00000000-0005-0000-0000-00009A840000}"/>
    <cellStyle name="Normal 62 4 2" xfId="41103" xr:uid="{00000000-0005-0000-0000-00009B840000}"/>
    <cellStyle name="Normal 62 5" xfId="44259" xr:uid="{00000000-0005-0000-0000-00009C840000}"/>
    <cellStyle name="Normal 63" xfId="4181" xr:uid="{00000000-0005-0000-0000-00009D840000}"/>
    <cellStyle name="Normal 63 2" xfId="2031" xr:uid="{00000000-0005-0000-0000-00009E840000}"/>
    <cellStyle name="Normal 63 2 2" xfId="2032" xr:uid="{00000000-0005-0000-0000-00009F840000}"/>
    <cellStyle name="Normal 63 2 2 2" xfId="25666" xr:uid="{00000000-0005-0000-0000-0000A0840000}"/>
    <cellStyle name="Normal 63 2 2 2 2" xfId="41109" xr:uid="{00000000-0005-0000-0000-0000A1840000}"/>
    <cellStyle name="Normal 63 2 2 3" xfId="44265" xr:uid="{00000000-0005-0000-0000-0000A2840000}"/>
    <cellStyle name="Normal 63 2 3" xfId="25665" xr:uid="{00000000-0005-0000-0000-0000A3840000}"/>
    <cellStyle name="Normal 63 2 3 2" xfId="41108" xr:uid="{00000000-0005-0000-0000-0000A4840000}"/>
    <cellStyle name="Normal 63 2 4" xfId="44264" xr:uid="{00000000-0005-0000-0000-0000A5840000}"/>
    <cellStyle name="Normal 63 3" xfId="2033" xr:uid="{00000000-0005-0000-0000-0000A6840000}"/>
    <cellStyle name="Normal 63 3 2" xfId="25667" xr:uid="{00000000-0005-0000-0000-0000A7840000}"/>
    <cellStyle name="Normal 63 3 2 2" xfId="41110" xr:uid="{00000000-0005-0000-0000-0000A8840000}"/>
    <cellStyle name="Normal 63 3 3" xfId="44266" xr:uid="{00000000-0005-0000-0000-0000A9840000}"/>
    <cellStyle name="Normal 63 4" xfId="25664" xr:uid="{00000000-0005-0000-0000-0000AA840000}"/>
    <cellStyle name="Normal 63 4 2" xfId="41107" xr:uid="{00000000-0005-0000-0000-0000AB840000}"/>
    <cellStyle name="Normal 63 5" xfId="44263" xr:uid="{00000000-0005-0000-0000-0000AC840000}"/>
    <cellStyle name="Normal 64" xfId="4182" xr:uid="{00000000-0005-0000-0000-0000AD840000}"/>
    <cellStyle name="Normal 64 2" xfId="2034" xr:uid="{00000000-0005-0000-0000-0000AE840000}"/>
    <cellStyle name="Normal 64 2 2" xfId="2035" xr:uid="{00000000-0005-0000-0000-0000AF840000}"/>
    <cellStyle name="Normal 64 2 2 2" xfId="25670" xr:uid="{00000000-0005-0000-0000-0000B0840000}"/>
    <cellStyle name="Normal 64 2 2 2 2" xfId="41113" xr:uid="{00000000-0005-0000-0000-0000B1840000}"/>
    <cellStyle name="Normal 64 2 2 3" xfId="44269" xr:uid="{00000000-0005-0000-0000-0000B2840000}"/>
    <cellStyle name="Normal 64 2 3" xfId="25669" xr:uid="{00000000-0005-0000-0000-0000B3840000}"/>
    <cellStyle name="Normal 64 2 3 2" xfId="41112" xr:uid="{00000000-0005-0000-0000-0000B4840000}"/>
    <cellStyle name="Normal 64 2 4" xfId="44268" xr:uid="{00000000-0005-0000-0000-0000B5840000}"/>
    <cellStyle name="Normal 64 3" xfId="2036" xr:uid="{00000000-0005-0000-0000-0000B6840000}"/>
    <cellStyle name="Normal 64 3 2" xfId="25671" xr:uid="{00000000-0005-0000-0000-0000B7840000}"/>
    <cellStyle name="Normal 64 3 2 2" xfId="41114" xr:uid="{00000000-0005-0000-0000-0000B8840000}"/>
    <cellStyle name="Normal 64 3 3" xfId="44270" xr:uid="{00000000-0005-0000-0000-0000B9840000}"/>
    <cellStyle name="Normal 64 4" xfId="25668" xr:uid="{00000000-0005-0000-0000-0000BA840000}"/>
    <cellStyle name="Normal 64 4 2" xfId="41111" xr:uid="{00000000-0005-0000-0000-0000BB840000}"/>
    <cellStyle name="Normal 64 5" xfId="44267" xr:uid="{00000000-0005-0000-0000-0000BC840000}"/>
    <cellStyle name="Normal 65" xfId="2037" xr:uid="{00000000-0005-0000-0000-0000BD840000}"/>
    <cellStyle name="Normal 65 2" xfId="2038" xr:uid="{00000000-0005-0000-0000-0000BE840000}"/>
    <cellStyle name="Normal 65 2 2" xfId="2039" xr:uid="{00000000-0005-0000-0000-0000BF840000}"/>
    <cellStyle name="Normal 65 2 2 2" xfId="25674" xr:uid="{00000000-0005-0000-0000-0000C0840000}"/>
    <cellStyle name="Normal 65 2 2 2 2" xfId="41117" xr:uid="{00000000-0005-0000-0000-0000C1840000}"/>
    <cellStyle name="Normal 65 2 2 3" xfId="44273" xr:uid="{00000000-0005-0000-0000-0000C2840000}"/>
    <cellStyle name="Normal 65 2 3" xfId="25673" xr:uid="{00000000-0005-0000-0000-0000C3840000}"/>
    <cellStyle name="Normal 65 2 3 2" xfId="41116" xr:uid="{00000000-0005-0000-0000-0000C4840000}"/>
    <cellStyle name="Normal 65 2 4" xfId="44272" xr:uid="{00000000-0005-0000-0000-0000C5840000}"/>
    <cellStyle name="Normal 65 3" xfId="2040" xr:uid="{00000000-0005-0000-0000-0000C6840000}"/>
    <cellStyle name="Normal 65 3 2" xfId="2041" xr:uid="{00000000-0005-0000-0000-0000C7840000}"/>
    <cellStyle name="Normal 65 3 2 2" xfId="25676" xr:uid="{00000000-0005-0000-0000-0000C8840000}"/>
    <cellStyle name="Normal 65 3 2 2 2" xfId="41119" xr:uid="{00000000-0005-0000-0000-0000C9840000}"/>
    <cellStyle name="Normal 65 3 2 3" xfId="44275" xr:uid="{00000000-0005-0000-0000-0000CA840000}"/>
    <cellStyle name="Normal 65 3 3" xfId="25675" xr:uid="{00000000-0005-0000-0000-0000CB840000}"/>
    <cellStyle name="Normal 65 3 3 2" xfId="41118" xr:uid="{00000000-0005-0000-0000-0000CC840000}"/>
    <cellStyle name="Normal 65 3 4" xfId="44274" xr:uid="{00000000-0005-0000-0000-0000CD840000}"/>
    <cellStyle name="Normal 65 4" xfId="12827" xr:uid="{00000000-0005-0000-0000-0000CE840000}"/>
    <cellStyle name="Normal 65 4 2" xfId="25677" xr:uid="{00000000-0005-0000-0000-0000CF840000}"/>
    <cellStyle name="Normal 65 4 2 2" xfId="41120" xr:uid="{00000000-0005-0000-0000-0000D0840000}"/>
    <cellStyle name="Normal 65 4 3" xfId="44276" xr:uid="{00000000-0005-0000-0000-0000D1840000}"/>
    <cellStyle name="Normal 65 5" xfId="25672" xr:uid="{00000000-0005-0000-0000-0000D2840000}"/>
    <cellStyle name="Normal 65 5 2" xfId="41115" xr:uid="{00000000-0005-0000-0000-0000D3840000}"/>
    <cellStyle name="Normal 65 6" xfId="44271" xr:uid="{00000000-0005-0000-0000-0000D4840000}"/>
    <cellStyle name="Normal 66" xfId="2042" xr:uid="{00000000-0005-0000-0000-0000D5840000}"/>
    <cellStyle name="Normal 66 2" xfId="2043" xr:uid="{00000000-0005-0000-0000-0000D6840000}"/>
    <cellStyle name="Normal 66 2 2" xfId="2044" xr:uid="{00000000-0005-0000-0000-0000D7840000}"/>
    <cellStyle name="Normal 66 2 2 2" xfId="25680" xr:uid="{00000000-0005-0000-0000-0000D8840000}"/>
    <cellStyle name="Normal 66 2 2 2 2" xfId="41123" xr:uid="{00000000-0005-0000-0000-0000D9840000}"/>
    <cellStyle name="Normal 66 2 2 3" xfId="44279" xr:uid="{00000000-0005-0000-0000-0000DA840000}"/>
    <cellStyle name="Normal 66 2 3" xfId="25679" xr:uid="{00000000-0005-0000-0000-0000DB840000}"/>
    <cellStyle name="Normal 66 2 3 2" xfId="41122" xr:uid="{00000000-0005-0000-0000-0000DC840000}"/>
    <cellStyle name="Normal 66 2 4" xfId="44278" xr:uid="{00000000-0005-0000-0000-0000DD840000}"/>
    <cellStyle name="Normal 66 3" xfId="2045" xr:uid="{00000000-0005-0000-0000-0000DE840000}"/>
    <cellStyle name="Normal 66 3 2" xfId="2046" xr:uid="{00000000-0005-0000-0000-0000DF840000}"/>
    <cellStyle name="Normal 66 3 2 2" xfId="25682" xr:uid="{00000000-0005-0000-0000-0000E0840000}"/>
    <cellStyle name="Normal 66 3 2 2 2" xfId="41124" xr:uid="{00000000-0005-0000-0000-0000E1840000}"/>
    <cellStyle name="Normal 66 3 2 3" xfId="44280" xr:uid="{00000000-0005-0000-0000-0000E2840000}"/>
    <cellStyle name="Normal 66 3 3" xfId="12828" xr:uid="{00000000-0005-0000-0000-0000E3840000}"/>
    <cellStyle name="Normal 66 3 4" xfId="25681" xr:uid="{00000000-0005-0000-0000-0000E4840000}"/>
    <cellStyle name="Normal 66 4" xfId="25678" xr:uid="{00000000-0005-0000-0000-0000E5840000}"/>
    <cellStyle name="Normal 66 4 2" xfId="41121" xr:uid="{00000000-0005-0000-0000-0000E6840000}"/>
    <cellStyle name="Normal 66 5" xfId="44277" xr:uid="{00000000-0005-0000-0000-0000E7840000}"/>
    <cellStyle name="Normal 67" xfId="2047" xr:uid="{00000000-0005-0000-0000-0000E8840000}"/>
    <cellStyle name="Normal 67 2" xfId="2048" xr:uid="{00000000-0005-0000-0000-0000E9840000}"/>
    <cellStyle name="Normal 67 2 2" xfId="12829" xr:uid="{00000000-0005-0000-0000-0000EA840000}"/>
    <cellStyle name="Normal 67 2 2 2" xfId="25685" xr:uid="{00000000-0005-0000-0000-0000EB840000}"/>
    <cellStyle name="Normal 67 2 2 2 2" xfId="41127" xr:uid="{00000000-0005-0000-0000-0000EC840000}"/>
    <cellStyle name="Normal 67 2 2 3" xfId="44283" xr:uid="{00000000-0005-0000-0000-0000ED840000}"/>
    <cellStyle name="Normal 67 2 3" xfId="25684" xr:uid="{00000000-0005-0000-0000-0000EE840000}"/>
    <cellStyle name="Normal 67 2 3 2" xfId="41126" xr:uid="{00000000-0005-0000-0000-0000EF840000}"/>
    <cellStyle name="Normal 67 2 4" xfId="44282" xr:uid="{00000000-0005-0000-0000-0000F0840000}"/>
    <cellStyle name="Normal 67 3" xfId="12830" xr:uid="{00000000-0005-0000-0000-0000F1840000}"/>
    <cellStyle name="Normal 67 3 2" xfId="25686" xr:uid="{00000000-0005-0000-0000-0000F2840000}"/>
    <cellStyle name="Normal 67 3 2 2" xfId="41128" xr:uid="{00000000-0005-0000-0000-0000F3840000}"/>
    <cellStyle name="Normal 67 3 3" xfId="44284" xr:uid="{00000000-0005-0000-0000-0000F4840000}"/>
    <cellStyle name="Normal 67 4" xfId="25683" xr:uid="{00000000-0005-0000-0000-0000F5840000}"/>
    <cellStyle name="Normal 67 4 2" xfId="41125" xr:uid="{00000000-0005-0000-0000-0000F6840000}"/>
    <cellStyle name="Normal 67 5" xfId="44281" xr:uid="{00000000-0005-0000-0000-0000F7840000}"/>
    <cellStyle name="Normal 68" xfId="2049" xr:uid="{00000000-0005-0000-0000-0000F8840000}"/>
    <cellStyle name="Normal 68 2" xfId="2050" xr:uid="{00000000-0005-0000-0000-0000F9840000}"/>
    <cellStyle name="Normal 68 2 2" xfId="12831" xr:uid="{00000000-0005-0000-0000-0000FA840000}"/>
    <cellStyle name="Normal 68 2 2 2" xfId="25689" xr:uid="{00000000-0005-0000-0000-0000FB840000}"/>
    <cellStyle name="Normal 68 2 2 2 2" xfId="41131" xr:uid="{00000000-0005-0000-0000-0000FC840000}"/>
    <cellStyle name="Normal 68 2 2 3" xfId="44287" xr:uid="{00000000-0005-0000-0000-0000FD840000}"/>
    <cellStyle name="Normal 68 2 3" xfId="25688" xr:uid="{00000000-0005-0000-0000-0000FE840000}"/>
    <cellStyle name="Normal 68 2 3 2" xfId="41130" xr:uid="{00000000-0005-0000-0000-0000FF840000}"/>
    <cellStyle name="Normal 68 2 4" xfId="44286" xr:uid="{00000000-0005-0000-0000-000000850000}"/>
    <cellStyle name="Normal 68 3" xfId="12832" xr:uid="{00000000-0005-0000-0000-000001850000}"/>
    <cellStyle name="Normal 68 3 2" xfId="25690" xr:uid="{00000000-0005-0000-0000-000002850000}"/>
    <cellStyle name="Normal 68 3 2 2" xfId="41132" xr:uid="{00000000-0005-0000-0000-000003850000}"/>
    <cellStyle name="Normal 68 3 3" xfId="44288" xr:uid="{00000000-0005-0000-0000-000004850000}"/>
    <cellStyle name="Normal 68 4" xfId="25687" xr:uid="{00000000-0005-0000-0000-000005850000}"/>
    <cellStyle name="Normal 68 4 2" xfId="41129" xr:uid="{00000000-0005-0000-0000-000006850000}"/>
    <cellStyle name="Normal 68 5" xfId="44285" xr:uid="{00000000-0005-0000-0000-000007850000}"/>
    <cellStyle name="Normal 69" xfId="2051" xr:uid="{00000000-0005-0000-0000-000008850000}"/>
    <cellStyle name="Normal 69 2" xfId="2052" xr:uid="{00000000-0005-0000-0000-000009850000}"/>
    <cellStyle name="Normal 69 2 2" xfId="12833" xr:uid="{00000000-0005-0000-0000-00000A850000}"/>
    <cellStyle name="Normal 69 2 2 2" xfId="25693" xr:uid="{00000000-0005-0000-0000-00000B850000}"/>
    <cellStyle name="Normal 69 2 2 2 2" xfId="41135" xr:uid="{00000000-0005-0000-0000-00000C850000}"/>
    <cellStyle name="Normal 69 2 2 3" xfId="44291" xr:uid="{00000000-0005-0000-0000-00000D850000}"/>
    <cellStyle name="Normal 69 2 3" xfId="25692" xr:uid="{00000000-0005-0000-0000-00000E850000}"/>
    <cellStyle name="Normal 69 2 3 2" xfId="41134" xr:uid="{00000000-0005-0000-0000-00000F850000}"/>
    <cellStyle name="Normal 69 2 4" xfId="44290" xr:uid="{00000000-0005-0000-0000-000010850000}"/>
    <cellStyle name="Normal 69 3" xfId="12834" xr:uid="{00000000-0005-0000-0000-000011850000}"/>
    <cellStyle name="Normal 69 3 2" xfId="25694" xr:uid="{00000000-0005-0000-0000-000012850000}"/>
    <cellStyle name="Normal 69 3 2 2" xfId="41136" xr:uid="{00000000-0005-0000-0000-000013850000}"/>
    <cellStyle name="Normal 69 3 3" xfId="44292" xr:uid="{00000000-0005-0000-0000-000014850000}"/>
    <cellStyle name="Normal 69 4" xfId="25691" xr:uid="{00000000-0005-0000-0000-000015850000}"/>
    <cellStyle name="Normal 69 4 2" xfId="41133" xr:uid="{00000000-0005-0000-0000-000016850000}"/>
    <cellStyle name="Normal 69 5" xfId="44289" xr:uid="{00000000-0005-0000-0000-000017850000}"/>
    <cellStyle name="Normal 7" xfId="2053" xr:uid="{00000000-0005-0000-0000-000018850000}"/>
    <cellStyle name="Normal 7 10" xfId="43470" xr:uid="{00000000-0005-0000-0000-000019850000}"/>
    <cellStyle name="Normal 7 2" xfId="2054" xr:uid="{00000000-0005-0000-0000-00001A850000}"/>
    <cellStyle name="Normal 7 2 2" xfId="12836" xr:uid="{00000000-0005-0000-0000-00001B850000}"/>
    <cellStyle name="Normal 7 2 2 2" xfId="25697" xr:uid="{00000000-0005-0000-0000-00001C850000}"/>
    <cellStyle name="Normal 7 2 2 2 2" xfId="41138" xr:uid="{00000000-0005-0000-0000-00001D850000}"/>
    <cellStyle name="Normal 7 2 2 3" xfId="44294" xr:uid="{00000000-0005-0000-0000-00001E850000}"/>
    <cellStyle name="Normal 7 2 3" xfId="25696" xr:uid="{00000000-0005-0000-0000-00001F850000}"/>
    <cellStyle name="Normal 7 2 3 2" xfId="41137" xr:uid="{00000000-0005-0000-0000-000020850000}"/>
    <cellStyle name="Normal 7 2 4" xfId="44293" xr:uid="{00000000-0005-0000-0000-000021850000}"/>
    <cellStyle name="Normal 7 2_Tabell 9 I" xfId="27484" xr:uid="{00000000-0005-0000-0000-000022850000}"/>
    <cellStyle name="Normal 7 3" xfId="2055" xr:uid="{00000000-0005-0000-0000-000023850000}"/>
    <cellStyle name="Normal 7 3 10" xfId="24929" xr:uid="{00000000-0005-0000-0000-000024850000}"/>
    <cellStyle name="Normal 7 3 11" xfId="25698" xr:uid="{00000000-0005-0000-0000-000025850000}"/>
    <cellStyle name="Normal 7 3 2" xfId="12838" xr:uid="{00000000-0005-0000-0000-000026850000}"/>
    <cellStyle name="Normal 7 3 2 2" xfId="12839" xr:uid="{00000000-0005-0000-0000-000027850000}"/>
    <cellStyle name="Normal 7 3 2 2 2" xfId="18207" xr:uid="{00000000-0005-0000-0000-000028850000}"/>
    <cellStyle name="Normal 7 3 2 2 2 2" xfId="25701" xr:uid="{00000000-0005-0000-0000-000029850000}"/>
    <cellStyle name="Normal 7 3 2 2 2 2 2" xfId="43114" xr:uid="{00000000-0005-0000-0000-00002A850000}"/>
    <cellStyle name="Normal 7 3 2 2 2 3" xfId="44298" xr:uid="{00000000-0005-0000-0000-00002B850000}"/>
    <cellStyle name="Normal 7 3 2 2 3" xfId="16390" xr:uid="{00000000-0005-0000-0000-00002C850000}"/>
    <cellStyle name="Normal 7 3 2 2 3 2" xfId="25702" xr:uid="{00000000-0005-0000-0000-00002D850000}"/>
    <cellStyle name="Normal 7 3 2 2 3 2 2" xfId="42945" xr:uid="{00000000-0005-0000-0000-00002E850000}"/>
    <cellStyle name="Normal 7 3 2 2 3 3" xfId="44299" xr:uid="{00000000-0005-0000-0000-00002F850000}"/>
    <cellStyle name="Normal 7 3 2 2 4" xfId="25700" xr:uid="{00000000-0005-0000-0000-000030850000}"/>
    <cellStyle name="Normal 7 3 2 2 4 2" xfId="41140" xr:uid="{00000000-0005-0000-0000-000031850000}"/>
    <cellStyle name="Normal 7 3 2 2 5" xfId="44297" xr:uid="{00000000-0005-0000-0000-000032850000}"/>
    <cellStyle name="Normal 7 3 2 2_Avviksanalyse løpende RNB15 (1)" xfId="16782" xr:uid="{00000000-0005-0000-0000-000033850000}"/>
    <cellStyle name="Normal 7 3 2 3" xfId="25699" xr:uid="{00000000-0005-0000-0000-000034850000}"/>
    <cellStyle name="Normal 7 3 2 3 2" xfId="41139" xr:uid="{00000000-0005-0000-0000-000035850000}"/>
    <cellStyle name="Normal 7 3 2 4" xfId="44296" xr:uid="{00000000-0005-0000-0000-000036850000}"/>
    <cellStyle name="Normal 7 3 3" xfId="12837" xr:uid="{00000000-0005-0000-0000-000037850000}"/>
    <cellStyle name="Normal 7 3 4" xfId="19795" xr:uid="{00000000-0005-0000-0000-000038850000}"/>
    <cellStyle name="Normal 7 3 4 2" xfId="44295" xr:uid="{00000000-0005-0000-0000-000039850000}"/>
    <cellStyle name="Normal 7 3 5" xfId="23982" xr:uid="{00000000-0005-0000-0000-00003A850000}"/>
    <cellStyle name="Normal 7 3 6" xfId="24859" xr:uid="{00000000-0005-0000-0000-00003B850000}"/>
    <cellStyle name="Normal 7 3 7" xfId="24896" xr:uid="{00000000-0005-0000-0000-00003C850000}"/>
    <cellStyle name="Normal 7 3 8" xfId="24753" xr:uid="{00000000-0005-0000-0000-00003D850000}"/>
    <cellStyle name="Normal 7 3 9" xfId="25185" xr:uid="{00000000-0005-0000-0000-00003E850000}"/>
    <cellStyle name="Normal 7 4" xfId="15134" xr:uid="{00000000-0005-0000-0000-00003F850000}"/>
    <cellStyle name="Normal 7 4 2" xfId="25703" xr:uid="{00000000-0005-0000-0000-000040850000}"/>
    <cellStyle name="Normal 7 4 2 2" xfId="41691" xr:uid="{00000000-0005-0000-0000-000041850000}"/>
    <cellStyle name="Normal 7 4 3" xfId="44300" xr:uid="{00000000-0005-0000-0000-000042850000}"/>
    <cellStyle name="Normal 7 5" xfId="12835" xr:uid="{00000000-0005-0000-0000-000043850000}"/>
    <cellStyle name="Normal 7 6" xfId="25695" xr:uid="{00000000-0005-0000-0000-000044850000}"/>
    <cellStyle name="Normal 7 7" xfId="43445" xr:uid="{00000000-0005-0000-0000-000045850000}"/>
    <cellStyle name="Normal 7 8" xfId="43658" xr:uid="{00000000-0005-0000-0000-000046850000}"/>
    <cellStyle name="Normal 7 9" xfId="43653" xr:uid="{00000000-0005-0000-0000-000047850000}"/>
    <cellStyle name="Normal 7_Ark1" xfId="12840" xr:uid="{00000000-0005-0000-0000-000048850000}"/>
    <cellStyle name="Normal 70" xfId="2056" xr:uid="{00000000-0005-0000-0000-000049850000}"/>
    <cellStyle name="Normal 70 2" xfId="2057" xr:uid="{00000000-0005-0000-0000-00004A850000}"/>
    <cellStyle name="Normal 70 2 2" xfId="12841" xr:uid="{00000000-0005-0000-0000-00004B850000}"/>
    <cellStyle name="Normal 70 2 2 2" xfId="25706" xr:uid="{00000000-0005-0000-0000-00004C850000}"/>
    <cellStyle name="Normal 70 2 2 2 2" xfId="41143" xr:uid="{00000000-0005-0000-0000-00004D850000}"/>
    <cellStyle name="Normal 70 2 2 3" xfId="44303" xr:uid="{00000000-0005-0000-0000-00004E850000}"/>
    <cellStyle name="Normal 70 2 3" xfId="25705" xr:uid="{00000000-0005-0000-0000-00004F850000}"/>
    <cellStyle name="Normal 70 2 3 2" xfId="41142" xr:uid="{00000000-0005-0000-0000-000050850000}"/>
    <cellStyle name="Normal 70 2 4" xfId="44302" xr:uid="{00000000-0005-0000-0000-000051850000}"/>
    <cellStyle name="Normal 70 3" xfId="12842" xr:uid="{00000000-0005-0000-0000-000052850000}"/>
    <cellStyle name="Normal 70 3 2" xfId="25707" xr:uid="{00000000-0005-0000-0000-000053850000}"/>
    <cellStyle name="Normal 70 3 2 2" xfId="41144" xr:uid="{00000000-0005-0000-0000-000054850000}"/>
    <cellStyle name="Normal 70 3 3" xfId="44304" xr:uid="{00000000-0005-0000-0000-000055850000}"/>
    <cellStyle name="Normal 70 4" xfId="25704" xr:uid="{00000000-0005-0000-0000-000056850000}"/>
    <cellStyle name="Normal 70 4 2" xfId="41141" xr:uid="{00000000-0005-0000-0000-000057850000}"/>
    <cellStyle name="Normal 70 5" xfId="44301" xr:uid="{00000000-0005-0000-0000-000058850000}"/>
    <cellStyle name="Normal 71" xfId="2058" xr:uid="{00000000-0005-0000-0000-000059850000}"/>
    <cellStyle name="Normal 71 2" xfId="2059" xr:uid="{00000000-0005-0000-0000-00005A850000}"/>
    <cellStyle name="Normal 71 2 2" xfId="12843" xr:uid="{00000000-0005-0000-0000-00005B850000}"/>
    <cellStyle name="Normal 71 2 2 2" xfId="25710" xr:uid="{00000000-0005-0000-0000-00005C850000}"/>
    <cellStyle name="Normal 71 2 2 2 2" xfId="41147" xr:uid="{00000000-0005-0000-0000-00005D850000}"/>
    <cellStyle name="Normal 71 2 2 3" xfId="44307" xr:uid="{00000000-0005-0000-0000-00005E850000}"/>
    <cellStyle name="Normal 71 2 3" xfId="25709" xr:uid="{00000000-0005-0000-0000-00005F850000}"/>
    <cellStyle name="Normal 71 2 3 2" xfId="41146" xr:uid="{00000000-0005-0000-0000-000060850000}"/>
    <cellStyle name="Normal 71 2 4" xfId="44306" xr:uid="{00000000-0005-0000-0000-000061850000}"/>
    <cellStyle name="Normal 71 3" xfId="2060" xr:uid="{00000000-0005-0000-0000-000062850000}"/>
    <cellStyle name="Normal 71 3 2" xfId="2061" xr:uid="{00000000-0005-0000-0000-000063850000}"/>
    <cellStyle name="Normal 71 3 2 2" xfId="25712" xr:uid="{00000000-0005-0000-0000-000064850000}"/>
    <cellStyle name="Normal 71 3 2 2 2" xfId="41149" xr:uid="{00000000-0005-0000-0000-000065850000}"/>
    <cellStyle name="Normal 71 3 2 3" xfId="44309" xr:uid="{00000000-0005-0000-0000-000066850000}"/>
    <cellStyle name="Normal 71 3 3" xfId="25711" xr:uid="{00000000-0005-0000-0000-000067850000}"/>
    <cellStyle name="Normal 71 3 3 2" xfId="41148" xr:uid="{00000000-0005-0000-0000-000068850000}"/>
    <cellStyle name="Normal 71 3 4" xfId="44308" xr:uid="{00000000-0005-0000-0000-000069850000}"/>
    <cellStyle name="Normal 71 4" xfId="2062" xr:uid="{00000000-0005-0000-0000-00006A850000}"/>
    <cellStyle name="Normal 71 4 2" xfId="2063" xr:uid="{00000000-0005-0000-0000-00006B850000}"/>
    <cellStyle name="Normal 71 4 2 2" xfId="25714" xr:uid="{00000000-0005-0000-0000-00006C850000}"/>
    <cellStyle name="Normal 71 4 2 2 2" xfId="41151" xr:uid="{00000000-0005-0000-0000-00006D850000}"/>
    <cellStyle name="Normal 71 4 2 3" xfId="44311" xr:uid="{00000000-0005-0000-0000-00006E850000}"/>
    <cellStyle name="Normal 71 4 3" xfId="25713" xr:uid="{00000000-0005-0000-0000-00006F850000}"/>
    <cellStyle name="Normal 71 4 3 2" xfId="41150" xr:uid="{00000000-0005-0000-0000-000070850000}"/>
    <cellStyle name="Normal 71 4 4" xfId="44310" xr:uid="{00000000-0005-0000-0000-000071850000}"/>
    <cellStyle name="Normal 71 5" xfId="12844" xr:uid="{00000000-0005-0000-0000-000072850000}"/>
    <cellStyle name="Normal 71 5 2" xfId="25715" xr:uid="{00000000-0005-0000-0000-000073850000}"/>
    <cellStyle name="Normal 71 5 2 2" xfId="41152" xr:uid="{00000000-0005-0000-0000-000074850000}"/>
    <cellStyle name="Normal 71 5 3" xfId="44312" xr:uid="{00000000-0005-0000-0000-000075850000}"/>
    <cellStyle name="Normal 71 6" xfId="25708" xr:uid="{00000000-0005-0000-0000-000076850000}"/>
    <cellStyle name="Normal 71 6 2" xfId="41145" xr:uid="{00000000-0005-0000-0000-000077850000}"/>
    <cellStyle name="Normal 71 7" xfId="44305" xr:uid="{00000000-0005-0000-0000-000078850000}"/>
    <cellStyle name="Normal 72" xfId="2064" xr:uid="{00000000-0005-0000-0000-000079850000}"/>
    <cellStyle name="Normal 72 2" xfId="2065" xr:uid="{00000000-0005-0000-0000-00007A850000}"/>
    <cellStyle name="Normal 72 2 2" xfId="12845" xr:uid="{00000000-0005-0000-0000-00007B850000}"/>
    <cellStyle name="Normal 72 2 2 2" xfId="25718" xr:uid="{00000000-0005-0000-0000-00007C850000}"/>
    <cellStyle name="Normal 72 2 2 2 2" xfId="41155" xr:uid="{00000000-0005-0000-0000-00007D850000}"/>
    <cellStyle name="Normal 72 2 2 3" xfId="44315" xr:uid="{00000000-0005-0000-0000-00007E850000}"/>
    <cellStyle name="Normal 72 2 3" xfId="25717" xr:uid="{00000000-0005-0000-0000-00007F850000}"/>
    <cellStyle name="Normal 72 2 3 2" xfId="41154" xr:uid="{00000000-0005-0000-0000-000080850000}"/>
    <cellStyle name="Normal 72 2 4" xfId="44314" xr:uid="{00000000-0005-0000-0000-000081850000}"/>
    <cellStyle name="Normal 72 3" xfId="12846" xr:uid="{00000000-0005-0000-0000-000082850000}"/>
    <cellStyle name="Normal 72 3 2" xfId="25719" xr:uid="{00000000-0005-0000-0000-000083850000}"/>
    <cellStyle name="Normal 72 3 2 2" xfId="41156" xr:uid="{00000000-0005-0000-0000-000084850000}"/>
    <cellStyle name="Normal 72 3 3" xfId="44316" xr:uid="{00000000-0005-0000-0000-000085850000}"/>
    <cellStyle name="Normal 72 4" xfId="25716" xr:uid="{00000000-0005-0000-0000-000086850000}"/>
    <cellStyle name="Normal 72 4 2" xfId="41153" xr:uid="{00000000-0005-0000-0000-000087850000}"/>
    <cellStyle name="Normal 72 5" xfId="44313" xr:uid="{00000000-0005-0000-0000-000088850000}"/>
    <cellStyle name="Normal 73" xfId="2066" xr:uid="{00000000-0005-0000-0000-000089850000}"/>
    <cellStyle name="Normal 73 2" xfId="2067" xr:uid="{00000000-0005-0000-0000-00008A850000}"/>
    <cellStyle name="Normal 73 2 2" xfId="2068" xr:uid="{00000000-0005-0000-0000-00008B850000}"/>
    <cellStyle name="Normal 73 2 2 2" xfId="25722" xr:uid="{00000000-0005-0000-0000-00008C850000}"/>
    <cellStyle name="Normal 73 2 2 2 2" xfId="41158" xr:uid="{00000000-0005-0000-0000-00008D850000}"/>
    <cellStyle name="Normal 73 2 2 3" xfId="44318" xr:uid="{00000000-0005-0000-0000-00008E850000}"/>
    <cellStyle name="Normal 73 2 3" xfId="25721" xr:uid="{00000000-0005-0000-0000-00008F850000}"/>
    <cellStyle name="Normal 73 2 3 2" xfId="41157" xr:uid="{00000000-0005-0000-0000-000090850000}"/>
    <cellStyle name="Normal 73 2 4" xfId="44317" xr:uid="{00000000-0005-0000-0000-000091850000}"/>
    <cellStyle name="Normal 73 3" xfId="2069" xr:uid="{00000000-0005-0000-0000-000092850000}"/>
    <cellStyle name="Normal 73 3 2" xfId="2070" xr:uid="{00000000-0005-0000-0000-000093850000}"/>
    <cellStyle name="Normal 73 3 2 2" xfId="2071" xr:uid="{00000000-0005-0000-0000-000094850000}"/>
    <cellStyle name="Normal 73 3 2 2 2" xfId="25725" xr:uid="{00000000-0005-0000-0000-000095850000}"/>
    <cellStyle name="Normal 73 3 2 2 2 2" xfId="41161" xr:uid="{00000000-0005-0000-0000-000096850000}"/>
    <cellStyle name="Normal 73 3 2 2 3" xfId="44321" xr:uid="{00000000-0005-0000-0000-000097850000}"/>
    <cellStyle name="Normal 73 3 2 3" xfId="25724" xr:uid="{00000000-0005-0000-0000-000098850000}"/>
    <cellStyle name="Normal 73 3 2 3 2" xfId="41160" xr:uid="{00000000-0005-0000-0000-000099850000}"/>
    <cellStyle name="Normal 73 3 2 4" xfId="44320" xr:uid="{00000000-0005-0000-0000-00009A850000}"/>
    <cellStyle name="Normal 73 3 3" xfId="2072" xr:uid="{00000000-0005-0000-0000-00009B850000}"/>
    <cellStyle name="Normal 73 3 3 2" xfId="25726" xr:uid="{00000000-0005-0000-0000-00009C850000}"/>
    <cellStyle name="Normal 73 3 3 2 2" xfId="41162" xr:uid="{00000000-0005-0000-0000-00009D850000}"/>
    <cellStyle name="Normal 73 3 3 3" xfId="44322" xr:uid="{00000000-0005-0000-0000-00009E850000}"/>
    <cellStyle name="Normal 73 3 4" xfId="25723" xr:uid="{00000000-0005-0000-0000-00009F850000}"/>
    <cellStyle name="Normal 73 3 4 2" xfId="41159" xr:uid="{00000000-0005-0000-0000-0000A0850000}"/>
    <cellStyle name="Normal 73 3 5" xfId="44319" xr:uid="{00000000-0005-0000-0000-0000A1850000}"/>
    <cellStyle name="Normal 73 4" xfId="2073" xr:uid="{00000000-0005-0000-0000-0000A2850000}"/>
    <cellStyle name="Normal 73 4 2" xfId="25727" xr:uid="{00000000-0005-0000-0000-0000A3850000}"/>
    <cellStyle name="Normal 73 4 2 2" xfId="41163" xr:uid="{00000000-0005-0000-0000-0000A4850000}"/>
    <cellStyle name="Normal 73 4 3" xfId="44323" xr:uid="{00000000-0005-0000-0000-0000A5850000}"/>
    <cellStyle name="Normal 73 5" xfId="12847" xr:uid="{00000000-0005-0000-0000-0000A6850000}"/>
    <cellStyle name="Normal 73 6" xfId="25720" xr:uid="{00000000-0005-0000-0000-0000A7850000}"/>
    <cellStyle name="Normal 74" xfId="2074" xr:uid="{00000000-0005-0000-0000-0000A8850000}"/>
    <cellStyle name="Normal 74 10" xfId="44324" xr:uid="{00000000-0005-0000-0000-0000A9850000}"/>
    <cellStyle name="Normal 74 2" xfId="2075" xr:uid="{00000000-0005-0000-0000-0000AA850000}"/>
    <cellStyle name="Normal 74 2 2" xfId="12848" xr:uid="{00000000-0005-0000-0000-0000AB850000}"/>
    <cellStyle name="Normal 74 2 2 2" xfId="25730" xr:uid="{00000000-0005-0000-0000-0000AC850000}"/>
    <cellStyle name="Normal 74 2 2 2 2" xfId="41166" xr:uid="{00000000-0005-0000-0000-0000AD850000}"/>
    <cellStyle name="Normal 74 2 2 3" xfId="44326" xr:uid="{00000000-0005-0000-0000-0000AE850000}"/>
    <cellStyle name="Normal 74 2 3" xfId="25729" xr:uid="{00000000-0005-0000-0000-0000AF850000}"/>
    <cellStyle name="Normal 74 2 3 2" xfId="41165" xr:uid="{00000000-0005-0000-0000-0000B0850000}"/>
    <cellStyle name="Normal 74 2 4" xfId="44325" xr:uid="{00000000-0005-0000-0000-0000B1850000}"/>
    <cellStyle name="Normal 74 3" xfId="2076" xr:uid="{00000000-0005-0000-0000-0000B2850000}"/>
    <cellStyle name="Normal 74 3 2" xfId="2077" xr:uid="{00000000-0005-0000-0000-0000B3850000}"/>
    <cellStyle name="Normal 74 3 2 2" xfId="25732" xr:uid="{00000000-0005-0000-0000-0000B4850000}"/>
    <cellStyle name="Normal 74 3 2 2 2" xfId="41168" xr:uid="{00000000-0005-0000-0000-0000B5850000}"/>
    <cellStyle name="Normal 74 3 2 3" xfId="44328" xr:uid="{00000000-0005-0000-0000-0000B6850000}"/>
    <cellStyle name="Normal 74 3 3" xfId="25731" xr:uid="{00000000-0005-0000-0000-0000B7850000}"/>
    <cellStyle name="Normal 74 3 3 2" xfId="41167" xr:uid="{00000000-0005-0000-0000-0000B8850000}"/>
    <cellStyle name="Normal 74 3 4" xfId="44327" xr:uid="{00000000-0005-0000-0000-0000B9850000}"/>
    <cellStyle name="Normal 74 4" xfId="2078" xr:uid="{00000000-0005-0000-0000-0000BA850000}"/>
    <cellStyle name="Normal 74 4 2" xfId="12849" xr:uid="{00000000-0005-0000-0000-0000BB850000}"/>
    <cellStyle name="Normal 74 4 2 2" xfId="25734" xr:uid="{00000000-0005-0000-0000-0000BC850000}"/>
    <cellStyle name="Normal 74 4 2 2 2" xfId="41170" xr:uid="{00000000-0005-0000-0000-0000BD850000}"/>
    <cellStyle name="Normal 74 4 2 3" xfId="44330" xr:uid="{00000000-0005-0000-0000-0000BE850000}"/>
    <cellStyle name="Normal 74 4 3" xfId="25733" xr:uid="{00000000-0005-0000-0000-0000BF850000}"/>
    <cellStyle name="Normal 74 4 3 2" xfId="41169" xr:uid="{00000000-0005-0000-0000-0000C0850000}"/>
    <cellStyle name="Normal 74 4 4" xfId="44329" xr:uid="{00000000-0005-0000-0000-0000C1850000}"/>
    <cellStyle name="Normal 74 5" xfId="2079" xr:uid="{00000000-0005-0000-0000-0000C2850000}"/>
    <cellStyle name="Normal 74 5 2" xfId="2080" xr:uid="{00000000-0005-0000-0000-0000C3850000}"/>
    <cellStyle name="Normal 74 5 2 2" xfId="2081" xr:uid="{00000000-0005-0000-0000-0000C4850000}"/>
    <cellStyle name="Normal 74 5 2 2 2" xfId="25737" xr:uid="{00000000-0005-0000-0000-0000C5850000}"/>
    <cellStyle name="Normal 74 5 2 2 2 2" xfId="41173" xr:uid="{00000000-0005-0000-0000-0000C6850000}"/>
    <cellStyle name="Normal 74 5 2 2 3" xfId="44333" xr:uid="{00000000-0005-0000-0000-0000C7850000}"/>
    <cellStyle name="Normal 74 5 2 3" xfId="25736" xr:uid="{00000000-0005-0000-0000-0000C8850000}"/>
    <cellStyle name="Normal 74 5 2 3 2" xfId="41172" xr:uid="{00000000-0005-0000-0000-0000C9850000}"/>
    <cellStyle name="Normal 74 5 2 4" xfId="44332" xr:uid="{00000000-0005-0000-0000-0000CA850000}"/>
    <cellStyle name="Normal 74 5 3" xfId="2082" xr:uid="{00000000-0005-0000-0000-0000CB850000}"/>
    <cellStyle name="Normal 74 5 3 2" xfId="2083" xr:uid="{00000000-0005-0000-0000-0000CC850000}"/>
    <cellStyle name="Normal 74 5 3 2 2" xfId="2084" xr:uid="{00000000-0005-0000-0000-0000CD850000}"/>
    <cellStyle name="Normal 74 5 3 2 2 2" xfId="25740" xr:uid="{00000000-0005-0000-0000-0000CE850000}"/>
    <cellStyle name="Normal 74 5 3 2 2 2 2" xfId="41176" xr:uid="{00000000-0005-0000-0000-0000CF850000}"/>
    <cellStyle name="Normal 74 5 3 2 2 3" xfId="44336" xr:uid="{00000000-0005-0000-0000-0000D0850000}"/>
    <cellStyle name="Normal 74 5 3 2 3" xfId="25739" xr:uid="{00000000-0005-0000-0000-0000D1850000}"/>
    <cellStyle name="Normal 74 5 3 2 3 2" xfId="41175" xr:uid="{00000000-0005-0000-0000-0000D2850000}"/>
    <cellStyle name="Normal 74 5 3 2 4" xfId="44335" xr:uid="{00000000-0005-0000-0000-0000D3850000}"/>
    <cellStyle name="Normal 74 5 3 3" xfId="2085" xr:uid="{00000000-0005-0000-0000-0000D4850000}"/>
    <cellStyle name="Normal 74 5 3 3 2" xfId="2086" xr:uid="{00000000-0005-0000-0000-0000D5850000}"/>
    <cellStyle name="Normal 74 5 3 3 2 2" xfId="25742" xr:uid="{00000000-0005-0000-0000-0000D6850000}"/>
    <cellStyle name="Normal 74 5 3 3 2 2 2" xfId="41178" xr:uid="{00000000-0005-0000-0000-0000D7850000}"/>
    <cellStyle name="Normal 74 5 3 3 2 3" xfId="44338" xr:uid="{00000000-0005-0000-0000-0000D8850000}"/>
    <cellStyle name="Normal 74 5 3 3 3" xfId="25741" xr:uid="{00000000-0005-0000-0000-0000D9850000}"/>
    <cellStyle name="Normal 74 5 3 3 3 2" xfId="41177" xr:uid="{00000000-0005-0000-0000-0000DA850000}"/>
    <cellStyle name="Normal 74 5 3 3 4" xfId="44337" xr:uid="{00000000-0005-0000-0000-0000DB850000}"/>
    <cellStyle name="Normal 74 5 3 4" xfId="2087" xr:uid="{00000000-0005-0000-0000-0000DC850000}"/>
    <cellStyle name="Normal 74 5 3 4 2" xfId="2088" xr:uid="{00000000-0005-0000-0000-0000DD850000}"/>
    <cellStyle name="Normal 74 5 3 4 2 2" xfId="2089" xr:uid="{00000000-0005-0000-0000-0000DE850000}"/>
    <cellStyle name="Normal 74 5 3 4 2 2 2" xfId="25745" xr:uid="{00000000-0005-0000-0000-0000DF850000}"/>
    <cellStyle name="Normal 74 5 3 4 2 2 2 2" xfId="41181" xr:uid="{00000000-0005-0000-0000-0000E0850000}"/>
    <cellStyle name="Normal 74 5 3 4 2 2 3" xfId="44341" xr:uid="{00000000-0005-0000-0000-0000E1850000}"/>
    <cellStyle name="Normal 74 5 3 4 2 3" xfId="25744" xr:uid="{00000000-0005-0000-0000-0000E2850000}"/>
    <cellStyle name="Normal 74 5 3 4 2 3 2" xfId="41180" xr:uid="{00000000-0005-0000-0000-0000E3850000}"/>
    <cellStyle name="Normal 74 5 3 4 2 4" xfId="44340" xr:uid="{00000000-0005-0000-0000-0000E4850000}"/>
    <cellStyle name="Normal 74 5 3 4 3" xfId="2090" xr:uid="{00000000-0005-0000-0000-0000E5850000}"/>
    <cellStyle name="Normal 74 5 3 4 3 2" xfId="2091" xr:uid="{00000000-0005-0000-0000-0000E6850000}"/>
    <cellStyle name="Normal 74 5 3 4 3 2 2" xfId="2092" xr:uid="{00000000-0005-0000-0000-0000E7850000}"/>
    <cellStyle name="Normal 74 5 3 4 3 2 2 2" xfId="25748" xr:uid="{00000000-0005-0000-0000-0000E8850000}"/>
    <cellStyle name="Normal 74 5 3 4 3 2 2 2 2" xfId="41184" xr:uid="{00000000-0005-0000-0000-0000E9850000}"/>
    <cellStyle name="Normal 74 5 3 4 3 2 2 3" xfId="44344" xr:uid="{00000000-0005-0000-0000-0000EA850000}"/>
    <cellStyle name="Normal 74 5 3 4 3 2 3" xfId="25747" xr:uid="{00000000-0005-0000-0000-0000EB850000}"/>
    <cellStyle name="Normal 74 5 3 4 3 2 3 2" xfId="41183" xr:uid="{00000000-0005-0000-0000-0000EC850000}"/>
    <cellStyle name="Normal 74 5 3 4 3 2 4" xfId="44343" xr:uid="{00000000-0005-0000-0000-0000ED850000}"/>
    <cellStyle name="Normal 74 5 3 4 3 3" xfId="2093" xr:uid="{00000000-0005-0000-0000-0000EE850000}"/>
    <cellStyle name="Normal 74 5 3 4 3 3 2" xfId="25749" xr:uid="{00000000-0005-0000-0000-0000EF850000}"/>
    <cellStyle name="Normal 74 5 3 4 3 3 2 2" xfId="41185" xr:uid="{00000000-0005-0000-0000-0000F0850000}"/>
    <cellStyle name="Normal 74 5 3 4 3 3 3" xfId="44345" xr:uid="{00000000-0005-0000-0000-0000F1850000}"/>
    <cellStyle name="Normal 74 5 3 4 3 4" xfId="25746" xr:uid="{00000000-0005-0000-0000-0000F2850000}"/>
    <cellStyle name="Normal 74 5 3 4 3 4 2" xfId="41182" xr:uid="{00000000-0005-0000-0000-0000F3850000}"/>
    <cellStyle name="Normal 74 5 3 4 3 5" xfId="44342" xr:uid="{00000000-0005-0000-0000-0000F4850000}"/>
    <cellStyle name="Normal 74 5 3 4 4" xfId="2094" xr:uid="{00000000-0005-0000-0000-0000F5850000}"/>
    <cellStyle name="Normal 74 5 3 4 4 2" xfId="25750" xr:uid="{00000000-0005-0000-0000-0000F6850000}"/>
    <cellStyle name="Normal 74 5 3 4 4 2 2" xfId="41186" xr:uid="{00000000-0005-0000-0000-0000F7850000}"/>
    <cellStyle name="Normal 74 5 3 4 4 3" xfId="44346" xr:uid="{00000000-0005-0000-0000-0000F8850000}"/>
    <cellStyle name="Normal 74 5 3 4 5" xfId="2095" xr:uid="{00000000-0005-0000-0000-0000F9850000}"/>
    <cellStyle name="Normal 74 5 3 4 5 2" xfId="2096" xr:uid="{00000000-0005-0000-0000-0000FA850000}"/>
    <cellStyle name="Normal 74 5 3 4 5 2 2" xfId="25752" xr:uid="{00000000-0005-0000-0000-0000FB850000}"/>
    <cellStyle name="Normal 74 5 3 4 5 2 2 2" xfId="41188" xr:uid="{00000000-0005-0000-0000-0000FC850000}"/>
    <cellStyle name="Normal 74 5 3 4 5 2 3" xfId="44348" xr:uid="{00000000-0005-0000-0000-0000FD850000}"/>
    <cellStyle name="Normal 74 5 3 4 5 3" xfId="25751" xr:uid="{00000000-0005-0000-0000-0000FE850000}"/>
    <cellStyle name="Normal 74 5 3 4 5 3 2" xfId="41187" xr:uid="{00000000-0005-0000-0000-0000FF850000}"/>
    <cellStyle name="Normal 74 5 3 4 5 4" xfId="44347" xr:uid="{00000000-0005-0000-0000-000000860000}"/>
    <cellStyle name="Normal 74 5 3 4 6" xfId="25743" xr:uid="{00000000-0005-0000-0000-000001860000}"/>
    <cellStyle name="Normal 74 5 3 4 6 2" xfId="41179" xr:uid="{00000000-0005-0000-0000-000002860000}"/>
    <cellStyle name="Normal 74 5 3 4 7" xfId="44339" xr:uid="{00000000-0005-0000-0000-000003860000}"/>
    <cellStyle name="Normal 74 5 3 5" xfId="2097" xr:uid="{00000000-0005-0000-0000-000004860000}"/>
    <cellStyle name="Normal 74 5 3 5 2" xfId="25753" xr:uid="{00000000-0005-0000-0000-000005860000}"/>
    <cellStyle name="Normal 74 5 3 5 2 2" xfId="41189" xr:uid="{00000000-0005-0000-0000-000006860000}"/>
    <cellStyle name="Normal 74 5 3 5 3" xfId="44349" xr:uid="{00000000-0005-0000-0000-000007860000}"/>
    <cellStyle name="Normal 74 5 3 6" xfId="25738" xr:uid="{00000000-0005-0000-0000-000008860000}"/>
    <cellStyle name="Normal 74 5 3 6 2" xfId="41174" xr:uid="{00000000-0005-0000-0000-000009860000}"/>
    <cellStyle name="Normal 74 5 3 7" xfId="44334" xr:uid="{00000000-0005-0000-0000-00000A860000}"/>
    <cellStyle name="Normal 74 5 4" xfId="2098" xr:uid="{00000000-0005-0000-0000-00000B860000}"/>
    <cellStyle name="Normal 74 5 4 2" xfId="2099" xr:uid="{00000000-0005-0000-0000-00000C860000}"/>
    <cellStyle name="Normal 74 5 4 2 2" xfId="2100" xr:uid="{00000000-0005-0000-0000-00000D860000}"/>
    <cellStyle name="Normal 74 5 4 2 2 2" xfId="25756" xr:uid="{00000000-0005-0000-0000-00000E860000}"/>
    <cellStyle name="Normal 74 5 4 2 2 2 2" xfId="41192" xr:uid="{00000000-0005-0000-0000-00000F860000}"/>
    <cellStyle name="Normal 74 5 4 2 2 3" xfId="44352" xr:uid="{00000000-0005-0000-0000-000010860000}"/>
    <cellStyle name="Normal 74 5 4 2 3" xfId="25755" xr:uid="{00000000-0005-0000-0000-000011860000}"/>
    <cellStyle name="Normal 74 5 4 2 3 2" xfId="41191" xr:uid="{00000000-0005-0000-0000-000012860000}"/>
    <cellStyle name="Normal 74 5 4 2 4" xfId="44351" xr:uid="{00000000-0005-0000-0000-000013860000}"/>
    <cellStyle name="Normal 74 5 4 3" xfId="2101" xr:uid="{00000000-0005-0000-0000-000014860000}"/>
    <cellStyle name="Normal 74 5 4 3 2" xfId="2102" xr:uid="{00000000-0005-0000-0000-000015860000}"/>
    <cellStyle name="Normal 74 5 4 3 2 2" xfId="2103" xr:uid="{00000000-0005-0000-0000-000016860000}"/>
    <cellStyle name="Normal 74 5 4 3 2 2 2" xfId="25759" xr:uid="{00000000-0005-0000-0000-000017860000}"/>
    <cellStyle name="Normal 74 5 4 3 2 2 2 2" xfId="41195" xr:uid="{00000000-0005-0000-0000-000018860000}"/>
    <cellStyle name="Normal 74 5 4 3 2 2 3" xfId="44355" xr:uid="{00000000-0005-0000-0000-000019860000}"/>
    <cellStyle name="Normal 74 5 4 3 2 3" xfId="25758" xr:uid="{00000000-0005-0000-0000-00001A860000}"/>
    <cellStyle name="Normal 74 5 4 3 2 3 2" xfId="41194" xr:uid="{00000000-0005-0000-0000-00001B860000}"/>
    <cellStyle name="Normal 74 5 4 3 2 4" xfId="44354" xr:uid="{00000000-0005-0000-0000-00001C860000}"/>
    <cellStyle name="Normal 74 5 4 3 3" xfId="2104" xr:uid="{00000000-0005-0000-0000-00001D860000}"/>
    <cellStyle name="Normal 74 5 4 3 3 2" xfId="25760" xr:uid="{00000000-0005-0000-0000-00001E860000}"/>
    <cellStyle name="Normal 74 5 4 3 3 2 2" xfId="41196" xr:uid="{00000000-0005-0000-0000-00001F860000}"/>
    <cellStyle name="Normal 74 5 4 3 3 3" xfId="44356" xr:uid="{00000000-0005-0000-0000-000020860000}"/>
    <cellStyle name="Normal 74 5 4 3 4" xfId="25757" xr:uid="{00000000-0005-0000-0000-000021860000}"/>
    <cellStyle name="Normal 74 5 4 3 4 2" xfId="41193" xr:uid="{00000000-0005-0000-0000-000022860000}"/>
    <cellStyle name="Normal 74 5 4 3 5" xfId="44353" xr:uid="{00000000-0005-0000-0000-000023860000}"/>
    <cellStyle name="Normal 74 5 4 4" xfId="2105" xr:uid="{00000000-0005-0000-0000-000024860000}"/>
    <cellStyle name="Normal 74 5 4 4 2" xfId="25761" xr:uid="{00000000-0005-0000-0000-000025860000}"/>
    <cellStyle name="Normal 74 5 4 4 2 2" xfId="41197" xr:uid="{00000000-0005-0000-0000-000026860000}"/>
    <cellStyle name="Normal 74 5 4 4 3" xfId="44357" xr:uid="{00000000-0005-0000-0000-000027860000}"/>
    <cellStyle name="Normal 74 5 4 5" xfId="2106" xr:uid="{00000000-0005-0000-0000-000028860000}"/>
    <cellStyle name="Normal 74 5 4 5 2" xfId="2107" xr:uid="{00000000-0005-0000-0000-000029860000}"/>
    <cellStyle name="Normal 74 5 4 5 2 2" xfId="25763" xr:uid="{00000000-0005-0000-0000-00002A860000}"/>
    <cellStyle name="Normal 74 5 4 5 2 2 2" xfId="41199" xr:uid="{00000000-0005-0000-0000-00002B860000}"/>
    <cellStyle name="Normal 74 5 4 5 2 3" xfId="44359" xr:uid="{00000000-0005-0000-0000-00002C860000}"/>
    <cellStyle name="Normal 74 5 4 5 3" xfId="25762" xr:uid="{00000000-0005-0000-0000-00002D860000}"/>
    <cellStyle name="Normal 74 5 4 5 3 2" xfId="41198" xr:uid="{00000000-0005-0000-0000-00002E860000}"/>
    <cellStyle name="Normal 74 5 4 5 4" xfId="44358" xr:uid="{00000000-0005-0000-0000-00002F860000}"/>
    <cellStyle name="Normal 74 5 4 6" xfId="25754" xr:uid="{00000000-0005-0000-0000-000030860000}"/>
    <cellStyle name="Normal 74 5 4 6 2" xfId="41190" xr:uid="{00000000-0005-0000-0000-000031860000}"/>
    <cellStyle name="Normal 74 5 4 7" xfId="44350" xr:uid="{00000000-0005-0000-0000-000032860000}"/>
    <cellStyle name="Normal 74 5 5" xfId="2108" xr:uid="{00000000-0005-0000-0000-000033860000}"/>
    <cellStyle name="Normal 74 5 5 2" xfId="25764" xr:uid="{00000000-0005-0000-0000-000034860000}"/>
    <cellStyle name="Normal 74 5 5 2 2" xfId="41200" xr:uid="{00000000-0005-0000-0000-000035860000}"/>
    <cellStyle name="Normal 74 5 5 3" xfId="44360" xr:uid="{00000000-0005-0000-0000-000036860000}"/>
    <cellStyle name="Normal 74 5 6" xfId="25735" xr:uid="{00000000-0005-0000-0000-000037860000}"/>
    <cellStyle name="Normal 74 5 6 2" xfId="41171" xr:uid="{00000000-0005-0000-0000-000038860000}"/>
    <cellStyle name="Normal 74 5 7" xfId="44331" xr:uid="{00000000-0005-0000-0000-000039860000}"/>
    <cellStyle name="Normal 74 6" xfId="2109" xr:uid="{00000000-0005-0000-0000-00003A860000}"/>
    <cellStyle name="Normal 74 6 2" xfId="2110" xr:uid="{00000000-0005-0000-0000-00003B860000}"/>
    <cellStyle name="Normal 74 6 2 2" xfId="2111" xr:uid="{00000000-0005-0000-0000-00003C860000}"/>
    <cellStyle name="Normal 74 6 2 2 2" xfId="25767" xr:uid="{00000000-0005-0000-0000-00003D860000}"/>
    <cellStyle name="Normal 74 6 2 2 2 2" xfId="41203" xr:uid="{00000000-0005-0000-0000-00003E860000}"/>
    <cellStyle name="Normal 74 6 2 2 3" xfId="44363" xr:uid="{00000000-0005-0000-0000-00003F860000}"/>
    <cellStyle name="Normal 74 6 2 3" xfId="25766" xr:uid="{00000000-0005-0000-0000-000040860000}"/>
    <cellStyle name="Normal 74 6 2 3 2" xfId="41202" xr:uid="{00000000-0005-0000-0000-000041860000}"/>
    <cellStyle name="Normal 74 6 2 4" xfId="44362" xr:uid="{00000000-0005-0000-0000-000042860000}"/>
    <cellStyle name="Normal 74 6 3" xfId="2112" xr:uid="{00000000-0005-0000-0000-000043860000}"/>
    <cellStyle name="Normal 74 6 3 2" xfId="25768" xr:uid="{00000000-0005-0000-0000-000044860000}"/>
    <cellStyle name="Normal 74 6 3 2 2" xfId="41204" xr:uid="{00000000-0005-0000-0000-000045860000}"/>
    <cellStyle name="Normal 74 6 3 3" xfId="44364" xr:uid="{00000000-0005-0000-0000-000046860000}"/>
    <cellStyle name="Normal 74 6 4" xfId="25765" xr:uid="{00000000-0005-0000-0000-000047860000}"/>
    <cellStyle name="Normal 74 6 4 2" xfId="41201" xr:uid="{00000000-0005-0000-0000-000048860000}"/>
    <cellStyle name="Normal 74 6 5" xfId="44361" xr:uid="{00000000-0005-0000-0000-000049860000}"/>
    <cellStyle name="Normal 74 7" xfId="2113" xr:uid="{00000000-0005-0000-0000-00004A860000}"/>
    <cellStyle name="Normal 74 7 2" xfId="2114" xr:uid="{00000000-0005-0000-0000-00004B860000}"/>
    <cellStyle name="Normal 74 7 2 2" xfId="2115" xr:uid="{00000000-0005-0000-0000-00004C860000}"/>
    <cellStyle name="Normal 74 7 2 2 2" xfId="2116" xr:uid="{00000000-0005-0000-0000-00004D860000}"/>
    <cellStyle name="Normal 74 7 2 2 2 2" xfId="25772" xr:uid="{00000000-0005-0000-0000-00004E860000}"/>
    <cellStyle name="Normal 74 7 2 2 2 2 2" xfId="41208" xr:uid="{00000000-0005-0000-0000-00004F860000}"/>
    <cellStyle name="Normal 74 7 2 2 2 3" xfId="44368" xr:uid="{00000000-0005-0000-0000-000050860000}"/>
    <cellStyle name="Normal 74 7 2 2 3" xfId="25771" xr:uid="{00000000-0005-0000-0000-000051860000}"/>
    <cellStyle name="Normal 74 7 2 2 3 2" xfId="41207" xr:uid="{00000000-0005-0000-0000-000052860000}"/>
    <cellStyle name="Normal 74 7 2 2 4" xfId="44367" xr:uid="{00000000-0005-0000-0000-000053860000}"/>
    <cellStyle name="Normal 74 7 2 3" xfId="2117" xr:uid="{00000000-0005-0000-0000-000054860000}"/>
    <cellStyle name="Normal 74 7 2 3 2" xfId="25773" xr:uid="{00000000-0005-0000-0000-000055860000}"/>
    <cellStyle name="Normal 74 7 2 3 2 2" xfId="41209" xr:uid="{00000000-0005-0000-0000-000056860000}"/>
    <cellStyle name="Normal 74 7 2 3 3" xfId="44369" xr:uid="{00000000-0005-0000-0000-000057860000}"/>
    <cellStyle name="Normal 74 7 2 4" xfId="25770" xr:uid="{00000000-0005-0000-0000-000058860000}"/>
    <cellStyle name="Normal 74 7 2 4 2" xfId="41206" xr:uid="{00000000-0005-0000-0000-000059860000}"/>
    <cellStyle name="Normal 74 7 2 5" xfId="44366" xr:uid="{00000000-0005-0000-0000-00005A860000}"/>
    <cellStyle name="Normal 74 7 3" xfId="2118" xr:uid="{00000000-0005-0000-0000-00005B860000}"/>
    <cellStyle name="Normal 74 7 3 2" xfId="2119" xr:uid="{00000000-0005-0000-0000-00005C860000}"/>
    <cellStyle name="Normal 74 7 3 2 2" xfId="25775" xr:uid="{00000000-0005-0000-0000-00005D860000}"/>
    <cellStyle name="Normal 74 7 3 2 2 2" xfId="41211" xr:uid="{00000000-0005-0000-0000-00005E860000}"/>
    <cellStyle name="Normal 74 7 3 2 3" xfId="44371" xr:uid="{00000000-0005-0000-0000-00005F860000}"/>
    <cellStyle name="Normal 74 7 3 3" xfId="25774" xr:uid="{00000000-0005-0000-0000-000060860000}"/>
    <cellStyle name="Normal 74 7 3 3 2" xfId="41210" xr:uid="{00000000-0005-0000-0000-000061860000}"/>
    <cellStyle name="Normal 74 7 3 4" xfId="44370" xr:uid="{00000000-0005-0000-0000-000062860000}"/>
    <cellStyle name="Normal 74 7 4" xfId="2120" xr:uid="{00000000-0005-0000-0000-000063860000}"/>
    <cellStyle name="Normal 74 7 4 2" xfId="2121" xr:uid="{00000000-0005-0000-0000-000064860000}"/>
    <cellStyle name="Normal 74 7 4 2 2" xfId="2122" xr:uid="{00000000-0005-0000-0000-000065860000}"/>
    <cellStyle name="Normal 74 7 4 2 2 2" xfId="25778" xr:uid="{00000000-0005-0000-0000-000066860000}"/>
    <cellStyle name="Normal 74 7 4 2 2 2 2" xfId="41214" xr:uid="{00000000-0005-0000-0000-000067860000}"/>
    <cellStyle name="Normal 74 7 4 2 2 3" xfId="44374" xr:uid="{00000000-0005-0000-0000-000068860000}"/>
    <cellStyle name="Normal 74 7 4 2 3" xfId="25777" xr:uid="{00000000-0005-0000-0000-000069860000}"/>
    <cellStyle name="Normal 74 7 4 2 3 2" xfId="41213" xr:uid="{00000000-0005-0000-0000-00006A860000}"/>
    <cellStyle name="Normal 74 7 4 2 4" xfId="44373" xr:uid="{00000000-0005-0000-0000-00006B860000}"/>
    <cellStyle name="Normal 74 7 4 3" xfId="2123" xr:uid="{00000000-0005-0000-0000-00006C860000}"/>
    <cellStyle name="Normal 74 7 4 3 2" xfId="2124" xr:uid="{00000000-0005-0000-0000-00006D860000}"/>
    <cellStyle name="Normal 74 7 4 3 2 2" xfId="2125" xr:uid="{00000000-0005-0000-0000-00006E860000}"/>
    <cellStyle name="Normal 74 7 4 3 2 2 2" xfId="25781" xr:uid="{00000000-0005-0000-0000-00006F860000}"/>
    <cellStyle name="Normal 74 7 4 3 2 2 2 2" xfId="41217" xr:uid="{00000000-0005-0000-0000-000070860000}"/>
    <cellStyle name="Normal 74 7 4 3 2 2 3" xfId="44377" xr:uid="{00000000-0005-0000-0000-000071860000}"/>
    <cellStyle name="Normal 74 7 4 3 2 3" xfId="25780" xr:uid="{00000000-0005-0000-0000-000072860000}"/>
    <cellStyle name="Normal 74 7 4 3 2 3 2" xfId="41216" xr:uid="{00000000-0005-0000-0000-000073860000}"/>
    <cellStyle name="Normal 74 7 4 3 2 4" xfId="44376" xr:uid="{00000000-0005-0000-0000-000074860000}"/>
    <cellStyle name="Normal 74 7 4 3 3" xfId="2126" xr:uid="{00000000-0005-0000-0000-000075860000}"/>
    <cellStyle name="Normal 74 7 4 3 3 2" xfId="25782" xr:uid="{00000000-0005-0000-0000-000076860000}"/>
    <cellStyle name="Normal 74 7 4 3 3 2 2" xfId="41218" xr:uid="{00000000-0005-0000-0000-000077860000}"/>
    <cellStyle name="Normal 74 7 4 3 3 3" xfId="44378" xr:uid="{00000000-0005-0000-0000-000078860000}"/>
    <cellStyle name="Normal 74 7 4 3 4" xfId="25779" xr:uid="{00000000-0005-0000-0000-000079860000}"/>
    <cellStyle name="Normal 74 7 4 3 4 2" xfId="41215" xr:uid="{00000000-0005-0000-0000-00007A860000}"/>
    <cellStyle name="Normal 74 7 4 3 5" xfId="44375" xr:uid="{00000000-0005-0000-0000-00007B860000}"/>
    <cellStyle name="Normal 74 7 4 4" xfId="2127" xr:uid="{00000000-0005-0000-0000-00007C860000}"/>
    <cellStyle name="Normal 74 7 4 4 2" xfId="25783" xr:uid="{00000000-0005-0000-0000-00007D860000}"/>
    <cellStyle name="Normal 74 7 4 4 2 2" xfId="41219" xr:uid="{00000000-0005-0000-0000-00007E860000}"/>
    <cellStyle name="Normal 74 7 4 4 3" xfId="44379" xr:uid="{00000000-0005-0000-0000-00007F860000}"/>
    <cellStyle name="Normal 74 7 4 5" xfId="2128" xr:uid="{00000000-0005-0000-0000-000080860000}"/>
    <cellStyle name="Normal 74 7 4 5 2" xfId="2129" xr:uid="{00000000-0005-0000-0000-000081860000}"/>
    <cellStyle name="Normal 74 7 4 5 2 2" xfId="25785" xr:uid="{00000000-0005-0000-0000-000082860000}"/>
    <cellStyle name="Normal 74 7 4 5 2 2 2" xfId="41221" xr:uid="{00000000-0005-0000-0000-000083860000}"/>
    <cellStyle name="Normal 74 7 4 5 2 3" xfId="44381" xr:uid="{00000000-0005-0000-0000-000084860000}"/>
    <cellStyle name="Normal 74 7 4 5 3" xfId="25784" xr:uid="{00000000-0005-0000-0000-000085860000}"/>
    <cellStyle name="Normal 74 7 4 5 3 2" xfId="41220" xr:uid="{00000000-0005-0000-0000-000086860000}"/>
    <cellStyle name="Normal 74 7 4 5 4" xfId="44380" xr:uid="{00000000-0005-0000-0000-000087860000}"/>
    <cellStyle name="Normal 74 7 4 6" xfId="25776" xr:uid="{00000000-0005-0000-0000-000088860000}"/>
    <cellStyle name="Normal 74 7 4 6 2" xfId="41212" xr:uid="{00000000-0005-0000-0000-000089860000}"/>
    <cellStyle name="Normal 74 7 4 7" xfId="44372" xr:uid="{00000000-0005-0000-0000-00008A860000}"/>
    <cellStyle name="Normal 74 7 5" xfId="2130" xr:uid="{00000000-0005-0000-0000-00008B860000}"/>
    <cellStyle name="Normal 74 7 5 2" xfId="25786" xr:uid="{00000000-0005-0000-0000-00008C860000}"/>
    <cellStyle name="Normal 74 7 5 2 2" xfId="41222" xr:uid="{00000000-0005-0000-0000-00008D860000}"/>
    <cellStyle name="Normal 74 7 5 3" xfId="44382" xr:uid="{00000000-0005-0000-0000-00008E860000}"/>
    <cellStyle name="Normal 74 7 6" xfId="25769" xr:uid="{00000000-0005-0000-0000-00008F860000}"/>
    <cellStyle name="Normal 74 7 6 2" xfId="41205" xr:uid="{00000000-0005-0000-0000-000090860000}"/>
    <cellStyle name="Normal 74 7 7" xfId="44365" xr:uid="{00000000-0005-0000-0000-000091860000}"/>
    <cellStyle name="Normal 74 8" xfId="2131" xr:uid="{00000000-0005-0000-0000-000092860000}"/>
    <cellStyle name="Normal 74 8 2" xfId="2132" xr:uid="{00000000-0005-0000-0000-000093860000}"/>
    <cellStyle name="Normal 74 8 2 2" xfId="2133" xr:uid="{00000000-0005-0000-0000-000094860000}"/>
    <cellStyle name="Normal 74 8 2 2 2" xfId="25789" xr:uid="{00000000-0005-0000-0000-000095860000}"/>
    <cellStyle name="Normal 74 8 2 2 2 2" xfId="41225" xr:uid="{00000000-0005-0000-0000-000096860000}"/>
    <cellStyle name="Normal 74 8 2 2 3" xfId="44385" xr:uid="{00000000-0005-0000-0000-000097860000}"/>
    <cellStyle name="Normal 74 8 2 3" xfId="25788" xr:uid="{00000000-0005-0000-0000-000098860000}"/>
    <cellStyle name="Normal 74 8 2 3 2" xfId="41224" xr:uid="{00000000-0005-0000-0000-000099860000}"/>
    <cellStyle name="Normal 74 8 2 4" xfId="44384" xr:uid="{00000000-0005-0000-0000-00009A860000}"/>
    <cellStyle name="Normal 74 8 3" xfId="2134" xr:uid="{00000000-0005-0000-0000-00009B860000}"/>
    <cellStyle name="Normal 74 8 3 2" xfId="25790" xr:uid="{00000000-0005-0000-0000-00009C860000}"/>
    <cellStyle name="Normal 74 8 3 2 2" xfId="41226" xr:uid="{00000000-0005-0000-0000-00009D860000}"/>
    <cellStyle name="Normal 74 8 3 3" xfId="44386" xr:uid="{00000000-0005-0000-0000-00009E860000}"/>
    <cellStyle name="Normal 74 8 4" xfId="25787" xr:uid="{00000000-0005-0000-0000-00009F860000}"/>
    <cellStyle name="Normal 74 8 4 2" xfId="41223" xr:uid="{00000000-0005-0000-0000-0000A0860000}"/>
    <cellStyle name="Normal 74 8 5" xfId="44383" xr:uid="{00000000-0005-0000-0000-0000A1860000}"/>
    <cellStyle name="Normal 74 9" xfId="25728" xr:uid="{00000000-0005-0000-0000-0000A2860000}"/>
    <cellStyle name="Normal 74 9 2" xfId="41164" xr:uid="{00000000-0005-0000-0000-0000A3860000}"/>
    <cellStyle name="Normal 75" xfId="2135" xr:uid="{00000000-0005-0000-0000-0000A4860000}"/>
    <cellStyle name="Normal 75 2" xfId="2136" xr:uid="{00000000-0005-0000-0000-0000A5860000}"/>
    <cellStyle name="Normal 75 2 2" xfId="25792" xr:uid="{00000000-0005-0000-0000-0000A6860000}"/>
    <cellStyle name="Normal 75 2 2 2" xfId="41227" xr:uid="{00000000-0005-0000-0000-0000A7860000}"/>
    <cellStyle name="Normal 75 2 3" xfId="44387" xr:uid="{00000000-0005-0000-0000-0000A8860000}"/>
    <cellStyle name="Normal 75 3" xfId="12850" xr:uid="{00000000-0005-0000-0000-0000A9860000}"/>
    <cellStyle name="Normal 75 4" xfId="25791" xr:uid="{00000000-0005-0000-0000-0000AA860000}"/>
    <cellStyle name="Normal 76" xfId="2137" xr:uid="{00000000-0005-0000-0000-0000AB860000}"/>
    <cellStyle name="Normal 76 2" xfId="2138" xr:uid="{00000000-0005-0000-0000-0000AC860000}"/>
    <cellStyle name="Normal 76 2 2" xfId="2139" xr:uid="{00000000-0005-0000-0000-0000AD860000}"/>
    <cellStyle name="Normal 76 2 2 2" xfId="2140" xr:uid="{00000000-0005-0000-0000-0000AE860000}"/>
    <cellStyle name="Normal 76 2 2 2 2" xfId="25796" xr:uid="{00000000-0005-0000-0000-0000AF860000}"/>
    <cellStyle name="Normal 76 2 2 2 2 2" xfId="41230" xr:uid="{00000000-0005-0000-0000-0000B0860000}"/>
    <cellStyle name="Normal 76 2 2 2 3" xfId="44390" xr:uid="{00000000-0005-0000-0000-0000B1860000}"/>
    <cellStyle name="Normal 76 2 2 3" xfId="25795" xr:uid="{00000000-0005-0000-0000-0000B2860000}"/>
    <cellStyle name="Normal 76 2 2 3 2" xfId="41229" xr:uid="{00000000-0005-0000-0000-0000B3860000}"/>
    <cellStyle name="Normal 76 2 2 4" xfId="44389" xr:uid="{00000000-0005-0000-0000-0000B4860000}"/>
    <cellStyle name="Normal 76 2 3" xfId="2141" xr:uid="{00000000-0005-0000-0000-0000B5860000}"/>
    <cellStyle name="Normal 76 2 3 2" xfId="25797" xr:uid="{00000000-0005-0000-0000-0000B6860000}"/>
    <cellStyle name="Normal 76 2 3 2 2" xfId="41231" xr:uid="{00000000-0005-0000-0000-0000B7860000}"/>
    <cellStyle name="Normal 76 2 3 3" xfId="44391" xr:uid="{00000000-0005-0000-0000-0000B8860000}"/>
    <cellStyle name="Normal 76 2 4" xfId="25794" xr:uid="{00000000-0005-0000-0000-0000B9860000}"/>
    <cellStyle name="Normal 76 2 4 2" xfId="41228" xr:uid="{00000000-0005-0000-0000-0000BA860000}"/>
    <cellStyle name="Normal 76 2 5" xfId="44388" xr:uid="{00000000-0005-0000-0000-0000BB860000}"/>
    <cellStyle name="Normal 76 3" xfId="2142" xr:uid="{00000000-0005-0000-0000-0000BC860000}"/>
    <cellStyle name="Normal 76 3 2" xfId="2143" xr:uid="{00000000-0005-0000-0000-0000BD860000}"/>
    <cellStyle name="Normal 76 3 2 2" xfId="2144" xr:uid="{00000000-0005-0000-0000-0000BE860000}"/>
    <cellStyle name="Normal 76 3 2 2 2" xfId="25800" xr:uid="{00000000-0005-0000-0000-0000BF860000}"/>
    <cellStyle name="Normal 76 3 2 2 2 2" xfId="41234" xr:uid="{00000000-0005-0000-0000-0000C0860000}"/>
    <cellStyle name="Normal 76 3 2 2 3" xfId="44394" xr:uid="{00000000-0005-0000-0000-0000C1860000}"/>
    <cellStyle name="Normal 76 3 2 3" xfId="25799" xr:uid="{00000000-0005-0000-0000-0000C2860000}"/>
    <cellStyle name="Normal 76 3 2 3 2" xfId="41233" xr:uid="{00000000-0005-0000-0000-0000C3860000}"/>
    <cellStyle name="Normal 76 3 2 4" xfId="44393" xr:uid="{00000000-0005-0000-0000-0000C4860000}"/>
    <cellStyle name="Normal 76 3 3" xfId="2145" xr:uid="{00000000-0005-0000-0000-0000C5860000}"/>
    <cellStyle name="Normal 76 3 3 2" xfId="2146" xr:uid="{00000000-0005-0000-0000-0000C6860000}"/>
    <cellStyle name="Normal 76 3 3 2 2" xfId="2147" xr:uid="{00000000-0005-0000-0000-0000C7860000}"/>
    <cellStyle name="Normal 76 3 3 2 2 2" xfId="25803" xr:uid="{00000000-0005-0000-0000-0000C8860000}"/>
    <cellStyle name="Normal 76 3 3 2 2 2 2" xfId="41237" xr:uid="{00000000-0005-0000-0000-0000C9860000}"/>
    <cellStyle name="Normal 76 3 3 2 2 3" xfId="44397" xr:uid="{00000000-0005-0000-0000-0000CA860000}"/>
    <cellStyle name="Normal 76 3 3 2 3" xfId="25802" xr:uid="{00000000-0005-0000-0000-0000CB860000}"/>
    <cellStyle name="Normal 76 3 3 2 3 2" xfId="41236" xr:uid="{00000000-0005-0000-0000-0000CC860000}"/>
    <cellStyle name="Normal 76 3 3 2 4" xfId="44396" xr:uid="{00000000-0005-0000-0000-0000CD860000}"/>
    <cellStyle name="Normal 76 3 3 3" xfId="2148" xr:uid="{00000000-0005-0000-0000-0000CE860000}"/>
    <cellStyle name="Normal 76 3 3 3 2" xfId="2149" xr:uid="{00000000-0005-0000-0000-0000CF860000}"/>
    <cellStyle name="Normal 76 3 3 3 2 2" xfId="25805" xr:uid="{00000000-0005-0000-0000-0000D0860000}"/>
    <cellStyle name="Normal 76 3 3 3 2 2 2" xfId="41239" xr:uid="{00000000-0005-0000-0000-0000D1860000}"/>
    <cellStyle name="Normal 76 3 3 3 2 3" xfId="44399" xr:uid="{00000000-0005-0000-0000-0000D2860000}"/>
    <cellStyle name="Normal 76 3 3 3 3" xfId="25804" xr:uid="{00000000-0005-0000-0000-0000D3860000}"/>
    <cellStyle name="Normal 76 3 3 3 3 2" xfId="41238" xr:uid="{00000000-0005-0000-0000-0000D4860000}"/>
    <cellStyle name="Normal 76 3 3 3 4" xfId="44398" xr:uid="{00000000-0005-0000-0000-0000D5860000}"/>
    <cellStyle name="Normal 76 3 3 4" xfId="2150" xr:uid="{00000000-0005-0000-0000-0000D6860000}"/>
    <cellStyle name="Normal 76 3 3 4 2" xfId="2151" xr:uid="{00000000-0005-0000-0000-0000D7860000}"/>
    <cellStyle name="Normal 76 3 3 4 2 2" xfId="2152" xr:uid="{00000000-0005-0000-0000-0000D8860000}"/>
    <cellStyle name="Normal 76 3 3 4 2 2 2" xfId="25808" xr:uid="{00000000-0005-0000-0000-0000D9860000}"/>
    <cellStyle name="Normal 76 3 3 4 2 2 2 2" xfId="41242" xr:uid="{00000000-0005-0000-0000-0000DA860000}"/>
    <cellStyle name="Normal 76 3 3 4 2 2 3" xfId="44402" xr:uid="{00000000-0005-0000-0000-0000DB860000}"/>
    <cellStyle name="Normal 76 3 3 4 2 3" xfId="25807" xr:uid="{00000000-0005-0000-0000-0000DC860000}"/>
    <cellStyle name="Normal 76 3 3 4 2 3 2" xfId="41241" xr:uid="{00000000-0005-0000-0000-0000DD860000}"/>
    <cellStyle name="Normal 76 3 3 4 2 4" xfId="44401" xr:uid="{00000000-0005-0000-0000-0000DE860000}"/>
    <cellStyle name="Normal 76 3 3 4 3" xfId="2153" xr:uid="{00000000-0005-0000-0000-0000DF860000}"/>
    <cellStyle name="Normal 76 3 3 4 3 2" xfId="2154" xr:uid="{00000000-0005-0000-0000-0000E0860000}"/>
    <cellStyle name="Normal 76 3 3 4 3 2 2" xfId="2155" xr:uid="{00000000-0005-0000-0000-0000E1860000}"/>
    <cellStyle name="Normal 76 3 3 4 3 2 2 2" xfId="25811" xr:uid="{00000000-0005-0000-0000-0000E2860000}"/>
    <cellStyle name="Normal 76 3 3 4 3 2 2 2 2" xfId="41245" xr:uid="{00000000-0005-0000-0000-0000E3860000}"/>
    <cellStyle name="Normal 76 3 3 4 3 2 2 3" xfId="44405" xr:uid="{00000000-0005-0000-0000-0000E4860000}"/>
    <cellStyle name="Normal 76 3 3 4 3 2 3" xfId="25810" xr:uid="{00000000-0005-0000-0000-0000E5860000}"/>
    <cellStyle name="Normal 76 3 3 4 3 2 3 2" xfId="41244" xr:uid="{00000000-0005-0000-0000-0000E6860000}"/>
    <cellStyle name="Normal 76 3 3 4 3 2 4" xfId="44404" xr:uid="{00000000-0005-0000-0000-0000E7860000}"/>
    <cellStyle name="Normal 76 3 3 4 3 3" xfId="2156" xr:uid="{00000000-0005-0000-0000-0000E8860000}"/>
    <cellStyle name="Normal 76 3 3 4 3 3 2" xfId="25812" xr:uid="{00000000-0005-0000-0000-0000E9860000}"/>
    <cellStyle name="Normal 76 3 3 4 3 3 2 2" xfId="41246" xr:uid="{00000000-0005-0000-0000-0000EA860000}"/>
    <cellStyle name="Normal 76 3 3 4 3 3 3" xfId="44406" xr:uid="{00000000-0005-0000-0000-0000EB860000}"/>
    <cellStyle name="Normal 76 3 3 4 3 4" xfId="25809" xr:uid="{00000000-0005-0000-0000-0000EC860000}"/>
    <cellStyle name="Normal 76 3 3 4 3 4 2" xfId="41243" xr:uid="{00000000-0005-0000-0000-0000ED860000}"/>
    <cellStyle name="Normal 76 3 3 4 3 5" xfId="44403" xr:uid="{00000000-0005-0000-0000-0000EE860000}"/>
    <cellStyle name="Normal 76 3 3 4 4" xfId="2157" xr:uid="{00000000-0005-0000-0000-0000EF860000}"/>
    <cellStyle name="Normal 76 3 3 4 4 2" xfId="25813" xr:uid="{00000000-0005-0000-0000-0000F0860000}"/>
    <cellStyle name="Normal 76 3 3 4 4 2 2" xfId="41247" xr:uid="{00000000-0005-0000-0000-0000F1860000}"/>
    <cellStyle name="Normal 76 3 3 4 4 3" xfId="44407" xr:uid="{00000000-0005-0000-0000-0000F2860000}"/>
    <cellStyle name="Normal 76 3 3 4 5" xfId="2158" xr:uid="{00000000-0005-0000-0000-0000F3860000}"/>
    <cellStyle name="Normal 76 3 3 4 5 2" xfId="2159" xr:uid="{00000000-0005-0000-0000-0000F4860000}"/>
    <cellStyle name="Normal 76 3 3 4 5 2 2" xfId="25815" xr:uid="{00000000-0005-0000-0000-0000F5860000}"/>
    <cellStyle name="Normal 76 3 3 4 5 2 2 2" xfId="41249" xr:uid="{00000000-0005-0000-0000-0000F6860000}"/>
    <cellStyle name="Normal 76 3 3 4 5 2 3" xfId="44409" xr:uid="{00000000-0005-0000-0000-0000F7860000}"/>
    <cellStyle name="Normal 76 3 3 4 5 3" xfId="25814" xr:uid="{00000000-0005-0000-0000-0000F8860000}"/>
    <cellStyle name="Normal 76 3 3 4 5 3 2" xfId="41248" xr:uid="{00000000-0005-0000-0000-0000F9860000}"/>
    <cellStyle name="Normal 76 3 3 4 5 4" xfId="44408" xr:uid="{00000000-0005-0000-0000-0000FA860000}"/>
    <cellStyle name="Normal 76 3 3 4 6" xfId="25806" xr:uid="{00000000-0005-0000-0000-0000FB860000}"/>
    <cellStyle name="Normal 76 3 3 4 6 2" xfId="41240" xr:uid="{00000000-0005-0000-0000-0000FC860000}"/>
    <cellStyle name="Normal 76 3 3 4 7" xfId="44400" xr:uid="{00000000-0005-0000-0000-0000FD860000}"/>
    <cellStyle name="Normal 76 3 3 5" xfId="2160" xr:uid="{00000000-0005-0000-0000-0000FE860000}"/>
    <cellStyle name="Normal 76 3 3 5 2" xfId="25816" xr:uid="{00000000-0005-0000-0000-0000FF860000}"/>
    <cellStyle name="Normal 76 3 3 5 2 2" xfId="41250" xr:uid="{00000000-0005-0000-0000-000000870000}"/>
    <cellStyle name="Normal 76 3 3 5 3" xfId="44410" xr:uid="{00000000-0005-0000-0000-000001870000}"/>
    <cellStyle name="Normal 76 3 3 6" xfId="25801" xr:uid="{00000000-0005-0000-0000-000002870000}"/>
    <cellStyle name="Normal 76 3 3 6 2" xfId="41235" xr:uid="{00000000-0005-0000-0000-000003870000}"/>
    <cellStyle name="Normal 76 3 3 7" xfId="44395" xr:uid="{00000000-0005-0000-0000-000004870000}"/>
    <cellStyle name="Normal 76 3 4" xfId="2161" xr:uid="{00000000-0005-0000-0000-000005870000}"/>
    <cellStyle name="Normal 76 3 4 2" xfId="2162" xr:uid="{00000000-0005-0000-0000-000006870000}"/>
    <cellStyle name="Normal 76 3 4 2 2" xfId="2163" xr:uid="{00000000-0005-0000-0000-000007870000}"/>
    <cellStyle name="Normal 76 3 4 2 2 2" xfId="25819" xr:uid="{00000000-0005-0000-0000-000008870000}"/>
    <cellStyle name="Normal 76 3 4 2 2 2 2" xfId="41253" xr:uid="{00000000-0005-0000-0000-000009870000}"/>
    <cellStyle name="Normal 76 3 4 2 2 3" xfId="44413" xr:uid="{00000000-0005-0000-0000-00000A870000}"/>
    <cellStyle name="Normal 76 3 4 2 3" xfId="25818" xr:uid="{00000000-0005-0000-0000-00000B870000}"/>
    <cellStyle name="Normal 76 3 4 2 3 2" xfId="41252" xr:uid="{00000000-0005-0000-0000-00000C870000}"/>
    <cellStyle name="Normal 76 3 4 2 4" xfId="44412" xr:uid="{00000000-0005-0000-0000-00000D870000}"/>
    <cellStyle name="Normal 76 3 4 3" xfId="2164" xr:uid="{00000000-0005-0000-0000-00000E870000}"/>
    <cellStyle name="Normal 76 3 4 3 2" xfId="2165" xr:uid="{00000000-0005-0000-0000-00000F870000}"/>
    <cellStyle name="Normal 76 3 4 3 2 2" xfId="2166" xr:uid="{00000000-0005-0000-0000-000010870000}"/>
    <cellStyle name="Normal 76 3 4 3 2 2 2" xfId="25822" xr:uid="{00000000-0005-0000-0000-000011870000}"/>
    <cellStyle name="Normal 76 3 4 3 2 2 2 2" xfId="41256" xr:uid="{00000000-0005-0000-0000-000012870000}"/>
    <cellStyle name="Normal 76 3 4 3 2 2 3" xfId="44416" xr:uid="{00000000-0005-0000-0000-000013870000}"/>
    <cellStyle name="Normal 76 3 4 3 2 3" xfId="25821" xr:uid="{00000000-0005-0000-0000-000014870000}"/>
    <cellStyle name="Normal 76 3 4 3 2 3 2" xfId="41255" xr:uid="{00000000-0005-0000-0000-000015870000}"/>
    <cellStyle name="Normal 76 3 4 3 2 4" xfId="44415" xr:uid="{00000000-0005-0000-0000-000016870000}"/>
    <cellStyle name="Normal 76 3 4 3 3" xfId="2167" xr:uid="{00000000-0005-0000-0000-000017870000}"/>
    <cellStyle name="Normal 76 3 4 3 3 2" xfId="25823" xr:uid="{00000000-0005-0000-0000-000018870000}"/>
    <cellStyle name="Normal 76 3 4 3 3 2 2" xfId="41257" xr:uid="{00000000-0005-0000-0000-000019870000}"/>
    <cellStyle name="Normal 76 3 4 3 3 3" xfId="44417" xr:uid="{00000000-0005-0000-0000-00001A870000}"/>
    <cellStyle name="Normal 76 3 4 3 4" xfId="25820" xr:uid="{00000000-0005-0000-0000-00001B870000}"/>
    <cellStyle name="Normal 76 3 4 3 4 2" xfId="41254" xr:uid="{00000000-0005-0000-0000-00001C870000}"/>
    <cellStyle name="Normal 76 3 4 3 5" xfId="44414" xr:uid="{00000000-0005-0000-0000-00001D870000}"/>
    <cellStyle name="Normal 76 3 4 4" xfId="2168" xr:uid="{00000000-0005-0000-0000-00001E870000}"/>
    <cellStyle name="Normal 76 3 4 4 2" xfId="25824" xr:uid="{00000000-0005-0000-0000-00001F870000}"/>
    <cellStyle name="Normal 76 3 4 4 2 2" xfId="41258" xr:uid="{00000000-0005-0000-0000-000020870000}"/>
    <cellStyle name="Normal 76 3 4 4 3" xfId="44418" xr:uid="{00000000-0005-0000-0000-000021870000}"/>
    <cellStyle name="Normal 76 3 4 5" xfId="2169" xr:uid="{00000000-0005-0000-0000-000022870000}"/>
    <cellStyle name="Normal 76 3 4 5 2" xfId="2170" xr:uid="{00000000-0005-0000-0000-000023870000}"/>
    <cellStyle name="Normal 76 3 4 5 2 2" xfId="25826" xr:uid="{00000000-0005-0000-0000-000024870000}"/>
    <cellStyle name="Normal 76 3 4 5 2 2 2" xfId="41260" xr:uid="{00000000-0005-0000-0000-000025870000}"/>
    <cellStyle name="Normal 76 3 4 5 2 3" xfId="44420" xr:uid="{00000000-0005-0000-0000-000026870000}"/>
    <cellStyle name="Normal 76 3 4 5 3" xfId="25825" xr:uid="{00000000-0005-0000-0000-000027870000}"/>
    <cellStyle name="Normal 76 3 4 5 3 2" xfId="41259" xr:uid="{00000000-0005-0000-0000-000028870000}"/>
    <cellStyle name="Normal 76 3 4 5 4" xfId="44419" xr:uid="{00000000-0005-0000-0000-000029870000}"/>
    <cellStyle name="Normal 76 3 4 6" xfId="25817" xr:uid="{00000000-0005-0000-0000-00002A870000}"/>
    <cellStyle name="Normal 76 3 4 6 2" xfId="41251" xr:uid="{00000000-0005-0000-0000-00002B870000}"/>
    <cellStyle name="Normal 76 3 4 7" xfId="44411" xr:uid="{00000000-0005-0000-0000-00002C870000}"/>
    <cellStyle name="Normal 76 3 5" xfId="2171" xr:uid="{00000000-0005-0000-0000-00002D870000}"/>
    <cellStyle name="Normal 76 3 5 2" xfId="25827" xr:uid="{00000000-0005-0000-0000-00002E870000}"/>
    <cellStyle name="Normal 76 3 5 2 2" xfId="41261" xr:uid="{00000000-0005-0000-0000-00002F870000}"/>
    <cellStyle name="Normal 76 3 5 3" xfId="44421" xr:uid="{00000000-0005-0000-0000-000030870000}"/>
    <cellStyle name="Normal 76 3 6" xfId="25798" xr:uid="{00000000-0005-0000-0000-000031870000}"/>
    <cellStyle name="Normal 76 3 6 2" xfId="41232" xr:uid="{00000000-0005-0000-0000-000032870000}"/>
    <cellStyle name="Normal 76 3 7" xfId="44392" xr:uid="{00000000-0005-0000-0000-000033870000}"/>
    <cellStyle name="Normal 76 4" xfId="2172" xr:uid="{00000000-0005-0000-0000-000034870000}"/>
    <cellStyle name="Normal 76 4 2" xfId="2173" xr:uid="{00000000-0005-0000-0000-000035870000}"/>
    <cellStyle name="Normal 76 4 2 2" xfId="2174" xr:uid="{00000000-0005-0000-0000-000036870000}"/>
    <cellStyle name="Normal 76 4 2 2 2" xfId="2175" xr:uid="{00000000-0005-0000-0000-000037870000}"/>
    <cellStyle name="Normal 76 4 2 2 2 2" xfId="25831" xr:uid="{00000000-0005-0000-0000-000038870000}"/>
    <cellStyle name="Normal 76 4 2 2 2 2 2" xfId="41265" xr:uid="{00000000-0005-0000-0000-000039870000}"/>
    <cellStyle name="Normal 76 4 2 2 2 3" xfId="44425" xr:uid="{00000000-0005-0000-0000-00003A870000}"/>
    <cellStyle name="Normal 76 4 2 2 3" xfId="25830" xr:uid="{00000000-0005-0000-0000-00003B870000}"/>
    <cellStyle name="Normal 76 4 2 2 3 2" xfId="41264" xr:uid="{00000000-0005-0000-0000-00003C870000}"/>
    <cellStyle name="Normal 76 4 2 2 4" xfId="44424" xr:uid="{00000000-0005-0000-0000-00003D870000}"/>
    <cellStyle name="Normal 76 4 2 3" xfId="2176" xr:uid="{00000000-0005-0000-0000-00003E870000}"/>
    <cellStyle name="Normal 76 4 2 3 2" xfId="25832" xr:uid="{00000000-0005-0000-0000-00003F870000}"/>
    <cellStyle name="Normal 76 4 2 3 2 2" xfId="41266" xr:uid="{00000000-0005-0000-0000-000040870000}"/>
    <cellStyle name="Normal 76 4 2 3 3" xfId="44426" xr:uid="{00000000-0005-0000-0000-000041870000}"/>
    <cellStyle name="Normal 76 4 2 4" xfId="25829" xr:uid="{00000000-0005-0000-0000-000042870000}"/>
    <cellStyle name="Normal 76 4 2 4 2" xfId="41263" xr:uid="{00000000-0005-0000-0000-000043870000}"/>
    <cellStyle name="Normal 76 4 2 5" xfId="44423" xr:uid="{00000000-0005-0000-0000-000044870000}"/>
    <cellStyle name="Normal 76 4 3" xfId="2177" xr:uid="{00000000-0005-0000-0000-000045870000}"/>
    <cellStyle name="Normal 76 4 3 2" xfId="2178" xr:uid="{00000000-0005-0000-0000-000046870000}"/>
    <cellStyle name="Normal 76 4 3 2 2" xfId="25834" xr:uid="{00000000-0005-0000-0000-000047870000}"/>
    <cellStyle name="Normal 76 4 3 2 2 2" xfId="41268" xr:uid="{00000000-0005-0000-0000-000048870000}"/>
    <cellStyle name="Normal 76 4 3 2 3" xfId="44428" xr:uid="{00000000-0005-0000-0000-000049870000}"/>
    <cellStyle name="Normal 76 4 3 3" xfId="25833" xr:uid="{00000000-0005-0000-0000-00004A870000}"/>
    <cellStyle name="Normal 76 4 3 3 2" xfId="41267" xr:uid="{00000000-0005-0000-0000-00004B870000}"/>
    <cellStyle name="Normal 76 4 3 4" xfId="44427" xr:uid="{00000000-0005-0000-0000-00004C870000}"/>
    <cellStyle name="Normal 76 4 4" xfId="2179" xr:uid="{00000000-0005-0000-0000-00004D870000}"/>
    <cellStyle name="Normal 76 4 4 2" xfId="2180" xr:uid="{00000000-0005-0000-0000-00004E870000}"/>
    <cellStyle name="Normal 76 4 4 2 2" xfId="2181" xr:uid="{00000000-0005-0000-0000-00004F870000}"/>
    <cellStyle name="Normal 76 4 4 2 2 2" xfId="25837" xr:uid="{00000000-0005-0000-0000-000050870000}"/>
    <cellStyle name="Normal 76 4 4 2 2 2 2" xfId="41271" xr:uid="{00000000-0005-0000-0000-000051870000}"/>
    <cellStyle name="Normal 76 4 4 2 2 3" xfId="44431" xr:uid="{00000000-0005-0000-0000-000052870000}"/>
    <cellStyle name="Normal 76 4 4 2 3" xfId="25836" xr:uid="{00000000-0005-0000-0000-000053870000}"/>
    <cellStyle name="Normal 76 4 4 2 3 2" xfId="41270" xr:uid="{00000000-0005-0000-0000-000054870000}"/>
    <cellStyle name="Normal 76 4 4 2 4" xfId="44430" xr:uid="{00000000-0005-0000-0000-000055870000}"/>
    <cellStyle name="Normal 76 4 4 3" xfId="2182" xr:uid="{00000000-0005-0000-0000-000056870000}"/>
    <cellStyle name="Normal 76 4 4 3 2" xfId="2183" xr:uid="{00000000-0005-0000-0000-000057870000}"/>
    <cellStyle name="Normal 76 4 4 3 2 2" xfId="2184" xr:uid="{00000000-0005-0000-0000-000058870000}"/>
    <cellStyle name="Normal 76 4 4 3 2 2 2" xfId="25840" xr:uid="{00000000-0005-0000-0000-000059870000}"/>
    <cellStyle name="Normal 76 4 4 3 2 2 2 2" xfId="41274" xr:uid="{00000000-0005-0000-0000-00005A870000}"/>
    <cellStyle name="Normal 76 4 4 3 2 2 3" xfId="44434" xr:uid="{00000000-0005-0000-0000-00005B870000}"/>
    <cellStyle name="Normal 76 4 4 3 2 3" xfId="25839" xr:uid="{00000000-0005-0000-0000-00005C870000}"/>
    <cellStyle name="Normal 76 4 4 3 2 3 2" xfId="41273" xr:uid="{00000000-0005-0000-0000-00005D870000}"/>
    <cellStyle name="Normal 76 4 4 3 2 4" xfId="44433" xr:uid="{00000000-0005-0000-0000-00005E870000}"/>
    <cellStyle name="Normal 76 4 4 3 3" xfId="2185" xr:uid="{00000000-0005-0000-0000-00005F870000}"/>
    <cellStyle name="Normal 76 4 4 3 3 2" xfId="25841" xr:uid="{00000000-0005-0000-0000-000060870000}"/>
    <cellStyle name="Normal 76 4 4 3 3 2 2" xfId="41275" xr:uid="{00000000-0005-0000-0000-000061870000}"/>
    <cellStyle name="Normal 76 4 4 3 3 3" xfId="44435" xr:uid="{00000000-0005-0000-0000-000062870000}"/>
    <cellStyle name="Normal 76 4 4 3 4" xfId="25838" xr:uid="{00000000-0005-0000-0000-000063870000}"/>
    <cellStyle name="Normal 76 4 4 3 4 2" xfId="41272" xr:uid="{00000000-0005-0000-0000-000064870000}"/>
    <cellStyle name="Normal 76 4 4 3 5" xfId="44432" xr:uid="{00000000-0005-0000-0000-000065870000}"/>
    <cellStyle name="Normal 76 4 4 4" xfId="2186" xr:uid="{00000000-0005-0000-0000-000066870000}"/>
    <cellStyle name="Normal 76 4 4 4 2" xfId="25842" xr:uid="{00000000-0005-0000-0000-000067870000}"/>
    <cellStyle name="Normal 76 4 4 4 2 2" xfId="41276" xr:uid="{00000000-0005-0000-0000-000068870000}"/>
    <cellStyle name="Normal 76 4 4 4 3" xfId="44436" xr:uid="{00000000-0005-0000-0000-000069870000}"/>
    <cellStyle name="Normal 76 4 4 5" xfId="2187" xr:uid="{00000000-0005-0000-0000-00006A870000}"/>
    <cellStyle name="Normal 76 4 4 5 2" xfId="2188" xr:uid="{00000000-0005-0000-0000-00006B870000}"/>
    <cellStyle name="Normal 76 4 4 5 2 2" xfId="25844" xr:uid="{00000000-0005-0000-0000-00006C870000}"/>
    <cellStyle name="Normal 76 4 4 5 2 2 2" xfId="41278" xr:uid="{00000000-0005-0000-0000-00006D870000}"/>
    <cellStyle name="Normal 76 4 4 5 2 3" xfId="44438" xr:uid="{00000000-0005-0000-0000-00006E870000}"/>
    <cellStyle name="Normal 76 4 4 5 3" xfId="25843" xr:uid="{00000000-0005-0000-0000-00006F870000}"/>
    <cellStyle name="Normal 76 4 4 5 3 2" xfId="41277" xr:uid="{00000000-0005-0000-0000-000070870000}"/>
    <cellStyle name="Normal 76 4 4 5 4" xfId="44437" xr:uid="{00000000-0005-0000-0000-000071870000}"/>
    <cellStyle name="Normal 76 4 4 6" xfId="25835" xr:uid="{00000000-0005-0000-0000-000072870000}"/>
    <cellStyle name="Normal 76 4 4 6 2" xfId="41269" xr:uid="{00000000-0005-0000-0000-000073870000}"/>
    <cellStyle name="Normal 76 4 4 7" xfId="44429" xr:uid="{00000000-0005-0000-0000-000074870000}"/>
    <cellStyle name="Normal 76 4 5" xfId="2189" xr:uid="{00000000-0005-0000-0000-000075870000}"/>
    <cellStyle name="Normal 76 4 5 2" xfId="25845" xr:uid="{00000000-0005-0000-0000-000076870000}"/>
    <cellStyle name="Normal 76 4 5 2 2" xfId="41279" xr:uid="{00000000-0005-0000-0000-000077870000}"/>
    <cellStyle name="Normal 76 4 5 3" xfId="44439" xr:uid="{00000000-0005-0000-0000-000078870000}"/>
    <cellStyle name="Normal 76 4 6" xfId="25828" xr:uid="{00000000-0005-0000-0000-000079870000}"/>
    <cellStyle name="Normal 76 4 6 2" xfId="41262" xr:uid="{00000000-0005-0000-0000-00007A870000}"/>
    <cellStyle name="Normal 76 4 7" xfId="44422" xr:uid="{00000000-0005-0000-0000-00007B870000}"/>
    <cellStyle name="Normal 76 5" xfId="2190" xr:uid="{00000000-0005-0000-0000-00007C870000}"/>
    <cellStyle name="Normal 76 5 2" xfId="2191" xr:uid="{00000000-0005-0000-0000-00007D870000}"/>
    <cellStyle name="Normal 76 5 2 2" xfId="2192" xr:uid="{00000000-0005-0000-0000-00007E870000}"/>
    <cellStyle name="Normal 76 5 2 2 2" xfId="25848" xr:uid="{00000000-0005-0000-0000-00007F870000}"/>
    <cellStyle name="Normal 76 5 2 2 2 2" xfId="41282" xr:uid="{00000000-0005-0000-0000-000080870000}"/>
    <cellStyle name="Normal 76 5 2 2 3" xfId="44442" xr:uid="{00000000-0005-0000-0000-000081870000}"/>
    <cellStyle name="Normal 76 5 2 3" xfId="25847" xr:uid="{00000000-0005-0000-0000-000082870000}"/>
    <cellStyle name="Normal 76 5 2 3 2" xfId="41281" xr:uid="{00000000-0005-0000-0000-000083870000}"/>
    <cellStyle name="Normal 76 5 2 4" xfId="44441" xr:uid="{00000000-0005-0000-0000-000084870000}"/>
    <cellStyle name="Normal 76 5 3" xfId="2193" xr:uid="{00000000-0005-0000-0000-000085870000}"/>
    <cellStyle name="Normal 76 5 3 2" xfId="25849" xr:uid="{00000000-0005-0000-0000-000086870000}"/>
    <cellStyle name="Normal 76 5 3 2 2" xfId="41283" xr:uid="{00000000-0005-0000-0000-000087870000}"/>
    <cellStyle name="Normal 76 5 3 3" xfId="44443" xr:uid="{00000000-0005-0000-0000-000088870000}"/>
    <cellStyle name="Normal 76 5 4" xfId="25846" xr:uid="{00000000-0005-0000-0000-000089870000}"/>
    <cellStyle name="Normal 76 5 4 2" xfId="41280" xr:uid="{00000000-0005-0000-0000-00008A870000}"/>
    <cellStyle name="Normal 76 5 5" xfId="44440" xr:uid="{00000000-0005-0000-0000-00008B870000}"/>
    <cellStyle name="Normal 76 6" xfId="2194" xr:uid="{00000000-0005-0000-0000-00008C870000}"/>
    <cellStyle name="Normal 76 6 2" xfId="25850" xr:uid="{00000000-0005-0000-0000-00008D870000}"/>
    <cellStyle name="Normal 76 6 2 2" xfId="41284" xr:uid="{00000000-0005-0000-0000-00008E870000}"/>
    <cellStyle name="Normal 76 6 3" xfId="44444" xr:uid="{00000000-0005-0000-0000-00008F870000}"/>
    <cellStyle name="Normal 76 7" xfId="12851" xr:uid="{00000000-0005-0000-0000-000090870000}"/>
    <cellStyle name="Normal 76 8" xfId="25793" xr:uid="{00000000-0005-0000-0000-000091870000}"/>
    <cellStyle name="Normal 77" xfId="2195" xr:uid="{00000000-0005-0000-0000-000092870000}"/>
    <cellStyle name="Normal 77 2" xfId="2196" xr:uid="{00000000-0005-0000-0000-000093870000}"/>
    <cellStyle name="Normal 77 2 2" xfId="12852" xr:uid="{00000000-0005-0000-0000-000094870000}"/>
    <cellStyle name="Normal 77 2 2 2" xfId="25853" xr:uid="{00000000-0005-0000-0000-000095870000}"/>
    <cellStyle name="Normal 77 2 2 2 2" xfId="41287" xr:uid="{00000000-0005-0000-0000-000096870000}"/>
    <cellStyle name="Normal 77 2 2 3" xfId="44447" xr:uid="{00000000-0005-0000-0000-000097870000}"/>
    <cellStyle name="Normal 77 2 3" xfId="25852" xr:uid="{00000000-0005-0000-0000-000098870000}"/>
    <cellStyle name="Normal 77 2 3 2" xfId="41286" xr:uid="{00000000-0005-0000-0000-000099870000}"/>
    <cellStyle name="Normal 77 2 4" xfId="44446" xr:uid="{00000000-0005-0000-0000-00009A870000}"/>
    <cellStyle name="Normal 77 3" xfId="2197" xr:uid="{00000000-0005-0000-0000-00009B870000}"/>
    <cellStyle name="Normal 77 3 2" xfId="2198" xr:uid="{00000000-0005-0000-0000-00009C870000}"/>
    <cellStyle name="Normal 77 3 2 2" xfId="12853" xr:uid="{00000000-0005-0000-0000-00009D870000}"/>
    <cellStyle name="Normal 77 3 2 2 2" xfId="25856" xr:uid="{00000000-0005-0000-0000-00009E870000}"/>
    <cellStyle name="Normal 77 3 2 2 2 2" xfId="41290" xr:uid="{00000000-0005-0000-0000-00009F870000}"/>
    <cellStyle name="Normal 77 3 2 2 3" xfId="44450" xr:uid="{00000000-0005-0000-0000-0000A0870000}"/>
    <cellStyle name="Normal 77 3 2 3" xfId="25855" xr:uid="{00000000-0005-0000-0000-0000A1870000}"/>
    <cellStyle name="Normal 77 3 2 3 2" xfId="41289" xr:uid="{00000000-0005-0000-0000-0000A2870000}"/>
    <cellStyle name="Normal 77 3 2 4" xfId="44449" xr:uid="{00000000-0005-0000-0000-0000A3870000}"/>
    <cellStyle name="Normal 77 3 3" xfId="2199" xr:uid="{00000000-0005-0000-0000-0000A4870000}"/>
    <cellStyle name="Normal 77 3 3 2" xfId="12854" xr:uid="{00000000-0005-0000-0000-0000A5870000}"/>
    <cellStyle name="Normal 77 3 3 2 2" xfId="25858" xr:uid="{00000000-0005-0000-0000-0000A6870000}"/>
    <cellStyle name="Normal 77 3 3 2 2 2" xfId="41292" xr:uid="{00000000-0005-0000-0000-0000A7870000}"/>
    <cellStyle name="Normal 77 3 3 2 3" xfId="44452" xr:uid="{00000000-0005-0000-0000-0000A8870000}"/>
    <cellStyle name="Normal 77 3 3 3" xfId="25857" xr:uid="{00000000-0005-0000-0000-0000A9870000}"/>
    <cellStyle name="Normal 77 3 3 3 2" xfId="41291" xr:uid="{00000000-0005-0000-0000-0000AA870000}"/>
    <cellStyle name="Normal 77 3 3 4" xfId="44451" xr:uid="{00000000-0005-0000-0000-0000AB870000}"/>
    <cellStyle name="Normal 77 3 4" xfId="2200" xr:uid="{00000000-0005-0000-0000-0000AC870000}"/>
    <cellStyle name="Normal 77 3 4 2" xfId="2201" xr:uid="{00000000-0005-0000-0000-0000AD870000}"/>
    <cellStyle name="Normal 77 3 4 2 2" xfId="12855" xr:uid="{00000000-0005-0000-0000-0000AE870000}"/>
    <cellStyle name="Normal 77 3 4 2 2 2" xfId="25861" xr:uid="{00000000-0005-0000-0000-0000AF870000}"/>
    <cellStyle name="Normal 77 3 4 2 2 2 2" xfId="41295" xr:uid="{00000000-0005-0000-0000-0000B0870000}"/>
    <cellStyle name="Normal 77 3 4 2 2 3" xfId="44455" xr:uid="{00000000-0005-0000-0000-0000B1870000}"/>
    <cellStyle name="Normal 77 3 4 2 3" xfId="25860" xr:uid="{00000000-0005-0000-0000-0000B2870000}"/>
    <cellStyle name="Normal 77 3 4 2 3 2" xfId="41294" xr:uid="{00000000-0005-0000-0000-0000B3870000}"/>
    <cellStyle name="Normal 77 3 4 2 4" xfId="44454" xr:uid="{00000000-0005-0000-0000-0000B4870000}"/>
    <cellStyle name="Normal 77 3 4 3" xfId="2202" xr:uid="{00000000-0005-0000-0000-0000B5870000}"/>
    <cellStyle name="Normal 77 3 4 3 2" xfId="2203" xr:uid="{00000000-0005-0000-0000-0000B6870000}"/>
    <cellStyle name="Normal 77 3 4 3 2 2" xfId="12856" xr:uid="{00000000-0005-0000-0000-0000B7870000}"/>
    <cellStyle name="Normal 77 3 4 3 2 2 2" xfId="25864" xr:uid="{00000000-0005-0000-0000-0000B8870000}"/>
    <cellStyle name="Normal 77 3 4 3 2 2 2 2" xfId="41298" xr:uid="{00000000-0005-0000-0000-0000B9870000}"/>
    <cellStyle name="Normal 77 3 4 3 2 2 3" xfId="44458" xr:uid="{00000000-0005-0000-0000-0000BA870000}"/>
    <cellStyle name="Normal 77 3 4 3 2 3" xfId="25863" xr:uid="{00000000-0005-0000-0000-0000BB870000}"/>
    <cellStyle name="Normal 77 3 4 3 2 3 2" xfId="41297" xr:uid="{00000000-0005-0000-0000-0000BC870000}"/>
    <cellStyle name="Normal 77 3 4 3 2 4" xfId="44457" xr:uid="{00000000-0005-0000-0000-0000BD870000}"/>
    <cellStyle name="Normal 77 3 4 3 3" xfId="2204" xr:uid="{00000000-0005-0000-0000-0000BE870000}"/>
    <cellStyle name="Normal 77 3 4 3 3 2" xfId="25865" xr:uid="{00000000-0005-0000-0000-0000BF870000}"/>
    <cellStyle name="Normal 77 3 4 3 3 2 2" xfId="41299" xr:uid="{00000000-0005-0000-0000-0000C0870000}"/>
    <cellStyle name="Normal 77 3 4 3 3 3" xfId="44459" xr:uid="{00000000-0005-0000-0000-0000C1870000}"/>
    <cellStyle name="Normal 77 3 4 3 4" xfId="25862" xr:uid="{00000000-0005-0000-0000-0000C2870000}"/>
    <cellStyle name="Normal 77 3 4 3 4 2" xfId="41296" xr:uid="{00000000-0005-0000-0000-0000C3870000}"/>
    <cellStyle name="Normal 77 3 4 3 5" xfId="44456" xr:uid="{00000000-0005-0000-0000-0000C4870000}"/>
    <cellStyle name="Normal 77 3 4 4" xfId="2205" xr:uid="{00000000-0005-0000-0000-0000C5870000}"/>
    <cellStyle name="Normal 77 3 4 4 2" xfId="2206" xr:uid="{00000000-0005-0000-0000-0000C6870000}"/>
    <cellStyle name="Normal 77 3 4 4 2 2" xfId="25867" xr:uid="{00000000-0005-0000-0000-0000C7870000}"/>
    <cellStyle name="Normal 77 3 4 4 2 2 2" xfId="41301" xr:uid="{00000000-0005-0000-0000-0000C8870000}"/>
    <cellStyle name="Normal 77 3 4 4 2 3" xfId="44461" xr:uid="{00000000-0005-0000-0000-0000C9870000}"/>
    <cellStyle name="Normal 77 3 4 4 3" xfId="25866" xr:uid="{00000000-0005-0000-0000-0000CA870000}"/>
    <cellStyle name="Normal 77 3 4 4 3 2" xfId="41300" xr:uid="{00000000-0005-0000-0000-0000CB870000}"/>
    <cellStyle name="Normal 77 3 4 4 4" xfId="44460" xr:uid="{00000000-0005-0000-0000-0000CC870000}"/>
    <cellStyle name="Normal 77 3 4 5" xfId="25859" xr:uid="{00000000-0005-0000-0000-0000CD870000}"/>
    <cellStyle name="Normal 77 3 4 5 2" xfId="41293" xr:uid="{00000000-0005-0000-0000-0000CE870000}"/>
    <cellStyle name="Normal 77 3 4 6" xfId="44453" xr:uid="{00000000-0005-0000-0000-0000CF870000}"/>
    <cellStyle name="Normal 77 3 5" xfId="25854" xr:uid="{00000000-0005-0000-0000-0000D0870000}"/>
    <cellStyle name="Normal 77 3 5 2" xfId="41288" xr:uid="{00000000-0005-0000-0000-0000D1870000}"/>
    <cellStyle name="Normal 77 3 6" xfId="44448" xr:uid="{00000000-0005-0000-0000-0000D2870000}"/>
    <cellStyle name="Normal 77 4" xfId="2207" xr:uid="{00000000-0005-0000-0000-0000D3870000}"/>
    <cellStyle name="Normal 77 4 2" xfId="2208" xr:uid="{00000000-0005-0000-0000-0000D4870000}"/>
    <cellStyle name="Normal 77 4 2 2" xfId="12857" xr:uid="{00000000-0005-0000-0000-0000D5870000}"/>
    <cellStyle name="Normal 77 4 2 2 2" xfId="25870" xr:uid="{00000000-0005-0000-0000-0000D6870000}"/>
    <cellStyle name="Normal 77 4 2 2 2 2" xfId="41304" xr:uid="{00000000-0005-0000-0000-0000D7870000}"/>
    <cellStyle name="Normal 77 4 2 2 3" xfId="44464" xr:uid="{00000000-0005-0000-0000-0000D8870000}"/>
    <cellStyle name="Normal 77 4 2 3" xfId="25869" xr:uid="{00000000-0005-0000-0000-0000D9870000}"/>
    <cellStyle name="Normal 77 4 2 3 2" xfId="41303" xr:uid="{00000000-0005-0000-0000-0000DA870000}"/>
    <cellStyle name="Normal 77 4 2 4" xfId="44463" xr:uid="{00000000-0005-0000-0000-0000DB870000}"/>
    <cellStyle name="Normal 77 4 3" xfId="2209" xr:uid="{00000000-0005-0000-0000-0000DC870000}"/>
    <cellStyle name="Normal 77 4 3 2" xfId="2210" xr:uid="{00000000-0005-0000-0000-0000DD870000}"/>
    <cellStyle name="Normal 77 4 3 2 2" xfId="12858" xr:uid="{00000000-0005-0000-0000-0000DE870000}"/>
    <cellStyle name="Normal 77 4 3 2 2 2" xfId="25873" xr:uid="{00000000-0005-0000-0000-0000DF870000}"/>
    <cellStyle name="Normal 77 4 3 2 2 2 2" xfId="41307" xr:uid="{00000000-0005-0000-0000-0000E0870000}"/>
    <cellStyle name="Normal 77 4 3 2 2 3" xfId="44467" xr:uid="{00000000-0005-0000-0000-0000E1870000}"/>
    <cellStyle name="Normal 77 4 3 2 3" xfId="25872" xr:uid="{00000000-0005-0000-0000-0000E2870000}"/>
    <cellStyle name="Normal 77 4 3 2 3 2" xfId="41306" xr:uid="{00000000-0005-0000-0000-0000E3870000}"/>
    <cellStyle name="Normal 77 4 3 2 4" xfId="44466" xr:uid="{00000000-0005-0000-0000-0000E4870000}"/>
    <cellStyle name="Normal 77 4 3 3" xfId="2211" xr:uid="{00000000-0005-0000-0000-0000E5870000}"/>
    <cellStyle name="Normal 77 4 3 3 2" xfId="25874" xr:uid="{00000000-0005-0000-0000-0000E6870000}"/>
    <cellStyle name="Normal 77 4 3 3 2 2" xfId="41308" xr:uid="{00000000-0005-0000-0000-0000E7870000}"/>
    <cellStyle name="Normal 77 4 3 3 3" xfId="44468" xr:uid="{00000000-0005-0000-0000-0000E8870000}"/>
    <cellStyle name="Normal 77 4 3 4" xfId="25871" xr:uid="{00000000-0005-0000-0000-0000E9870000}"/>
    <cellStyle name="Normal 77 4 3 4 2" xfId="41305" xr:uid="{00000000-0005-0000-0000-0000EA870000}"/>
    <cellStyle name="Normal 77 4 3 5" xfId="44465" xr:uid="{00000000-0005-0000-0000-0000EB870000}"/>
    <cellStyle name="Normal 77 4 4" xfId="2212" xr:uid="{00000000-0005-0000-0000-0000EC870000}"/>
    <cellStyle name="Normal 77 4 4 2" xfId="2213" xr:uid="{00000000-0005-0000-0000-0000ED870000}"/>
    <cellStyle name="Normal 77 4 4 2 2" xfId="25876" xr:uid="{00000000-0005-0000-0000-0000EE870000}"/>
    <cellStyle name="Normal 77 4 4 2 2 2" xfId="41310" xr:uid="{00000000-0005-0000-0000-0000EF870000}"/>
    <cellStyle name="Normal 77 4 4 2 3" xfId="44470" xr:uid="{00000000-0005-0000-0000-0000F0870000}"/>
    <cellStyle name="Normal 77 4 4 3" xfId="25875" xr:uid="{00000000-0005-0000-0000-0000F1870000}"/>
    <cellStyle name="Normal 77 4 4 3 2" xfId="41309" xr:uid="{00000000-0005-0000-0000-0000F2870000}"/>
    <cellStyle name="Normal 77 4 4 4" xfId="44469" xr:uid="{00000000-0005-0000-0000-0000F3870000}"/>
    <cellStyle name="Normal 77 4 5" xfId="25868" xr:uid="{00000000-0005-0000-0000-0000F4870000}"/>
    <cellStyle name="Normal 77 4 5 2" xfId="41302" xr:uid="{00000000-0005-0000-0000-0000F5870000}"/>
    <cellStyle name="Normal 77 4 6" xfId="44462" xr:uid="{00000000-0005-0000-0000-0000F6870000}"/>
    <cellStyle name="Normal 77 5" xfId="25851" xr:uid="{00000000-0005-0000-0000-0000F7870000}"/>
    <cellStyle name="Normal 77 5 2" xfId="41285" xr:uid="{00000000-0005-0000-0000-0000F8870000}"/>
    <cellStyle name="Normal 77 6" xfId="44445" xr:uid="{00000000-0005-0000-0000-0000F9870000}"/>
    <cellStyle name="Normal 78" xfId="2214" xr:uid="{00000000-0005-0000-0000-0000FA870000}"/>
    <cellStyle name="Normal 78 2" xfId="2215" xr:uid="{00000000-0005-0000-0000-0000FB870000}"/>
    <cellStyle name="Normal 78 2 2" xfId="12859" xr:uid="{00000000-0005-0000-0000-0000FC870000}"/>
    <cellStyle name="Normal 78 2 2 2" xfId="25879" xr:uid="{00000000-0005-0000-0000-0000FD870000}"/>
    <cellStyle name="Normal 78 2 2 2 2" xfId="41313" xr:uid="{00000000-0005-0000-0000-0000FE870000}"/>
    <cellStyle name="Normal 78 2 2 3" xfId="44473" xr:uid="{00000000-0005-0000-0000-0000FF870000}"/>
    <cellStyle name="Normal 78 2 3" xfId="25878" xr:uid="{00000000-0005-0000-0000-000000880000}"/>
    <cellStyle name="Normal 78 2 3 2" xfId="41312" xr:uid="{00000000-0005-0000-0000-000001880000}"/>
    <cellStyle name="Normal 78 2 4" xfId="44472" xr:uid="{00000000-0005-0000-0000-000002880000}"/>
    <cellStyle name="Normal 78 3" xfId="12860" xr:uid="{00000000-0005-0000-0000-000003880000}"/>
    <cellStyle name="Normal 78 3 2" xfId="25880" xr:uid="{00000000-0005-0000-0000-000004880000}"/>
    <cellStyle name="Normal 78 3 2 2" xfId="41314" xr:uid="{00000000-0005-0000-0000-000005880000}"/>
    <cellStyle name="Normal 78 3 3" xfId="44474" xr:uid="{00000000-0005-0000-0000-000006880000}"/>
    <cellStyle name="Normal 78 4" xfId="25877" xr:uid="{00000000-0005-0000-0000-000007880000}"/>
    <cellStyle name="Normal 78 4 2" xfId="41311" xr:uid="{00000000-0005-0000-0000-000008880000}"/>
    <cellStyle name="Normal 78 5" xfId="44471" xr:uid="{00000000-0005-0000-0000-000009880000}"/>
    <cellStyle name="Normal 79" xfId="2216" xr:uid="{00000000-0005-0000-0000-00000A880000}"/>
    <cellStyle name="Normal 79 2" xfId="2217" xr:uid="{00000000-0005-0000-0000-00000B880000}"/>
    <cellStyle name="Normal 79 2 2" xfId="2218" xr:uid="{00000000-0005-0000-0000-00000C880000}"/>
    <cellStyle name="Normal 79 2 2 2" xfId="12862" xr:uid="{00000000-0005-0000-0000-00000D880000}"/>
    <cellStyle name="Normal 79 2 2 2 2" xfId="25884" xr:uid="{00000000-0005-0000-0000-00000E880000}"/>
    <cellStyle name="Normal 79 2 2 2 2 2" xfId="41318" xr:uid="{00000000-0005-0000-0000-00000F880000}"/>
    <cellStyle name="Normal 79 2 2 2 3" xfId="44478" xr:uid="{00000000-0005-0000-0000-000010880000}"/>
    <cellStyle name="Normal 79 2 2 3" xfId="25883" xr:uid="{00000000-0005-0000-0000-000011880000}"/>
    <cellStyle name="Normal 79 2 2 3 2" xfId="41317" xr:uid="{00000000-0005-0000-0000-000012880000}"/>
    <cellStyle name="Normal 79 2 2 4" xfId="44477" xr:uid="{00000000-0005-0000-0000-000013880000}"/>
    <cellStyle name="Normal 79 2 3" xfId="12863" xr:uid="{00000000-0005-0000-0000-000014880000}"/>
    <cellStyle name="Normal 79 2 3 2" xfId="25885" xr:uid="{00000000-0005-0000-0000-000015880000}"/>
    <cellStyle name="Normal 79 2 3 2 2" xfId="41319" xr:uid="{00000000-0005-0000-0000-000016880000}"/>
    <cellStyle name="Normal 79 2 3 3" xfId="44479" xr:uid="{00000000-0005-0000-0000-000017880000}"/>
    <cellStyle name="Normal 79 2 4" xfId="25882" xr:uid="{00000000-0005-0000-0000-000018880000}"/>
    <cellStyle name="Normal 79 2 4 2" xfId="41316" xr:uid="{00000000-0005-0000-0000-000019880000}"/>
    <cellStyle name="Normal 79 2 5" xfId="44476" xr:uid="{00000000-0005-0000-0000-00001A880000}"/>
    <cellStyle name="Normal 79 3" xfId="2219" xr:uid="{00000000-0005-0000-0000-00001B880000}"/>
    <cellStyle name="Normal 79 3 2" xfId="12864" xr:uid="{00000000-0005-0000-0000-00001C880000}"/>
    <cellStyle name="Normal 79 3 2 2" xfId="25887" xr:uid="{00000000-0005-0000-0000-00001D880000}"/>
    <cellStyle name="Normal 79 3 2 2 2" xfId="41321" xr:uid="{00000000-0005-0000-0000-00001E880000}"/>
    <cellStyle name="Normal 79 3 2 3" xfId="44481" xr:uid="{00000000-0005-0000-0000-00001F880000}"/>
    <cellStyle name="Normal 79 3 3" xfId="25886" xr:uid="{00000000-0005-0000-0000-000020880000}"/>
    <cellStyle name="Normal 79 3 3 2" xfId="41320" xr:uid="{00000000-0005-0000-0000-000021880000}"/>
    <cellStyle name="Normal 79 3 4" xfId="44480" xr:uid="{00000000-0005-0000-0000-000022880000}"/>
    <cellStyle name="Normal 79 4" xfId="2220" xr:uid="{00000000-0005-0000-0000-000023880000}"/>
    <cellStyle name="Normal 79 4 2" xfId="2221" xr:uid="{00000000-0005-0000-0000-000024880000}"/>
    <cellStyle name="Normal 79 4 2 2" xfId="12865" xr:uid="{00000000-0005-0000-0000-000025880000}"/>
    <cellStyle name="Normal 79 4 2 2 2" xfId="25890" xr:uid="{00000000-0005-0000-0000-000026880000}"/>
    <cellStyle name="Normal 79 4 2 2 2 2" xfId="41324" xr:uid="{00000000-0005-0000-0000-000027880000}"/>
    <cellStyle name="Normal 79 4 2 2 3" xfId="44484" xr:uid="{00000000-0005-0000-0000-000028880000}"/>
    <cellStyle name="Normal 79 4 2 3" xfId="25889" xr:uid="{00000000-0005-0000-0000-000029880000}"/>
    <cellStyle name="Normal 79 4 2 3 2" xfId="41323" xr:uid="{00000000-0005-0000-0000-00002A880000}"/>
    <cellStyle name="Normal 79 4 2 4" xfId="44483" xr:uid="{00000000-0005-0000-0000-00002B880000}"/>
    <cellStyle name="Normal 79 4 3" xfId="2222" xr:uid="{00000000-0005-0000-0000-00002C880000}"/>
    <cellStyle name="Normal 79 4 3 2" xfId="2223" xr:uid="{00000000-0005-0000-0000-00002D880000}"/>
    <cellStyle name="Normal 79 4 3 2 2" xfId="12866" xr:uid="{00000000-0005-0000-0000-00002E880000}"/>
    <cellStyle name="Normal 79 4 3 2 2 2" xfId="25893" xr:uid="{00000000-0005-0000-0000-00002F880000}"/>
    <cellStyle name="Normal 79 4 3 2 2 2 2" xfId="41327" xr:uid="{00000000-0005-0000-0000-000030880000}"/>
    <cellStyle name="Normal 79 4 3 2 2 3" xfId="44487" xr:uid="{00000000-0005-0000-0000-000031880000}"/>
    <cellStyle name="Normal 79 4 3 2 3" xfId="25892" xr:uid="{00000000-0005-0000-0000-000032880000}"/>
    <cellStyle name="Normal 79 4 3 2 3 2" xfId="41326" xr:uid="{00000000-0005-0000-0000-000033880000}"/>
    <cellStyle name="Normal 79 4 3 2 4" xfId="44486" xr:uid="{00000000-0005-0000-0000-000034880000}"/>
    <cellStyle name="Normal 79 4 3 3" xfId="2224" xr:uid="{00000000-0005-0000-0000-000035880000}"/>
    <cellStyle name="Normal 79 4 3 3 2" xfId="25894" xr:uid="{00000000-0005-0000-0000-000036880000}"/>
    <cellStyle name="Normal 79 4 3 3 2 2" xfId="41328" xr:uid="{00000000-0005-0000-0000-000037880000}"/>
    <cellStyle name="Normal 79 4 3 3 3" xfId="44488" xr:uid="{00000000-0005-0000-0000-000038880000}"/>
    <cellStyle name="Normal 79 4 3 4" xfId="25891" xr:uid="{00000000-0005-0000-0000-000039880000}"/>
    <cellStyle name="Normal 79 4 3 4 2" xfId="41325" xr:uid="{00000000-0005-0000-0000-00003A880000}"/>
    <cellStyle name="Normal 79 4 3 5" xfId="44485" xr:uid="{00000000-0005-0000-0000-00003B880000}"/>
    <cellStyle name="Normal 79 4 4" xfId="2225" xr:uid="{00000000-0005-0000-0000-00003C880000}"/>
    <cellStyle name="Normal 79 4 4 2" xfId="2226" xr:uid="{00000000-0005-0000-0000-00003D880000}"/>
    <cellStyle name="Normal 79 4 4 2 2" xfId="25896" xr:uid="{00000000-0005-0000-0000-00003E880000}"/>
    <cellStyle name="Normal 79 4 4 2 2 2" xfId="41330" xr:uid="{00000000-0005-0000-0000-00003F880000}"/>
    <cellStyle name="Normal 79 4 4 2 3" xfId="44490" xr:uid="{00000000-0005-0000-0000-000040880000}"/>
    <cellStyle name="Normal 79 4 4 3" xfId="25895" xr:uid="{00000000-0005-0000-0000-000041880000}"/>
    <cellStyle name="Normal 79 4 4 3 2" xfId="41329" xr:uid="{00000000-0005-0000-0000-000042880000}"/>
    <cellStyle name="Normal 79 4 4 4" xfId="44489" xr:uid="{00000000-0005-0000-0000-000043880000}"/>
    <cellStyle name="Normal 79 4 5" xfId="25888" xr:uid="{00000000-0005-0000-0000-000044880000}"/>
    <cellStyle name="Normal 79 4 5 2" xfId="41322" xr:uid="{00000000-0005-0000-0000-000045880000}"/>
    <cellStyle name="Normal 79 4 6" xfId="44482" xr:uid="{00000000-0005-0000-0000-000046880000}"/>
    <cellStyle name="Normal 79 5" xfId="25881" xr:uid="{00000000-0005-0000-0000-000047880000}"/>
    <cellStyle name="Normal 79 5 2" xfId="41315" xr:uid="{00000000-0005-0000-0000-000048880000}"/>
    <cellStyle name="Normal 79 6" xfId="44475" xr:uid="{00000000-0005-0000-0000-000049880000}"/>
    <cellStyle name="Normal 8" xfId="2227" xr:uid="{00000000-0005-0000-0000-00004A880000}"/>
    <cellStyle name="Normal 8 2" xfId="2228" xr:uid="{00000000-0005-0000-0000-00004B880000}"/>
    <cellStyle name="Normal 8 2 2" xfId="12867" xr:uid="{00000000-0005-0000-0000-00004C880000}"/>
    <cellStyle name="Normal 8 2 2 2" xfId="25899" xr:uid="{00000000-0005-0000-0000-00004D880000}"/>
    <cellStyle name="Normal 8 2 2 2 2" xfId="41333" xr:uid="{00000000-0005-0000-0000-00004E880000}"/>
    <cellStyle name="Normal 8 2 2 3" xfId="44493" xr:uid="{00000000-0005-0000-0000-00004F880000}"/>
    <cellStyle name="Normal 8 2 3" xfId="25898" xr:uid="{00000000-0005-0000-0000-000050880000}"/>
    <cellStyle name="Normal 8 2 3 2" xfId="41332" xr:uid="{00000000-0005-0000-0000-000051880000}"/>
    <cellStyle name="Normal 8 2 4" xfId="44492" xr:uid="{00000000-0005-0000-0000-000052880000}"/>
    <cellStyle name="Normal 8 3" xfId="12868" xr:uid="{00000000-0005-0000-0000-000053880000}"/>
    <cellStyle name="Normal 8 3 2" xfId="25900" xr:uid="{00000000-0005-0000-0000-000054880000}"/>
    <cellStyle name="Normal 8 3 2 2" xfId="41334" xr:uid="{00000000-0005-0000-0000-000055880000}"/>
    <cellStyle name="Normal 8 3 3" xfId="44494" xr:uid="{00000000-0005-0000-0000-000056880000}"/>
    <cellStyle name="Normal 8 4" xfId="25897" xr:uid="{00000000-0005-0000-0000-000057880000}"/>
    <cellStyle name="Normal 8 4 2" xfId="41331" xr:uid="{00000000-0005-0000-0000-000058880000}"/>
    <cellStyle name="Normal 8 5" xfId="44491" xr:uid="{00000000-0005-0000-0000-000059880000}"/>
    <cellStyle name="Normal 8_Tabell 9 I" xfId="27485" xr:uid="{00000000-0005-0000-0000-00005A880000}"/>
    <cellStyle name="Normal 80" xfId="2229" xr:uid="{00000000-0005-0000-0000-00005B880000}"/>
    <cellStyle name="Normal 80 2" xfId="2230" xr:uid="{00000000-0005-0000-0000-00005C880000}"/>
    <cellStyle name="Normal 80 2 2" xfId="12869" xr:uid="{00000000-0005-0000-0000-00005D880000}"/>
    <cellStyle name="Normal 80 2 2 2" xfId="25903" xr:uid="{00000000-0005-0000-0000-00005E880000}"/>
    <cellStyle name="Normal 80 2 2 2 2" xfId="41337" xr:uid="{00000000-0005-0000-0000-00005F880000}"/>
    <cellStyle name="Normal 80 2 2 3" xfId="44497" xr:uid="{00000000-0005-0000-0000-000060880000}"/>
    <cellStyle name="Normal 80 2 3" xfId="25902" xr:uid="{00000000-0005-0000-0000-000061880000}"/>
    <cellStyle name="Normal 80 2 3 2" xfId="41336" xr:uid="{00000000-0005-0000-0000-000062880000}"/>
    <cellStyle name="Normal 80 2 4" xfId="44496" xr:uid="{00000000-0005-0000-0000-000063880000}"/>
    <cellStyle name="Normal 80 3" xfId="2231" xr:uid="{00000000-0005-0000-0000-000064880000}"/>
    <cellStyle name="Normal 80 3 2" xfId="2232" xr:uid="{00000000-0005-0000-0000-000065880000}"/>
    <cellStyle name="Normal 80 3 2 2" xfId="2233" xr:uid="{00000000-0005-0000-0000-000066880000}"/>
    <cellStyle name="Normal 80 3 2 2 2" xfId="25906" xr:uid="{00000000-0005-0000-0000-000067880000}"/>
    <cellStyle name="Normal 80 3 2 2 2 2" xfId="41340" xr:uid="{00000000-0005-0000-0000-000068880000}"/>
    <cellStyle name="Normal 80 3 2 2 3" xfId="44500" xr:uid="{00000000-0005-0000-0000-000069880000}"/>
    <cellStyle name="Normal 80 3 2 3" xfId="25905" xr:uid="{00000000-0005-0000-0000-00006A880000}"/>
    <cellStyle name="Normal 80 3 2 3 2" xfId="41339" xr:uid="{00000000-0005-0000-0000-00006B880000}"/>
    <cellStyle name="Normal 80 3 2 4" xfId="44499" xr:uid="{00000000-0005-0000-0000-00006C880000}"/>
    <cellStyle name="Normal 80 3 3" xfId="2234" xr:uid="{00000000-0005-0000-0000-00006D880000}"/>
    <cellStyle name="Normal 80 3 3 2" xfId="25907" xr:uid="{00000000-0005-0000-0000-00006E880000}"/>
    <cellStyle name="Normal 80 3 3 2 2" xfId="41341" xr:uid="{00000000-0005-0000-0000-00006F880000}"/>
    <cellStyle name="Normal 80 3 3 3" xfId="44501" xr:uid="{00000000-0005-0000-0000-000070880000}"/>
    <cellStyle name="Normal 80 3 4" xfId="25904" xr:uid="{00000000-0005-0000-0000-000071880000}"/>
    <cellStyle name="Normal 80 3 4 2" xfId="41338" xr:uid="{00000000-0005-0000-0000-000072880000}"/>
    <cellStyle name="Normal 80 3 5" xfId="44498" xr:uid="{00000000-0005-0000-0000-000073880000}"/>
    <cellStyle name="Normal 80 4" xfId="2235" xr:uid="{00000000-0005-0000-0000-000074880000}"/>
    <cellStyle name="Normal 80 4 2" xfId="2236" xr:uid="{00000000-0005-0000-0000-000075880000}"/>
    <cellStyle name="Normal 80 4 2 2" xfId="2237" xr:uid="{00000000-0005-0000-0000-000076880000}"/>
    <cellStyle name="Normal 80 4 2 2 2" xfId="25910" xr:uid="{00000000-0005-0000-0000-000077880000}"/>
    <cellStyle name="Normal 80 4 2 2 2 2" xfId="41344" xr:uid="{00000000-0005-0000-0000-000078880000}"/>
    <cellStyle name="Normal 80 4 2 2 3" xfId="44504" xr:uid="{00000000-0005-0000-0000-000079880000}"/>
    <cellStyle name="Normal 80 4 2 3" xfId="25909" xr:uid="{00000000-0005-0000-0000-00007A880000}"/>
    <cellStyle name="Normal 80 4 2 3 2" xfId="41343" xr:uid="{00000000-0005-0000-0000-00007B880000}"/>
    <cellStyle name="Normal 80 4 2 4" xfId="44503" xr:uid="{00000000-0005-0000-0000-00007C880000}"/>
    <cellStyle name="Normal 80 4 3" xfId="2238" xr:uid="{00000000-0005-0000-0000-00007D880000}"/>
    <cellStyle name="Normal 80 4 3 2" xfId="25911" xr:uid="{00000000-0005-0000-0000-00007E880000}"/>
    <cellStyle name="Normal 80 4 3 2 2" xfId="41345" xr:uid="{00000000-0005-0000-0000-00007F880000}"/>
    <cellStyle name="Normal 80 4 3 3" xfId="44505" xr:uid="{00000000-0005-0000-0000-000080880000}"/>
    <cellStyle name="Normal 80 4 4" xfId="25908" xr:uid="{00000000-0005-0000-0000-000081880000}"/>
    <cellStyle name="Normal 80 4 4 2" xfId="41342" xr:uid="{00000000-0005-0000-0000-000082880000}"/>
    <cellStyle name="Normal 80 4 5" xfId="44502" xr:uid="{00000000-0005-0000-0000-000083880000}"/>
    <cellStyle name="Normal 80 5" xfId="2239" xr:uid="{00000000-0005-0000-0000-000084880000}"/>
    <cellStyle name="Normal 80 5 2" xfId="2240" xr:uid="{00000000-0005-0000-0000-000085880000}"/>
    <cellStyle name="Normal 80 5 2 2" xfId="25913" xr:uid="{00000000-0005-0000-0000-000086880000}"/>
    <cellStyle name="Normal 80 5 2 2 2" xfId="41347" xr:uid="{00000000-0005-0000-0000-000087880000}"/>
    <cellStyle name="Normal 80 5 2 3" xfId="44507" xr:uid="{00000000-0005-0000-0000-000088880000}"/>
    <cellStyle name="Normal 80 5 3" xfId="25912" xr:uid="{00000000-0005-0000-0000-000089880000}"/>
    <cellStyle name="Normal 80 5 3 2" xfId="41346" xr:uid="{00000000-0005-0000-0000-00008A880000}"/>
    <cellStyle name="Normal 80 5 4" xfId="44506" xr:uid="{00000000-0005-0000-0000-00008B880000}"/>
    <cellStyle name="Normal 80 6" xfId="25901" xr:uid="{00000000-0005-0000-0000-00008C880000}"/>
    <cellStyle name="Normal 80 6 2" xfId="41335" xr:uid="{00000000-0005-0000-0000-00008D880000}"/>
    <cellStyle name="Normal 80 7" xfId="44495" xr:uid="{00000000-0005-0000-0000-00008E880000}"/>
    <cellStyle name="Normal 81" xfId="2241" xr:uid="{00000000-0005-0000-0000-00008F880000}"/>
    <cellStyle name="Normal 81 2" xfId="2242" xr:uid="{00000000-0005-0000-0000-000090880000}"/>
    <cellStyle name="Normal 81 2 2" xfId="12871" xr:uid="{00000000-0005-0000-0000-000091880000}"/>
    <cellStyle name="Normal 81 2 2 2" xfId="25916" xr:uid="{00000000-0005-0000-0000-000092880000}"/>
    <cellStyle name="Normal 81 2 2 2 2" xfId="41350" xr:uid="{00000000-0005-0000-0000-000093880000}"/>
    <cellStyle name="Normal 81 2 2 3" xfId="44510" xr:uid="{00000000-0005-0000-0000-000094880000}"/>
    <cellStyle name="Normal 81 2 3" xfId="25915" xr:uid="{00000000-0005-0000-0000-000095880000}"/>
    <cellStyle name="Normal 81 2 3 2" xfId="41349" xr:uid="{00000000-0005-0000-0000-000096880000}"/>
    <cellStyle name="Normal 81 2 4" xfId="44509" xr:uid="{00000000-0005-0000-0000-000097880000}"/>
    <cellStyle name="Normal 81 3" xfId="12872" xr:uid="{00000000-0005-0000-0000-000098880000}"/>
    <cellStyle name="Normal 81 3 2" xfId="25917" xr:uid="{00000000-0005-0000-0000-000099880000}"/>
    <cellStyle name="Normal 81 3 2 2" xfId="41351" xr:uid="{00000000-0005-0000-0000-00009A880000}"/>
    <cellStyle name="Normal 81 3 3" xfId="44511" xr:uid="{00000000-0005-0000-0000-00009B880000}"/>
    <cellStyle name="Normal 81 4" xfId="25914" xr:uid="{00000000-0005-0000-0000-00009C880000}"/>
    <cellStyle name="Normal 81 4 2" xfId="41348" xr:uid="{00000000-0005-0000-0000-00009D880000}"/>
    <cellStyle name="Normal 81 5" xfId="44508" xr:uid="{00000000-0005-0000-0000-00009E880000}"/>
    <cellStyle name="Normal 82" xfId="2243" xr:uid="{00000000-0005-0000-0000-00009F880000}"/>
    <cellStyle name="Normal 82 2" xfId="2244" xr:uid="{00000000-0005-0000-0000-0000A0880000}"/>
    <cellStyle name="Normal 82 2 2" xfId="12873" xr:uid="{00000000-0005-0000-0000-0000A1880000}"/>
    <cellStyle name="Normal 82 2 2 2" xfId="25920" xr:uid="{00000000-0005-0000-0000-0000A2880000}"/>
    <cellStyle name="Normal 82 2 2 2 2" xfId="41354" xr:uid="{00000000-0005-0000-0000-0000A3880000}"/>
    <cellStyle name="Normal 82 2 2 3" xfId="44514" xr:uid="{00000000-0005-0000-0000-0000A4880000}"/>
    <cellStyle name="Normal 82 2 3" xfId="25919" xr:uid="{00000000-0005-0000-0000-0000A5880000}"/>
    <cellStyle name="Normal 82 2 3 2" xfId="41353" xr:uid="{00000000-0005-0000-0000-0000A6880000}"/>
    <cellStyle name="Normal 82 2 4" xfId="44513" xr:uid="{00000000-0005-0000-0000-0000A7880000}"/>
    <cellStyle name="Normal 82 3" xfId="12874" xr:uid="{00000000-0005-0000-0000-0000A8880000}"/>
    <cellStyle name="Normal 82 3 2" xfId="25921" xr:uid="{00000000-0005-0000-0000-0000A9880000}"/>
    <cellStyle name="Normal 82 3 2 2" xfId="41355" xr:uid="{00000000-0005-0000-0000-0000AA880000}"/>
    <cellStyle name="Normal 82 3 3" xfId="44515" xr:uid="{00000000-0005-0000-0000-0000AB880000}"/>
    <cellStyle name="Normal 82 4" xfId="25918" xr:uid="{00000000-0005-0000-0000-0000AC880000}"/>
    <cellStyle name="Normal 82 4 2" xfId="41352" xr:uid="{00000000-0005-0000-0000-0000AD880000}"/>
    <cellStyle name="Normal 82 5" xfId="44512" xr:uid="{00000000-0005-0000-0000-0000AE880000}"/>
    <cellStyle name="Normal 83" xfId="2245" xr:uid="{00000000-0005-0000-0000-0000AF880000}"/>
    <cellStyle name="Normal 83 2" xfId="2246" xr:uid="{00000000-0005-0000-0000-0000B0880000}"/>
    <cellStyle name="Normal 83 2 2" xfId="12875" xr:uid="{00000000-0005-0000-0000-0000B1880000}"/>
    <cellStyle name="Normal 83 2 2 2" xfId="25924" xr:uid="{00000000-0005-0000-0000-0000B2880000}"/>
    <cellStyle name="Normal 83 2 2 2 2" xfId="41358" xr:uid="{00000000-0005-0000-0000-0000B3880000}"/>
    <cellStyle name="Normal 83 2 2 3" xfId="44518" xr:uid="{00000000-0005-0000-0000-0000B4880000}"/>
    <cellStyle name="Normal 83 2 3" xfId="25923" xr:uid="{00000000-0005-0000-0000-0000B5880000}"/>
    <cellStyle name="Normal 83 2 3 2" xfId="41357" xr:uid="{00000000-0005-0000-0000-0000B6880000}"/>
    <cellStyle name="Normal 83 2 4" xfId="44517" xr:uid="{00000000-0005-0000-0000-0000B7880000}"/>
    <cellStyle name="Normal 83 3" xfId="2247" xr:uid="{00000000-0005-0000-0000-0000B8880000}"/>
    <cellStyle name="Normal 83 3 2" xfId="25925" xr:uid="{00000000-0005-0000-0000-0000B9880000}"/>
    <cellStyle name="Normal 83 3 2 2" xfId="41359" xr:uid="{00000000-0005-0000-0000-0000BA880000}"/>
    <cellStyle name="Normal 83 3 3" xfId="44519" xr:uid="{00000000-0005-0000-0000-0000BB880000}"/>
    <cellStyle name="Normal 83 4" xfId="25922" xr:uid="{00000000-0005-0000-0000-0000BC880000}"/>
    <cellStyle name="Normal 83 4 2" xfId="41356" xr:uid="{00000000-0005-0000-0000-0000BD880000}"/>
    <cellStyle name="Normal 83 5" xfId="44516" xr:uid="{00000000-0005-0000-0000-0000BE880000}"/>
    <cellStyle name="Normal 84" xfId="2248" xr:uid="{00000000-0005-0000-0000-0000BF880000}"/>
    <cellStyle name="Normal 84 2" xfId="2249" xr:uid="{00000000-0005-0000-0000-0000C0880000}"/>
    <cellStyle name="Normal 84 2 2" xfId="12877" xr:uid="{00000000-0005-0000-0000-0000C1880000}"/>
    <cellStyle name="Normal 84 2 2 2" xfId="25928" xr:uid="{00000000-0005-0000-0000-0000C2880000}"/>
    <cellStyle name="Normal 84 2 2 2 2" xfId="41362" xr:uid="{00000000-0005-0000-0000-0000C3880000}"/>
    <cellStyle name="Normal 84 2 2 3" xfId="44522" xr:uid="{00000000-0005-0000-0000-0000C4880000}"/>
    <cellStyle name="Normal 84 2 3" xfId="25927" xr:uid="{00000000-0005-0000-0000-0000C5880000}"/>
    <cellStyle name="Normal 84 2 3 2" xfId="41361" xr:uid="{00000000-0005-0000-0000-0000C6880000}"/>
    <cellStyle name="Normal 84 2 4" xfId="44521" xr:uid="{00000000-0005-0000-0000-0000C7880000}"/>
    <cellStyle name="Normal 84 3" xfId="12878" xr:uid="{00000000-0005-0000-0000-0000C8880000}"/>
    <cellStyle name="Normal 84 3 2" xfId="25929" xr:uid="{00000000-0005-0000-0000-0000C9880000}"/>
    <cellStyle name="Normal 84 3 2 2" xfId="41363" xr:uid="{00000000-0005-0000-0000-0000CA880000}"/>
    <cellStyle name="Normal 84 3 3" xfId="44523" xr:uid="{00000000-0005-0000-0000-0000CB880000}"/>
    <cellStyle name="Normal 84 4" xfId="25926" xr:uid="{00000000-0005-0000-0000-0000CC880000}"/>
    <cellStyle name="Normal 84 4 2" xfId="41360" xr:uid="{00000000-0005-0000-0000-0000CD880000}"/>
    <cellStyle name="Normal 84 5" xfId="44520" xr:uid="{00000000-0005-0000-0000-0000CE880000}"/>
    <cellStyle name="Normal 85" xfId="2250" xr:uid="{00000000-0005-0000-0000-0000CF880000}"/>
    <cellStyle name="Normal 85 2" xfId="2251" xr:uid="{00000000-0005-0000-0000-0000D0880000}"/>
    <cellStyle name="Normal 85 2 2" xfId="25931" xr:uid="{00000000-0005-0000-0000-0000D1880000}"/>
    <cellStyle name="Normal 85 2 2 2" xfId="41365" xr:uid="{00000000-0005-0000-0000-0000D2880000}"/>
    <cellStyle name="Normal 85 2 3" xfId="44525" xr:uid="{00000000-0005-0000-0000-0000D3880000}"/>
    <cellStyle name="Normal 85 3" xfId="25930" xr:uid="{00000000-0005-0000-0000-0000D4880000}"/>
    <cellStyle name="Normal 85 3 2" xfId="41364" xr:uid="{00000000-0005-0000-0000-0000D5880000}"/>
    <cellStyle name="Normal 85 4" xfId="44524" xr:uid="{00000000-0005-0000-0000-0000D6880000}"/>
    <cellStyle name="Normal 86" xfId="2252" xr:uid="{00000000-0005-0000-0000-0000D7880000}"/>
    <cellStyle name="Normal 86 2" xfId="12880" xr:uid="{00000000-0005-0000-0000-0000D8880000}"/>
    <cellStyle name="Normal 86 2 2" xfId="25933" xr:uid="{00000000-0005-0000-0000-0000D9880000}"/>
    <cellStyle name="Normal 86 2 2 2" xfId="41367" xr:uid="{00000000-0005-0000-0000-0000DA880000}"/>
    <cellStyle name="Normal 86 2 3" xfId="44527" xr:uid="{00000000-0005-0000-0000-0000DB880000}"/>
    <cellStyle name="Normal 86 3" xfId="25932" xr:uid="{00000000-0005-0000-0000-0000DC880000}"/>
    <cellStyle name="Normal 86 3 2" xfId="41366" xr:uid="{00000000-0005-0000-0000-0000DD880000}"/>
    <cellStyle name="Normal 86 4" xfId="44526" xr:uid="{00000000-0005-0000-0000-0000DE880000}"/>
    <cellStyle name="Normal 87" xfId="2253" xr:uid="{00000000-0005-0000-0000-0000DF880000}"/>
    <cellStyle name="Normal 87 2" xfId="2254" xr:uid="{00000000-0005-0000-0000-0000E0880000}"/>
    <cellStyle name="Normal 87 2 2" xfId="25935" xr:uid="{00000000-0005-0000-0000-0000E1880000}"/>
    <cellStyle name="Normal 87 2 2 2" xfId="41369" xr:uid="{00000000-0005-0000-0000-0000E2880000}"/>
    <cellStyle name="Normal 87 2 3" xfId="44529" xr:uid="{00000000-0005-0000-0000-0000E3880000}"/>
    <cellStyle name="Normal 87 3" xfId="12881" xr:uid="{00000000-0005-0000-0000-0000E4880000}"/>
    <cellStyle name="Normal 87 3 2" xfId="25936" xr:uid="{00000000-0005-0000-0000-0000E5880000}"/>
    <cellStyle name="Normal 87 3 2 2" xfId="41370" xr:uid="{00000000-0005-0000-0000-0000E6880000}"/>
    <cellStyle name="Normal 87 3 3" xfId="44530" xr:uid="{00000000-0005-0000-0000-0000E7880000}"/>
    <cellStyle name="Normal 87 4" xfId="25934" xr:uid="{00000000-0005-0000-0000-0000E8880000}"/>
    <cellStyle name="Normal 87 4 2" xfId="41368" xr:uid="{00000000-0005-0000-0000-0000E9880000}"/>
    <cellStyle name="Normal 87 5" xfId="44528" xr:uid="{00000000-0005-0000-0000-0000EA880000}"/>
    <cellStyle name="Normal 88" xfId="2255" xr:uid="{00000000-0005-0000-0000-0000EB880000}"/>
    <cellStyle name="Normal 88 2" xfId="2256" xr:uid="{00000000-0005-0000-0000-0000EC880000}"/>
    <cellStyle name="Normal 88 2 2" xfId="25938" xr:uid="{00000000-0005-0000-0000-0000ED880000}"/>
    <cellStyle name="Normal 88 2 2 2" xfId="41371" xr:uid="{00000000-0005-0000-0000-0000EE880000}"/>
    <cellStyle name="Normal 88 2 3" xfId="44532" xr:uid="{00000000-0005-0000-0000-0000EF880000}"/>
    <cellStyle name="Normal 88 3" xfId="2257" xr:uid="{00000000-0005-0000-0000-0000F0880000}"/>
    <cellStyle name="Normal 88 3 2" xfId="3395" xr:uid="{00000000-0005-0000-0000-0000F1880000}"/>
    <cellStyle name="Normal 88 3 2 2" xfId="3619" xr:uid="{00000000-0005-0000-0000-0000F2880000}"/>
    <cellStyle name="Normal 88 3 2 3" xfId="25940" xr:uid="{00000000-0005-0000-0000-0000F3880000}"/>
    <cellStyle name="Normal 88 3 3" xfId="3394" xr:uid="{00000000-0005-0000-0000-0000F4880000}"/>
    <cellStyle name="Normal 88 3 3 2" xfId="25941" xr:uid="{00000000-0005-0000-0000-0000F5880000}"/>
    <cellStyle name="Normal 88 3 3 2 2" xfId="41373" xr:uid="{00000000-0005-0000-0000-0000F6880000}"/>
    <cellStyle name="Normal 88 3 3 3" xfId="44534" xr:uid="{00000000-0005-0000-0000-0000F7880000}"/>
    <cellStyle name="Normal 88 3 4" xfId="25939" xr:uid="{00000000-0005-0000-0000-0000F8880000}"/>
    <cellStyle name="Normal 88 3 4 2" xfId="41372" xr:uid="{00000000-0005-0000-0000-0000F9880000}"/>
    <cellStyle name="Normal 88 3 5" xfId="44533" xr:uid="{00000000-0005-0000-0000-0000FA880000}"/>
    <cellStyle name="Normal 88 4" xfId="4227" xr:uid="{00000000-0005-0000-0000-0000FB880000}"/>
    <cellStyle name="Normal 88 5" xfId="25937" xr:uid="{00000000-0005-0000-0000-0000FC880000}"/>
    <cellStyle name="Normal 89" xfId="2258" xr:uid="{00000000-0005-0000-0000-0000FD880000}"/>
    <cellStyle name="Normal 89 10" xfId="12882" xr:uid="{00000000-0005-0000-0000-0000FE880000}"/>
    <cellStyle name="Normal 89 11" xfId="34188" xr:uid="{00000000-0005-0000-0000-0000FF880000}"/>
    <cellStyle name="Normal 89 2" xfId="3396" xr:uid="{00000000-0005-0000-0000-000000890000}"/>
    <cellStyle name="Normal 89 2 10" xfId="34105" xr:uid="{00000000-0005-0000-0000-000001890000}"/>
    <cellStyle name="Normal 89 2 2" xfId="3620" xr:uid="{00000000-0005-0000-0000-000002890000}"/>
    <cellStyle name="Normal 89 2 2 10" xfId="47217" xr:uid="{00000000-0005-0000-0000-000003890000}"/>
    <cellStyle name="Normal 89 2 2 2" xfId="4048" xr:uid="{00000000-0005-0000-0000-000004890000}"/>
    <cellStyle name="Normal 89 2 2 2 2" xfId="5936" xr:uid="{00000000-0005-0000-0000-000005890000}"/>
    <cellStyle name="Normal 89 2 2 2 2 2" xfId="9351" xr:uid="{00000000-0005-0000-0000-000006890000}"/>
    <cellStyle name="Normal 89 2 2 2 2 2 2" xfId="21359" xr:uid="{00000000-0005-0000-0000-000007890000}"/>
    <cellStyle name="Normal 89 2 2 2 2 2 2 2" xfId="37439" xr:uid="{00000000-0005-0000-0000-000008890000}"/>
    <cellStyle name="Normal 89 2 2 2 2 2 3" xfId="28447" xr:uid="{00000000-0005-0000-0000-000009890000}"/>
    <cellStyle name="Normal 89 2 2 2 2 3" xfId="22296" xr:uid="{00000000-0005-0000-0000-00000A890000}"/>
    <cellStyle name="Normal 89 2 2 2 2 3 2" xfId="38368" xr:uid="{00000000-0005-0000-0000-00000B890000}"/>
    <cellStyle name="Normal 89 2 2 2 2 4" xfId="31841" xr:uid="{00000000-0005-0000-0000-00000C890000}"/>
    <cellStyle name="Normal 89 2 2 2 3" xfId="7654" xr:uid="{00000000-0005-0000-0000-00000D890000}"/>
    <cellStyle name="Normal 89 2 2 2 3 2" xfId="22475" xr:uid="{00000000-0005-0000-0000-00000E890000}"/>
    <cellStyle name="Normal 89 2 2 2 3 2 2" xfId="38547" xr:uid="{00000000-0005-0000-0000-00000F890000}"/>
    <cellStyle name="Normal 89 2 2 2 3 3" xfId="30144" xr:uid="{00000000-0005-0000-0000-000010890000}"/>
    <cellStyle name="Normal 89 2 2 2 4" xfId="18208" xr:uid="{00000000-0005-0000-0000-000011890000}"/>
    <cellStyle name="Normal 89 2 2 2 5" xfId="11031" xr:uid="{00000000-0005-0000-0000-000012890000}"/>
    <cellStyle name="Normal 89 2 2 2 5 2" xfId="34739" xr:uid="{00000000-0005-0000-0000-000013890000}"/>
    <cellStyle name="Normal 89 2 2 2 6" xfId="33531" xr:uid="{00000000-0005-0000-0000-000014890000}"/>
    <cellStyle name="Normal 89 2 2 3" xfId="4988" xr:uid="{00000000-0005-0000-0000-000015890000}"/>
    <cellStyle name="Normal 89 2 2 3 10" xfId="47407" xr:uid="{00000000-0005-0000-0000-000016890000}"/>
    <cellStyle name="Normal 89 2 2 3 2" xfId="6707" xr:uid="{00000000-0005-0000-0000-000017890000}"/>
    <cellStyle name="Normal 89 2 2 3 2 2" xfId="10113" xr:uid="{00000000-0005-0000-0000-000018890000}"/>
    <cellStyle name="Normal 89 2 2 3 2 2 2" xfId="21611" xr:uid="{00000000-0005-0000-0000-000019890000}"/>
    <cellStyle name="Normal 89 2 2 3 2 2 2 2" xfId="37691" xr:uid="{00000000-0005-0000-0000-00001A890000}"/>
    <cellStyle name="Normal 89 2 2 3 2 2 3" xfId="27686" xr:uid="{00000000-0005-0000-0000-00001B890000}"/>
    <cellStyle name="Normal 89 2 2 3 2 3" xfId="24088" xr:uid="{00000000-0005-0000-0000-00001C890000}"/>
    <cellStyle name="Normal 89 2 2 3 2 3 2" xfId="40141" xr:uid="{00000000-0005-0000-0000-00001D890000}"/>
    <cellStyle name="Normal 89 2 2 3 2 4" xfId="31087" xr:uid="{00000000-0005-0000-0000-00001E890000}"/>
    <cellStyle name="Normal 89 2 2 3 2 5" xfId="43104" xr:uid="{00000000-0005-0000-0000-00001F890000}"/>
    <cellStyle name="Normal 89 2 2 3 2 6" xfId="43398" xr:uid="{00000000-0005-0000-0000-000020890000}"/>
    <cellStyle name="Normal 89 2 2 3 2 7" xfId="46246" xr:uid="{00000000-0005-0000-0000-000021890000}"/>
    <cellStyle name="Normal 89 2 2 3 2 8" xfId="47018" xr:uid="{00000000-0005-0000-0000-000022890000}"/>
    <cellStyle name="Normal 89 2 2 3 2 9" xfId="47603" xr:uid="{00000000-0005-0000-0000-000023890000}"/>
    <cellStyle name="Normal 89 2 2 3 3" xfId="8410" xr:uid="{00000000-0005-0000-0000-000024890000}"/>
    <cellStyle name="Normal 89 2 2 3 3 2" xfId="22705" xr:uid="{00000000-0005-0000-0000-000025890000}"/>
    <cellStyle name="Normal 89 2 2 3 3 2 2" xfId="38774" xr:uid="{00000000-0005-0000-0000-000026890000}"/>
    <cellStyle name="Normal 89 2 2 3 3 3" xfId="29388" xr:uid="{00000000-0005-0000-0000-000027890000}"/>
    <cellStyle name="Normal 89 2 2 3 3 4" xfId="44535" xr:uid="{00000000-0005-0000-0000-000028890000}"/>
    <cellStyle name="Normal 89 2 2 3 4" xfId="16549" xr:uid="{00000000-0005-0000-0000-000029890000}"/>
    <cellStyle name="Normal 89 2 2 3 4 2" xfId="35493" xr:uid="{00000000-0005-0000-0000-00002A890000}"/>
    <cellStyle name="Normal 89 2 2 3 5" xfId="25155" xr:uid="{00000000-0005-0000-0000-00002B890000}"/>
    <cellStyle name="Normal 89 2 2 3 6" xfId="25942" xr:uid="{00000000-0005-0000-0000-00002C890000}"/>
    <cellStyle name="Normal 89 2 2 3 7" xfId="32779" xr:uid="{00000000-0005-0000-0000-00002D890000}"/>
    <cellStyle name="Normal 89 2 2 3 8" xfId="43859" xr:uid="{00000000-0005-0000-0000-00002E890000}"/>
    <cellStyle name="Normal 89 2 2 3 9" xfId="46784" xr:uid="{00000000-0005-0000-0000-00002F890000}"/>
    <cellStyle name="Normal 89 2 2 4" xfId="5542" xr:uid="{00000000-0005-0000-0000-000030890000}"/>
    <cellStyle name="Normal 89 2 2 4 2" xfId="8957" xr:uid="{00000000-0005-0000-0000-000031890000}"/>
    <cellStyle name="Normal 89 2 2 4 2 2" xfId="21901" xr:uid="{00000000-0005-0000-0000-000032890000}"/>
    <cellStyle name="Normal 89 2 2 4 2 2 2" xfId="37976" xr:uid="{00000000-0005-0000-0000-000033890000}"/>
    <cellStyle name="Normal 89 2 2 4 2 3" xfId="28841" xr:uid="{00000000-0005-0000-0000-000034890000}"/>
    <cellStyle name="Normal 89 2 2 4 3" xfId="20113" xr:uid="{00000000-0005-0000-0000-000035890000}"/>
    <cellStyle name="Normal 89 2 2 4 3 2" xfId="36217" xr:uid="{00000000-0005-0000-0000-000036890000}"/>
    <cellStyle name="Normal 89 2 2 4 4" xfId="32232" xr:uid="{00000000-0005-0000-0000-000037890000}"/>
    <cellStyle name="Normal 89 2 2 5" xfId="7260" xr:uid="{00000000-0005-0000-0000-000038890000}"/>
    <cellStyle name="Normal 89 2 2 5 2" xfId="22431" xr:uid="{00000000-0005-0000-0000-000039890000}"/>
    <cellStyle name="Normal 89 2 2 5 2 2" xfId="38503" xr:uid="{00000000-0005-0000-0000-00003A890000}"/>
    <cellStyle name="Normal 89 2 2 5 3" xfId="30538" xr:uid="{00000000-0005-0000-0000-00003B890000}"/>
    <cellStyle name="Normal 89 2 2 6" xfId="12884" xr:uid="{00000000-0005-0000-0000-00003C890000}"/>
    <cellStyle name="Normal 89 2 2 7" xfId="33925" xr:uid="{00000000-0005-0000-0000-00003D890000}"/>
    <cellStyle name="Normal 89 2 2 8" xfId="43650" xr:uid="{00000000-0005-0000-0000-00003E890000}"/>
    <cellStyle name="Normal 89 2 2 9" xfId="46556" xr:uid="{00000000-0005-0000-0000-00003F890000}"/>
    <cellStyle name="Normal 89 2 2_Avviksanalyse løpende RNB15 (1)" xfId="16783" xr:uid="{00000000-0005-0000-0000-000040890000}"/>
    <cellStyle name="Normal 89 2 3" xfId="3868" xr:uid="{00000000-0005-0000-0000-000041890000}"/>
    <cellStyle name="Normal 89 2 3 2" xfId="5756" xr:uid="{00000000-0005-0000-0000-000042890000}"/>
    <cellStyle name="Normal 89 2 3 2 2" xfId="9171" xr:uid="{00000000-0005-0000-0000-000043890000}"/>
    <cellStyle name="Normal 89 2 3 2 2 2" xfId="23467" xr:uid="{00000000-0005-0000-0000-000044890000}"/>
    <cellStyle name="Normal 89 2 3 2 2 2 2" xfId="39523" xr:uid="{00000000-0005-0000-0000-000045890000}"/>
    <cellStyle name="Normal 89 2 3 2 2 3" xfId="28627" xr:uid="{00000000-0005-0000-0000-000046890000}"/>
    <cellStyle name="Normal 89 2 3 2 3" xfId="20193" xr:uid="{00000000-0005-0000-0000-000047890000}"/>
    <cellStyle name="Normal 89 2 3 2 3 2" xfId="36293" xr:uid="{00000000-0005-0000-0000-000048890000}"/>
    <cellStyle name="Normal 89 2 3 2 4" xfId="32018" xr:uid="{00000000-0005-0000-0000-000049890000}"/>
    <cellStyle name="Normal 89 2 3 3" xfId="7474" xr:uid="{00000000-0005-0000-0000-00004A890000}"/>
    <cellStyle name="Normal 89 2 3 3 2" xfId="20797" xr:uid="{00000000-0005-0000-0000-00004B890000}"/>
    <cellStyle name="Normal 89 2 3 3 2 2" xfId="36896" xr:uid="{00000000-0005-0000-0000-00004C890000}"/>
    <cellStyle name="Normal 89 2 3 3 3" xfId="30324" xr:uid="{00000000-0005-0000-0000-00004D890000}"/>
    <cellStyle name="Normal 89 2 3 4" xfId="22222" xr:uid="{00000000-0005-0000-0000-00004E890000}"/>
    <cellStyle name="Normal 89 2 3 4 2" xfId="38296" xr:uid="{00000000-0005-0000-0000-00004F890000}"/>
    <cellStyle name="Normal 89 2 3 5" xfId="33711" xr:uid="{00000000-0005-0000-0000-000050890000}"/>
    <cellStyle name="Normal 89 2 4" xfId="4353" xr:uid="{00000000-0005-0000-0000-000051890000}"/>
    <cellStyle name="Normal 89 2 4 2" xfId="6182" xr:uid="{00000000-0005-0000-0000-000052890000}"/>
    <cellStyle name="Normal 89 2 4 2 2" xfId="9596" xr:uid="{00000000-0005-0000-0000-000053890000}"/>
    <cellStyle name="Normal 89 2 4 2 2 2" xfId="23532" xr:uid="{00000000-0005-0000-0000-000054890000}"/>
    <cellStyle name="Normal 89 2 4 2 2 2 2" xfId="39588" xr:uid="{00000000-0005-0000-0000-000055890000}"/>
    <cellStyle name="Normal 89 2 4 2 2 3" xfId="28202" xr:uid="{00000000-0005-0000-0000-000056890000}"/>
    <cellStyle name="Normal 89 2 4 2 3" xfId="23994" xr:uid="{00000000-0005-0000-0000-000057890000}"/>
    <cellStyle name="Normal 89 2 4 2 3 2" xfId="40047" xr:uid="{00000000-0005-0000-0000-000058890000}"/>
    <cellStyle name="Normal 89 2 4 2 4" xfId="31599" xr:uid="{00000000-0005-0000-0000-000059890000}"/>
    <cellStyle name="Normal 89 2 4 3" xfId="7915" xr:uid="{00000000-0005-0000-0000-00005A890000}"/>
    <cellStyle name="Normal 89 2 4 3 2" xfId="23287" xr:uid="{00000000-0005-0000-0000-00005B890000}"/>
    <cellStyle name="Normal 89 2 4 3 2 2" xfId="39354" xr:uid="{00000000-0005-0000-0000-00005C890000}"/>
    <cellStyle name="Normal 89 2 4 3 3" xfId="29884" xr:uid="{00000000-0005-0000-0000-00005D890000}"/>
    <cellStyle name="Normal 89 2 4 4" xfId="20009" xr:uid="{00000000-0005-0000-0000-00005E890000}"/>
    <cellStyle name="Normal 89 2 4 4 2" xfId="36113" xr:uid="{00000000-0005-0000-0000-00005F890000}"/>
    <cellStyle name="Normal 89 2 4 5" xfId="33272" xr:uid="{00000000-0005-0000-0000-000060890000}"/>
    <cellStyle name="Normal 89 2 5" xfId="4808" xr:uid="{00000000-0005-0000-0000-000061890000}"/>
    <cellStyle name="Normal 89 2 5 2" xfId="6528" xr:uid="{00000000-0005-0000-0000-000062890000}"/>
    <cellStyle name="Normal 89 2 5 2 2" xfId="9934" xr:uid="{00000000-0005-0000-0000-000063890000}"/>
    <cellStyle name="Normal 89 2 5 2 2 2" xfId="21540" xr:uid="{00000000-0005-0000-0000-000064890000}"/>
    <cellStyle name="Normal 89 2 5 2 2 2 2" xfId="37620" xr:uid="{00000000-0005-0000-0000-000065890000}"/>
    <cellStyle name="Normal 89 2 5 2 2 3" xfId="27865" xr:uid="{00000000-0005-0000-0000-000066890000}"/>
    <cellStyle name="Normal 89 2 5 2 3" xfId="20485" xr:uid="{00000000-0005-0000-0000-000067890000}"/>
    <cellStyle name="Normal 89 2 5 2 3 2" xfId="36584" xr:uid="{00000000-0005-0000-0000-000068890000}"/>
    <cellStyle name="Normal 89 2 5 2 4" xfId="31266" xr:uid="{00000000-0005-0000-0000-000069890000}"/>
    <cellStyle name="Normal 89 2 5 3" xfId="8230" xr:uid="{00000000-0005-0000-0000-00006A890000}"/>
    <cellStyle name="Normal 89 2 5 3 2" xfId="21037" xr:uid="{00000000-0005-0000-0000-00006B890000}"/>
    <cellStyle name="Normal 89 2 5 3 2 2" xfId="37128" xr:uid="{00000000-0005-0000-0000-00006C890000}"/>
    <cellStyle name="Normal 89 2 5 3 3" xfId="29567" xr:uid="{00000000-0005-0000-0000-00006D890000}"/>
    <cellStyle name="Normal 89 2 5 4" xfId="19718" xr:uid="{00000000-0005-0000-0000-00006E890000}"/>
    <cellStyle name="Normal 89 2 5 4 2" xfId="35832" xr:uid="{00000000-0005-0000-0000-00006F890000}"/>
    <cellStyle name="Normal 89 2 5 5" xfId="32959" xr:uid="{00000000-0005-0000-0000-000070890000}"/>
    <cellStyle name="Normal 89 2 6" xfId="5168" xr:uid="{00000000-0005-0000-0000-000071890000}"/>
    <cellStyle name="Normal 89 2 6 2" xfId="6887" xr:uid="{00000000-0005-0000-0000-000072890000}"/>
    <cellStyle name="Normal 89 2 6 2 2" xfId="10293" xr:uid="{00000000-0005-0000-0000-000073890000}"/>
    <cellStyle name="Normal 89 2 6 2 2 2" xfId="24736" xr:uid="{00000000-0005-0000-0000-000074890000}"/>
    <cellStyle name="Normal 89 2 6 2 2 2 2" xfId="40779" xr:uid="{00000000-0005-0000-0000-000075890000}"/>
    <cellStyle name="Normal 89 2 6 2 2 3" xfId="27506" xr:uid="{00000000-0005-0000-0000-000076890000}"/>
    <cellStyle name="Normal 89 2 6 2 3" xfId="22395" xr:uid="{00000000-0005-0000-0000-000077890000}"/>
    <cellStyle name="Normal 89 2 6 2 3 2" xfId="38467" xr:uid="{00000000-0005-0000-0000-000078890000}"/>
    <cellStyle name="Normal 89 2 6 2 4" xfId="30907" xr:uid="{00000000-0005-0000-0000-000079890000}"/>
    <cellStyle name="Normal 89 2 6 3" xfId="8590" xr:uid="{00000000-0005-0000-0000-00007A890000}"/>
    <cellStyle name="Normal 89 2 6 3 2" xfId="21134" xr:uid="{00000000-0005-0000-0000-00007B890000}"/>
    <cellStyle name="Normal 89 2 6 3 2 2" xfId="37214" xr:uid="{00000000-0005-0000-0000-00007C890000}"/>
    <cellStyle name="Normal 89 2 6 3 3" xfId="29208" xr:uid="{00000000-0005-0000-0000-00007D890000}"/>
    <cellStyle name="Normal 89 2 6 4" xfId="12145" xr:uid="{00000000-0005-0000-0000-00007E890000}"/>
    <cellStyle name="Normal 89 2 6 4 2" xfId="35093" xr:uid="{00000000-0005-0000-0000-00007F890000}"/>
    <cellStyle name="Normal 89 2 6 5" xfId="32599" xr:uid="{00000000-0005-0000-0000-000080890000}"/>
    <cellStyle name="Normal 89 2 7" xfId="5347" xr:uid="{00000000-0005-0000-0000-000081890000}"/>
    <cellStyle name="Normal 89 2 7 2" xfId="8762" xr:uid="{00000000-0005-0000-0000-000082890000}"/>
    <cellStyle name="Normal 89 2 7 2 2" xfId="21183" xr:uid="{00000000-0005-0000-0000-000083890000}"/>
    <cellStyle name="Normal 89 2 7 2 2 2" xfId="37263" xr:uid="{00000000-0005-0000-0000-000084890000}"/>
    <cellStyle name="Normal 89 2 7 2 3" xfId="29036" xr:uid="{00000000-0005-0000-0000-000085890000}"/>
    <cellStyle name="Normal 89 2 7 3" xfId="19811" xr:uid="{00000000-0005-0000-0000-000086890000}"/>
    <cellStyle name="Normal 89 2 7 3 2" xfId="35924" xr:uid="{00000000-0005-0000-0000-000087890000}"/>
    <cellStyle name="Normal 89 2 7 4" xfId="32427" xr:uid="{00000000-0005-0000-0000-000088890000}"/>
    <cellStyle name="Normal 89 2 8" xfId="7080" xr:uid="{00000000-0005-0000-0000-000089890000}"/>
    <cellStyle name="Normal 89 2 8 2" xfId="23144" xr:uid="{00000000-0005-0000-0000-00008A890000}"/>
    <cellStyle name="Normal 89 2 8 2 2" xfId="39213" xr:uid="{00000000-0005-0000-0000-00008B890000}"/>
    <cellStyle name="Normal 89 2 8 3" xfId="30718" xr:uid="{00000000-0005-0000-0000-00008C890000}"/>
    <cellStyle name="Normal 89 2 9" xfId="12883" xr:uid="{00000000-0005-0000-0000-00008D890000}"/>
    <cellStyle name="Normal 89 3" xfId="3534" xr:uid="{00000000-0005-0000-0000-00008E890000}"/>
    <cellStyle name="Normal 89 3 10" xfId="47136" xr:uid="{00000000-0005-0000-0000-00008F890000}"/>
    <cellStyle name="Normal 89 3 2" xfId="3969" xr:uid="{00000000-0005-0000-0000-000090890000}"/>
    <cellStyle name="Normal 89 3 2 2" xfId="5857" xr:uid="{00000000-0005-0000-0000-000091890000}"/>
    <cellStyle name="Normal 89 3 2 2 2" xfId="9272" xr:uid="{00000000-0005-0000-0000-000092890000}"/>
    <cellStyle name="Normal 89 3 2 2 2 2" xfId="21734" xr:uid="{00000000-0005-0000-0000-000093890000}"/>
    <cellStyle name="Normal 89 3 2 2 2 2 2" xfId="37812" xr:uid="{00000000-0005-0000-0000-000094890000}"/>
    <cellStyle name="Normal 89 3 2 2 2 3" xfId="28526" xr:uid="{00000000-0005-0000-0000-000095890000}"/>
    <cellStyle name="Normal 89 3 2 2 3" xfId="11980" xr:uid="{00000000-0005-0000-0000-000096890000}"/>
    <cellStyle name="Normal 89 3 2 2 3 2" xfId="35002" xr:uid="{00000000-0005-0000-0000-000097890000}"/>
    <cellStyle name="Normal 89 3 2 2 4" xfId="31917" xr:uid="{00000000-0005-0000-0000-000098890000}"/>
    <cellStyle name="Normal 89 3 2 3" xfId="7575" xr:uid="{00000000-0005-0000-0000-000099890000}"/>
    <cellStyle name="Normal 89 3 2 3 2" xfId="23226" xr:uid="{00000000-0005-0000-0000-00009A890000}"/>
    <cellStyle name="Normal 89 3 2 3 2 2" xfId="39295" xr:uid="{00000000-0005-0000-0000-00009B890000}"/>
    <cellStyle name="Normal 89 3 2 3 3" xfId="30223" xr:uid="{00000000-0005-0000-0000-00009C890000}"/>
    <cellStyle name="Normal 89 3 2 4" xfId="18209" xr:uid="{00000000-0005-0000-0000-00009D890000}"/>
    <cellStyle name="Normal 89 3 2 5" xfId="12471" xr:uid="{00000000-0005-0000-0000-00009E890000}"/>
    <cellStyle name="Normal 89 3 2 5 2" xfId="35245" xr:uid="{00000000-0005-0000-0000-00009F890000}"/>
    <cellStyle name="Normal 89 3 2 6" xfId="33610" xr:uid="{00000000-0005-0000-0000-0000A0890000}"/>
    <cellStyle name="Normal 89 3 3" xfId="4909" xr:uid="{00000000-0005-0000-0000-0000A1890000}"/>
    <cellStyle name="Normal 89 3 3 10" xfId="47326" xr:uid="{00000000-0005-0000-0000-0000A2890000}"/>
    <cellStyle name="Normal 89 3 3 2" xfId="6628" xr:uid="{00000000-0005-0000-0000-0000A3890000}"/>
    <cellStyle name="Normal 89 3 3 2 2" xfId="10034" xr:uid="{00000000-0005-0000-0000-0000A4890000}"/>
    <cellStyle name="Normal 89 3 3 2 2 2" xfId="21580" xr:uid="{00000000-0005-0000-0000-0000A5890000}"/>
    <cellStyle name="Normal 89 3 3 2 2 2 2" xfId="37660" xr:uid="{00000000-0005-0000-0000-0000A6890000}"/>
    <cellStyle name="Normal 89 3 3 2 2 3" xfId="27765" xr:uid="{00000000-0005-0000-0000-0000A7890000}"/>
    <cellStyle name="Normal 89 3 3 2 3" xfId="20525" xr:uid="{00000000-0005-0000-0000-0000A8890000}"/>
    <cellStyle name="Normal 89 3 3 2 3 2" xfId="36624" xr:uid="{00000000-0005-0000-0000-0000A9890000}"/>
    <cellStyle name="Normal 89 3 3 2 4" xfId="31166" xr:uid="{00000000-0005-0000-0000-0000AA890000}"/>
    <cellStyle name="Normal 89 3 3 2 5" xfId="42946" xr:uid="{00000000-0005-0000-0000-0000AB890000}"/>
    <cellStyle name="Normal 89 3 3 2 6" xfId="43319" xr:uid="{00000000-0005-0000-0000-0000AC890000}"/>
    <cellStyle name="Normal 89 3 3 2 7" xfId="46167" xr:uid="{00000000-0005-0000-0000-0000AD890000}"/>
    <cellStyle name="Normal 89 3 3 2 8" xfId="46939" xr:uid="{00000000-0005-0000-0000-0000AE890000}"/>
    <cellStyle name="Normal 89 3 3 2 9" xfId="47522" xr:uid="{00000000-0005-0000-0000-0000AF890000}"/>
    <cellStyle name="Normal 89 3 3 3" xfId="8331" xr:uid="{00000000-0005-0000-0000-0000B0890000}"/>
    <cellStyle name="Normal 89 3 3 3 2" xfId="21063" xr:uid="{00000000-0005-0000-0000-0000B1890000}"/>
    <cellStyle name="Normal 89 3 3 3 2 2" xfId="37151" xr:uid="{00000000-0005-0000-0000-0000B2890000}"/>
    <cellStyle name="Normal 89 3 3 3 3" xfId="29467" xr:uid="{00000000-0005-0000-0000-0000B3890000}"/>
    <cellStyle name="Normal 89 3 3 3 4" xfId="44536" xr:uid="{00000000-0005-0000-0000-0000B4890000}"/>
    <cellStyle name="Normal 89 3 3 4" xfId="16391" xr:uid="{00000000-0005-0000-0000-0000B5890000}"/>
    <cellStyle name="Normal 89 3 3 4 2" xfId="35414" xr:uid="{00000000-0005-0000-0000-0000B6890000}"/>
    <cellStyle name="Normal 89 3 3 5" xfId="25074" xr:uid="{00000000-0005-0000-0000-0000B7890000}"/>
    <cellStyle name="Normal 89 3 3 6" xfId="25943" xr:uid="{00000000-0005-0000-0000-0000B8890000}"/>
    <cellStyle name="Normal 89 3 3 7" xfId="32858" xr:uid="{00000000-0005-0000-0000-0000B9890000}"/>
    <cellStyle name="Normal 89 3 3 8" xfId="43779" xr:uid="{00000000-0005-0000-0000-0000BA890000}"/>
    <cellStyle name="Normal 89 3 3 9" xfId="46705" xr:uid="{00000000-0005-0000-0000-0000BB890000}"/>
    <cellStyle name="Normal 89 3 4" xfId="5463" xr:uid="{00000000-0005-0000-0000-0000BC890000}"/>
    <cellStyle name="Normal 89 3 4 2" xfId="8878" xr:uid="{00000000-0005-0000-0000-0000BD890000}"/>
    <cellStyle name="Normal 89 3 4 2 2" xfId="19386" xr:uid="{00000000-0005-0000-0000-0000BE890000}"/>
    <cellStyle name="Normal 89 3 4 2 2 2" xfId="35500" xr:uid="{00000000-0005-0000-0000-0000BF890000}"/>
    <cellStyle name="Normal 89 3 4 2 3" xfId="28920" xr:uid="{00000000-0005-0000-0000-0000C0890000}"/>
    <cellStyle name="Normal 89 3 4 3" xfId="19836" xr:uid="{00000000-0005-0000-0000-0000C1890000}"/>
    <cellStyle name="Normal 89 3 4 3 2" xfId="35949" xr:uid="{00000000-0005-0000-0000-0000C2890000}"/>
    <cellStyle name="Normal 89 3 4 4" xfId="32311" xr:uid="{00000000-0005-0000-0000-0000C3890000}"/>
    <cellStyle name="Normal 89 3 5" xfId="7181" xr:uid="{00000000-0005-0000-0000-0000C4890000}"/>
    <cellStyle name="Normal 89 3 5 2" xfId="23160" xr:uid="{00000000-0005-0000-0000-0000C5890000}"/>
    <cellStyle name="Normal 89 3 5 2 2" xfId="39229" xr:uid="{00000000-0005-0000-0000-0000C6890000}"/>
    <cellStyle name="Normal 89 3 5 3" xfId="30617" xr:uid="{00000000-0005-0000-0000-0000C7890000}"/>
    <cellStyle name="Normal 89 3 6" xfId="12885" xr:uid="{00000000-0005-0000-0000-0000C8890000}"/>
    <cellStyle name="Normal 89 3 7" xfId="34004" xr:uid="{00000000-0005-0000-0000-0000C9890000}"/>
    <cellStyle name="Normal 89 3 8" xfId="43571" xr:uid="{00000000-0005-0000-0000-0000CA890000}"/>
    <cellStyle name="Normal 89 3 9" xfId="46477" xr:uid="{00000000-0005-0000-0000-0000CB890000}"/>
    <cellStyle name="Normal 89 3_Avviksanalyse løpende RNB15 (1)" xfId="16784" xr:uid="{00000000-0005-0000-0000-0000CC890000}"/>
    <cellStyle name="Normal 89 4" xfId="3789" xr:uid="{00000000-0005-0000-0000-0000CD890000}"/>
    <cellStyle name="Normal 89 4 2" xfId="5677" xr:uid="{00000000-0005-0000-0000-0000CE890000}"/>
    <cellStyle name="Normal 89 4 2 2" xfId="9092" xr:uid="{00000000-0005-0000-0000-0000CF890000}"/>
    <cellStyle name="Normal 89 4 2 2 2" xfId="24456" xr:uid="{00000000-0005-0000-0000-0000D0890000}"/>
    <cellStyle name="Normal 89 4 2 2 2 2" xfId="40500" xr:uid="{00000000-0005-0000-0000-0000D1890000}"/>
    <cellStyle name="Normal 89 4 2 2 3" xfId="28706" xr:uid="{00000000-0005-0000-0000-0000D2890000}"/>
    <cellStyle name="Normal 89 4 2 3" xfId="20166" xr:uid="{00000000-0005-0000-0000-0000D3890000}"/>
    <cellStyle name="Normal 89 4 2 3 2" xfId="36267" xr:uid="{00000000-0005-0000-0000-0000D4890000}"/>
    <cellStyle name="Normal 89 4 2 4" xfId="32097" xr:uid="{00000000-0005-0000-0000-0000D5890000}"/>
    <cellStyle name="Normal 89 4 3" xfId="7395" xr:uid="{00000000-0005-0000-0000-0000D6890000}"/>
    <cellStyle name="Normal 89 4 3 2" xfId="24200" xr:uid="{00000000-0005-0000-0000-0000D7890000}"/>
    <cellStyle name="Normal 89 4 3 2 2" xfId="40253" xr:uid="{00000000-0005-0000-0000-0000D8890000}"/>
    <cellStyle name="Normal 89 4 3 3" xfId="30403" xr:uid="{00000000-0005-0000-0000-0000D9890000}"/>
    <cellStyle name="Normal 89 4 4" xfId="22521" xr:uid="{00000000-0005-0000-0000-0000DA890000}"/>
    <cellStyle name="Normal 89 4 4 2" xfId="38591" xr:uid="{00000000-0005-0000-0000-0000DB890000}"/>
    <cellStyle name="Normal 89 4 5" xfId="33790" xr:uid="{00000000-0005-0000-0000-0000DC890000}"/>
    <cellStyle name="Normal 89 5" xfId="4269" xr:uid="{00000000-0005-0000-0000-0000DD890000}"/>
    <cellStyle name="Normal 89 5 2" xfId="6101" xr:uid="{00000000-0005-0000-0000-0000DE890000}"/>
    <cellStyle name="Normal 89 5 2 2" xfId="9516" xr:uid="{00000000-0005-0000-0000-0000DF890000}"/>
    <cellStyle name="Normal 89 5 2 2 2" xfId="21410" xr:uid="{00000000-0005-0000-0000-0000E0890000}"/>
    <cellStyle name="Normal 89 5 2 2 2 2" xfId="37490" xr:uid="{00000000-0005-0000-0000-0000E1890000}"/>
    <cellStyle name="Normal 89 5 2 2 3" xfId="28282" xr:uid="{00000000-0005-0000-0000-0000E2890000}"/>
    <cellStyle name="Normal 89 5 2 3" xfId="23978" xr:uid="{00000000-0005-0000-0000-0000E3890000}"/>
    <cellStyle name="Normal 89 5 2 3 2" xfId="40032" xr:uid="{00000000-0005-0000-0000-0000E4890000}"/>
    <cellStyle name="Normal 89 5 2 4" xfId="31677" xr:uid="{00000000-0005-0000-0000-0000E5890000}"/>
    <cellStyle name="Normal 89 5 3" xfId="7835" xr:uid="{00000000-0005-0000-0000-0000E6890000}"/>
    <cellStyle name="Normal 89 5 3 2" xfId="23277" xr:uid="{00000000-0005-0000-0000-0000E7890000}"/>
    <cellStyle name="Normal 89 5 3 2 2" xfId="39345" xr:uid="{00000000-0005-0000-0000-0000E8890000}"/>
    <cellStyle name="Normal 89 5 3 3" xfId="29964" xr:uid="{00000000-0005-0000-0000-0000E9890000}"/>
    <cellStyle name="Normal 89 5 4" xfId="19622" xr:uid="{00000000-0005-0000-0000-0000EA890000}"/>
    <cellStyle name="Normal 89 5 4 2" xfId="35736" xr:uid="{00000000-0005-0000-0000-0000EB890000}"/>
    <cellStyle name="Normal 89 5 5" xfId="33352" xr:uid="{00000000-0005-0000-0000-0000EC890000}"/>
    <cellStyle name="Normal 89 6" xfId="4725" xr:uid="{00000000-0005-0000-0000-0000ED890000}"/>
    <cellStyle name="Normal 89 6 2" xfId="6445" xr:uid="{00000000-0005-0000-0000-0000EE890000}"/>
    <cellStyle name="Normal 89 6 2 2" xfId="9855" xr:uid="{00000000-0005-0000-0000-0000EF890000}"/>
    <cellStyle name="Normal 89 6 2 2 2" xfId="21510" xr:uid="{00000000-0005-0000-0000-0000F0890000}"/>
    <cellStyle name="Normal 89 6 2 2 2 2" xfId="37590" xr:uid="{00000000-0005-0000-0000-0000F1890000}"/>
    <cellStyle name="Normal 89 6 2 2 3" xfId="27944" xr:uid="{00000000-0005-0000-0000-0000F2890000}"/>
    <cellStyle name="Normal 89 6 2 3" xfId="23041" xr:uid="{00000000-0005-0000-0000-0000F3890000}"/>
    <cellStyle name="Normal 89 6 2 3 2" xfId="39110" xr:uid="{00000000-0005-0000-0000-0000F4890000}"/>
    <cellStyle name="Normal 89 6 2 4" xfId="31345" xr:uid="{00000000-0005-0000-0000-0000F5890000}"/>
    <cellStyle name="Normal 89 6 3" xfId="8151" xr:uid="{00000000-0005-0000-0000-0000F6890000}"/>
    <cellStyle name="Normal 89 6 3 2" xfId="21014" xr:uid="{00000000-0005-0000-0000-0000F7890000}"/>
    <cellStyle name="Normal 89 6 3 2 2" xfId="37108" xr:uid="{00000000-0005-0000-0000-0000F8890000}"/>
    <cellStyle name="Normal 89 6 3 3" xfId="29647" xr:uid="{00000000-0005-0000-0000-0000F9890000}"/>
    <cellStyle name="Normal 89 6 4" xfId="12278" xr:uid="{00000000-0005-0000-0000-0000FA890000}"/>
    <cellStyle name="Normal 89 6 4 2" xfId="35154" xr:uid="{00000000-0005-0000-0000-0000FB890000}"/>
    <cellStyle name="Normal 89 6 5" xfId="33038" xr:uid="{00000000-0005-0000-0000-0000FC890000}"/>
    <cellStyle name="Normal 89 7" xfId="5089" xr:uid="{00000000-0005-0000-0000-0000FD890000}"/>
    <cellStyle name="Normal 89 7 2" xfId="6808" xr:uid="{00000000-0005-0000-0000-0000FE890000}"/>
    <cellStyle name="Normal 89 7 2 2" xfId="10214" xr:uid="{00000000-0005-0000-0000-0000FF890000}"/>
    <cellStyle name="Normal 89 7 2 2 2" xfId="24650" xr:uid="{00000000-0005-0000-0000-0000008A0000}"/>
    <cellStyle name="Normal 89 7 2 2 2 2" xfId="40694" xr:uid="{00000000-0005-0000-0000-0000018A0000}"/>
    <cellStyle name="Normal 89 7 2 2 3" xfId="27585" xr:uid="{00000000-0005-0000-0000-0000028A0000}"/>
    <cellStyle name="Normal 89 7 2 3" xfId="11806" xr:uid="{00000000-0005-0000-0000-0000038A0000}"/>
    <cellStyle name="Normal 89 7 2 3 2" xfId="34874" xr:uid="{00000000-0005-0000-0000-0000048A0000}"/>
    <cellStyle name="Normal 89 7 2 4" xfId="30986" xr:uid="{00000000-0005-0000-0000-0000058A0000}"/>
    <cellStyle name="Normal 89 7 3" xfId="8511" xr:uid="{00000000-0005-0000-0000-0000068A0000}"/>
    <cellStyle name="Normal 89 7 3 2" xfId="11841" xr:uid="{00000000-0005-0000-0000-0000078A0000}"/>
    <cellStyle name="Normal 89 7 3 2 2" xfId="34891" xr:uid="{00000000-0005-0000-0000-0000088A0000}"/>
    <cellStyle name="Normal 89 7 3 3" xfId="29287" xr:uid="{00000000-0005-0000-0000-0000098A0000}"/>
    <cellStyle name="Normal 89 7 4" xfId="12171" xr:uid="{00000000-0005-0000-0000-00000A8A0000}"/>
    <cellStyle name="Normal 89 7 4 2" xfId="35106" xr:uid="{00000000-0005-0000-0000-00000B8A0000}"/>
    <cellStyle name="Normal 89 7 5" xfId="32678" xr:uid="{00000000-0005-0000-0000-00000C8A0000}"/>
    <cellStyle name="Normal 89 8" xfId="5268" xr:uid="{00000000-0005-0000-0000-00000D8A0000}"/>
    <cellStyle name="Normal 89 8 2" xfId="8683" xr:uid="{00000000-0005-0000-0000-00000E8A0000}"/>
    <cellStyle name="Normal 89 8 2 2" xfId="10497" xr:uid="{00000000-0005-0000-0000-00000F8A0000}"/>
    <cellStyle name="Normal 89 8 2 2 2" xfId="34393" xr:uid="{00000000-0005-0000-0000-0000108A0000}"/>
    <cellStyle name="Normal 89 8 2 3" xfId="29115" xr:uid="{00000000-0005-0000-0000-0000118A0000}"/>
    <cellStyle name="Normal 89 8 3" xfId="21660" xr:uid="{00000000-0005-0000-0000-0000128A0000}"/>
    <cellStyle name="Normal 89 8 3 2" xfId="37740" xr:uid="{00000000-0005-0000-0000-0000138A0000}"/>
    <cellStyle name="Normal 89 8 4" xfId="32506" xr:uid="{00000000-0005-0000-0000-0000148A0000}"/>
    <cellStyle name="Normal 89 9" xfId="6998" xr:uid="{00000000-0005-0000-0000-0000158A0000}"/>
    <cellStyle name="Normal 89 9 2" xfId="20627" xr:uid="{00000000-0005-0000-0000-0000168A0000}"/>
    <cellStyle name="Normal 89 9 2 2" xfId="36726" xr:uid="{00000000-0005-0000-0000-0000178A0000}"/>
    <cellStyle name="Normal 89 9 3" xfId="30800" xr:uid="{00000000-0005-0000-0000-0000188A0000}"/>
    <cellStyle name="Normal 9" xfId="2259" xr:uid="{00000000-0005-0000-0000-0000198A0000}"/>
    <cellStyle name="Normal 9 2" xfId="2260" xr:uid="{00000000-0005-0000-0000-00001A8A0000}"/>
    <cellStyle name="Normal 9 2 2" xfId="12886" xr:uid="{00000000-0005-0000-0000-00001B8A0000}"/>
    <cellStyle name="Normal 9 2 2 2" xfId="25946" xr:uid="{00000000-0005-0000-0000-00001C8A0000}"/>
    <cellStyle name="Normal 9 2 2 2 2" xfId="41376" xr:uid="{00000000-0005-0000-0000-00001D8A0000}"/>
    <cellStyle name="Normal 9 2 2 3" xfId="44539" xr:uid="{00000000-0005-0000-0000-00001E8A0000}"/>
    <cellStyle name="Normal 9 2 3" xfId="25945" xr:uid="{00000000-0005-0000-0000-00001F8A0000}"/>
    <cellStyle name="Normal 9 2 3 2" xfId="41375" xr:uid="{00000000-0005-0000-0000-0000208A0000}"/>
    <cellStyle name="Normal 9 2 4" xfId="44538" xr:uid="{00000000-0005-0000-0000-0000218A0000}"/>
    <cellStyle name="Normal 9 3" xfId="12887" xr:uid="{00000000-0005-0000-0000-0000228A0000}"/>
    <cellStyle name="Normal 9 3 2" xfId="25947" xr:uid="{00000000-0005-0000-0000-0000238A0000}"/>
    <cellStyle name="Normal 9 3 2 2" xfId="41377" xr:uid="{00000000-0005-0000-0000-0000248A0000}"/>
    <cellStyle name="Normal 9 3 3" xfId="44540" xr:uid="{00000000-0005-0000-0000-0000258A0000}"/>
    <cellStyle name="Normal 9 4" xfId="25944" xr:uid="{00000000-0005-0000-0000-0000268A0000}"/>
    <cellStyle name="Normal 9 4 2" xfId="41374" xr:uid="{00000000-0005-0000-0000-0000278A0000}"/>
    <cellStyle name="Normal 9 5" xfId="44537" xr:uid="{00000000-0005-0000-0000-0000288A0000}"/>
    <cellStyle name="Normal 9_Tabell 9 I" xfId="27486" xr:uid="{00000000-0005-0000-0000-0000298A0000}"/>
    <cellStyle name="Normal 90" xfId="2261" xr:uid="{00000000-0005-0000-0000-00002A8A0000}"/>
    <cellStyle name="Normal 90 10" xfId="12888" xr:uid="{00000000-0005-0000-0000-00002B8A0000}"/>
    <cellStyle name="Normal 90 11" xfId="34187" xr:uid="{00000000-0005-0000-0000-00002C8A0000}"/>
    <cellStyle name="Normal 90 2" xfId="3397" xr:uid="{00000000-0005-0000-0000-00002D8A0000}"/>
    <cellStyle name="Normal 90 2 10" xfId="34104" xr:uid="{00000000-0005-0000-0000-00002E8A0000}"/>
    <cellStyle name="Normal 90 2 2" xfId="3621" xr:uid="{00000000-0005-0000-0000-00002F8A0000}"/>
    <cellStyle name="Normal 90 2 2 10" xfId="47218" xr:uid="{00000000-0005-0000-0000-0000308A0000}"/>
    <cellStyle name="Normal 90 2 2 2" xfId="4049" xr:uid="{00000000-0005-0000-0000-0000318A0000}"/>
    <cellStyle name="Normal 90 2 2 2 2" xfId="5937" xr:uid="{00000000-0005-0000-0000-0000328A0000}"/>
    <cellStyle name="Normal 90 2 2 2 2 2" xfId="9352" xr:uid="{00000000-0005-0000-0000-0000338A0000}"/>
    <cellStyle name="Normal 90 2 2 2 2 2 2" xfId="21360" xr:uid="{00000000-0005-0000-0000-0000348A0000}"/>
    <cellStyle name="Normal 90 2 2 2 2 2 2 2" xfId="37440" xr:uid="{00000000-0005-0000-0000-0000358A0000}"/>
    <cellStyle name="Normal 90 2 2 2 2 2 3" xfId="28446" xr:uid="{00000000-0005-0000-0000-0000368A0000}"/>
    <cellStyle name="Normal 90 2 2 2 2 3" xfId="22942" xr:uid="{00000000-0005-0000-0000-0000378A0000}"/>
    <cellStyle name="Normal 90 2 2 2 2 3 2" xfId="39011" xr:uid="{00000000-0005-0000-0000-0000388A0000}"/>
    <cellStyle name="Normal 90 2 2 2 2 4" xfId="31840" xr:uid="{00000000-0005-0000-0000-0000398A0000}"/>
    <cellStyle name="Normal 90 2 2 2 3" xfId="7655" xr:uid="{00000000-0005-0000-0000-00003A8A0000}"/>
    <cellStyle name="Normal 90 2 2 2 3 2" xfId="23242" xr:uid="{00000000-0005-0000-0000-00003B8A0000}"/>
    <cellStyle name="Normal 90 2 2 2 3 2 2" xfId="39310" xr:uid="{00000000-0005-0000-0000-00003C8A0000}"/>
    <cellStyle name="Normal 90 2 2 2 3 3" xfId="30143" xr:uid="{00000000-0005-0000-0000-00003D8A0000}"/>
    <cellStyle name="Normal 90 2 2 2 4" xfId="18210" xr:uid="{00000000-0005-0000-0000-00003E8A0000}"/>
    <cellStyle name="Normal 90 2 2 2 5" xfId="19574" xr:uid="{00000000-0005-0000-0000-00003F8A0000}"/>
    <cellStyle name="Normal 90 2 2 2 5 2" xfId="35688" xr:uid="{00000000-0005-0000-0000-0000408A0000}"/>
    <cellStyle name="Normal 90 2 2 2 6" xfId="33530" xr:uid="{00000000-0005-0000-0000-0000418A0000}"/>
    <cellStyle name="Normal 90 2 2 3" xfId="4989" xr:uid="{00000000-0005-0000-0000-0000428A0000}"/>
    <cellStyle name="Normal 90 2 2 3 10" xfId="47408" xr:uid="{00000000-0005-0000-0000-0000438A0000}"/>
    <cellStyle name="Normal 90 2 2 3 2" xfId="6708" xr:uid="{00000000-0005-0000-0000-0000448A0000}"/>
    <cellStyle name="Normal 90 2 2 3 2 2" xfId="10114" xr:uid="{00000000-0005-0000-0000-0000458A0000}"/>
    <cellStyle name="Normal 90 2 2 3 2 2 2" xfId="21612" xr:uid="{00000000-0005-0000-0000-0000468A0000}"/>
    <cellStyle name="Normal 90 2 2 3 2 2 2 2" xfId="37692" xr:uid="{00000000-0005-0000-0000-0000478A0000}"/>
    <cellStyle name="Normal 90 2 2 3 2 2 3" xfId="27685" xr:uid="{00000000-0005-0000-0000-0000488A0000}"/>
    <cellStyle name="Normal 90 2 2 3 2 3" xfId="22379" xr:uid="{00000000-0005-0000-0000-0000498A0000}"/>
    <cellStyle name="Normal 90 2 2 3 2 3 2" xfId="38451" xr:uid="{00000000-0005-0000-0000-00004A8A0000}"/>
    <cellStyle name="Normal 90 2 2 3 2 4" xfId="31086" xr:uid="{00000000-0005-0000-0000-00004B8A0000}"/>
    <cellStyle name="Normal 90 2 2 3 2 5" xfId="43105" xr:uid="{00000000-0005-0000-0000-00004C8A0000}"/>
    <cellStyle name="Normal 90 2 2 3 2 6" xfId="43399" xr:uid="{00000000-0005-0000-0000-00004D8A0000}"/>
    <cellStyle name="Normal 90 2 2 3 2 7" xfId="46247" xr:uid="{00000000-0005-0000-0000-00004E8A0000}"/>
    <cellStyle name="Normal 90 2 2 3 2 8" xfId="47019" xr:uid="{00000000-0005-0000-0000-00004F8A0000}"/>
    <cellStyle name="Normal 90 2 2 3 2 9" xfId="47604" xr:uid="{00000000-0005-0000-0000-0000508A0000}"/>
    <cellStyle name="Normal 90 2 2 3 3" xfId="8411" xr:uid="{00000000-0005-0000-0000-0000518A0000}"/>
    <cellStyle name="Normal 90 2 2 3 3 2" xfId="21087" xr:uid="{00000000-0005-0000-0000-0000528A0000}"/>
    <cellStyle name="Normal 90 2 2 3 3 2 2" xfId="37172" xr:uid="{00000000-0005-0000-0000-0000538A0000}"/>
    <cellStyle name="Normal 90 2 2 3 3 3" xfId="29387" xr:uid="{00000000-0005-0000-0000-0000548A0000}"/>
    <cellStyle name="Normal 90 2 2 3 3 4" xfId="44541" xr:uid="{00000000-0005-0000-0000-0000558A0000}"/>
    <cellStyle name="Normal 90 2 2 3 4" xfId="16550" xr:uid="{00000000-0005-0000-0000-0000568A0000}"/>
    <cellStyle name="Normal 90 2 2 3 4 2" xfId="35494" xr:uid="{00000000-0005-0000-0000-0000578A0000}"/>
    <cellStyle name="Normal 90 2 2 3 5" xfId="25156" xr:uid="{00000000-0005-0000-0000-0000588A0000}"/>
    <cellStyle name="Normal 90 2 2 3 6" xfId="25948" xr:uid="{00000000-0005-0000-0000-0000598A0000}"/>
    <cellStyle name="Normal 90 2 2 3 7" xfId="32778" xr:uid="{00000000-0005-0000-0000-00005A8A0000}"/>
    <cellStyle name="Normal 90 2 2 3 8" xfId="43860" xr:uid="{00000000-0005-0000-0000-00005B8A0000}"/>
    <cellStyle name="Normal 90 2 2 3 9" xfId="46785" xr:uid="{00000000-0005-0000-0000-00005C8A0000}"/>
    <cellStyle name="Normal 90 2 2 4" xfId="5543" xr:uid="{00000000-0005-0000-0000-00005D8A0000}"/>
    <cellStyle name="Normal 90 2 2 4 2" xfId="8958" xr:uid="{00000000-0005-0000-0000-00005E8A0000}"/>
    <cellStyle name="Normal 90 2 2 4 2 2" xfId="23432" xr:uid="{00000000-0005-0000-0000-00005F8A0000}"/>
    <cellStyle name="Normal 90 2 2 4 2 2 2" xfId="39488" xr:uid="{00000000-0005-0000-0000-0000608A0000}"/>
    <cellStyle name="Normal 90 2 2 4 2 3" xfId="28840" xr:uid="{00000000-0005-0000-0000-0000618A0000}"/>
    <cellStyle name="Normal 90 2 2 4 3" xfId="23873" xr:uid="{00000000-0005-0000-0000-0000628A0000}"/>
    <cellStyle name="Normal 90 2 2 4 3 2" xfId="39929" xr:uid="{00000000-0005-0000-0000-0000638A0000}"/>
    <cellStyle name="Normal 90 2 2 4 4" xfId="32231" xr:uid="{00000000-0005-0000-0000-0000648A0000}"/>
    <cellStyle name="Normal 90 2 2 5" xfId="7261" xr:uid="{00000000-0005-0000-0000-0000658A0000}"/>
    <cellStyle name="Normal 90 2 2 5 2" xfId="23172" xr:uid="{00000000-0005-0000-0000-0000668A0000}"/>
    <cellStyle name="Normal 90 2 2 5 2 2" xfId="39241" xr:uid="{00000000-0005-0000-0000-0000678A0000}"/>
    <cellStyle name="Normal 90 2 2 5 3" xfId="30537" xr:uid="{00000000-0005-0000-0000-0000688A0000}"/>
    <cellStyle name="Normal 90 2 2 6" xfId="12890" xr:uid="{00000000-0005-0000-0000-0000698A0000}"/>
    <cellStyle name="Normal 90 2 2 7" xfId="33924" xr:uid="{00000000-0005-0000-0000-00006A8A0000}"/>
    <cellStyle name="Normal 90 2 2 8" xfId="43651" xr:uid="{00000000-0005-0000-0000-00006B8A0000}"/>
    <cellStyle name="Normal 90 2 2 9" xfId="46557" xr:uid="{00000000-0005-0000-0000-00006C8A0000}"/>
    <cellStyle name="Normal 90 2 2_Avviksanalyse løpende RNB15 (1)" xfId="16785" xr:uid="{00000000-0005-0000-0000-00006D8A0000}"/>
    <cellStyle name="Normal 90 2 3" xfId="3869" xr:uid="{00000000-0005-0000-0000-00006E8A0000}"/>
    <cellStyle name="Normal 90 2 3 2" xfId="5757" xr:uid="{00000000-0005-0000-0000-00006F8A0000}"/>
    <cellStyle name="Normal 90 2 3 2 2" xfId="9172" xr:uid="{00000000-0005-0000-0000-0000708A0000}"/>
    <cellStyle name="Normal 90 2 3 2 2 2" xfId="21301" xr:uid="{00000000-0005-0000-0000-0000718A0000}"/>
    <cellStyle name="Normal 90 2 3 2 2 2 2" xfId="37381" xr:uid="{00000000-0005-0000-0000-0000728A0000}"/>
    <cellStyle name="Normal 90 2 3 2 2 3" xfId="28626" xr:uid="{00000000-0005-0000-0000-0000738A0000}"/>
    <cellStyle name="Normal 90 2 3 2 3" xfId="20194" xr:uid="{00000000-0005-0000-0000-0000748A0000}"/>
    <cellStyle name="Normal 90 2 3 2 3 2" xfId="36294" xr:uid="{00000000-0005-0000-0000-0000758A0000}"/>
    <cellStyle name="Normal 90 2 3 2 4" xfId="32017" xr:uid="{00000000-0005-0000-0000-0000768A0000}"/>
    <cellStyle name="Normal 90 2 3 3" xfId="7475" xr:uid="{00000000-0005-0000-0000-0000778A0000}"/>
    <cellStyle name="Normal 90 2 3 3 2" xfId="24215" xr:uid="{00000000-0005-0000-0000-0000788A0000}"/>
    <cellStyle name="Normal 90 2 3 3 2 2" xfId="40268" xr:uid="{00000000-0005-0000-0000-0000798A0000}"/>
    <cellStyle name="Normal 90 2 3 3 3" xfId="30323" xr:uid="{00000000-0005-0000-0000-00007A8A0000}"/>
    <cellStyle name="Normal 90 2 3 4" xfId="11060" xr:uid="{00000000-0005-0000-0000-00007B8A0000}"/>
    <cellStyle name="Normal 90 2 3 4 2" xfId="34768" xr:uid="{00000000-0005-0000-0000-00007C8A0000}"/>
    <cellStyle name="Normal 90 2 3 5" xfId="33710" xr:uid="{00000000-0005-0000-0000-00007D8A0000}"/>
    <cellStyle name="Normal 90 2 4" xfId="4354" xr:uid="{00000000-0005-0000-0000-00007E8A0000}"/>
    <cellStyle name="Normal 90 2 4 2" xfId="6183" xr:uid="{00000000-0005-0000-0000-00007F8A0000}"/>
    <cellStyle name="Normal 90 2 4 2 2" xfId="9597" xr:uid="{00000000-0005-0000-0000-0000808A0000}"/>
    <cellStyle name="Normal 90 2 4 2 2 2" xfId="21431" xr:uid="{00000000-0005-0000-0000-0000818A0000}"/>
    <cellStyle name="Normal 90 2 4 2 2 2 2" xfId="37511" xr:uid="{00000000-0005-0000-0000-0000828A0000}"/>
    <cellStyle name="Normal 90 2 4 2 2 3" xfId="28201" xr:uid="{00000000-0005-0000-0000-0000838A0000}"/>
    <cellStyle name="Normal 90 2 4 2 3" xfId="22109" xr:uid="{00000000-0005-0000-0000-0000848A0000}"/>
    <cellStyle name="Normal 90 2 4 2 3 2" xfId="38183" xr:uid="{00000000-0005-0000-0000-0000858A0000}"/>
    <cellStyle name="Normal 90 2 4 2 4" xfId="34294" xr:uid="{00000000-0005-0000-0000-0000868A0000}"/>
    <cellStyle name="Normal 90 2 4 3" xfId="7916" xr:uid="{00000000-0005-0000-0000-0000878A0000}"/>
    <cellStyle name="Normal 90 2 4 3 2" xfId="20942" xr:uid="{00000000-0005-0000-0000-0000888A0000}"/>
    <cellStyle name="Normal 90 2 4 3 2 2" xfId="37038" xr:uid="{00000000-0005-0000-0000-0000898A0000}"/>
    <cellStyle name="Normal 90 2 4 3 3" xfId="29883" xr:uid="{00000000-0005-0000-0000-00008A8A0000}"/>
    <cellStyle name="Normal 90 2 4 4" xfId="23645" xr:uid="{00000000-0005-0000-0000-00008B8A0000}"/>
    <cellStyle name="Normal 90 2 4 4 2" xfId="39701" xr:uid="{00000000-0005-0000-0000-00008C8A0000}"/>
    <cellStyle name="Normal 90 2 4 5" xfId="33271" xr:uid="{00000000-0005-0000-0000-00008D8A0000}"/>
    <cellStyle name="Normal 90 2 5" xfId="4809" xr:uid="{00000000-0005-0000-0000-00008E8A0000}"/>
    <cellStyle name="Normal 90 2 5 2" xfId="6529" xr:uid="{00000000-0005-0000-0000-00008F8A0000}"/>
    <cellStyle name="Normal 90 2 5 2 2" xfId="9935" xr:uid="{00000000-0005-0000-0000-0000908A0000}"/>
    <cellStyle name="Normal 90 2 5 2 2 2" xfId="24591" xr:uid="{00000000-0005-0000-0000-0000918A0000}"/>
    <cellStyle name="Normal 90 2 5 2 2 2 2" xfId="40635" xr:uid="{00000000-0005-0000-0000-0000928A0000}"/>
    <cellStyle name="Normal 90 2 5 2 2 3" xfId="27864" xr:uid="{00000000-0005-0000-0000-0000938A0000}"/>
    <cellStyle name="Normal 90 2 5 2 3" xfId="24058" xr:uid="{00000000-0005-0000-0000-0000948A0000}"/>
    <cellStyle name="Normal 90 2 5 2 3 2" xfId="40111" xr:uid="{00000000-0005-0000-0000-0000958A0000}"/>
    <cellStyle name="Normal 90 2 5 2 4" xfId="31265" xr:uid="{00000000-0005-0000-0000-0000968A0000}"/>
    <cellStyle name="Normal 90 2 5 3" xfId="8231" xr:uid="{00000000-0005-0000-0000-0000978A0000}"/>
    <cellStyle name="Normal 90 2 5 3 2" xfId="24335" xr:uid="{00000000-0005-0000-0000-0000988A0000}"/>
    <cellStyle name="Normal 90 2 5 3 2 2" xfId="40385" xr:uid="{00000000-0005-0000-0000-0000998A0000}"/>
    <cellStyle name="Normal 90 2 5 3 3" xfId="29566" xr:uid="{00000000-0005-0000-0000-00009A8A0000}"/>
    <cellStyle name="Normal 90 2 5 4" xfId="12258" xr:uid="{00000000-0005-0000-0000-00009B8A0000}"/>
    <cellStyle name="Normal 90 2 5 4 2" xfId="35134" xr:uid="{00000000-0005-0000-0000-00009C8A0000}"/>
    <cellStyle name="Normal 90 2 5 5" xfId="32958" xr:uid="{00000000-0005-0000-0000-00009D8A0000}"/>
    <cellStyle name="Normal 90 2 6" xfId="5169" xr:uid="{00000000-0005-0000-0000-00009E8A0000}"/>
    <cellStyle name="Normal 90 2 6 2" xfId="6888" xr:uid="{00000000-0005-0000-0000-00009F8A0000}"/>
    <cellStyle name="Normal 90 2 6 2 2" xfId="10294" xr:uid="{00000000-0005-0000-0000-0000A08A0000}"/>
    <cellStyle name="Normal 90 2 6 2 2 2" xfId="24737" xr:uid="{00000000-0005-0000-0000-0000A18A0000}"/>
    <cellStyle name="Normal 90 2 6 2 2 2 2" xfId="40780" xr:uid="{00000000-0005-0000-0000-0000A28A0000}"/>
    <cellStyle name="Normal 90 2 6 2 2 3" xfId="27505" xr:uid="{00000000-0005-0000-0000-0000A38A0000}"/>
    <cellStyle name="Normal 90 2 6 2 3" xfId="23110" xr:uid="{00000000-0005-0000-0000-0000A48A0000}"/>
    <cellStyle name="Normal 90 2 6 2 3 2" xfId="39179" xr:uid="{00000000-0005-0000-0000-0000A58A0000}"/>
    <cellStyle name="Normal 90 2 6 2 4" xfId="30906" xr:uid="{00000000-0005-0000-0000-0000A68A0000}"/>
    <cellStyle name="Normal 90 2 6 3" xfId="8591" xr:uid="{00000000-0005-0000-0000-0000A78A0000}"/>
    <cellStyle name="Normal 90 2 6 3 2" xfId="24386" xr:uid="{00000000-0005-0000-0000-0000A88A0000}"/>
    <cellStyle name="Normal 90 2 6 3 2 2" xfId="40430" xr:uid="{00000000-0005-0000-0000-0000A98A0000}"/>
    <cellStyle name="Normal 90 2 6 3 3" xfId="29207" xr:uid="{00000000-0005-0000-0000-0000AA8A0000}"/>
    <cellStyle name="Normal 90 2 6 4" xfId="10798" xr:uid="{00000000-0005-0000-0000-0000AB8A0000}"/>
    <cellStyle name="Normal 90 2 6 4 2" xfId="34621" xr:uid="{00000000-0005-0000-0000-0000AC8A0000}"/>
    <cellStyle name="Normal 90 2 6 5" xfId="32598" xr:uid="{00000000-0005-0000-0000-0000AD8A0000}"/>
    <cellStyle name="Normal 90 2 7" xfId="5348" xr:uid="{00000000-0005-0000-0000-0000AE8A0000}"/>
    <cellStyle name="Normal 90 2 7 2" xfId="8763" xr:uid="{00000000-0005-0000-0000-0000AF8A0000}"/>
    <cellStyle name="Normal 90 2 7 2 2" xfId="21184" xr:uid="{00000000-0005-0000-0000-0000B08A0000}"/>
    <cellStyle name="Normal 90 2 7 2 2 2" xfId="37264" xr:uid="{00000000-0005-0000-0000-0000B18A0000}"/>
    <cellStyle name="Normal 90 2 7 2 3" xfId="29035" xr:uid="{00000000-0005-0000-0000-0000B28A0000}"/>
    <cellStyle name="Normal 90 2 7 3" xfId="12051" xr:uid="{00000000-0005-0000-0000-0000B38A0000}"/>
    <cellStyle name="Normal 90 2 7 3 2" xfId="35046" xr:uid="{00000000-0005-0000-0000-0000B48A0000}"/>
    <cellStyle name="Normal 90 2 7 4" xfId="32426" xr:uid="{00000000-0005-0000-0000-0000B58A0000}"/>
    <cellStyle name="Normal 90 2 8" xfId="7081" xr:uid="{00000000-0005-0000-0000-0000B68A0000}"/>
    <cellStyle name="Normal 90 2 8 2" xfId="20659" xr:uid="{00000000-0005-0000-0000-0000B78A0000}"/>
    <cellStyle name="Normal 90 2 8 2 2" xfId="36758" xr:uid="{00000000-0005-0000-0000-0000B88A0000}"/>
    <cellStyle name="Normal 90 2 8 3" xfId="30717" xr:uid="{00000000-0005-0000-0000-0000B98A0000}"/>
    <cellStyle name="Normal 90 2 9" xfId="12889" xr:uid="{00000000-0005-0000-0000-0000BA8A0000}"/>
    <cellStyle name="Normal 90 3" xfId="3535" xr:uid="{00000000-0005-0000-0000-0000BB8A0000}"/>
    <cellStyle name="Normal 90 3 2" xfId="3970" xr:uid="{00000000-0005-0000-0000-0000BC8A0000}"/>
    <cellStyle name="Normal 90 3 2 2" xfId="5858" xr:uid="{00000000-0005-0000-0000-0000BD8A0000}"/>
    <cellStyle name="Normal 90 3 2 2 2" xfId="9273" xr:uid="{00000000-0005-0000-0000-0000BE8A0000}"/>
    <cellStyle name="Normal 90 3 2 2 2 2" xfId="22750" xr:uid="{00000000-0005-0000-0000-0000BF8A0000}"/>
    <cellStyle name="Normal 90 3 2 2 2 2 2" xfId="38819" xr:uid="{00000000-0005-0000-0000-0000C08A0000}"/>
    <cellStyle name="Normal 90 3 2 2 2 3" xfId="28525" xr:uid="{00000000-0005-0000-0000-0000C18A0000}"/>
    <cellStyle name="Normal 90 3 2 2 3" xfId="18211" xr:uid="{00000000-0005-0000-0000-0000C28A0000}"/>
    <cellStyle name="Normal 90 3 2 2 4" xfId="20229" xr:uid="{00000000-0005-0000-0000-0000C38A0000}"/>
    <cellStyle name="Normal 90 3 2 2 4 2" xfId="36328" xr:uid="{00000000-0005-0000-0000-0000C48A0000}"/>
    <cellStyle name="Normal 90 3 2 2 5" xfId="31916" xr:uid="{00000000-0005-0000-0000-0000C58A0000}"/>
    <cellStyle name="Normal 90 3 2 3" xfId="7576" xr:uid="{00000000-0005-0000-0000-0000C68A0000}"/>
    <cellStyle name="Normal 90 3 2 3 2" xfId="16392" xr:uid="{00000000-0005-0000-0000-0000C78A0000}"/>
    <cellStyle name="Normal 90 3 2 3 2 2" xfId="35415" xr:uid="{00000000-0005-0000-0000-0000C88A0000}"/>
    <cellStyle name="Normal 90 3 2 3 2 3" xfId="42947" xr:uid="{00000000-0005-0000-0000-0000C98A0000}"/>
    <cellStyle name="Normal 90 3 2 3 2 4" xfId="43320" xr:uid="{00000000-0005-0000-0000-0000CA8A0000}"/>
    <cellStyle name="Normal 90 3 2 3 2 5" xfId="46168" xr:uid="{00000000-0005-0000-0000-0000CB8A0000}"/>
    <cellStyle name="Normal 90 3 2 3 2 6" xfId="46940" xr:uid="{00000000-0005-0000-0000-0000CC8A0000}"/>
    <cellStyle name="Normal 90 3 2 3 2 7" xfId="47523" xr:uid="{00000000-0005-0000-0000-0000CD8A0000}"/>
    <cellStyle name="Normal 90 3 2 3 3" xfId="25075" xr:uid="{00000000-0005-0000-0000-0000CE8A0000}"/>
    <cellStyle name="Normal 90 3 2 3 3 2" xfId="44542" xr:uid="{00000000-0005-0000-0000-0000CF8A0000}"/>
    <cellStyle name="Normal 90 3 2 3 4" xfId="25949" xr:uid="{00000000-0005-0000-0000-0000D08A0000}"/>
    <cellStyle name="Normal 90 3 2 3 5" xfId="30222" xr:uid="{00000000-0005-0000-0000-0000D18A0000}"/>
    <cellStyle name="Normal 90 3 2 3 6" xfId="43780" xr:uid="{00000000-0005-0000-0000-0000D28A0000}"/>
    <cellStyle name="Normal 90 3 2 3 7" xfId="46706" xr:uid="{00000000-0005-0000-0000-0000D38A0000}"/>
    <cellStyle name="Normal 90 3 2 3 8" xfId="47327" xr:uid="{00000000-0005-0000-0000-0000D48A0000}"/>
    <cellStyle name="Normal 90 3 2 4" xfId="12892" xr:uid="{00000000-0005-0000-0000-0000D58A0000}"/>
    <cellStyle name="Normal 90 3 2 5" xfId="33609" xr:uid="{00000000-0005-0000-0000-0000D68A0000}"/>
    <cellStyle name="Normal 90 3 2 6" xfId="43572" xr:uid="{00000000-0005-0000-0000-0000D78A0000}"/>
    <cellStyle name="Normal 90 3 2 7" xfId="46478" xr:uid="{00000000-0005-0000-0000-0000D88A0000}"/>
    <cellStyle name="Normal 90 3 2 8" xfId="47137" xr:uid="{00000000-0005-0000-0000-0000D98A0000}"/>
    <cellStyle name="Normal 90 3 2_Avviksanalyse løpende RNB15 (1)" xfId="16786" xr:uid="{00000000-0005-0000-0000-0000DA8A0000}"/>
    <cellStyle name="Normal 90 3 3" xfId="4910" xr:uid="{00000000-0005-0000-0000-0000DB8A0000}"/>
    <cellStyle name="Normal 90 3 3 2" xfId="6629" xr:uid="{00000000-0005-0000-0000-0000DC8A0000}"/>
    <cellStyle name="Normal 90 3 3 2 2" xfId="10035" xr:uid="{00000000-0005-0000-0000-0000DD8A0000}"/>
    <cellStyle name="Normal 90 3 3 2 2 2" xfId="24611" xr:uid="{00000000-0005-0000-0000-0000DE8A0000}"/>
    <cellStyle name="Normal 90 3 3 2 2 2 2" xfId="40655" xr:uid="{00000000-0005-0000-0000-0000DF8A0000}"/>
    <cellStyle name="Normal 90 3 3 2 2 3" xfId="27764" xr:uid="{00000000-0005-0000-0000-0000E08A0000}"/>
    <cellStyle name="Normal 90 3 3 2 3" xfId="20526" xr:uid="{00000000-0005-0000-0000-0000E18A0000}"/>
    <cellStyle name="Normal 90 3 3 2 3 2" xfId="36625" xr:uid="{00000000-0005-0000-0000-0000E28A0000}"/>
    <cellStyle name="Normal 90 3 3 2 4" xfId="31165" xr:uid="{00000000-0005-0000-0000-0000E38A0000}"/>
    <cellStyle name="Normal 90 3 3 3" xfId="8332" xr:uid="{00000000-0005-0000-0000-0000E48A0000}"/>
    <cellStyle name="Normal 90 3 3 3 2" xfId="10573" xr:uid="{00000000-0005-0000-0000-0000E58A0000}"/>
    <cellStyle name="Normal 90 3 3 3 2 2" xfId="34431" xr:uid="{00000000-0005-0000-0000-0000E68A0000}"/>
    <cellStyle name="Normal 90 3 3 3 3" xfId="29466" xr:uid="{00000000-0005-0000-0000-0000E78A0000}"/>
    <cellStyle name="Normal 90 3 3 4" xfId="19722" xr:uid="{00000000-0005-0000-0000-0000E88A0000}"/>
    <cellStyle name="Normal 90 3 3 4 2" xfId="35836" xr:uid="{00000000-0005-0000-0000-0000E98A0000}"/>
    <cellStyle name="Normal 90 3 3 5" xfId="32857" xr:uid="{00000000-0005-0000-0000-0000EA8A0000}"/>
    <cellStyle name="Normal 90 3 4" xfId="5464" xr:uid="{00000000-0005-0000-0000-0000EB8A0000}"/>
    <cellStyle name="Normal 90 3 4 2" xfId="8879" xr:uid="{00000000-0005-0000-0000-0000EC8A0000}"/>
    <cellStyle name="Normal 90 3 4 2 2" xfId="11741" xr:uid="{00000000-0005-0000-0000-0000ED8A0000}"/>
    <cellStyle name="Normal 90 3 4 2 2 2" xfId="34851" xr:uid="{00000000-0005-0000-0000-0000EE8A0000}"/>
    <cellStyle name="Normal 90 3 4 2 3" xfId="28919" xr:uid="{00000000-0005-0000-0000-0000EF8A0000}"/>
    <cellStyle name="Normal 90 3 4 3" xfId="12001" xr:uid="{00000000-0005-0000-0000-0000F08A0000}"/>
    <cellStyle name="Normal 90 3 4 3 2" xfId="35022" xr:uid="{00000000-0005-0000-0000-0000F18A0000}"/>
    <cellStyle name="Normal 90 3 4 4" xfId="32310" xr:uid="{00000000-0005-0000-0000-0000F28A0000}"/>
    <cellStyle name="Normal 90 3 5" xfId="7182" xr:uid="{00000000-0005-0000-0000-0000F38A0000}"/>
    <cellStyle name="Normal 90 3 5 2" xfId="20689" xr:uid="{00000000-0005-0000-0000-0000F48A0000}"/>
    <cellStyle name="Normal 90 3 5 2 2" xfId="36788" xr:uid="{00000000-0005-0000-0000-0000F58A0000}"/>
    <cellStyle name="Normal 90 3 5 3" xfId="30616" xr:uid="{00000000-0005-0000-0000-0000F68A0000}"/>
    <cellStyle name="Normal 90 3 6" xfId="12891" xr:uid="{00000000-0005-0000-0000-0000F78A0000}"/>
    <cellStyle name="Normal 90 3 7" xfId="34003" xr:uid="{00000000-0005-0000-0000-0000F88A0000}"/>
    <cellStyle name="Normal 90 4" xfId="3790" xr:uid="{00000000-0005-0000-0000-0000F98A0000}"/>
    <cellStyle name="Normal 90 4 2" xfId="5678" xr:uid="{00000000-0005-0000-0000-0000FA8A0000}"/>
    <cellStyle name="Normal 90 4 2 2" xfId="9093" xr:uid="{00000000-0005-0000-0000-0000FB8A0000}"/>
    <cellStyle name="Normal 90 4 2 2 2" xfId="21913" xr:uid="{00000000-0005-0000-0000-0000FC8A0000}"/>
    <cellStyle name="Normal 90 4 2 2 2 2" xfId="37988" xr:uid="{00000000-0005-0000-0000-0000FD8A0000}"/>
    <cellStyle name="Normal 90 4 2 2 3" xfId="28705" xr:uid="{00000000-0005-0000-0000-0000FE8A0000}"/>
    <cellStyle name="Normal 90 4 2 3" xfId="23899" xr:uid="{00000000-0005-0000-0000-0000FF8A0000}"/>
    <cellStyle name="Normal 90 4 2 3 2" xfId="39955" xr:uid="{00000000-0005-0000-0000-0000008B0000}"/>
    <cellStyle name="Normal 90 4 2 4" xfId="32096" xr:uid="{00000000-0005-0000-0000-0000018B0000}"/>
    <cellStyle name="Normal 90 4 3" xfId="7396" xr:uid="{00000000-0005-0000-0000-0000028B0000}"/>
    <cellStyle name="Normal 90 4 3 2" xfId="22448" xr:uid="{00000000-0005-0000-0000-0000038B0000}"/>
    <cellStyle name="Normal 90 4 3 2 2" xfId="38520" xr:uid="{00000000-0005-0000-0000-0000048B0000}"/>
    <cellStyle name="Normal 90 4 3 3" xfId="30402" xr:uid="{00000000-0005-0000-0000-0000058B0000}"/>
    <cellStyle name="Normal 90 4 4" xfId="23776" xr:uid="{00000000-0005-0000-0000-0000068B0000}"/>
    <cellStyle name="Normal 90 4 4 2" xfId="39832" xr:uid="{00000000-0005-0000-0000-0000078B0000}"/>
    <cellStyle name="Normal 90 4 5" xfId="33789" xr:uid="{00000000-0005-0000-0000-0000088B0000}"/>
    <cellStyle name="Normal 90 4 6" xfId="41378" xr:uid="{00000000-0005-0000-0000-0000098B0000}"/>
    <cellStyle name="Normal 90 5" xfId="4270" xr:uid="{00000000-0005-0000-0000-00000A8B0000}"/>
    <cellStyle name="Normal 90 5 2" xfId="6102" xr:uid="{00000000-0005-0000-0000-00000B8B0000}"/>
    <cellStyle name="Normal 90 5 2 2" xfId="9517" xr:uid="{00000000-0005-0000-0000-00000C8B0000}"/>
    <cellStyle name="Normal 90 5 2 2 2" xfId="10434" xr:uid="{00000000-0005-0000-0000-00000D8B0000}"/>
    <cellStyle name="Normal 90 5 2 2 2 2" xfId="34362" xr:uid="{00000000-0005-0000-0000-00000E8B0000}"/>
    <cellStyle name="Normal 90 5 2 2 3" xfId="28281" xr:uid="{00000000-0005-0000-0000-00000F8B0000}"/>
    <cellStyle name="Normal 90 5 2 3" xfId="22113" xr:uid="{00000000-0005-0000-0000-0000108B0000}"/>
    <cellStyle name="Normal 90 5 2 3 2" xfId="38187" xr:uid="{00000000-0005-0000-0000-0000118B0000}"/>
    <cellStyle name="Normal 90 5 2 4" xfId="31676" xr:uid="{00000000-0005-0000-0000-0000128B0000}"/>
    <cellStyle name="Normal 90 5 3" xfId="7836" xr:uid="{00000000-0005-0000-0000-0000138B0000}"/>
    <cellStyle name="Normal 90 5 3 2" xfId="20920" xr:uid="{00000000-0005-0000-0000-0000148B0000}"/>
    <cellStyle name="Normal 90 5 3 2 2" xfId="37019" xr:uid="{00000000-0005-0000-0000-0000158B0000}"/>
    <cellStyle name="Normal 90 5 3 3" xfId="29963" xr:uid="{00000000-0005-0000-0000-0000168B0000}"/>
    <cellStyle name="Normal 90 5 4" xfId="12385" xr:uid="{00000000-0005-0000-0000-0000178B0000}"/>
    <cellStyle name="Normal 90 5 4 2" xfId="35216" xr:uid="{00000000-0005-0000-0000-0000188B0000}"/>
    <cellStyle name="Normal 90 5 5" xfId="33351" xr:uid="{00000000-0005-0000-0000-0000198B0000}"/>
    <cellStyle name="Normal 90 6" xfId="4726" xr:uid="{00000000-0005-0000-0000-00001A8B0000}"/>
    <cellStyle name="Normal 90 6 2" xfId="6446" xr:uid="{00000000-0005-0000-0000-00001B8B0000}"/>
    <cellStyle name="Normal 90 6 2 2" xfId="9856" xr:uid="{00000000-0005-0000-0000-00001C8B0000}"/>
    <cellStyle name="Normal 90 6 2 2 2" xfId="24576" xr:uid="{00000000-0005-0000-0000-00001D8B0000}"/>
    <cellStyle name="Normal 90 6 2 2 2 2" xfId="40620" xr:uid="{00000000-0005-0000-0000-00001E8B0000}"/>
    <cellStyle name="Normal 90 6 2 2 3" xfId="27943" xr:uid="{00000000-0005-0000-0000-00001F8B0000}"/>
    <cellStyle name="Normal 90 6 2 3" xfId="20455" xr:uid="{00000000-0005-0000-0000-0000208B0000}"/>
    <cellStyle name="Normal 90 6 2 3 2" xfId="36554" xr:uid="{00000000-0005-0000-0000-0000218B0000}"/>
    <cellStyle name="Normal 90 6 2 4" xfId="31344" xr:uid="{00000000-0005-0000-0000-0000228B0000}"/>
    <cellStyle name="Normal 90 6 3" xfId="8152" xr:uid="{00000000-0005-0000-0000-0000238B0000}"/>
    <cellStyle name="Normal 90 6 3 2" xfId="24323" xr:uid="{00000000-0005-0000-0000-0000248B0000}"/>
    <cellStyle name="Normal 90 6 3 2 2" xfId="40373" xr:uid="{00000000-0005-0000-0000-0000258B0000}"/>
    <cellStyle name="Normal 90 6 3 3" xfId="29646" xr:uid="{00000000-0005-0000-0000-0000268B0000}"/>
    <cellStyle name="Normal 90 6 4" xfId="20037" xr:uid="{00000000-0005-0000-0000-0000278B0000}"/>
    <cellStyle name="Normal 90 6 4 2" xfId="36141" xr:uid="{00000000-0005-0000-0000-0000288B0000}"/>
    <cellStyle name="Normal 90 6 5" xfId="33037" xr:uid="{00000000-0005-0000-0000-0000298B0000}"/>
    <cellStyle name="Normal 90 7" xfId="5090" xr:uid="{00000000-0005-0000-0000-00002A8B0000}"/>
    <cellStyle name="Normal 90 7 2" xfId="6809" xr:uid="{00000000-0005-0000-0000-00002B8B0000}"/>
    <cellStyle name="Normal 90 7 2 2" xfId="10215" xr:uid="{00000000-0005-0000-0000-00002C8B0000}"/>
    <cellStyle name="Normal 90 7 2 2 2" xfId="21698" xr:uid="{00000000-0005-0000-0000-00002D8B0000}"/>
    <cellStyle name="Normal 90 7 2 2 2 2" xfId="37777" xr:uid="{00000000-0005-0000-0000-00002E8B0000}"/>
    <cellStyle name="Normal 90 7 2 2 3" xfId="27584" xr:uid="{00000000-0005-0000-0000-00002F8B0000}"/>
    <cellStyle name="Normal 90 7 2 3" xfId="22389" xr:uid="{00000000-0005-0000-0000-0000308B0000}"/>
    <cellStyle name="Normal 90 7 2 3 2" xfId="38461" xr:uid="{00000000-0005-0000-0000-0000318B0000}"/>
    <cellStyle name="Normal 90 7 2 4" xfId="30985" xr:uid="{00000000-0005-0000-0000-0000328B0000}"/>
    <cellStyle name="Normal 90 7 3" xfId="8512" xr:uid="{00000000-0005-0000-0000-0000338B0000}"/>
    <cellStyle name="Normal 90 7 3 2" xfId="21878" xr:uid="{00000000-0005-0000-0000-0000348B0000}"/>
    <cellStyle name="Normal 90 7 3 2 2" xfId="37953" xr:uid="{00000000-0005-0000-0000-0000358B0000}"/>
    <cellStyle name="Normal 90 7 3 3" xfId="29286" xr:uid="{00000000-0005-0000-0000-0000368B0000}"/>
    <cellStyle name="Normal 90 7 4" xfId="10841" xr:uid="{00000000-0005-0000-0000-0000378B0000}"/>
    <cellStyle name="Normal 90 7 4 2" xfId="34639" xr:uid="{00000000-0005-0000-0000-0000388B0000}"/>
    <cellStyle name="Normal 90 7 5" xfId="32677" xr:uid="{00000000-0005-0000-0000-0000398B0000}"/>
    <cellStyle name="Normal 90 8" xfId="5269" xr:uid="{00000000-0005-0000-0000-00003A8B0000}"/>
    <cellStyle name="Normal 90 8 2" xfId="8684" xr:uid="{00000000-0005-0000-0000-00003B8B0000}"/>
    <cellStyle name="Normal 90 8 2 2" xfId="19510" xr:uid="{00000000-0005-0000-0000-00003C8B0000}"/>
    <cellStyle name="Normal 90 8 2 2 2" xfId="35624" xr:uid="{00000000-0005-0000-0000-00003D8B0000}"/>
    <cellStyle name="Normal 90 8 2 3" xfId="29114" xr:uid="{00000000-0005-0000-0000-00003E8B0000}"/>
    <cellStyle name="Normal 90 8 3" xfId="22850" xr:uid="{00000000-0005-0000-0000-00003F8B0000}"/>
    <cellStyle name="Normal 90 8 3 2" xfId="38919" xr:uid="{00000000-0005-0000-0000-0000408B0000}"/>
    <cellStyle name="Normal 90 8 4" xfId="32505" xr:uid="{00000000-0005-0000-0000-0000418B0000}"/>
    <cellStyle name="Normal 90 9" xfId="6999" xr:uid="{00000000-0005-0000-0000-0000428B0000}"/>
    <cellStyle name="Normal 90 9 2" xfId="24129" xr:uid="{00000000-0005-0000-0000-0000438B0000}"/>
    <cellStyle name="Normal 90 9 2 2" xfId="40182" xr:uid="{00000000-0005-0000-0000-0000448B0000}"/>
    <cellStyle name="Normal 90 9 3" xfId="30799" xr:uid="{00000000-0005-0000-0000-0000458B0000}"/>
    <cellStyle name="Normal 91" xfId="4275" xr:uid="{00000000-0005-0000-0000-0000468B0000}"/>
    <cellStyle name="Normal 91 2" xfId="6104" xr:uid="{00000000-0005-0000-0000-0000478B0000}"/>
    <cellStyle name="Normal 91 3" xfId="25950" xr:uid="{00000000-0005-0000-0000-0000488B0000}"/>
    <cellStyle name="Normal 92" xfId="4273" xr:uid="{00000000-0005-0000-0000-0000498B0000}"/>
    <cellStyle name="Normal 93" xfId="4274" xr:uid="{00000000-0005-0000-0000-00004A8B0000}"/>
    <cellStyle name="Normal 94" xfId="4146" xr:uid="{00000000-0005-0000-0000-00004B8B0000}"/>
    <cellStyle name="Normal 94 2" xfId="5998" xr:uid="{00000000-0005-0000-0000-00004C8B0000}"/>
    <cellStyle name="Normal 94 2 2" xfId="9413" xr:uid="{00000000-0005-0000-0000-00004D8B0000}"/>
    <cellStyle name="Normal 94 2 2 2" xfId="19524" xr:uid="{00000000-0005-0000-0000-00004E8B0000}"/>
    <cellStyle name="Normal 94 2 2 2 2" xfId="35638" xr:uid="{00000000-0005-0000-0000-00004F8B0000}"/>
    <cellStyle name="Normal 94 2 2 3" xfId="28385" xr:uid="{00000000-0005-0000-0000-0000508B0000}"/>
    <cellStyle name="Normal 94 2 3" xfId="20282" xr:uid="{00000000-0005-0000-0000-0000518B0000}"/>
    <cellStyle name="Normal 94 2 3 2" xfId="36381" xr:uid="{00000000-0005-0000-0000-0000528B0000}"/>
    <cellStyle name="Normal 94 2 4" xfId="31780" xr:uid="{00000000-0005-0000-0000-0000538B0000}"/>
    <cellStyle name="Normal 94 3" xfId="7728" xr:uid="{00000000-0005-0000-0000-0000548B0000}"/>
    <cellStyle name="Normal 94 3 2" xfId="21738" xr:uid="{00000000-0005-0000-0000-0000558B0000}"/>
    <cellStyle name="Normal 94 3 2 2" xfId="37816" xr:uid="{00000000-0005-0000-0000-0000568B0000}"/>
    <cellStyle name="Normal 94 3 3" xfId="30071" xr:uid="{00000000-0005-0000-0000-0000578B0000}"/>
    <cellStyle name="Normal 94 4" xfId="11002" xr:uid="{00000000-0005-0000-0000-0000588B0000}"/>
    <cellStyle name="Normal 94 4 2" xfId="34731" xr:uid="{00000000-0005-0000-0000-0000598B0000}"/>
    <cellStyle name="Normal 94 5" xfId="33458" xr:uid="{00000000-0005-0000-0000-00005A8B0000}"/>
    <cellStyle name="Normal 95" xfId="4271" xr:uid="{00000000-0005-0000-0000-00005B8B0000}"/>
    <cellStyle name="Normal 95 2" xfId="6103" xr:uid="{00000000-0005-0000-0000-00005C8B0000}"/>
    <cellStyle name="Normal 95 2 2" xfId="9518" xr:uid="{00000000-0005-0000-0000-00005D8B0000}"/>
    <cellStyle name="Normal 95 2 2 2" xfId="19408" xr:uid="{00000000-0005-0000-0000-00005E8B0000}"/>
    <cellStyle name="Normal 95 2 2 2 2" xfId="35522" xr:uid="{00000000-0005-0000-0000-00005F8B0000}"/>
    <cellStyle name="Normal 95 2 2 3" xfId="28280" xr:uid="{00000000-0005-0000-0000-0000608B0000}"/>
    <cellStyle name="Normal 95 2 3" xfId="22975" xr:uid="{00000000-0005-0000-0000-0000618B0000}"/>
    <cellStyle name="Normal 95 2 3 2" xfId="39044" xr:uid="{00000000-0005-0000-0000-0000628B0000}"/>
    <cellStyle name="Normal 95 2 4" xfId="31675" xr:uid="{00000000-0005-0000-0000-0000638B0000}"/>
    <cellStyle name="Normal 95 3" xfId="7837" xr:uid="{00000000-0005-0000-0000-0000648B0000}"/>
    <cellStyle name="Normal 95 3 2" xfId="20921" xr:uid="{00000000-0005-0000-0000-0000658B0000}"/>
    <cellStyle name="Normal 95 3 2 2" xfId="37020" xr:uid="{00000000-0005-0000-0000-0000668B0000}"/>
    <cellStyle name="Normal 95 3 3" xfId="29962" xr:uid="{00000000-0005-0000-0000-0000678B0000}"/>
    <cellStyle name="Normal 95 4" xfId="23812" xr:uid="{00000000-0005-0000-0000-0000688B0000}"/>
    <cellStyle name="Normal 95 4 2" xfId="39868" xr:uid="{00000000-0005-0000-0000-0000698B0000}"/>
    <cellStyle name="Normal 95 5" xfId="33350" xr:uid="{00000000-0005-0000-0000-00006A8B0000}"/>
    <cellStyle name="Normal 96" xfId="4151" xr:uid="{00000000-0005-0000-0000-00006B8B0000}"/>
    <cellStyle name="Normal 96 2" xfId="6002" xr:uid="{00000000-0005-0000-0000-00006C8B0000}"/>
    <cellStyle name="Normal 96 2 2" xfId="9417" xr:uid="{00000000-0005-0000-0000-00006D8B0000}"/>
    <cellStyle name="Normal 96 2 2 2" xfId="19403" xr:uid="{00000000-0005-0000-0000-00006E8B0000}"/>
    <cellStyle name="Normal 96 2 2 2 2" xfId="35517" xr:uid="{00000000-0005-0000-0000-00006F8B0000}"/>
    <cellStyle name="Normal 96 2 2 3" xfId="28381" xr:uid="{00000000-0005-0000-0000-0000708B0000}"/>
    <cellStyle name="Normal 96 2 3" xfId="20283" xr:uid="{00000000-0005-0000-0000-0000718B0000}"/>
    <cellStyle name="Normal 96 2 3 2" xfId="36382" xr:uid="{00000000-0005-0000-0000-0000728B0000}"/>
    <cellStyle name="Normal 96 2 4" xfId="31776" xr:uid="{00000000-0005-0000-0000-0000738B0000}"/>
    <cellStyle name="Normal 96 3" xfId="7732" xr:uid="{00000000-0005-0000-0000-0000748B0000}"/>
    <cellStyle name="Normal 96 3 2" xfId="22218" xr:uid="{00000000-0005-0000-0000-0000758B0000}"/>
    <cellStyle name="Normal 96 3 2 2" xfId="38292" xr:uid="{00000000-0005-0000-0000-0000768B0000}"/>
    <cellStyle name="Normal 96 3 3" xfId="30067" xr:uid="{00000000-0005-0000-0000-0000778B0000}"/>
    <cellStyle name="Normal 96 4" xfId="19581" xr:uid="{00000000-0005-0000-0000-0000788B0000}"/>
    <cellStyle name="Normal 96 4 2" xfId="35695" xr:uid="{00000000-0005-0000-0000-0000798B0000}"/>
    <cellStyle name="Normal 96 5" xfId="33454" xr:uid="{00000000-0005-0000-0000-00007A8B0000}"/>
    <cellStyle name="Normal 97" xfId="4153" xr:uid="{00000000-0005-0000-0000-00007B8B0000}"/>
    <cellStyle name="Normal 97 2" xfId="6004" xr:uid="{00000000-0005-0000-0000-00007C8B0000}"/>
    <cellStyle name="Normal 97 2 2" xfId="9419" xr:uid="{00000000-0005-0000-0000-00007D8B0000}"/>
    <cellStyle name="Normal 97 2 2 2" xfId="21382" xr:uid="{00000000-0005-0000-0000-00007E8B0000}"/>
    <cellStyle name="Normal 97 2 2 2 2" xfId="37462" xr:uid="{00000000-0005-0000-0000-00007F8B0000}"/>
    <cellStyle name="Normal 97 2 2 3" xfId="28379" xr:uid="{00000000-0005-0000-0000-0000808B0000}"/>
    <cellStyle name="Normal 97 2 3" xfId="20285" xr:uid="{00000000-0005-0000-0000-0000818B0000}"/>
    <cellStyle name="Normal 97 2 3 2" xfId="36384" xr:uid="{00000000-0005-0000-0000-0000828B0000}"/>
    <cellStyle name="Normal 97 2 4" xfId="31774" xr:uid="{00000000-0005-0000-0000-0000838B0000}"/>
    <cellStyle name="Normal 97 3" xfId="7734" xr:uid="{00000000-0005-0000-0000-0000848B0000}"/>
    <cellStyle name="Normal 97 3 2" xfId="20883" xr:uid="{00000000-0005-0000-0000-0000858B0000}"/>
    <cellStyle name="Normal 97 3 2 2" xfId="36982" xr:uid="{00000000-0005-0000-0000-0000868B0000}"/>
    <cellStyle name="Normal 97 3 3" xfId="30065" xr:uid="{00000000-0005-0000-0000-0000878B0000}"/>
    <cellStyle name="Normal 97 4" xfId="19977" xr:uid="{00000000-0005-0000-0000-0000888B0000}"/>
    <cellStyle name="Normal 97 4 2" xfId="36081" xr:uid="{00000000-0005-0000-0000-0000898B0000}"/>
    <cellStyle name="Normal 97 5" xfId="33452" xr:uid="{00000000-0005-0000-0000-00008A8B0000}"/>
    <cellStyle name="Normal 98" xfId="4189" xr:uid="{00000000-0005-0000-0000-00008B8B0000}"/>
    <cellStyle name="Normal 98 2" xfId="6028" xr:uid="{00000000-0005-0000-0000-00008C8B0000}"/>
    <cellStyle name="Normal 98 2 2" xfId="9443" xr:uid="{00000000-0005-0000-0000-00008D8B0000}"/>
    <cellStyle name="Normal 98 2 2 2" xfId="24514" xr:uid="{00000000-0005-0000-0000-00008E8B0000}"/>
    <cellStyle name="Normal 98 2 2 2 2" xfId="40558" xr:uid="{00000000-0005-0000-0000-00008F8B0000}"/>
    <cellStyle name="Normal 98 2 2 3" xfId="28355" xr:uid="{00000000-0005-0000-0000-0000908B0000}"/>
    <cellStyle name="Normal 98 2 3" xfId="21750" xr:uid="{00000000-0005-0000-0000-0000918B0000}"/>
    <cellStyle name="Normal 98 2 3 2" xfId="37828" xr:uid="{00000000-0005-0000-0000-0000928B0000}"/>
    <cellStyle name="Normal 98 2 4" xfId="31750" xr:uid="{00000000-0005-0000-0000-0000938B0000}"/>
    <cellStyle name="Normal 98 3" xfId="7761" xr:uid="{00000000-0005-0000-0000-0000948B0000}"/>
    <cellStyle name="Normal 98 3 2" xfId="20895" xr:uid="{00000000-0005-0000-0000-0000958B0000}"/>
    <cellStyle name="Normal 98 3 2 2" xfId="36994" xr:uid="{00000000-0005-0000-0000-0000968B0000}"/>
    <cellStyle name="Normal 98 3 3" xfId="30038" xr:uid="{00000000-0005-0000-0000-0000978B0000}"/>
    <cellStyle name="Normal 98 4" xfId="23805" xr:uid="{00000000-0005-0000-0000-0000988B0000}"/>
    <cellStyle name="Normal 98 4 2" xfId="39861" xr:uid="{00000000-0005-0000-0000-0000998B0000}"/>
    <cellStyle name="Normal 98 5" xfId="33425" xr:uid="{00000000-0005-0000-0000-00009A8B0000}"/>
    <cellStyle name="Normal 99" xfId="4158" xr:uid="{00000000-0005-0000-0000-00009B8B0000}"/>
    <cellStyle name="Normal 99 2" xfId="6008" xr:uid="{00000000-0005-0000-0000-00009C8B0000}"/>
    <cellStyle name="Normal 99 2 2" xfId="9423" xr:uid="{00000000-0005-0000-0000-00009D8B0000}"/>
    <cellStyle name="Normal 99 2 2 2" xfId="23508" xr:uid="{00000000-0005-0000-0000-00009E8B0000}"/>
    <cellStyle name="Normal 99 2 2 2 2" xfId="39564" xr:uid="{00000000-0005-0000-0000-00009F8B0000}"/>
    <cellStyle name="Normal 99 2 2 3" xfId="28375" xr:uid="{00000000-0005-0000-0000-0000A08B0000}"/>
    <cellStyle name="Normal 99 2 3" xfId="20286" xr:uid="{00000000-0005-0000-0000-0000A18B0000}"/>
    <cellStyle name="Normal 99 2 3 2" xfId="36385" xr:uid="{00000000-0005-0000-0000-0000A28B0000}"/>
    <cellStyle name="Normal 99 2 4" xfId="31770" xr:uid="{00000000-0005-0000-0000-0000A38B0000}"/>
    <cellStyle name="Normal 99 3" xfId="7739" xr:uid="{00000000-0005-0000-0000-0000A48B0000}"/>
    <cellStyle name="Normal 99 3 2" xfId="21853" xr:uid="{00000000-0005-0000-0000-0000A58B0000}"/>
    <cellStyle name="Normal 99 3 2 2" xfId="37929" xr:uid="{00000000-0005-0000-0000-0000A68B0000}"/>
    <cellStyle name="Normal 99 3 3" xfId="30060" xr:uid="{00000000-0005-0000-0000-0000A78B0000}"/>
    <cellStyle name="Normal 99 4" xfId="23654" xr:uid="{00000000-0005-0000-0000-0000A88B0000}"/>
    <cellStyle name="Normal 99 4 2" xfId="39710" xr:uid="{00000000-0005-0000-0000-0000A98B0000}"/>
    <cellStyle name="Normal 99 5" xfId="33447" xr:uid="{00000000-0005-0000-0000-0000AA8B0000}"/>
    <cellStyle name="Normal_Ark1" xfId="2262" xr:uid="{00000000-0005-0000-0000-0000AB8B0000}"/>
    <cellStyle name="Normal_DX04" xfId="2263" xr:uid="{00000000-0005-0000-0000-0000AC8B0000}"/>
    <cellStyle name="Normal_Investeringer_1" xfId="2264" xr:uid="{00000000-0005-0000-0000-0000AD8B0000}"/>
    <cellStyle name="Normal_Investeringer_2" xfId="2265" xr:uid="{00000000-0005-0000-0000-0000AE8B0000}"/>
    <cellStyle name="Normal_MODAG" xfId="2266" xr:uid="{00000000-0005-0000-0000-0000AF8B0000}"/>
    <cellStyle name="Normal_MODAG_1" xfId="2267" xr:uid="{00000000-0005-0000-0000-0000B08B0000}"/>
    <cellStyle name="Normal_NB07_v11" xfId="2268" xr:uid="{00000000-0005-0000-0000-0000B18B0000}"/>
    <cellStyle name="Normal_SDØE" xfId="2269" xr:uid="{00000000-0005-0000-0000-0000B28B0000}"/>
    <cellStyle name="Normal_SNKS" xfId="2270" xr:uid="{00000000-0005-0000-0000-0000B38B0000}"/>
    <cellStyle name="Note 10" xfId="12893" xr:uid="{00000000-0005-0000-0000-0000B58B0000}"/>
    <cellStyle name="Note 10 2" xfId="25951" xr:uid="{00000000-0005-0000-0000-0000B68B0000}"/>
    <cellStyle name="Note 10 2 2" xfId="41380" xr:uid="{00000000-0005-0000-0000-0000B78B0000}"/>
    <cellStyle name="Note 10 3" xfId="44544" xr:uid="{00000000-0005-0000-0000-0000B88B0000}"/>
    <cellStyle name="Note 11" xfId="12894" xr:uid="{00000000-0005-0000-0000-0000B98B0000}"/>
    <cellStyle name="Note 11 2" xfId="25952" xr:uid="{00000000-0005-0000-0000-0000BA8B0000}"/>
    <cellStyle name="Note 11 2 2" xfId="41381" xr:uid="{00000000-0005-0000-0000-0000BB8B0000}"/>
    <cellStyle name="Note 11 3" xfId="44545" xr:uid="{00000000-0005-0000-0000-0000BC8B0000}"/>
    <cellStyle name="Note 12" xfId="12895" xr:uid="{00000000-0005-0000-0000-0000BD8B0000}"/>
    <cellStyle name="Note 12 2" xfId="25953" xr:uid="{00000000-0005-0000-0000-0000BE8B0000}"/>
    <cellStyle name="Note 12 2 2" xfId="41382" xr:uid="{00000000-0005-0000-0000-0000BF8B0000}"/>
    <cellStyle name="Note 12 3" xfId="44546" xr:uid="{00000000-0005-0000-0000-0000C08B0000}"/>
    <cellStyle name="Note 13" xfId="12896" xr:uid="{00000000-0005-0000-0000-0000C18B0000}"/>
    <cellStyle name="Note 13 2" xfId="25954" xr:uid="{00000000-0005-0000-0000-0000C28B0000}"/>
    <cellStyle name="Note 13 2 2" xfId="41383" xr:uid="{00000000-0005-0000-0000-0000C38B0000}"/>
    <cellStyle name="Note 13 3" xfId="44547" xr:uid="{00000000-0005-0000-0000-0000C48B0000}"/>
    <cellStyle name="Note 14" xfId="12897" xr:uid="{00000000-0005-0000-0000-0000C58B0000}"/>
    <cellStyle name="Note 14 2" xfId="25955" xr:uid="{00000000-0005-0000-0000-0000C68B0000}"/>
    <cellStyle name="Note 14 2 2" xfId="41384" xr:uid="{00000000-0005-0000-0000-0000C78B0000}"/>
    <cellStyle name="Note 14 3" xfId="44548" xr:uid="{00000000-0005-0000-0000-0000C88B0000}"/>
    <cellStyle name="Note 15" xfId="12898" xr:uid="{00000000-0005-0000-0000-0000C98B0000}"/>
    <cellStyle name="Note 15 2" xfId="25956" xr:uid="{00000000-0005-0000-0000-0000CA8B0000}"/>
    <cellStyle name="Note 15 2 2" xfId="41385" xr:uid="{00000000-0005-0000-0000-0000CB8B0000}"/>
    <cellStyle name="Note 15 3" xfId="44549" xr:uid="{00000000-0005-0000-0000-0000CC8B0000}"/>
    <cellStyle name="Note 16" xfId="12899" xr:uid="{00000000-0005-0000-0000-0000CD8B0000}"/>
    <cellStyle name="Note 16 2" xfId="25957" xr:uid="{00000000-0005-0000-0000-0000CE8B0000}"/>
    <cellStyle name="Note 16 2 2" xfId="41386" xr:uid="{00000000-0005-0000-0000-0000CF8B0000}"/>
    <cellStyle name="Note 16 3" xfId="44550" xr:uid="{00000000-0005-0000-0000-0000D08B0000}"/>
    <cellStyle name="Note 17" xfId="12900" xr:uid="{00000000-0005-0000-0000-0000D18B0000}"/>
    <cellStyle name="Note 17 2" xfId="25958" xr:uid="{00000000-0005-0000-0000-0000D28B0000}"/>
    <cellStyle name="Note 17 2 2" xfId="41387" xr:uid="{00000000-0005-0000-0000-0000D38B0000}"/>
    <cellStyle name="Note 17 3" xfId="44551" xr:uid="{00000000-0005-0000-0000-0000D48B0000}"/>
    <cellStyle name="Note 18" xfId="12901" xr:uid="{00000000-0005-0000-0000-0000D58B0000}"/>
    <cellStyle name="Note 18 2" xfId="25959" xr:uid="{00000000-0005-0000-0000-0000D68B0000}"/>
    <cellStyle name="Note 18 2 2" xfId="41388" xr:uid="{00000000-0005-0000-0000-0000D78B0000}"/>
    <cellStyle name="Note 18 3" xfId="44552" xr:uid="{00000000-0005-0000-0000-0000D88B0000}"/>
    <cellStyle name="Note 19" xfId="12902" xr:uid="{00000000-0005-0000-0000-0000D98B0000}"/>
    <cellStyle name="Note 19 2" xfId="25960" xr:uid="{00000000-0005-0000-0000-0000DA8B0000}"/>
    <cellStyle name="Note 19 2 2" xfId="41389" xr:uid="{00000000-0005-0000-0000-0000DB8B0000}"/>
    <cellStyle name="Note 19 3" xfId="44553" xr:uid="{00000000-0005-0000-0000-0000DC8B0000}"/>
    <cellStyle name="Note 2" xfId="2272" xr:uid="{00000000-0005-0000-0000-0000DD8B0000}"/>
    <cellStyle name="Note 2 2" xfId="2273" xr:uid="{00000000-0005-0000-0000-0000DE8B0000}"/>
    <cellStyle name="Note 2 2 2" xfId="2274" xr:uid="{00000000-0005-0000-0000-0000DF8B0000}"/>
    <cellStyle name="Note 2 2 2 2" xfId="12903" xr:uid="{00000000-0005-0000-0000-0000E08B0000}"/>
    <cellStyle name="Note 2 2 2 2 2" xfId="25964" xr:uid="{00000000-0005-0000-0000-0000E18B0000}"/>
    <cellStyle name="Note 2 2 2 2 2 2" xfId="41393" xr:uid="{00000000-0005-0000-0000-0000E28B0000}"/>
    <cellStyle name="Note 2 2 2 2 3" xfId="44557" xr:uid="{00000000-0005-0000-0000-0000E38B0000}"/>
    <cellStyle name="Note 2 2 2 3" xfId="25963" xr:uid="{00000000-0005-0000-0000-0000E48B0000}"/>
    <cellStyle name="Note 2 2 2 3 2" xfId="41392" xr:uid="{00000000-0005-0000-0000-0000E58B0000}"/>
    <cellStyle name="Note 2 2 2 4" xfId="44556" xr:uid="{00000000-0005-0000-0000-0000E68B0000}"/>
    <cellStyle name="Note 2 2 3" xfId="12904" xr:uid="{00000000-0005-0000-0000-0000E78B0000}"/>
    <cellStyle name="Note 2 2 3 2" xfId="25965" xr:uid="{00000000-0005-0000-0000-0000E88B0000}"/>
    <cellStyle name="Note 2 2 3 2 2" xfId="41394" xr:uid="{00000000-0005-0000-0000-0000E98B0000}"/>
    <cellStyle name="Note 2 2 3 3" xfId="44558" xr:uid="{00000000-0005-0000-0000-0000EA8B0000}"/>
    <cellStyle name="Note 2 2 4" xfId="25962" xr:uid="{00000000-0005-0000-0000-0000EB8B0000}"/>
    <cellStyle name="Note 2 2 4 2" xfId="41391" xr:uid="{00000000-0005-0000-0000-0000EC8B0000}"/>
    <cellStyle name="Note 2 2 5" xfId="44555" xr:uid="{00000000-0005-0000-0000-0000ED8B0000}"/>
    <cellStyle name="Note 2 3" xfId="2275" xr:uid="{00000000-0005-0000-0000-0000EE8B0000}"/>
    <cellStyle name="Note 2 3 2" xfId="2276" xr:uid="{00000000-0005-0000-0000-0000EF8B0000}"/>
    <cellStyle name="Note 2 3 2 2" xfId="12905" xr:uid="{00000000-0005-0000-0000-0000F08B0000}"/>
    <cellStyle name="Note 2 3 2 2 2" xfId="25968" xr:uid="{00000000-0005-0000-0000-0000F18B0000}"/>
    <cellStyle name="Note 2 3 2 2 2 2" xfId="41397" xr:uid="{00000000-0005-0000-0000-0000F28B0000}"/>
    <cellStyle name="Note 2 3 2 2 3" xfId="44561" xr:uid="{00000000-0005-0000-0000-0000F38B0000}"/>
    <cellStyle name="Note 2 3 2 3" xfId="25967" xr:uid="{00000000-0005-0000-0000-0000F48B0000}"/>
    <cellStyle name="Note 2 3 2 3 2" xfId="41396" xr:uid="{00000000-0005-0000-0000-0000F58B0000}"/>
    <cellStyle name="Note 2 3 2 4" xfId="44560" xr:uid="{00000000-0005-0000-0000-0000F68B0000}"/>
    <cellStyle name="Note 2 3 3" xfId="12906" xr:uid="{00000000-0005-0000-0000-0000F78B0000}"/>
    <cellStyle name="Note 2 3 3 2" xfId="25969" xr:uid="{00000000-0005-0000-0000-0000F88B0000}"/>
    <cellStyle name="Note 2 3 3 2 2" xfId="41398" xr:uid="{00000000-0005-0000-0000-0000F98B0000}"/>
    <cellStyle name="Note 2 3 3 3" xfId="44562" xr:uid="{00000000-0005-0000-0000-0000FA8B0000}"/>
    <cellStyle name="Note 2 3 4" xfId="25966" xr:uid="{00000000-0005-0000-0000-0000FB8B0000}"/>
    <cellStyle name="Note 2 3 4 2" xfId="41395" xr:uid="{00000000-0005-0000-0000-0000FC8B0000}"/>
    <cellStyle name="Note 2 3 5" xfId="44559" xr:uid="{00000000-0005-0000-0000-0000FD8B0000}"/>
    <cellStyle name="Note 2 4" xfId="2277" xr:uid="{00000000-0005-0000-0000-0000FE8B0000}"/>
    <cellStyle name="Note 2 4 2" xfId="2278" xr:uid="{00000000-0005-0000-0000-0000FF8B0000}"/>
    <cellStyle name="Note 2 4 2 2" xfId="12907" xr:uid="{00000000-0005-0000-0000-0000008C0000}"/>
    <cellStyle name="Note 2 4 2 2 2" xfId="25972" xr:uid="{00000000-0005-0000-0000-0000018C0000}"/>
    <cellStyle name="Note 2 4 2 2 2 2" xfId="41401" xr:uid="{00000000-0005-0000-0000-0000028C0000}"/>
    <cellStyle name="Note 2 4 2 2 3" xfId="44565" xr:uid="{00000000-0005-0000-0000-0000038C0000}"/>
    <cellStyle name="Note 2 4 2 3" xfId="25971" xr:uid="{00000000-0005-0000-0000-0000048C0000}"/>
    <cellStyle name="Note 2 4 2 3 2" xfId="41400" xr:uid="{00000000-0005-0000-0000-0000058C0000}"/>
    <cellStyle name="Note 2 4 2 4" xfId="44564" xr:uid="{00000000-0005-0000-0000-0000068C0000}"/>
    <cellStyle name="Note 2 4 3" xfId="12908" xr:uid="{00000000-0005-0000-0000-0000078C0000}"/>
    <cellStyle name="Note 2 4 3 2" xfId="25973" xr:uid="{00000000-0005-0000-0000-0000088C0000}"/>
    <cellStyle name="Note 2 4 3 2 2" xfId="41402" xr:uid="{00000000-0005-0000-0000-0000098C0000}"/>
    <cellStyle name="Note 2 4 3 3" xfId="44566" xr:uid="{00000000-0005-0000-0000-00000A8C0000}"/>
    <cellStyle name="Note 2 4 4" xfId="25970" xr:uid="{00000000-0005-0000-0000-00000B8C0000}"/>
    <cellStyle name="Note 2 4 4 2" xfId="41399" xr:uid="{00000000-0005-0000-0000-00000C8C0000}"/>
    <cellStyle name="Note 2 4 5" xfId="44563" xr:uid="{00000000-0005-0000-0000-00000D8C0000}"/>
    <cellStyle name="Note 2 5" xfId="2279" xr:uid="{00000000-0005-0000-0000-00000E8C0000}"/>
    <cellStyle name="Note 2 5 2" xfId="2280" xr:uid="{00000000-0005-0000-0000-00000F8C0000}"/>
    <cellStyle name="Note 2 5 2 2" xfId="12909" xr:uid="{00000000-0005-0000-0000-0000108C0000}"/>
    <cellStyle name="Note 2 5 2 2 2" xfId="25976" xr:uid="{00000000-0005-0000-0000-0000118C0000}"/>
    <cellStyle name="Note 2 5 2 2 2 2" xfId="41405" xr:uid="{00000000-0005-0000-0000-0000128C0000}"/>
    <cellStyle name="Note 2 5 2 2 3" xfId="44569" xr:uid="{00000000-0005-0000-0000-0000138C0000}"/>
    <cellStyle name="Note 2 5 2 3" xfId="25975" xr:uid="{00000000-0005-0000-0000-0000148C0000}"/>
    <cellStyle name="Note 2 5 2 3 2" xfId="41404" xr:uid="{00000000-0005-0000-0000-0000158C0000}"/>
    <cellStyle name="Note 2 5 2 4" xfId="44568" xr:uid="{00000000-0005-0000-0000-0000168C0000}"/>
    <cellStyle name="Note 2 5 3" xfId="12910" xr:uid="{00000000-0005-0000-0000-0000178C0000}"/>
    <cellStyle name="Note 2 5 3 2" xfId="25977" xr:uid="{00000000-0005-0000-0000-0000188C0000}"/>
    <cellStyle name="Note 2 5 3 2 2" xfId="41406" xr:uid="{00000000-0005-0000-0000-0000198C0000}"/>
    <cellStyle name="Note 2 5 3 3" xfId="44570" xr:uid="{00000000-0005-0000-0000-00001A8C0000}"/>
    <cellStyle name="Note 2 5 4" xfId="25974" xr:uid="{00000000-0005-0000-0000-00001B8C0000}"/>
    <cellStyle name="Note 2 5 4 2" xfId="41403" xr:uid="{00000000-0005-0000-0000-00001C8C0000}"/>
    <cellStyle name="Note 2 5 5" xfId="44567" xr:uid="{00000000-0005-0000-0000-00001D8C0000}"/>
    <cellStyle name="Note 2 6" xfId="2281" xr:uid="{00000000-0005-0000-0000-00001E8C0000}"/>
    <cellStyle name="Note 2 6 2" xfId="12911" xr:uid="{00000000-0005-0000-0000-00001F8C0000}"/>
    <cellStyle name="Note 2 6 2 2" xfId="25979" xr:uid="{00000000-0005-0000-0000-0000208C0000}"/>
    <cellStyle name="Note 2 6 2 2 2" xfId="41408" xr:uid="{00000000-0005-0000-0000-0000218C0000}"/>
    <cellStyle name="Note 2 6 2 3" xfId="44572" xr:uid="{00000000-0005-0000-0000-0000228C0000}"/>
    <cellStyle name="Note 2 6 3" xfId="25978" xr:uid="{00000000-0005-0000-0000-0000238C0000}"/>
    <cellStyle name="Note 2 6 3 2" xfId="41407" xr:uid="{00000000-0005-0000-0000-0000248C0000}"/>
    <cellStyle name="Note 2 6 4" xfId="44571" xr:uid="{00000000-0005-0000-0000-0000258C0000}"/>
    <cellStyle name="Note 2 7" xfId="12912" xr:uid="{00000000-0005-0000-0000-0000268C0000}"/>
    <cellStyle name="Note 2 7 2" xfId="25980" xr:uid="{00000000-0005-0000-0000-0000278C0000}"/>
    <cellStyle name="Note 2 7 2 2" xfId="41409" xr:uid="{00000000-0005-0000-0000-0000288C0000}"/>
    <cellStyle name="Note 2 7 3" xfId="44573" xr:uid="{00000000-0005-0000-0000-0000298C0000}"/>
    <cellStyle name="Note 2 8" xfId="25961" xr:uid="{00000000-0005-0000-0000-00002A8C0000}"/>
    <cellStyle name="Note 2 8 2" xfId="41390" xr:uid="{00000000-0005-0000-0000-00002B8C0000}"/>
    <cellStyle name="Note 2 9" xfId="44554" xr:uid="{00000000-0005-0000-0000-00002C8C0000}"/>
    <cellStyle name="Note 20" xfId="12913" xr:uid="{00000000-0005-0000-0000-00002D8C0000}"/>
    <cellStyle name="Note 20 2" xfId="25981" xr:uid="{00000000-0005-0000-0000-00002E8C0000}"/>
    <cellStyle name="Note 20 2 2" xfId="41410" xr:uid="{00000000-0005-0000-0000-00002F8C0000}"/>
    <cellStyle name="Note 20 3" xfId="44574" xr:uid="{00000000-0005-0000-0000-0000308C0000}"/>
    <cellStyle name="Note 21" xfId="12914" xr:uid="{00000000-0005-0000-0000-0000318C0000}"/>
    <cellStyle name="Note 21 2" xfId="25982" xr:uid="{00000000-0005-0000-0000-0000328C0000}"/>
    <cellStyle name="Note 21 2 2" xfId="41411" xr:uid="{00000000-0005-0000-0000-0000338C0000}"/>
    <cellStyle name="Note 21 3" xfId="44575" xr:uid="{00000000-0005-0000-0000-0000348C0000}"/>
    <cellStyle name="Note 22" xfId="12915" xr:uid="{00000000-0005-0000-0000-0000358C0000}"/>
    <cellStyle name="Note 22 2" xfId="25983" xr:uid="{00000000-0005-0000-0000-0000368C0000}"/>
    <cellStyle name="Note 22 2 2" xfId="41412" xr:uid="{00000000-0005-0000-0000-0000378C0000}"/>
    <cellStyle name="Note 22 3" xfId="44576" xr:uid="{00000000-0005-0000-0000-0000388C0000}"/>
    <cellStyle name="Note 23" xfId="12916" xr:uid="{00000000-0005-0000-0000-0000398C0000}"/>
    <cellStyle name="Note 23 2" xfId="25984" xr:uid="{00000000-0005-0000-0000-00003A8C0000}"/>
    <cellStyle name="Note 23 2 2" xfId="41413" xr:uid="{00000000-0005-0000-0000-00003B8C0000}"/>
    <cellStyle name="Note 23 3" xfId="44577" xr:uid="{00000000-0005-0000-0000-00003C8C0000}"/>
    <cellStyle name="Note 24" xfId="12917" xr:uid="{00000000-0005-0000-0000-00003D8C0000}"/>
    <cellStyle name="Note 24 2" xfId="25985" xr:uid="{00000000-0005-0000-0000-00003E8C0000}"/>
    <cellStyle name="Note 24 2 2" xfId="41414" xr:uid="{00000000-0005-0000-0000-00003F8C0000}"/>
    <cellStyle name="Note 24 3" xfId="44578" xr:uid="{00000000-0005-0000-0000-0000408C0000}"/>
    <cellStyle name="Note 25" xfId="12918" xr:uid="{00000000-0005-0000-0000-0000418C0000}"/>
    <cellStyle name="Note 25 2" xfId="25986" xr:uid="{00000000-0005-0000-0000-0000428C0000}"/>
    <cellStyle name="Note 25 2 2" xfId="41415" xr:uid="{00000000-0005-0000-0000-0000438C0000}"/>
    <cellStyle name="Note 25 3" xfId="44579" xr:uid="{00000000-0005-0000-0000-0000448C0000}"/>
    <cellStyle name="Note 26" xfId="12919" xr:uid="{00000000-0005-0000-0000-0000458C0000}"/>
    <cellStyle name="Note 26 2" xfId="25987" xr:uid="{00000000-0005-0000-0000-0000468C0000}"/>
    <cellStyle name="Note 26 2 2" xfId="41416" xr:uid="{00000000-0005-0000-0000-0000478C0000}"/>
    <cellStyle name="Note 26 3" xfId="44580" xr:uid="{00000000-0005-0000-0000-0000488C0000}"/>
    <cellStyle name="Note 27" xfId="12920" xr:uid="{00000000-0005-0000-0000-0000498C0000}"/>
    <cellStyle name="Note 27 2" xfId="25988" xr:uid="{00000000-0005-0000-0000-00004A8C0000}"/>
    <cellStyle name="Note 27 2 2" xfId="41417" xr:uid="{00000000-0005-0000-0000-00004B8C0000}"/>
    <cellStyle name="Note 27 3" xfId="44581" xr:uid="{00000000-0005-0000-0000-00004C8C0000}"/>
    <cellStyle name="Note 28" xfId="12921" xr:uid="{00000000-0005-0000-0000-00004D8C0000}"/>
    <cellStyle name="Note 28 2" xfId="25989" xr:uid="{00000000-0005-0000-0000-00004E8C0000}"/>
    <cellStyle name="Note 28 2 2" xfId="41418" xr:uid="{00000000-0005-0000-0000-00004F8C0000}"/>
    <cellStyle name="Note 28 3" xfId="44582" xr:uid="{00000000-0005-0000-0000-0000508C0000}"/>
    <cellStyle name="Note 29" xfId="12922" xr:uid="{00000000-0005-0000-0000-0000518C0000}"/>
    <cellStyle name="Note 29 2" xfId="25990" xr:uid="{00000000-0005-0000-0000-0000528C0000}"/>
    <cellStyle name="Note 29 2 2" xfId="41419" xr:uid="{00000000-0005-0000-0000-0000538C0000}"/>
    <cellStyle name="Note 29 3" xfId="44583" xr:uid="{00000000-0005-0000-0000-0000548C0000}"/>
    <cellStyle name="Note 3" xfId="2282" xr:uid="{00000000-0005-0000-0000-0000558C0000}"/>
    <cellStyle name="Note 3 2" xfId="2283" xr:uid="{00000000-0005-0000-0000-0000568C0000}"/>
    <cellStyle name="Note 3 2 2" xfId="2284" xr:uid="{00000000-0005-0000-0000-0000578C0000}"/>
    <cellStyle name="Note 3 2 2 2" xfId="12923" xr:uid="{00000000-0005-0000-0000-0000588C0000}"/>
    <cellStyle name="Note 3 2 2 2 2" xfId="25994" xr:uid="{00000000-0005-0000-0000-0000598C0000}"/>
    <cellStyle name="Note 3 2 2 2 2 2" xfId="41423" xr:uid="{00000000-0005-0000-0000-00005A8C0000}"/>
    <cellStyle name="Note 3 2 2 2 3" xfId="44587" xr:uid="{00000000-0005-0000-0000-00005B8C0000}"/>
    <cellStyle name="Note 3 2 2 3" xfId="25993" xr:uid="{00000000-0005-0000-0000-00005C8C0000}"/>
    <cellStyle name="Note 3 2 2 3 2" xfId="41422" xr:uid="{00000000-0005-0000-0000-00005D8C0000}"/>
    <cellStyle name="Note 3 2 2 4" xfId="44586" xr:uid="{00000000-0005-0000-0000-00005E8C0000}"/>
    <cellStyle name="Note 3 2 3" xfId="12924" xr:uid="{00000000-0005-0000-0000-00005F8C0000}"/>
    <cellStyle name="Note 3 2 3 2" xfId="25995" xr:uid="{00000000-0005-0000-0000-0000608C0000}"/>
    <cellStyle name="Note 3 2 3 2 2" xfId="41424" xr:uid="{00000000-0005-0000-0000-0000618C0000}"/>
    <cellStyle name="Note 3 2 3 3" xfId="44588" xr:uid="{00000000-0005-0000-0000-0000628C0000}"/>
    <cellStyle name="Note 3 2 4" xfId="25992" xr:uid="{00000000-0005-0000-0000-0000638C0000}"/>
    <cellStyle name="Note 3 2 4 2" xfId="41421" xr:uid="{00000000-0005-0000-0000-0000648C0000}"/>
    <cellStyle name="Note 3 2 5" xfId="44585" xr:uid="{00000000-0005-0000-0000-0000658C0000}"/>
    <cellStyle name="Note 3 3" xfId="2285" xr:uid="{00000000-0005-0000-0000-0000668C0000}"/>
    <cellStyle name="Note 3 3 2" xfId="2286" xr:uid="{00000000-0005-0000-0000-0000678C0000}"/>
    <cellStyle name="Note 3 3 2 2" xfId="12925" xr:uid="{00000000-0005-0000-0000-0000688C0000}"/>
    <cellStyle name="Note 3 3 2 2 2" xfId="25998" xr:uid="{00000000-0005-0000-0000-0000698C0000}"/>
    <cellStyle name="Note 3 3 2 2 2 2" xfId="41427" xr:uid="{00000000-0005-0000-0000-00006A8C0000}"/>
    <cellStyle name="Note 3 3 2 2 3" xfId="44591" xr:uid="{00000000-0005-0000-0000-00006B8C0000}"/>
    <cellStyle name="Note 3 3 2 3" xfId="25997" xr:uid="{00000000-0005-0000-0000-00006C8C0000}"/>
    <cellStyle name="Note 3 3 2 3 2" xfId="41426" xr:uid="{00000000-0005-0000-0000-00006D8C0000}"/>
    <cellStyle name="Note 3 3 2 4" xfId="44590" xr:uid="{00000000-0005-0000-0000-00006E8C0000}"/>
    <cellStyle name="Note 3 3 3" xfId="12926" xr:uid="{00000000-0005-0000-0000-00006F8C0000}"/>
    <cellStyle name="Note 3 3 3 2" xfId="25999" xr:uid="{00000000-0005-0000-0000-0000708C0000}"/>
    <cellStyle name="Note 3 3 3 2 2" xfId="41428" xr:uid="{00000000-0005-0000-0000-0000718C0000}"/>
    <cellStyle name="Note 3 3 3 3" xfId="44592" xr:uid="{00000000-0005-0000-0000-0000728C0000}"/>
    <cellStyle name="Note 3 3 4" xfId="25996" xr:uid="{00000000-0005-0000-0000-0000738C0000}"/>
    <cellStyle name="Note 3 3 4 2" xfId="41425" xr:uid="{00000000-0005-0000-0000-0000748C0000}"/>
    <cellStyle name="Note 3 3 5" xfId="44589" xr:uid="{00000000-0005-0000-0000-0000758C0000}"/>
    <cellStyle name="Note 3 4" xfId="2287" xr:uid="{00000000-0005-0000-0000-0000768C0000}"/>
    <cellStyle name="Note 3 4 2" xfId="2288" xr:uid="{00000000-0005-0000-0000-0000778C0000}"/>
    <cellStyle name="Note 3 4 2 2" xfId="12927" xr:uid="{00000000-0005-0000-0000-0000788C0000}"/>
    <cellStyle name="Note 3 4 2 2 2" xfId="26002" xr:uid="{00000000-0005-0000-0000-0000798C0000}"/>
    <cellStyle name="Note 3 4 2 2 2 2" xfId="41431" xr:uid="{00000000-0005-0000-0000-00007A8C0000}"/>
    <cellStyle name="Note 3 4 2 2 3" xfId="44595" xr:uid="{00000000-0005-0000-0000-00007B8C0000}"/>
    <cellStyle name="Note 3 4 2 3" xfId="26001" xr:uid="{00000000-0005-0000-0000-00007C8C0000}"/>
    <cellStyle name="Note 3 4 2 3 2" xfId="41430" xr:uid="{00000000-0005-0000-0000-00007D8C0000}"/>
    <cellStyle name="Note 3 4 2 4" xfId="44594" xr:uid="{00000000-0005-0000-0000-00007E8C0000}"/>
    <cellStyle name="Note 3 4 3" xfId="12928" xr:uid="{00000000-0005-0000-0000-00007F8C0000}"/>
    <cellStyle name="Note 3 4 3 2" xfId="26003" xr:uid="{00000000-0005-0000-0000-0000808C0000}"/>
    <cellStyle name="Note 3 4 3 2 2" xfId="41432" xr:uid="{00000000-0005-0000-0000-0000818C0000}"/>
    <cellStyle name="Note 3 4 3 3" xfId="44596" xr:uid="{00000000-0005-0000-0000-0000828C0000}"/>
    <cellStyle name="Note 3 4 4" xfId="26000" xr:uid="{00000000-0005-0000-0000-0000838C0000}"/>
    <cellStyle name="Note 3 4 4 2" xfId="41429" xr:uid="{00000000-0005-0000-0000-0000848C0000}"/>
    <cellStyle name="Note 3 4 5" xfId="44593" xr:uid="{00000000-0005-0000-0000-0000858C0000}"/>
    <cellStyle name="Note 3 5" xfId="2289" xr:uid="{00000000-0005-0000-0000-0000868C0000}"/>
    <cellStyle name="Note 3 5 2" xfId="2290" xr:uid="{00000000-0005-0000-0000-0000878C0000}"/>
    <cellStyle name="Note 3 5 2 2" xfId="12929" xr:uid="{00000000-0005-0000-0000-0000888C0000}"/>
    <cellStyle name="Note 3 5 2 2 2" xfId="26006" xr:uid="{00000000-0005-0000-0000-0000898C0000}"/>
    <cellStyle name="Note 3 5 2 2 2 2" xfId="41435" xr:uid="{00000000-0005-0000-0000-00008A8C0000}"/>
    <cellStyle name="Note 3 5 2 2 3" xfId="44599" xr:uid="{00000000-0005-0000-0000-00008B8C0000}"/>
    <cellStyle name="Note 3 5 2 3" xfId="26005" xr:uid="{00000000-0005-0000-0000-00008C8C0000}"/>
    <cellStyle name="Note 3 5 2 3 2" xfId="41434" xr:uid="{00000000-0005-0000-0000-00008D8C0000}"/>
    <cellStyle name="Note 3 5 2 4" xfId="44598" xr:uid="{00000000-0005-0000-0000-00008E8C0000}"/>
    <cellStyle name="Note 3 5 3" xfId="12930" xr:uid="{00000000-0005-0000-0000-00008F8C0000}"/>
    <cellStyle name="Note 3 5 3 2" xfId="26007" xr:uid="{00000000-0005-0000-0000-0000908C0000}"/>
    <cellStyle name="Note 3 5 3 2 2" xfId="41436" xr:uid="{00000000-0005-0000-0000-0000918C0000}"/>
    <cellStyle name="Note 3 5 3 3" xfId="44600" xr:uid="{00000000-0005-0000-0000-0000928C0000}"/>
    <cellStyle name="Note 3 5 4" xfId="26004" xr:uid="{00000000-0005-0000-0000-0000938C0000}"/>
    <cellStyle name="Note 3 5 4 2" xfId="41433" xr:uid="{00000000-0005-0000-0000-0000948C0000}"/>
    <cellStyle name="Note 3 5 5" xfId="44597" xr:uid="{00000000-0005-0000-0000-0000958C0000}"/>
    <cellStyle name="Note 3 6" xfId="2291" xr:uid="{00000000-0005-0000-0000-0000968C0000}"/>
    <cellStyle name="Note 3 6 2" xfId="12931" xr:uid="{00000000-0005-0000-0000-0000978C0000}"/>
    <cellStyle name="Note 3 6 2 2" xfId="26009" xr:uid="{00000000-0005-0000-0000-0000988C0000}"/>
    <cellStyle name="Note 3 6 2 2 2" xfId="41438" xr:uid="{00000000-0005-0000-0000-0000998C0000}"/>
    <cellStyle name="Note 3 6 2 3" xfId="44602" xr:uid="{00000000-0005-0000-0000-00009A8C0000}"/>
    <cellStyle name="Note 3 6 3" xfId="26008" xr:uid="{00000000-0005-0000-0000-00009B8C0000}"/>
    <cellStyle name="Note 3 6 3 2" xfId="41437" xr:uid="{00000000-0005-0000-0000-00009C8C0000}"/>
    <cellStyle name="Note 3 6 4" xfId="44601" xr:uid="{00000000-0005-0000-0000-00009D8C0000}"/>
    <cellStyle name="Note 3 7" xfId="12932" xr:uid="{00000000-0005-0000-0000-00009E8C0000}"/>
    <cellStyle name="Note 3 7 2" xfId="26010" xr:uid="{00000000-0005-0000-0000-00009F8C0000}"/>
    <cellStyle name="Note 3 7 2 2" xfId="41439" xr:uid="{00000000-0005-0000-0000-0000A08C0000}"/>
    <cellStyle name="Note 3 7 3" xfId="44603" xr:uid="{00000000-0005-0000-0000-0000A18C0000}"/>
    <cellStyle name="Note 3 8" xfId="25991" xr:uid="{00000000-0005-0000-0000-0000A28C0000}"/>
    <cellStyle name="Note 3 8 2" xfId="41420" xr:uid="{00000000-0005-0000-0000-0000A38C0000}"/>
    <cellStyle name="Note 3 9" xfId="44584" xr:uid="{00000000-0005-0000-0000-0000A48C0000}"/>
    <cellStyle name="Note 30" xfId="12933" xr:uid="{00000000-0005-0000-0000-0000A58C0000}"/>
    <cellStyle name="Note 30 2" xfId="26011" xr:uid="{00000000-0005-0000-0000-0000A68C0000}"/>
    <cellStyle name="Note 30 2 2" xfId="41440" xr:uid="{00000000-0005-0000-0000-0000A78C0000}"/>
    <cellStyle name="Note 30 3" xfId="44604" xr:uid="{00000000-0005-0000-0000-0000A88C0000}"/>
    <cellStyle name="Note 31" xfId="12934" xr:uid="{00000000-0005-0000-0000-0000A98C0000}"/>
    <cellStyle name="Note 31 2" xfId="26012" xr:uid="{00000000-0005-0000-0000-0000AA8C0000}"/>
    <cellStyle name="Note 31 2 2" xfId="41441" xr:uid="{00000000-0005-0000-0000-0000AB8C0000}"/>
    <cellStyle name="Note 31 3" xfId="44605" xr:uid="{00000000-0005-0000-0000-0000AC8C0000}"/>
    <cellStyle name="Note 32" xfId="12935" xr:uid="{00000000-0005-0000-0000-0000AD8C0000}"/>
    <cellStyle name="Note 32 2" xfId="26013" xr:uid="{00000000-0005-0000-0000-0000AE8C0000}"/>
    <cellStyle name="Note 32 2 2" xfId="41442" xr:uid="{00000000-0005-0000-0000-0000AF8C0000}"/>
    <cellStyle name="Note 32 3" xfId="44606" xr:uid="{00000000-0005-0000-0000-0000B08C0000}"/>
    <cellStyle name="Note 33" xfId="12936" xr:uid="{00000000-0005-0000-0000-0000B18C0000}"/>
    <cellStyle name="Note 33 2" xfId="26014" xr:uid="{00000000-0005-0000-0000-0000B28C0000}"/>
    <cellStyle name="Note 33 2 2" xfId="41443" xr:uid="{00000000-0005-0000-0000-0000B38C0000}"/>
    <cellStyle name="Note 33 3" xfId="44607" xr:uid="{00000000-0005-0000-0000-0000B48C0000}"/>
    <cellStyle name="Note 34" xfId="12937" xr:uid="{00000000-0005-0000-0000-0000B58C0000}"/>
    <cellStyle name="Note 34 2" xfId="26015" xr:uid="{00000000-0005-0000-0000-0000B68C0000}"/>
    <cellStyle name="Note 34 2 2" xfId="41444" xr:uid="{00000000-0005-0000-0000-0000B78C0000}"/>
    <cellStyle name="Note 34 3" xfId="44608" xr:uid="{00000000-0005-0000-0000-0000B88C0000}"/>
    <cellStyle name="Note 35" xfId="12938" xr:uid="{00000000-0005-0000-0000-0000B98C0000}"/>
    <cellStyle name="Note 35 2" xfId="26016" xr:uid="{00000000-0005-0000-0000-0000BA8C0000}"/>
    <cellStyle name="Note 35 2 2" xfId="41445" xr:uid="{00000000-0005-0000-0000-0000BB8C0000}"/>
    <cellStyle name="Note 35 3" xfId="44609" xr:uid="{00000000-0005-0000-0000-0000BC8C0000}"/>
    <cellStyle name="Note 36" xfId="12939" xr:uid="{00000000-0005-0000-0000-0000BD8C0000}"/>
    <cellStyle name="Note 36 2" xfId="26017" xr:uid="{00000000-0005-0000-0000-0000BE8C0000}"/>
    <cellStyle name="Note 36 2 2" xfId="41446" xr:uid="{00000000-0005-0000-0000-0000BF8C0000}"/>
    <cellStyle name="Note 36 3" xfId="44610" xr:uid="{00000000-0005-0000-0000-0000C08C0000}"/>
    <cellStyle name="Note 37" xfId="12940" xr:uid="{00000000-0005-0000-0000-0000C18C0000}"/>
    <cellStyle name="Note 37 2" xfId="26018" xr:uid="{00000000-0005-0000-0000-0000C28C0000}"/>
    <cellStyle name="Note 37 2 2" xfId="41447" xr:uid="{00000000-0005-0000-0000-0000C38C0000}"/>
    <cellStyle name="Note 37 3" xfId="44611" xr:uid="{00000000-0005-0000-0000-0000C48C0000}"/>
    <cellStyle name="Note 38" xfId="41379" xr:uid="{00000000-0005-0000-0000-0000C58C0000}"/>
    <cellStyle name="Note 39" xfId="44543" xr:uid="{00000000-0005-0000-0000-0000C68C0000}"/>
    <cellStyle name="Note 4" xfId="2292" xr:uid="{00000000-0005-0000-0000-0000C78C0000}"/>
    <cellStyle name="Note 4 2" xfId="2293" xr:uid="{00000000-0005-0000-0000-0000C88C0000}"/>
    <cellStyle name="Note 4 2 2" xfId="12941" xr:uid="{00000000-0005-0000-0000-0000C98C0000}"/>
    <cellStyle name="Note 4 2 2 2" xfId="26021" xr:uid="{00000000-0005-0000-0000-0000CA8C0000}"/>
    <cellStyle name="Note 4 2 2 2 2" xfId="41450" xr:uid="{00000000-0005-0000-0000-0000CB8C0000}"/>
    <cellStyle name="Note 4 2 2 3" xfId="44614" xr:uid="{00000000-0005-0000-0000-0000CC8C0000}"/>
    <cellStyle name="Note 4 2 3" xfId="26020" xr:uid="{00000000-0005-0000-0000-0000CD8C0000}"/>
    <cellStyle name="Note 4 2 3 2" xfId="41449" xr:uid="{00000000-0005-0000-0000-0000CE8C0000}"/>
    <cellStyle name="Note 4 2 4" xfId="44613" xr:uid="{00000000-0005-0000-0000-0000CF8C0000}"/>
    <cellStyle name="Note 4 3" xfId="12942" xr:uid="{00000000-0005-0000-0000-0000D08C0000}"/>
    <cellStyle name="Note 4 3 2" xfId="26022" xr:uid="{00000000-0005-0000-0000-0000D18C0000}"/>
    <cellStyle name="Note 4 3 2 2" xfId="41451" xr:uid="{00000000-0005-0000-0000-0000D28C0000}"/>
    <cellStyle name="Note 4 3 3" xfId="44615" xr:uid="{00000000-0005-0000-0000-0000D38C0000}"/>
    <cellStyle name="Note 4 4" xfId="26019" xr:uid="{00000000-0005-0000-0000-0000D48C0000}"/>
    <cellStyle name="Note 4 4 2" xfId="41448" xr:uid="{00000000-0005-0000-0000-0000D58C0000}"/>
    <cellStyle name="Note 4 5" xfId="44612" xr:uid="{00000000-0005-0000-0000-0000D68C0000}"/>
    <cellStyle name="Note 5" xfId="2294" xr:uid="{00000000-0005-0000-0000-0000D78C0000}"/>
    <cellStyle name="Note 5 2" xfId="12943" xr:uid="{00000000-0005-0000-0000-0000D88C0000}"/>
    <cellStyle name="Note 5 2 2" xfId="26024" xr:uid="{00000000-0005-0000-0000-0000D98C0000}"/>
    <cellStyle name="Note 5 2 2 2" xfId="41453" xr:uid="{00000000-0005-0000-0000-0000DA8C0000}"/>
    <cellStyle name="Note 5 2 3" xfId="44617" xr:uid="{00000000-0005-0000-0000-0000DB8C0000}"/>
    <cellStyle name="Note 5 3" xfId="26023" xr:uid="{00000000-0005-0000-0000-0000DC8C0000}"/>
    <cellStyle name="Note 5 3 2" xfId="41452" xr:uid="{00000000-0005-0000-0000-0000DD8C0000}"/>
    <cellStyle name="Note 5 4" xfId="44616" xr:uid="{00000000-0005-0000-0000-0000DE8C0000}"/>
    <cellStyle name="Note 6" xfId="1133" xr:uid="{00000000-0005-0000-0000-0000DF8C0000}"/>
    <cellStyle name="Note 6 2" xfId="5373" xr:uid="{00000000-0005-0000-0000-0000E08C0000}"/>
    <cellStyle name="Note 6 2 2" xfId="8788" xr:uid="{00000000-0005-0000-0000-0000E18C0000}"/>
    <cellStyle name="Note 6 2 2 2" xfId="10486" xr:uid="{00000000-0005-0000-0000-0000E28C0000}"/>
    <cellStyle name="Note 6 2 2 2 2" xfId="34388" xr:uid="{00000000-0005-0000-0000-0000E38C0000}"/>
    <cellStyle name="Note 6 2 2 3" xfId="29010" xr:uid="{00000000-0005-0000-0000-0000E48C0000}"/>
    <cellStyle name="Note 6 2 3" xfId="10721" xr:uid="{00000000-0005-0000-0000-0000E58C0000}"/>
    <cellStyle name="Note 6 2 3 2" xfId="34569" xr:uid="{00000000-0005-0000-0000-0000E68C0000}"/>
    <cellStyle name="Note 6 2 4" xfId="32401" xr:uid="{00000000-0005-0000-0000-0000E78C0000}"/>
    <cellStyle name="Note 6 2 5" xfId="41454" xr:uid="{00000000-0005-0000-0000-0000E88C0000}"/>
    <cellStyle name="Note 6 3" xfId="6971" xr:uid="{00000000-0005-0000-0000-0000E98C0000}"/>
    <cellStyle name="Note 6 3 2" xfId="20615" xr:uid="{00000000-0005-0000-0000-0000EA8C0000}"/>
    <cellStyle name="Note 6 3 2 2" xfId="36714" xr:uid="{00000000-0005-0000-0000-0000EB8C0000}"/>
    <cellStyle name="Note 6 3 3" xfId="30827" xr:uid="{00000000-0005-0000-0000-0000EC8C0000}"/>
    <cellStyle name="Note 6 3 4" xfId="44618" xr:uid="{00000000-0005-0000-0000-0000ED8C0000}"/>
    <cellStyle name="Note 6 4" xfId="12944" xr:uid="{00000000-0005-0000-0000-0000EE8C0000}"/>
    <cellStyle name="Note 6 5" xfId="11331" xr:uid="{00000000-0005-0000-0000-0000EF8C0000}"/>
    <cellStyle name="Note 6 5 2" xfId="34797" xr:uid="{00000000-0005-0000-0000-0000F08C0000}"/>
    <cellStyle name="Note 6 6" xfId="26025" xr:uid="{00000000-0005-0000-0000-0000F18C0000}"/>
    <cellStyle name="Note 6 7" xfId="34215" xr:uid="{00000000-0005-0000-0000-0000F28C0000}"/>
    <cellStyle name="Note 7" xfId="1178" xr:uid="{00000000-0005-0000-0000-0000F38C0000}"/>
    <cellStyle name="Note 7 2" xfId="6223" xr:uid="{00000000-0005-0000-0000-0000F48C0000}"/>
    <cellStyle name="Note 7 2 2" xfId="9637" xr:uid="{00000000-0005-0000-0000-0000F58C0000}"/>
    <cellStyle name="Note 7 2 2 2" xfId="23725" xr:uid="{00000000-0005-0000-0000-0000F68C0000}"/>
    <cellStyle name="Note 7 2 2 2 2" xfId="39781" xr:uid="{00000000-0005-0000-0000-0000F78C0000}"/>
    <cellStyle name="Note 7 2 2 3" xfId="28162" xr:uid="{00000000-0005-0000-0000-0000F88C0000}"/>
    <cellStyle name="Note 7 2 3" xfId="20371" xr:uid="{00000000-0005-0000-0000-0000F98C0000}"/>
    <cellStyle name="Note 7 2 3 2" xfId="36470" xr:uid="{00000000-0005-0000-0000-0000FA8C0000}"/>
    <cellStyle name="Note 7 2 4" xfId="31563" xr:uid="{00000000-0005-0000-0000-0000FB8C0000}"/>
    <cellStyle name="Note 7 2 5" xfId="41455" xr:uid="{00000000-0005-0000-0000-0000FC8C0000}"/>
    <cellStyle name="Note 7 3" xfId="6972" xr:uid="{00000000-0005-0000-0000-0000FD8C0000}"/>
    <cellStyle name="Note 7 3 2" xfId="24124" xr:uid="{00000000-0005-0000-0000-0000FE8C0000}"/>
    <cellStyle name="Note 7 3 2 2" xfId="40177" xr:uid="{00000000-0005-0000-0000-0000FF8C0000}"/>
    <cellStyle name="Note 7 3 3" xfId="30826" xr:uid="{00000000-0005-0000-0000-0000008D0000}"/>
    <cellStyle name="Note 7 3 4" xfId="44619" xr:uid="{00000000-0005-0000-0000-0000018D0000}"/>
    <cellStyle name="Note 7 4" xfId="12945" xr:uid="{00000000-0005-0000-0000-0000028D0000}"/>
    <cellStyle name="Note 7 5" xfId="12861" xr:uid="{00000000-0005-0000-0000-0000038D0000}"/>
    <cellStyle name="Note 7 5 2" xfId="35298" xr:uid="{00000000-0005-0000-0000-0000048D0000}"/>
    <cellStyle name="Note 7 6" xfId="26026" xr:uid="{00000000-0005-0000-0000-0000058D0000}"/>
    <cellStyle name="Note 7 7" xfId="34214" xr:uid="{00000000-0005-0000-0000-0000068D0000}"/>
    <cellStyle name="Note 8" xfId="4507" xr:uid="{00000000-0005-0000-0000-0000078D0000}"/>
    <cellStyle name="Note 8 2" xfId="6299" xr:uid="{00000000-0005-0000-0000-0000088D0000}"/>
    <cellStyle name="Note 8 2 2" xfId="9709" xr:uid="{00000000-0005-0000-0000-0000098D0000}"/>
    <cellStyle name="Note 8 2 2 2" xfId="24553" xr:uid="{00000000-0005-0000-0000-00000A8D0000}"/>
    <cellStyle name="Note 8 2 2 2 2" xfId="40597" xr:uid="{00000000-0005-0000-0000-00000B8D0000}"/>
    <cellStyle name="Note 8 2 2 3" xfId="28090" xr:uid="{00000000-0005-0000-0000-00000C8D0000}"/>
    <cellStyle name="Note 8 2 3" xfId="24015" xr:uid="{00000000-0005-0000-0000-00000D8D0000}"/>
    <cellStyle name="Note 8 2 3 2" xfId="40068" xr:uid="{00000000-0005-0000-0000-00000E8D0000}"/>
    <cellStyle name="Note 8 2 4" xfId="31491" xr:uid="{00000000-0005-0000-0000-00000F8D0000}"/>
    <cellStyle name="Note 8 2 5" xfId="41456" xr:uid="{00000000-0005-0000-0000-0000108D0000}"/>
    <cellStyle name="Note 8 3" xfId="8005" xr:uid="{00000000-0005-0000-0000-0000118D0000}"/>
    <cellStyle name="Note 8 3 2" xfId="11973" xr:uid="{00000000-0005-0000-0000-0000128D0000}"/>
    <cellStyle name="Note 8 3 2 2" xfId="34995" xr:uid="{00000000-0005-0000-0000-0000138D0000}"/>
    <cellStyle name="Note 8 3 3" xfId="29793" xr:uid="{00000000-0005-0000-0000-0000148D0000}"/>
    <cellStyle name="Note 8 3 4" xfId="44620" xr:uid="{00000000-0005-0000-0000-0000158D0000}"/>
    <cellStyle name="Note 8 4" xfId="12946" xr:uid="{00000000-0005-0000-0000-0000168D0000}"/>
    <cellStyle name="Note 8 5" xfId="10946" xr:uid="{00000000-0005-0000-0000-0000178D0000}"/>
    <cellStyle name="Note 8 5 2" xfId="34688" xr:uid="{00000000-0005-0000-0000-0000188D0000}"/>
    <cellStyle name="Note 8 6" xfId="26027" xr:uid="{00000000-0005-0000-0000-0000198D0000}"/>
    <cellStyle name="Note 8 7" xfId="33184" xr:uid="{00000000-0005-0000-0000-00001A8D0000}"/>
    <cellStyle name="Note 9" xfId="12947" xr:uid="{00000000-0005-0000-0000-00001B8D0000}"/>
    <cellStyle name="Note 9 2" xfId="26028" xr:uid="{00000000-0005-0000-0000-00001C8D0000}"/>
    <cellStyle name="Note 9 2 2" xfId="41457" xr:uid="{00000000-0005-0000-0000-00001D8D0000}"/>
    <cellStyle name="Note 9 3" xfId="44621" xr:uid="{00000000-0005-0000-0000-00001E8D0000}"/>
    <cellStyle name="Nøytral" xfId="4631" xr:uid="{00000000-0005-0000-0000-00001F8D0000}"/>
    <cellStyle name="Nøytral 10" xfId="2295" xr:uid="{00000000-0005-0000-0000-0000208D0000}"/>
    <cellStyle name="Nøytral 10 10" xfId="24840" xr:uid="{00000000-0005-0000-0000-0000218D0000}"/>
    <cellStyle name="Nøytral 10 11" xfId="26029" xr:uid="{00000000-0005-0000-0000-0000228D0000}"/>
    <cellStyle name="Nøytral 10 2" xfId="4425" xr:uid="{00000000-0005-0000-0000-0000238D0000}"/>
    <cellStyle name="Nøytral 10 2 2" xfId="12950" xr:uid="{00000000-0005-0000-0000-0000248D0000}"/>
    <cellStyle name="Nøytral 10 2 2 2" xfId="18212" xr:uid="{00000000-0005-0000-0000-0000258D0000}"/>
    <cellStyle name="Nøytral 10 2 2 2 2" xfId="26032" xr:uid="{00000000-0005-0000-0000-0000268D0000}"/>
    <cellStyle name="Nøytral 10 2 2 2 2 2" xfId="43115" xr:uid="{00000000-0005-0000-0000-0000278D0000}"/>
    <cellStyle name="Nøytral 10 2 2 2 3" xfId="44624" xr:uid="{00000000-0005-0000-0000-0000288D0000}"/>
    <cellStyle name="Nøytral 10 2 2 3" xfId="16393" xr:uid="{00000000-0005-0000-0000-0000298D0000}"/>
    <cellStyle name="Nøytral 10 2 2 3 2" xfId="26033" xr:uid="{00000000-0005-0000-0000-00002A8D0000}"/>
    <cellStyle name="Nøytral 10 2 2 3 2 2" xfId="42948" xr:uid="{00000000-0005-0000-0000-00002B8D0000}"/>
    <cellStyle name="Nøytral 10 2 2 3 3" xfId="44625" xr:uid="{00000000-0005-0000-0000-00002C8D0000}"/>
    <cellStyle name="Nøytral 10 2 2 4" xfId="26031" xr:uid="{00000000-0005-0000-0000-00002D8D0000}"/>
    <cellStyle name="Nøytral 10 2 2 4 2" xfId="41459" xr:uid="{00000000-0005-0000-0000-00002E8D0000}"/>
    <cellStyle name="Nøytral 10 2 2 5" xfId="44623" xr:uid="{00000000-0005-0000-0000-00002F8D0000}"/>
    <cellStyle name="Nøytral 10 2 2_Avviksanalyse løpende RNB15 (1)" xfId="16787" xr:uid="{00000000-0005-0000-0000-0000308D0000}"/>
    <cellStyle name="Nøytral 10 2 3" xfId="12949" xr:uid="{00000000-0005-0000-0000-0000318D0000}"/>
    <cellStyle name="Nøytral 10 2 4" xfId="26030" xr:uid="{00000000-0005-0000-0000-0000328D0000}"/>
    <cellStyle name="Nøytral 10 3" xfId="4371" xr:uid="{00000000-0005-0000-0000-0000338D0000}"/>
    <cellStyle name="Nøytral 10 3 2" xfId="41458" xr:uid="{00000000-0005-0000-0000-0000348D0000}"/>
    <cellStyle name="Nøytral 10 4" xfId="12948" xr:uid="{00000000-0005-0000-0000-0000358D0000}"/>
    <cellStyle name="Nøytral 10 4 2" xfId="44622" xr:uid="{00000000-0005-0000-0000-0000368D0000}"/>
    <cellStyle name="Nøytral 10 5" xfId="19900" xr:uid="{00000000-0005-0000-0000-0000378D0000}"/>
    <cellStyle name="Nøytral 10 6" xfId="23915" xr:uid="{00000000-0005-0000-0000-0000388D0000}"/>
    <cellStyle name="Nøytral 10 7" xfId="24868" xr:uid="{00000000-0005-0000-0000-0000398D0000}"/>
    <cellStyle name="Nøytral 10 8" xfId="24893" xr:uid="{00000000-0005-0000-0000-00003A8D0000}"/>
    <cellStyle name="Nøytral 10 9" xfId="25157" xr:uid="{00000000-0005-0000-0000-00003B8D0000}"/>
    <cellStyle name="Nøytral 11" xfId="2296" xr:uid="{00000000-0005-0000-0000-00003C8D0000}"/>
    <cellStyle name="Nøytral 11 10" xfId="25174" xr:uid="{00000000-0005-0000-0000-00003D8D0000}"/>
    <cellStyle name="Nøytral 11 11" xfId="26034" xr:uid="{00000000-0005-0000-0000-00003E8D0000}"/>
    <cellStyle name="Nøytral 11 2" xfId="12952" xr:uid="{00000000-0005-0000-0000-00003F8D0000}"/>
    <cellStyle name="Nøytral 11 2 2" xfId="12953" xr:uid="{00000000-0005-0000-0000-0000408D0000}"/>
    <cellStyle name="Nøytral 11 2 2 2" xfId="18213" xr:uid="{00000000-0005-0000-0000-0000418D0000}"/>
    <cellStyle name="Nøytral 11 2 2 2 2" xfId="26037" xr:uid="{00000000-0005-0000-0000-0000428D0000}"/>
    <cellStyle name="Nøytral 11 2 2 2 2 2" xfId="43116" xr:uid="{00000000-0005-0000-0000-0000438D0000}"/>
    <cellStyle name="Nøytral 11 2 2 2 3" xfId="44629" xr:uid="{00000000-0005-0000-0000-0000448D0000}"/>
    <cellStyle name="Nøytral 11 2 2 3" xfId="16394" xr:uid="{00000000-0005-0000-0000-0000458D0000}"/>
    <cellStyle name="Nøytral 11 2 2 3 2" xfId="26038" xr:uid="{00000000-0005-0000-0000-0000468D0000}"/>
    <cellStyle name="Nøytral 11 2 2 3 2 2" xfId="42949" xr:uid="{00000000-0005-0000-0000-0000478D0000}"/>
    <cellStyle name="Nøytral 11 2 2 3 3" xfId="44630" xr:uid="{00000000-0005-0000-0000-0000488D0000}"/>
    <cellStyle name="Nøytral 11 2 2 4" xfId="26036" xr:uid="{00000000-0005-0000-0000-0000498D0000}"/>
    <cellStyle name="Nøytral 11 2 2 4 2" xfId="41461" xr:uid="{00000000-0005-0000-0000-00004A8D0000}"/>
    <cellStyle name="Nøytral 11 2 2 5" xfId="44628" xr:uid="{00000000-0005-0000-0000-00004B8D0000}"/>
    <cellStyle name="Nøytral 11 2 2_Avviksanalyse løpende RNB15 (1)" xfId="16788" xr:uid="{00000000-0005-0000-0000-00004C8D0000}"/>
    <cellStyle name="Nøytral 11 2 3" xfId="26035" xr:uid="{00000000-0005-0000-0000-00004D8D0000}"/>
    <cellStyle name="Nøytral 11 2 3 2" xfId="41460" xr:uid="{00000000-0005-0000-0000-00004E8D0000}"/>
    <cellStyle name="Nøytral 11 2 4" xfId="44627" xr:uid="{00000000-0005-0000-0000-00004F8D0000}"/>
    <cellStyle name="Nøytral 11 3" xfId="12951" xr:uid="{00000000-0005-0000-0000-0000508D0000}"/>
    <cellStyle name="Nøytral 11 4" xfId="19901" xr:uid="{00000000-0005-0000-0000-0000518D0000}"/>
    <cellStyle name="Nøytral 11 4 2" xfId="44626" xr:uid="{00000000-0005-0000-0000-0000528D0000}"/>
    <cellStyle name="Nøytral 11 5" xfId="20196" xr:uid="{00000000-0005-0000-0000-0000538D0000}"/>
    <cellStyle name="Nøytral 11 6" xfId="24869" xr:uid="{00000000-0005-0000-0000-0000548D0000}"/>
    <cellStyle name="Nøytral 11 7" xfId="25204" xr:uid="{00000000-0005-0000-0000-0000558D0000}"/>
    <cellStyle name="Nøytral 11 8" xfId="24969" xr:uid="{00000000-0005-0000-0000-0000568D0000}"/>
    <cellStyle name="Nøytral 11 9" xfId="24857" xr:uid="{00000000-0005-0000-0000-0000578D0000}"/>
    <cellStyle name="Nøytral 12" xfId="2297" xr:uid="{00000000-0005-0000-0000-0000588D0000}"/>
    <cellStyle name="Nøytral 12 10" xfId="24905" xr:uid="{00000000-0005-0000-0000-0000598D0000}"/>
    <cellStyle name="Nøytral 12 11" xfId="26039" xr:uid="{00000000-0005-0000-0000-00005A8D0000}"/>
    <cellStyle name="Nøytral 12 2" xfId="12955" xr:uid="{00000000-0005-0000-0000-00005B8D0000}"/>
    <cellStyle name="Nøytral 12 2 2" xfId="12956" xr:uid="{00000000-0005-0000-0000-00005C8D0000}"/>
    <cellStyle name="Nøytral 12 2 2 2" xfId="18214" xr:uid="{00000000-0005-0000-0000-00005D8D0000}"/>
    <cellStyle name="Nøytral 12 2 2 2 2" xfId="26042" xr:uid="{00000000-0005-0000-0000-00005E8D0000}"/>
    <cellStyle name="Nøytral 12 2 2 2 2 2" xfId="43117" xr:uid="{00000000-0005-0000-0000-00005F8D0000}"/>
    <cellStyle name="Nøytral 12 2 2 2 3" xfId="44634" xr:uid="{00000000-0005-0000-0000-0000608D0000}"/>
    <cellStyle name="Nøytral 12 2 2 3" xfId="16395" xr:uid="{00000000-0005-0000-0000-0000618D0000}"/>
    <cellStyle name="Nøytral 12 2 2 3 2" xfId="26043" xr:uid="{00000000-0005-0000-0000-0000628D0000}"/>
    <cellStyle name="Nøytral 12 2 2 3 2 2" xfId="42950" xr:uid="{00000000-0005-0000-0000-0000638D0000}"/>
    <cellStyle name="Nøytral 12 2 2 3 3" xfId="44635" xr:uid="{00000000-0005-0000-0000-0000648D0000}"/>
    <cellStyle name="Nøytral 12 2 2 4" xfId="26041" xr:uid="{00000000-0005-0000-0000-0000658D0000}"/>
    <cellStyle name="Nøytral 12 2 2 4 2" xfId="41463" xr:uid="{00000000-0005-0000-0000-0000668D0000}"/>
    <cellStyle name="Nøytral 12 2 2 5" xfId="44633" xr:uid="{00000000-0005-0000-0000-0000678D0000}"/>
    <cellStyle name="Nøytral 12 2 2_Avviksanalyse løpende RNB15 (1)" xfId="16789" xr:uid="{00000000-0005-0000-0000-0000688D0000}"/>
    <cellStyle name="Nøytral 12 2 3" xfId="26040" xr:uid="{00000000-0005-0000-0000-0000698D0000}"/>
    <cellStyle name="Nøytral 12 2 3 2" xfId="41462" xr:uid="{00000000-0005-0000-0000-00006A8D0000}"/>
    <cellStyle name="Nøytral 12 2 4" xfId="44632" xr:uid="{00000000-0005-0000-0000-00006B8D0000}"/>
    <cellStyle name="Nøytral 12 3" xfId="12954" xr:uid="{00000000-0005-0000-0000-00006C8D0000}"/>
    <cellStyle name="Nøytral 12 4" xfId="19902" xr:uid="{00000000-0005-0000-0000-00006D8D0000}"/>
    <cellStyle name="Nøytral 12 4 2" xfId="44631" xr:uid="{00000000-0005-0000-0000-00006E8D0000}"/>
    <cellStyle name="Nøytral 12 5" xfId="23914" xr:uid="{00000000-0005-0000-0000-00006F8D0000}"/>
    <cellStyle name="Nøytral 12 6" xfId="24870" xr:uid="{00000000-0005-0000-0000-0000708D0000}"/>
    <cellStyle name="Nøytral 12 7" xfId="24892" xr:uid="{00000000-0005-0000-0000-0000718D0000}"/>
    <cellStyle name="Nøytral 12 8" xfId="24754" xr:uid="{00000000-0005-0000-0000-0000728D0000}"/>
    <cellStyle name="Nøytral 12 9" xfId="24838" xr:uid="{00000000-0005-0000-0000-0000738D0000}"/>
    <cellStyle name="Nøytral 13" xfId="3426" xr:uid="{00000000-0005-0000-0000-0000748D0000}"/>
    <cellStyle name="Nøytral 13 2" xfId="12957" xr:uid="{00000000-0005-0000-0000-0000758D0000}"/>
    <cellStyle name="Nøytral 13 3" xfId="26044" xr:uid="{00000000-0005-0000-0000-0000768D0000}"/>
    <cellStyle name="Nøytral 14" xfId="12958" xr:uid="{00000000-0005-0000-0000-0000778D0000}"/>
    <cellStyle name="Nøytral 14 2" xfId="26045" xr:uid="{00000000-0005-0000-0000-0000788D0000}"/>
    <cellStyle name="Nøytral 14 2 2" xfId="41464" xr:uid="{00000000-0005-0000-0000-0000798D0000}"/>
    <cellStyle name="Nøytral 14 3" xfId="44636" xr:uid="{00000000-0005-0000-0000-00007A8D0000}"/>
    <cellStyle name="Nøytral 15" xfId="40934" xr:uid="{00000000-0005-0000-0000-00007B8D0000}"/>
    <cellStyle name="Nøytral 16" xfId="40788" xr:uid="{00000000-0005-0000-0000-00007C8D0000}"/>
    <cellStyle name="Nøytral 17" xfId="40890" xr:uid="{00000000-0005-0000-0000-00007D8D0000}"/>
    <cellStyle name="Nøytral 18" xfId="43174" xr:uid="{00000000-0005-0000-0000-00007E8D0000}"/>
    <cellStyle name="Nøytral 19" xfId="40860" xr:uid="{00000000-0005-0000-0000-00007F8D0000}"/>
    <cellStyle name="Nøytral 2" xfId="2298" xr:uid="{00000000-0005-0000-0000-0000808D0000}"/>
    <cellStyle name="Nøytral 2 10" xfId="26046" xr:uid="{00000000-0005-0000-0000-0000818D0000}"/>
    <cellStyle name="Nøytral 2 10 2" xfId="41465" xr:uid="{00000000-0005-0000-0000-0000828D0000}"/>
    <cellStyle name="Nøytral 2 11" xfId="44637" xr:uid="{00000000-0005-0000-0000-0000838D0000}"/>
    <cellStyle name="Nøytral 2 2" xfId="12959" xr:uid="{00000000-0005-0000-0000-0000848D0000}"/>
    <cellStyle name="Nøytral 2 2 2" xfId="26047" xr:uid="{00000000-0005-0000-0000-0000858D0000}"/>
    <cellStyle name="Nøytral 2 2 2 2" xfId="41466" xr:uid="{00000000-0005-0000-0000-0000868D0000}"/>
    <cellStyle name="Nøytral 2 2 3" xfId="44638" xr:uid="{00000000-0005-0000-0000-0000878D0000}"/>
    <cellStyle name="Nøytral 2 3" xfId="12960" xr:uid="{00000000-0005-0000-0000-0000888D0000}"/>
    <cellStyle name="Nøytral 2 3 2" xfId="26048" xr:uid="{00000000-0005-0000-0000-0000898D0000}"/>
    <cellStyle name="Nøytral 2 3 2 2" xfId="41467" xr:uid="{00000000-0005-0000-0000-00008A8D0000}"/>
    <cellStyle name="Nøytral 2 3 3" xfId="44639" xr:uid="{00000000-0005-0000-0000-00008B8D0000}"/>
    <cellStyle name="Nøytral 2 4" xfId="12961" xr:uid="{00000000-0005-0000-0000-00008C8D0000}"/>
    <cellStyle name="Nøytral 2 4 2" xfId="26049" xr:uid="{00000000-0005-0000-0000-00008D8D0000}"/>
    <cellStyle name="Nøytral 2 4 2 2" xfId="41468" xr:uid="{00000000-0005-0000-0000-00008E8D0000}"/>
    <cellStyle name="Nøytral 2 4 3" xfId="44640" xr:uid="{00000000-0005-0000-0000-00008F8D0000}"/>
    <cellStyle name="Nøytral 2 5" xfId="12962" xr:uid="{00000000-0005-0000-0000-0000908D0000}"/>
    <cellStyle name="Nøytral 2 5 2" xfId="26050" xr:uid="{00000000-0005-0000-0000-0000918D0000}"/>
    <cellStyle name="Nøytral 2 5 2 2" xfId="41469" xr:uid="{00000000-0005-0000-0000-0000928D0000}"/>
    <cellStyle name="Nøytral 2 5 3" xfId="44641" xr:uid="{00000000-0005-0000-0000-0000938D0000}"/>
    <cellStyle name="Nøytral 2 6" xfId="12963" xr:uid="{00000000-0005-0000-0000-0000948D0000}"/>
    <cellStyle name="Nøytral 2 6 2" xfId="26051" xr:uid="{00000000-0005-0000-0000-0000958D0000}"/>
    <cellStyle name="Nøytral 2 6 2 2" xfId="41470" xr:uid="{00000000-0005-0000-0000-0000968D0000}"/>
    <cellStyle name="Nøytral 2 6 3" xfId="44642" xr:uid="{00000000-0005-0000-0000-0000978D0000}"/>
    <cellStyle name="Nøytral 2 7" xfId="12964" xr:uid="{00000000-0005-0000-0000-0000988D0000}"/>
    <cellStyle name="Nøytral 2 7 2" xfId="26052" xr:uid="{00000000-0005-0000-0000-0000998D0000}"/>
    <cellStyle name="Nøytral 2 7 2 2" xfId="41471" xr:uid="{00000000-0005-0000-0000-00009A8D0000}"/>
    <cellStyle name="Nøytral 2 7 3" xfId="44643" xr:uid="{00000000-0005-0000-0000-00009B8D0000}"/>
    <cellStyle name="Nøytral 2 8" xfId="12965" xr:uid="{00000000-0005-0000-0000-00009C8D0000}"/>
    <cellStyle name="Nøytral 2 8 2" xfId="26053" xr:uid="{00000000-0005-0000-0000-00009D8D0000}"/>
    <cellStyle name="Nøytral 2 8 2 2" xfId="41472" xr:uid="{00000000-0005-0000-0000-00009E8D0000}"/>
    <cellStyle name="Nøytral 2 8 3" xfId="44644" xr:uid="{00000000-0005-0000-0000-00009F8D0000}"/>
    <cellStyle name="Nøytral 2 9" xfId="12966" xr:uid="{00000000-0005-0000-0000-0000A08D0000}"/>
    <cellStyle name="Nøytral 2 9 2" xfId="26054" xr:uid="{00000000-0005-0000-0000-0000A18D0000}"/>
    <cellStyle name="Nøytral 2 9 2 2" xfId="41473" xr:uid="{00000000-0005-0000-0000-0000A28D0000}"/>
    <cellStyle name="Nøytral 2 9 3" xfId="44645" xr:uid="{00000000-0005-0000-0000-0000A38D0000}"/>
    <cellStyle name="Nøytral 20" xfId="43177" xr:uid="{00000000-0005-0000-0000-0000A48D0000}"/>
    <cellStyle name="Nøytral 21" xfId="43171" xr:uid="{00000000-0005-0000-0000-0000A58D0000}"/>
    <cellStyle name="Nøytral 22" xfId="43195" xr:uid="{00000000-0005-0000-0000-0000A68D0000}"/>
    <cellStyle name="Nøytral 23" xfId="43409" xr:uid="{00000000-0005-0000-0000-0000A78D0000}"/>
    <cellStyle name="Nøytral 24" xfId="43661" xr:uid="{00000000-0005-0000-0000-0000A88D0000}"/>
    <cellStyle name="Nøytral 25" xfId="43481" xr:uid="{00000000-0005-0000-0000-0000A98D0000}"/>
    <cellStyle name="Nøytral 26" xfId="43652" xr:uid="{00000000-0005-0000-0000-0000AA8D0000}"/>
    <cellStyle name="Nøytral 27" xfId="46297" xr:uid="{00000000-0005-0000-0000-0000AB8D0000}"/>
    <cellStyle name="Nøytral 28" xfId="46587" xr:uid="{00000000-0005-0000-0000-0000AC8D0000}"/>
    <cellStyle name="Nøytral 29" xfId="46826" xr:uid="{00000000-0005-0000-0000-0000AD8D0000}"/>
    <cellStyle name="Nøytral 3" xfId="2299" xr:uid="{00000000-0005-0000-0000-0000AE8D0000}"/>
    <cellStyle name="Nøytral 3 2" xfId="26055" xr:uid="{00000000-0005-0000-0000-0000AF8D0000}"/>
    <cellStyle name="Nøytral 3 2 2" xfId="41474" xr:uid="{00000000-0005-0000-0000-0000B08D0000}"/>
    <cellStyle name="Nøytral 3 3" xfId="44646" xr:uid="{00000000-0005-0000-0000-0000B18D0000}"/>
    <cellStyle name="Nøytral 30" xfId="46366" xr:uid="{00000000-0005-0000-0000-0000B28D0000}"/>
    <cellStyle name="Nøytral 31" xfId="46809" xr:uid="{00000000-0005-0000-0000-0000B38D0000}"/>
    <cellStyle name="Nøytral 32" xfId="46632" xr:uid="{00000000-0005-0000-0000-0000B48D0000}"/>
    <cellStyle name="Nøytral 4" xfId="2300" xr:uid="{00000000-0005-0000-0000-0000B58D0000}"/>
    <cellStyle name="Nøytral 4 2" xfId="26056" xr:uid="{00000000-0005-0000-0000-0000B68D0000}"/>
    <cellStyle name="Nøytral 4 2 2" xfId="41475" xr:uid="{00000000-0005-0000-0000-0000B78D0000}"/>
    <cellStyle name="Nøytral 4 3" xfId="44647" xr:uid="{00000000-0005-0000-0000-0000B88D0000}"/>
    <cellStyle name="Nøytral 5" xfId="2301" xr:uid="{00000000-0005-0000-0000-0000B98D0000}"/>
    <cellStyle name="Nøytral 5 2" xfId="26057" xr:uid="{00000000-0005-0000-0000-0000BA8D0000}"/>
    <cellStyle name="Nøytral 5 2 2" xfId="41476" xr:uid="{00000000-0005-0000-0000-0000BB8D0000}"/>
    <cellStyle name="Nøytral 5 3" xfId="44648" xr:uid="{00000000-0005-0000-0000-0000BC8D0000}"/>
    <cellStyle name="Nøytral 6" xfId="2302" xr:uid="{00000000-0005-0000-0000-0000BD8D0000}"/>
    <cellStyle name="Nøytral 6 2" xfId="26058" xr:uid="{00000000-0005-0000-0000-0000BE8D0000}"/>
    <cellStyle name="Nøytral 6 2 2" xfId="41477" xr:uid="{00000000-0005-0000-0000-0000BF8D0000}"/>
    <cellStyle name="Nøytral 6 3" xfId="44649" xr:uid="{00000000-0005-0000-0000-0000C08D0000}"/>
    <cellStyle name="Nøytral 7" xfId="2303" xr:uid="{00000000-0005-0000-0000-0000C18D0000}"/>
    <cellStyle name="Nøytral 7 2" xfId="26059" xr:uid="{00000000-0005-0000-0000-0000C28D0000}"/>
    <cellStyle name="Nøytral 7 2 2" xfId="41478" xr:uid="{00000000-0005-0000-0000-0000C38D0000}"/>
    <cellStyle name="Nøytral 7 3" xfId="44650" xr:uid="{00000000-0005-0000-0000-0000C48D0000}"/>
    <cellStyle name="Nøytral 8" xfId="2304" xr:uid="{00000000-0005-0000-0000-0000C58D0000}"/>
    <cellStyle name="Nøytral 8 2" xfId="2305" xr:uid="{00000000-0005-0000-0000-0000C68D0000}"/>
    <cellStyle name="Nøytral 8 2 2" xfId="26061" xr:uid="{00000000-0005-0000-0000-0000C78D0000}"/>
    <cellStyle name="Nøytral 8 2 2 2" xfId="41480" xr:uid="{00000000-0005-0000-0000-0000C88D0000}"/>
    <cellStyle name="Nøytral 8 2 3" xfId="44652" xr:uid="{00000000-0005-0000-0000-0000C98D0000}"/>
    <cellStyle name="Nøytral 8 3" xfId="12967" xr:uid="{00000000-0005-0000-0000-0000CA8D0000}"/>
    <cellStyle name="Nøytral 8 3 2" xfId="12968" xr:uid="{00000000-0005-0000-0000-0000CB8D0000}"/>
    <cellStyle name="Nøytral 8 3 2 2" xfId="18215" xr:uid="{00000000-0005-0000-0000-0000CC8D0000}"/>
    <cellStyle name="Nøytral 8 3 2 2 2" xfId="26064" xr:uid="{00000000-0005-0000-0000-0000CD8D0000}"/>
    <cellStyle name="Nøytral 8 3 2 2 2 2" xfId="43118" xr:uid="{00000000-0005-0000-0000-0000CE8D0000}"/>
    <cellStyle name="Nøytral 8 3 2 2 3" xfId="44655" xr:uid="{00000000-0005-0000-0000-0000CF8D0000}"/>
    <cellStyle name="Nøytral 8 3 2 3" xfId="16396" xr:uid="{00000000-0005-0000-0000-0000D08D0000}"/>
    <cellStyle name="Nøytral 8 3 2 3 2" xfId="26065" xr:uid="{00000000-0005-0000-0000-0000D18D0000}"/>
    <cellStyle name="Nøytral 8 3 2 3 2 2" xfId="42951" xr:uid="{00000000-0005-0000-0000-0000D28D0000}"/>
    <cellStyle name="Nøytral 8 3 2 3 3" xfId="44656" xr:uid="{00000000-0005-0000-0000-0000D38D0000}"/>
    <cellStyle name="Nøytral 8 3 2 4" xfId="26063" xr:uid="{00000000-0005-0000-0000-0000D48D0000}"/>
    <cellStyle name="Nøytral 8 3 2 4 2" xfId="41482" xr:uid="{00000000-0005-0000-0000-0000D58D0000}"/>
    <cellStyle name="Nøytral 8 3 2 5" xfId="44654" xr:uid="{00000000-0005-0000-0000-0000D68D0000}"/>
    <cellStyle name="Nøytral 8 3 2_Avviksanalyse løpende RNB15 (1)" xfId="16790" xr:uid="{00000000-0005-0000-0000-0000D78D0000}"/>
    <cellStyle name="Nøytral 8 3 3" xfId="26062" xr:uid="{00000000-0005-0000-0000-0000D88D0000}"/>
    <cellStyle name="Nøytral 8 3 3 2" xfId="41481" xr:uid="{00000000-0005-0000-0000-0000D98D0000}"/>
    <cellStyle name="Nøytral 8 3 4" xfId="44653" xr:uid="{00000000-0005-0000-0000-0000DA8D0000}"/>
    <cellStyle name="Nøytral 8 4" xfId="26060" xr:uid="{00000000-0005-0000-0000-0000DB8D0000}"/>
    <cellStyle name="Nøytral 8 4 2" xfId="41479" xr:uid="{00000000-0005-0000-0000-0000DC8D0000}"/>
    <cellStyle name="Nøytral 8 5" xfId="44651" xr:uid="{00000000-0005-0000-0000-0000DD8D0000}"/>
    <cellStyle name="Nøytral 9" xfId="2306" xr:uid="{00000000-0005-0000-0000-0000DE8D0000}"/>
    <cellStyle name="Nøytral 9 10" xfId="24871" xr:uid="{00000000-0005-0000-0000-0000DF8D0000}"/>
    <cellStyle name="Nøytral 9 11" xfId="26066" xr:uid="{00000000-0005-0000-0000-0000E08D0000}"/>
    <cellStyle name="Nøytral 9 2" xfId="12970" xr:uid="{00000000-0005-0000-0000-0000E18D0000}"/>
    <cellStyle name="Nøytral 9 2 2" xfId="12971" xr:uid="{00000000-0005-0000-0000-0000E28D0000}"/>
    <cellStyle name="Nøytral 9 2 2 2" xfId="18216" xr:uid="{00000000-0005-0000-0000-0000E38D0000}"/>
    <cellStyle name="Nøytral 9 2 2 2 2" xfId="26069" xr:uid="{00000000-0005-0000-0000-0000E48D0000}"/>
    <cellStyle name="Nøytral 9 2 2 2 2 2" xfId="43119" xr:uid="{00000000-0005-0000-0000-0000E58D0000}"/>
    <cellStyle name="Nøytral 9 2 2 2 3" xfId="44660" xr:uid="{00000000-0005-0000-0000-0000E68D0000}"/>
    <cellStyle name="Nøytral 9 2 2 3" xfId="16397" xr:uid="{00000000-0005-0000-0000-0000E78D0000}"/>
    <cellStyle name="Nøytral 9 2 2 3 2" xfId="26070" xr:uid="{00000000-0005-0000-0000-0000E88D0000}"/>
    <cellStyle name="Nøytral 9 2 2 3 2 2" xfId="42952" xr:uid="{00000000-0005-0000-0000-0000E98D0000}"/>
    <cellStyle name="Nøytral 9 2 2 3 3" xfId="44661" xr:uid="{00000000-0005-0000-0000-0000EA8D0000}"/>
    <cellStyle name="Nøytral 9 2 2 4" xfId="26068" xr:uid="{00000000-0005-0000-0000-0000EB8D0000}"/>
    <cellStyle name="Nøytral 9 2 2 4 2" xfId="41484" xr:uid="{00000000-0005-0000-0000-0000EC8D0000}"/>
    <cellStyle name="Nøytral 9 2 2 5" xfId="44659" xr:uid="{00000000-0005-0000-0000-0000ED8D0000}"/>
    <cellStyle name="Nøytral 9 2 2_Avviksanalyse løpende RNB15 (1)" xfId="16791" xr:uid="{00000000-0005-0000-0000-0000EE8D0000}"/>
    <cellStyle name="Nøytral 9 2 3" xfId="26067" xr:uid="{00000000-0005-0000-0000-0000EF8D0000}"/>
    <cellStyle name="Nøytral 9 2 3 2" xfId="41483" xr:uid="{00000000-0005-0000-0000-0000F08D0000}"/>
    <cellStyle name="Nøytral 9 2 4" xfId="44658" xr:uid="{00000000-0005-0000-0000-0000F18D0000}"/>
    <cellStyle name="Nøytral 9 3" xfId="12969" xr:uid="{00000000-0005-0000-0000-0000F28D0000}"/>
    <cellStyle name="Nøytral 9 4" xfId="19903" xr:uid="{00000000-0005-0000-0000-0000F38D0000}"/>
    <cellStyle name="Nøytral 9 4 2" xfId="44657" xr:uid="{00000000-0005-0000-0000-0000F48D0000}"/>
    <cellStyle name="Nøytral 9 5" xfId="22274" xr:uid="{00000000-0005-0000-0000-0000F58D0000}"/>
    <cellStyle name="Nøytral 9 6" xfId="24872" xr:uid="{00000000-0005-0000-0000-0000F68D0000}"/>
    <cellStyle name="Nøytral 9 7" xfId="25203" xr:uid="{00000000-0005-0000-0000-0000F78D0000}"/>
    <cellStyle name="Nøytral 9 8" xfId="24847" xr:uid="{00000000-0005-0000-0000-0000F88D0000}"/>
    <cellStyle name="Nøytral 9 9" xfId="24841" xr:uid="{00000000-0005-0000-0000-0000F98D0000}"/>
    <cellStyle name="Output" xfId="4079" xr:uid="{00000000-0005-0000-0000-0000FA8D0000}"/>
    <cellStyle name="Output 2" xfId="2308" xr:uid="{00000000-0005-0000-0000-0000FB8D0000}"/>
    <cellStyle name="Output 2 2" xfId="26072" xr:uid="{00000000-0005-0000-0000-0000FC8D0000}"/>
    <cellStyle name="Output 2 2 2" xfId="41486" xr:uid="{00000000-0005-0000-0000-0000FD8D0000}"/>
    <cellStyle name="Output 2 3" xfId="44662" xr:uid="{00000000-0005-0000-0000-0000FE8D0000}"/>
    <cellStyle name="Output 3" xfId="1231" xr:uid="{00000000-0005-0000-0000-0000FF8D0000}"/>
    <cellStyle name="Output 3 2" xfId="41485" xr:uid="{00000000-0005-0000-0000-0000008E0000}"/>
    <cellStyle name="Output 4" xfId="26071" xr:uid="{00000000-0005-0000-0000-0000018E0000}"/>
    <cellStyle name="Overskrift 1" xfId="4632" xr:uid="{00000000-0005-0000-0000-0000028E0000}"/>
    <cellStyle name="Overskrift 1 10" xfId="2309" xr:uid="{00000000-0005-0000-0000-0000038E0000}"/>
    <cellStyle name="Overskrift 1 10 2" xfId="2310" xr:uid="{00000000-0005-0000-0000-0000048E0000}"/>
    <cellStyle name="Overskrift 1 10 2 2" xfId="26074" xr:uid="{00000000-0005-0000-0000-0000058E0000}"/>
    <cellStyle name="Overskrift 1 10 2 2 2" xfId="41488" xr:uid="{00000000-0005-0000-0000-0000068E0000}"/>
    <cellStyle name="Overskrift 1 10 2 3" xfId="44664" xr:uid="{00000000-0005-0000-0000-0000078E0000}"/>
    <cellStyle name="Overskrift 1 10 3" xfId="4426" xr:uid="{00000000-0005-0000-0000-0000088E0000}"/>
    <cellStyle name="Overskrift 1 10 3 2" xfId="26075" xr:uid="{00000000-0005-0000-0000-0000098E0000}"/>
    <cellStyle name="Overskrift 1 10 3 2 2" xfId="41489" xr:uid="{00000000-0005-0000-0000-00000A8E0000}"/>
    <cellStyle name="Overskrift 1 10 3 3" xfId="44665" xr:uid="{00000000-0005-0000-0000-00000B8E0000}"/>
    <cellStyle name="Overskrift 1 10 4" xfId="4365" xr:uid="{00000000-0005-0000-0000-00000C8E0000}"/>
    <cellStyle name="Overskrift 1 10 4 2" xfId="41487" xr:uid="{00000000-0005-0000-0000-00000D8E0000}"/>
    <cellStyle name="Overskrift 1 10 5" xfId="12972" xr:uid="{00000000-0005-0000-0000-00000E8E0000}"/>
    <cellStyle name="Overskrift 1 10 5 2" xfId="44663" xr:uid="{00000000-0005-0000-0000-00000F8E0000}"/>
    <cellStyle name="Overskrift 1 10 6" xfId="26073" xr:uid="{00000000-0005-0000-0000-0000108E0000}"/>
    <cellStyle name="Overskrift 1 11" xfId="2311" xr:uid="{00000000-0005-0000-0000-0000118E0000}"/>
    <cellStyle name="Overskrift 1 11 2" xfId="3398" xr:uid="{00000000-0005-0000-0000-0000128E0000}"/>
    <cellStyle name="Overskrift 1 11 2 2" xfId="26077" xr:uid="{00000000-0005-0000-0000-0000138E0000}"/>
    <cellStyle name="Overskrift 1 11 2 2 2" xfId="41490" xr:uid="{00000000-0005-0000-0000-0000148E0000}"/>
    <cellStyle name="Overskrift 1 11 2 3" xfId="44666" xr:uid="{00000000-0005-0000-0000-0000158E0000}"/>
    <cellStyle name="Overskrift 1 11 3" xfId="12974" xr:uid="{00000000-0005-0000-0000-0000168E0000}"/>
    <cellStyle name="Overskrift 1 11 3 2" xfId="26078" xr:uid="{00000000-0005-0000-0000-0000178E0000}"/>
    <cellStyle name="Overskrift 1 11 3 2 2" xfId="41491" xr:uid="{00000000-0005-0000-0000-0000188E0000}"/>
    <cellStyle name="Overskrift 1 11 3 3" xfId="44667" xr:uid="{00000000-0005-0000-0000-0000198E0000}"/>
    <cellStyle name="Overskrift 1 11 4" xfId="12973" xr:uid="{00000000-0005-0000-0000-00001A8E0000}"/>
    <cellStyle name="Overskrift 1 11 5" xfId="26076" xr:uid="{00000000-0005-0000-0000-00001B8E0000}"/>
    <cellStyle name="Overskrift 1 12" xfId="2312" xr:uid="{00000000-0005-0000-0000-00001C8E0000}"/>
    <cellStyle name="Overskrift 1 12 10" xfId="24899" xr:uid="{00000000-0005-0000-0000-00001D8E0000}"/>
    <cellStyle name="Overskrift 1 12 11" xfId="26079" xr:uid="{00000000-0005-0000-0000-00001E8E0000}"/>
    <cellStyle name="Overskrift 1 12 2" xfId="3399" xr:uid="{00000000-0005-0000-0000-00001F8E0000}"/>
    <cellStyle name="Overskrift 1 12 2 2" xfId="12977" xr:uid="{00000000-0005-0000-0000-0000208E0000}"/>
    <cellStyle name="Overskrift 1 12 2 2 2" xfId="18217" xr:uid="{00000000-0005-0000-0000-0000218E0000}"/>
    <cellStyle name="Overskrift 1 12 2 2 2 2" xfId="26082" xr:uid="{00000000-0005-0000-0000-0000228E0000}"/>
    <cellStyle name="Overskrift 1 12 2 2 2 2 2" xfId="43120" xr:uid="{00000000-0005-0000-0000-0000238E0000}"/>
    <cellStyle name="Overskrift 1 12 2 2 2 3" xfId="44670" xr:uid="{00000000-0005-0000-0000-0000248E0000}"/>
    <cellStyle name="Overskrift 1 12 2 2 3" xfId="16551" xr:uid="{00000000-0005-0000-0000-0000258E0000}"/>
    <cellStyle name="Overskrift 1 12 2 2 3 2" xfId="26083" xr:uid="{00000000-0005-0000-0000-0000268E0000}"/>
    <cellStyle name="Overskrift 1 12 2 2 3 2 2" xfId="43106" xr:uid="{00000000-0005-0000-0000-0000278E0000}"/>
    <cellStyle name="Overskrift 1 12 2 2 3 3" xfId="44671" xr:uid="{00000000-0005-0000-0000-0000288E0000}"/>
    <cellStyle name="Overskrift 1 12 2 2 4" xfId="26081" xr:uid="{00000000-0005-0000-0000-0000298E0000}"/>
    <cellStyle name="Overskrift 1 12 2 2 4 2" xfId="41492" xr:uid="{00000000-0005-0000-0000-00002A8E0000}"/>
    <cellStyle name="Overskrift 1 12 2 2 5" xfId="44669" xr:uid="{00000000-0005-0000-0000-00002B8E0000}"/>
    <cellStyle name="Overskrift 1 12 2 2_Avviksanalyse løpende RNB15 (1)" xfId="16792" xr:uid="{00000000-0005-0000-0000-00002C8E0000}"/>
    <cellStyle name="Overskrift 1 12 2 3" xfId="12976" xr:uid="{00000000-0005-0000-0000-00002D8E0000}"/>
    <cellStyle name="Overskrift 1 12 2 4" xfId="26080" xr:uid="{00000000-0005-0000-0000-00002E8E0000}"/>
    <cellStyle name="Overskrift 1 12 3" xfId="3536" xr:uid="{00000000-0005-0000-0000-00002F8E0000}"/>
    <cellStyle name="Overskrift 1 12 3 2" xfId="26084" xr:uid="{00000000-0005-0000-0000-0000308E0000}"/>
    <cellStyle name="Overskrift 1 12 3 2 2" xfId="41493" xr:uid="{00000000-0005-0000-0000-0000318E0000}"/>
    <cellStyle name="Overskrift 1 12 3 3" xfId="44672" xr:uid="{00000000-0005-0000-0000-0000328E0000}"/>
    <cellStyle name="Overskrift 1 12 4" xfId="12975" xr:uid="{00000000-0005-0000-0000-0000338E0000}"/>
    <cellStyle name="Overskrift 1 12 5" xfId="19904" xr:uid="{00000000-0005-0000-0000-0000348E0000}"/>
    <cellStyle name="Overskrift 1 12 5 2" xfId="44668" xr:uid="{00000000-0005-0000-0000-0000358E0000}"/>
    <cellStyle name="Overskrift 1 12 6" xfId="22272" xr:uid="{00000000-0005-0000-0000-0000368E0000}"/>
    <cellStyle name="Overskrift 1 12 7" xfId="24873" xr:uid="{00000000-0005-0000-0000-0000378E0000}"/>
    <cellStyle name="Overskrift 1 12 8" xfId="25202" xr:uid="{00000000-0005-0000-0000-0000388E0000}"/>
    <cellStyle name="Overskrift 1 12 9" xfId="24848" xr:uid="{00000000-0005-0000-0000-0000398E0000}"/>
    <cellStyle name="Overskrift 1 13" xfId="3420" xr:uid="{00000000-0005-0000-0000-00003A8E0000}"/>
    <cellStyle name="Overskrift 1 13 2" xfId="12978" xr:uid="{00000000-0005-0000-0000-00003B8E0000}"/>
    <cellStyle name="Overskrift 1 13 3" xfId="26085" xr:uid="{00000000-0005-0000-0000-00003C8E0000}"/>
    <cellStyle name="Overskrift 1 14" xfId="12979" xr:uid="{00000000-0005-0000-0000-00003D8E0000}"/>
    <cellStyle name="Overskrift 1 14 2" xfId="26086" xr:uid="{00000000-0005-0000-0000-00003E8E0000}"/>
    <cellStyle name="Overskrift 1 14 2 2" xfId="41494" xr:uid="{00000000-0005-0000-0000-00003F8E0000}"/>
    <cellStyle name="Overskrift 1 14 3" xfId="44673" xr:uid="{00000000-0005-0000-0000-0000408E0000}"/>
    <cellStyle name="Overskrift 1 2" xfId="2313" xr:uid="{00000000-0005-0000-0000-0000418E0000}"/>
    <cellStyle name="Overskrift 1 2 10" xfId="26087" xr:uid="{00000000-0005-0000-0000-0000428E0000}"/>
    <cellStyle name="Overskrift 1 2 10 2" xfId="41495" xr:uid="{00000000-0005-0000-0000-0000438E0000}"/>
    <cellStyle name="Overskrift 1 2 11" xfId="44674" xr:uid="{00000000-0005-0000-0000-0000448E0000}"/>
    <cellStyle name="Overskrift 1 2 2" xfId="12980" xr:uid="{00000000-0005-0000-0000-0000458E0000}"/>
    <cellStyle name="Overskrift 1 2 2 2" xfId="26088" xr:uid="{00000000-0005-0000-0000-0000468E0000}"/>
    <cellStyle name="Overskrift 1 2 2 2 2" xfId="41496" xr:uid="{00000000-0005-0000-0000-0000478E0000}"/>
    <cellStyle name="Overskrift 1 2 2 3" xfId="44675" xr:uid="{00000000-0005-0000-0000-0000488E0000}"/>
    <cellStyle name="Overskrift 1 2 3" xfId="12981" xr:uid="{00000000-0005-0000-0000-0000498E0000}"/>
    <cellStyle name="Overskrift 1 2 3 2" xfId="26089" xr:uid="{00000000-0005-0000-0000-00004A8E0000}"/>
    <cellStyle name="Overskrift 1 2 3 2 2" xfId="41497" xr:uid="{00000000-0005-0000-0000-00004B8E0000}"/>
    <cellStyle name="Overskrift 1 2 3 3" xfId="44676" xr:uid="{00000000-0005-0000-0000-00004C8E0000}"/>
    <cellStyle name="Overskrift 1 2 4" xfId="12982" xr:uid="{00000000-0005-0000-0000-00004D8E0000}"/>
    <cellStyle name="Overskrift 1 2 4 2" xfId="26090" xr:uid="{00000000-0005-0000-0000-00004E8E0000}"/>
    <cellStyle name="Overskrift 1 2 4 2 2" xfId="41498" xr:uid="{00000000-0005-0000-0000-00004F8E0000}"/>
    <cellStyle name="Overskrift 1 2 4 3" xfId="44677" xr:uid="{00000000-0005-0000-0000-0000508E0000}"/>
    <cellStyle name="Overskrift 1 2 5" xfId="12983" xr:uid="{00000000-0005-0000-0000-0000518E0000}"/>
    <cellStyle name="Overskrift 1 2 5 2" xfId="26091" xr:uid="{00000000-0005-0000-0000-0000528E0000}"/>
    <cellStyle name="Overskrift 1 2 5 2 2" xfId="41499" xr:uid="{00000000-0005-0000-0000-0000538E0000}"/>
    <cellStyle name="Overskrift 1 2 5 3" xfId="44678" xr:uid="{00000000-0005-0000-0000-0000548E0000}"/>
    <cellStyle name="Overskrift 1 2 6" xfId="12984" xr:uid="{00000000-0005-0000-0000-0000558E0000}"/>
    <cellStyle name="Overskrift 1 2 6 2" xfId="26092" xr:uid="{00000000-0005-0000-0000-0000568E0000}"/>
    <cellStyle name="Overskrift 1 2 6 2 2" xfId="41500" xr:uid="{00000000-0005-0000-0000-0000578E0000}"/>
    <cellStyle name="Overskrift 1 2 6 3" xfId="44679" xr:uid="{00000000-0005-0000-0000-0000588E0000}"/>
    <cellStyle name="Overskrift 1 2 7" xfId="12985" xr:uid="{00000000-0005-0000-0000-0000598E0000}"/>
    <cellStyle name="Overskrift 1 2 7 2" xfId="26093" xr:uid="{00000000-0005-0000-0000-00005A8E0000}"/>
    <cellStyle name="Overskrift 1 2 7 2 2" xfId="41501" xr:uid="{00000000-0005-0000-0000-00005B8E0000}"/>
    <cellStyle name="Overskrift 1 2 7 3" xfId="44680" xr:uid="{00000000-0005-0000-0000-00005C8E0000}"/>
    <cellStyle name="Overskrift 1 2 8" xfId="12986" xr:uid="{00000000-0005-0000-0000-00005D8E0000}"/>
    <cellStyle name="Overskrift 1 2 8 2" xfId="26094" xr:uid="{00000000-0005-0000-0000-00005E8E0000}"/>
    <cellStyle name="Overskrift 1 2 8 2 2" xfId="41502" xr:uid="{00000000-0005-0000-0000-00005F8E0000}"/>
    <cellStyle name="Overskrift 1 2 8 3" xfId="44681" xr:uid="{00000000-0005-0000-0000-0000608E0000}"/>
    <cellStyle name="Overskrift 1 2 9" xfId="12987" xr:uid="{00000000-0005-0000-0000-0000618E0000}"/>
    <cellStyle name="Overskrift 1 2 9 2" xfId="26095" xr:uid="{00000000-0005-0000-0000-0000628E0000}"/>
    <cellStyle name="Overskrift 1 2 9 2 2" xfId="41503" xr:uid="{00000000-0005-0000-0000-0000638E0000}"/>
    <cellStyle name="Overskrift 1 2 9 3" xfId="44682" xr:uid="{00000000-0005-0000-0000-0000648E0000}"/>
    <cellStyle name="Overskrift 1 3" xfId="2314" xr:uid="{00000000-0005-0000-0000-0000658E0000}"/>
    <cellStyle name="Overskrift 1 3 2" xfId="26096" xr:uid="{00000000-0005-0000-0000-0000668E0000}"/>
    <cellStyle name="Overskrift 1 3 2 2" xfId="41504" xr:uid="{00000000-0005-0000-0000-0000678E0000}"/>
    <cellStyle name="Overskrift 1 3 3" xfId="44683" xr:uid="{00000000-0005-0000-0000-0000688E0000}"/>
    <cellStyle name="Overskrift 1 4" xfId="2315" xr:uid="{00000000-0005-0000-0000-0000698E0000}"/>
    <cellStyle name="Overskrift 1 4 2" xfId="26097" xr:uid="{00000000-0005-0000-0000-00006A8E0000}"/>
    <cellStyle name="Overskrift 1 4 2 2" xfId="41505" xr:uid="{00000000-0005-0000-0000-00006B8E0000}"/>
    <cellStyle name="Overskrift 1 4 3" xfId="44684" xr:uid="{00000000-0005-0000-0000-00006C8E0000}"/>
    <cellStyle name="Overskrift 1 5" xfId="2316" xr:uid="{00000000-0005-0000-0000-00006D8E0000}"/>
    <cellStyle name="Overskrift 1 5 2" xfId="26098" xr:uid="{00000000-0005-0000-0000-00006E8E0000}"/>
    <cellStyle name="Overskrift 1 5 2 2" xfId="41506" xr:uid="{00000000-0005-0000-0000-00006F8E0000}"/>
    <cellStyle name="Overskrift 1 5 3" xfId="44685" xr:uid="{00000000-0005-0000-0000-0000708E0000}"/>
    <cellStyle name="Overskrift 1 6" xfId="2317" xr:uid="{00000000-0005-0000-0000-0000718E0000}"/>
    <cellStyle name="Overskrift 1 6 2" xfId="26099" xr:uid="{00000000-0005-0000-0000-0000728E0000}"/>
    <cellStyle name="Overskrift 1 6 2 2" xfId="41507" xr:uid="{00000000-0005-0000-0000-0000738E0000}"/>
    <cellStyle name="Overskrift 1 6 3" xfId="44686" xr:uid="{00000000-0005-0000-0000-0000748E0000}"/>
    <cellStyle name="Overskrift 1 7" xfId="2318" xr:uid="{00000000-0005-0000-0000-0000758E0000}"/>
    <cellStyle name="Overskrift 1 7 2" xfId="26100" xr:uid="{00000000-0005-0000-0000-0000768E0000}"/>
    <cellStyle name="Overskrift 1 7 2 2" xfId="41508" xr:uid="{00000000-0005-0000-0000-0000778E0000}"/>
    <cellStyle name="Overskrift 1 7 3" xfId="44687" xr:uid="{00000000-0005-0000-0000-0000788E0000}"/>
    <cellStyle name="Overskrift 1 8" xfId="2319" xr:uid="{00000000-0005-0000-0000-0000798E0000}"/>
    <cellStyle name="Overskrift 1 8 2" xfId="2320" xr:uid="{00000000-0005-0000-0000-00007A8E0000}"/>
    <cellStyle name="Overskrift 1 8 2 2" xfId="26102" xr:uid="{00000000-0005-0000-0000-00007B8E0000}"/>
    <cellStyle name="Overskrift 1 8 2 2 2" xfId="41510" xr:uid="{00000000-0005-0000-0000-00007C8E0000}"/>
    <cellStyle name="Overskrift 1 8 2 3" xfId="44689" xr:uid="{00000000-0005-0000-0000-00007D8E0000}"/>
    <cellStyle name="Overskrift 1 8 3" xfId="12988" xr:uid="{00000000-0005-0000-0000-00007E8E0000}"/>
    <cellStyle name="Overskrift 1 8 3 2" xfId="26103" xr:uid="{00000000-0005-0000-0000-00007F8E0000}"/>
    <cellStyle name="Overskrift 1 8 3 2 2" xfId="41511" xr:uid="{00000000-0005-0000-0000-0000808E0000}"/>
    <cellStyle name="Overskrift 1 8 3 3" xfId="44690" xr:uid="{00000000-0005-0000-0000-0000818E0000}"/>
    <cellStyle name="Overskrift 1 8 4" xfId="26101" xr:uid="{00000000-0005-0000-0000-0000828E0000}"/>
    <cellStyle name="Overskrift 1 8 4 2" xfId="41509" xr:uid="{00000000-0005-0000-0000-0000838E0000}"/>
    <cellStyle name="Overskrift 1 8 5" xfId="44688" xr:uid="{00000000-0005-0000-0000-0000848E0000}"/>
    <cellStyle name="Overskrift 1 9" xfId="2321" xr:uid="{00000000-0005-0000-0000-0000858E0000}"/>
    <cellStyle name="Overskrift 1 9 2" xfId="2322" xr:uid="{00000000-0005-0000-0000-0000868E0000}"/>
    <cellStyle name="Overskrift 1 9 2 2" xfId="26105" xr:uid="{00000000-0005-0000-0000-0000878E0000}"/>
    <cellStyle name="Overskrift 1 9 2 2 2" xfId="41512" xr:uid="{00000000-0005-0000-0000-0000888E0000}"/>
    <cellStyle name="Overskrift 1 9 2 3" xfId="44691" xr:uid="{00000000-0005-0000-0000-0000898E0000}"/>
    <cellStyle name="Overskrift 1 9 3" xfId="12990" xr:uid="{00000000-0005-0000-0000-00008A8E0000}"/>
    <cellStyle name="Overskrift 1 9 3 2" xfId="26106" xr:uid="{00000000-0005-0000-0000-00008B8E0000}"/>
    <cellStyle name="Overskrift 1 9 3 2 2" xfId="41513" xr:uid="{00000000-0005-0000-0000-00008C8E0000}"/>
    <cellStyle name="Overskrift 1 9 3 3" xfId="44692" xr:uid="{00000000-0005-0000-0000-00008D8E0000}"/>
    <cellStyle name="Overskrift 1 9 4" xfId="12989" xr:uid="{00000000-0005-0000-0000-00008E8E0000}"/>
    <cellStyle name="Overskrift 1 9 5" xfId="26104" xr:uid="{00000000-0005-0000-0000-00008F8E0000}"/>
    <cellStyle name="Overskrift 2" xfId="4633" xr:uid="{00000000-0005-0000-0000-0000908E0000}"/>
    <cellStyle name="Overskrift 2 10" xfId="2323" xr:uid="{00000000-0005-0000-0000-0000918E0000}"/>
    <cellStyle name="Overskrift 2 10 2" xfId="2324" xr:uid="{00000000-0005-0000-0000-0000928E0000}"/>
    <cellStyle name="Overskrift 2 10 2 2" xfId="26108" xr:uid="{00000000-0005-0000-0000-0000938E0000}"/>
    <cellStyle name="Overskrift 2 10 2 2 2" xfId="41515" xr:uid="{00000000-0005-0000-0000-0000948E0000}"/>
    <cellStyle name="Overskrift 2 10 2 3" xfId="44694" xr:uid="{00000000-0005-0000-0000-0000958E0000}"/>
    <cellStyle name="Overskrift 2 10 3" xfId="4427" xr:uid="{00000000-0005-0000-0000-0000968E0000}"/>
    <cellStyle name="Overskrift 2 10 3 2" xfId="26109" xr:uid="{00000000-0005-0000-0000-0000978E0000}"/>
    <cellStyle name="Overskrift 2 10 3 2 2" xfId="41516" xr:uid="{00000000-0005-0000-0000-0000988E0000}"/>
    <cellStyle name="Overskrift 2 10 3 3" xfId="44695" xr:uid="{00000000-0005-0000-0000-0000998E0000}"/>
    <cellStyle name="Overskrift 2 10 4" xfId="4366" xr:uid="{00000000-0005-0000-0000-00009A8E0000}"/>
    <cellStyle name="Overskrift 2 10 4 2" xfId="41514" xr:uid="{00000000-0005-0000-0000-00009B8E0000}"/>
    <cellStyle name="Overskrift 2 10 5" xfId="12991" xr:uid="{00000000-0005-0000-0000-00009C8E0000}"/>
    <cellStyle name="Overskrift 2 10 5 2" xfId="44693" xr:uid="{00000000-0005-0000-0000-00009D8E0000}"/>
    <cellStyle name="Overskrift 2 10 6" xfId="26107" xr:uid="{00000000-0005-0000-0000-00009E8E0000}"/>
    <cellStyle name="Overskrift 2 11" xfId="2325" xr:uid="{00000000-0005-0000-0000-00009F8E0000}"/>
    <cellStyle name="Overskrift 2 11 2" xfId="3400" xr:uid="{00000000-0005-0000-0000-0000A08E0000}"/>
    <cellStyle name="Overskrift 2 11 2 2" xfId="26111" xr:uid="{00000000-0005-0000-0000-0000A18E0000}"/>
    <cellStyle name="Overskrift 2 11 2 2 2" xfId="41517" xr:uid="{00000000-0005-0000-0000-0000A28E0000}"/>
    <cellStyle name="Overskrift 2 11 2 3" xfId="44696" xr:uid="{00000000-0005-0000-0000-0000A38E0000}"/>
    <cellStyle name="Overskrift 2 11 3" xfId="12993" xr:uid="{00000000-0005-0000-0000-0000A48E0000}"/>
    <cellStyle name="Overskrift 2 11 3 2" xfId="26112" xr:uid="{00000000-0005-0000-0000-0000A58E0000}"/>
    <cellStyle name="Overskrift 2 11 3 2 2" xfId="41518" xr:uid="{00000000-0005-0000-0000-0000A68E0000}"/>
    <cellStyle name="Overskrift 2 11 3 3" xfId="44697" xr:uid="{00000000-0005-0000-0000-0000A78E0000}"/>
    <cellStyle name="Overskrift 2 11 4" xfId="12992" xr:uid="{00000000-0005-0000-0000-0000A88E0000}"/>
    <cellStyle name="Overskrift 2 11 5" xfId="26110" xr:uid="{00000000-0005-0000-0000-0000A98E0000}"/>
    <cellStyle name="Overskrift 2 12" xfId="2326" xr:uid="{00000000-0005-0000-0000-0000AA8E0000}"/>
    <cellStyle name="Overskrift 2 12 10" xfId="24886" xr:uid="{00000000-0005-0000-0000-0000AB8E0000}"/>
    <cellStyle name="Overskrift 2 12 11" xfId="26113" xr:uid="{00000000-0005-0000-0000-0000AC8E0000}"/>
    <cellStyle name="Overskrift 2 12 2" xfId="3401" xr:uid="{00000000-0005-0000-0000-0000AD8E0000}"/>
    <cellStyle name="Overskrift 2 12 2 2" xfId="12996" xr:uid="{00000000-0005-0000-0000-0000AE8E0000}"/>
    <cellStyle name="Overskrift 2 12 2 2 2" xfId="18218" xr:uid="{00000000-0005-0000-0000-0000AF8E0000}"/>
    <cellStyle name="Overskrift 2 12 2 2 2 2" xfId="26116" xr:uid="{00000000-0005-0000-0000-0000B08E0000}"/>
    <cellStyle name="Overskrift 2 12 2 2 2 2 2" xfId="43121" xr:uid="{00000000-0005-0000-0000-0000B18E0000}"/>
    <cellStyle name="Overskrift 2 12 2 2 2 3" xfId="44700" xr:uid="{00000000-0005-0000-0000-0000B28E0000}"/>
    <cellStyle name="Overskrift 2 12 2 2 3" xfId="16552" xr:uid="{00000000-0005-0000-0000-0000B38E0000}"/>
    <cellStyle name="Overskrift 2 12 2 2 3 2" xfId="26117" xr:uid="{00000000-0005-0000-0000-0000B48E0000}"/>
    <cellStyle name="Overskrift 2 12 2 2 3 2 2" xfId="43107" xr:uid="{00000000-0005-0000-0000-0000B58E0000}"/>
    <cellStyle name="Overskrift 2 12 2 2 3 3" xfId="44701" xr:uid="{00000000-0005-0000-0000-0000B68E0000}"/>
    <cellStyle name="Overskrift 2 12 2 2 4" xfId="26115" xr:uid="{00000000-0005-0000-0000-0000B78E0000}"/>
    <cellStyle name="Overskrift 2 12 2 2 4 2" xfId="41519" xr:uid="{00000000-0005-0000-0000-0000B88E0000}"/>
    <cellStyle name="Overskrift 2 12 2 2 5" xfId="44699" xr:uid="{00000000-0005-0000-0000-0000B98E0000}"/>
    <cellStyle name="Overskrift 2 12 2 2_Avviksanalyse løpende RNB15 (1)" xfId="16793" xr:uid="{00000000-0005-0000-0000-0000BA8E0000}"/>
    <cellStyle name="Overskrift 2 12 2 3" xfId="12995" xr:uid="{00000000-0005-0000-0000-0000BB8E0000}"/>
    <cellStyle name="Overskrift 2 12 2 4" xfId="26114" xr:uid="{00000000-0005-0000-0000-0000BC8E0000}"/>
    <cellStyle name="Overskrift 2 12 3" xfId="3537" xr:uid="{00000000-0005-0000-0000-0000BD8E0000}"/>
    <cellStyle name="Overskrift 2 12 3 2" xfId="26118" xr:uid="{00000000-0005-0000-0000-0000BE8E0000}"/>
    <cellStyle name="Overskrift 2 12 3 2 2" xfId="41520" xr:uid="{00000000-0005-0000-0000-0000BF8E0000}"/>
    <cellStyle name="Overskrift 2 12 3 3" xfId="44702" xr:uid="{00000000-0005-0000-0000-0000C08E0000}"/>
    <cellStyle name="Overskrift 2 12 4" xfId="12994" xr:uid="{00000000-0005-0000-0000-0000C18E0000}"/>
    <cellStyle name="Overskrift 2 12 5" xfId="19906" xr:uid="{00000000-0005-0000-0000-0000C28E0000}"/>
    <cellStyle name="Overskrift 2 12 5 2" xfId="44698" xr:uid="{00000000-0005-0000-0000-0000C38E0000}"/>
    <cellStyle name="Overskrift 2 12 6" xfId="20170" xr:uid="{00000000-0005-0000-0000-0000C48E0000}"/>
    <cellStyle name="Overskrift 2 12 7" xfId="24874" xr:uid="{00000000-0005-0000-0000-0000C58E0000}"/>
    <cellStyle name="Overskrift 2 12 8" xfId="25169" xr:uid="{00000000-0005-0000-0000-0000C68E0000}"/>
    <cellStyle name="Overskrift 2 12 9" xfId="24968" xr:uid="{00000000-0005-0000-0000-0000C78E0000}"/>
    <cellStyle name="Overskrift 2 13" xfId="3421" xr:uid="{00000000-0005-0000-0000-0000C88E0000}"/>
    <cellStyle name="Overskrift 2 13 2" xfId="12997" xr:uid="{00000000-0005-0000-0000-0000C98E0000}"/>
    <cellStyle name="Overskrift 2 13 3" xfId="26119" xr:uid="{00000000-0005-0000-0000-0000CA8E0000}"/>
    <cellStyle name="Overskrift 2 14" xfId="12998" xr:uid="{00000000-0005-0000-0000-0000CB8E0000}"/>
    <cellStyle name="Overskrift 2 14 2" xfId="26120" xr:uid="{00000000-0005-0000-0000-0000CC8E0000}"/>
    <cellStyle name="Overskrift 2 14 2 2" xfId="41521" xr:uid="{00000000-0005-0000-0000-0000CD8E0000}"/>
    <cellStyle name="Overskrift 2 14 3" xfId="44703" xr:uid="{00000000-0005-0000-0000-0000CE8E0000}"/>
    <cellStyle name="Overskrift 2 2" xfId="2327" xr:uid="{00000000-0005-0000-0000-0000CF8E0000}"/>
    <cellStyle name="Overskrift 2 2 10" xfId="26121" xr:uid="{00000000-0005-0000-0000-0000D08E0000}"/>
    <cellStyle name="Overskrift 2 2 10 2" xfId="41522" xr:uid="{00000000-0005-0000-0000-0000D18E0000}"/>
    <cellStyle name="Overskrift 2 2 11" xfId="44704" xr:uid="{00000000-0005-0000-0000-0000D28E0000}"/>
    <cellStyle name="Overskrift 2 2 2" xfId="12999" xr:uid="{00000000-0005-0000-0000-0000D38E0000}"/>
    <cellStyle name="Overskrift 2 2 2 2" xfId="26122" xr:uid="{00000000-0005-0000-0000-0000D48E0000}"/>
    <cellStyle name="Overskrift 2 2 2 2 2" xfId="41523" xr:uid="{00000000-0005-0000-0000-0000D58E0000}"/>
    <cellStyle name="Overskrift 2 2 2 3" xfId="44705" xr:uid="{00000000-0005-0000-0000-0000D68E0000}"/>
    <cellStyle name="Overskrift 2 2 3" xfId="13000" xr:uid="{00000000-0005-0000-0000-0000D78E0000}"/>
    <cellStyle name="Overskrift 2 2 3 2" xfId="26123" xr:uid="{00000000-0005-0000-0000-0000D88E0000}"/>
    <cellStyle name="Overskrift 2 2 3 2 2" xfId="41524" xr:uid="{00000000-0005-0000-0000-0000D98E0000}"/>
    <cellStyle name="Overskrift 2 2 3 3" xfId="44706" xr:uid="{00000000-0005-0000-0000-0000DA8E0000}"/>
    <cellStyle name="Overskrift 2 2 4" xfId="13001" xr:uid="{00000000-0005-0000-0000-0000DB8E0000}"/>
    <cellStyle name="Overskrift 2 2 4 2" xfId="26124" xr:uid="{00000000-0005-0000-0000-0000DC8E0000}"/>
    <cellStyle name="Overskrift 2 2 4 2 2" xfId="41525" xr:uid="{00000000-0005-0000-0000-0000DD8E0000}"/>
    <cellStyle name="Overskrift 2 2 4 3" xfId="44707" xr:uid="{00000000-0005-0000-0000-0000DE8E0000}"/>
    <cellStyle name="Overskrift 2 2 5" xfId="13002" xr:uid="{00000000-0005-0000-0000-0000DF8E0000}"/>
    <cellStyle name="Overskrift 2 2 5 2" xfId="26125" xr:uid="{00000000-0005-0000-0000-0000E08E0000}"/>
    <cellStyle name="Overskrift 2 2 5 2 2" xfId="41526" xr:uid="{00000000-0005-0000-0000-0000E18E0000}"/>
    <cellStyle name="Overskrift 2 2 5 3" xfId="44708" xr:uid="{00000000-0005-0000-0000-0000E28E0000}"/>
    <cellStyle name="Overskrift 2 2 6" xfId="13003" xr:uid="{00000000-0005-0000-0000-0000E38E0000}"/>
    <cellStyle name="Overskrift 2 2 6 2" xfId="26126" xr:uid="{00000000-0005-0000-0000-0000E48E0000}"/>
    <cellStyle name="Overskrift 2 2 6 2 2" xfId="41527" xr:uid="{00000000-0005-0000-0000-0000E58E0000}"/>
    <cellStyle name="Overskrift 2 2 6 3" xfId="44709" xr:uid="{00000000-0005-0000-0000-0000E68E0000}"/>
    <cellStyle name="Overskrift 2 2 7" xfId="13004" xr:uid="{00000000-0005-0000-0000-0000E78E0000}"/>
    <cellStyle name="Overskrift 2 2 7 2" xfId="26127" xr:uid="{00000000-0005-0000-0000-0000E88E0000}"/>
    <cellStyle name="Overskrift 2 2 7 2 2" xfId="41528" xr:uid="{00000000-0005-0000-0000-0000E98E0000}"/>
    <cellStyle name="Overskrift 2 2 7 3" xfId="44710" xr:uid="{00000000-0005-0000-0000-0000EA8E0000}"/>
    <cellStyle name="Overskrift 2 2 8" xfId="13005" xr:uid="{00000000-0005-0000-0000-0000EB8E0000}"/>
    <cellStyle name="Overskrift 2 2 8 2" xfId="26128" xr:uid="{00000000-0005-0000-0000-0000EC8E0000}"/>
    <cellStyle name="Overskrift 2 2 8 2 2" xfId="41529" xr:uid="{00000000-0005-0000-0000-0000ED8E0000}"/>
    <cellStyle name="Overskrift 2 2 8 3" xfId="44711" xr:uid="{00000000-0005-0000-0000-0000EE8E0000}"/>
    <cellStyle name="Overskrift 2 2 9" xfId="13006" xr:uid="{00000000-0005-0000-0000-0000EF8E0000}"/>
    <cellStyle name="Overskrift 2 2 9 2" xfId="26129" xr:uid="{00000000-0005-0000-0000-0000F08E0000}"/>
    <cellStyle name="Overskrift 2 2 9 2 2" xfId="41530" xr:uid="{00000000-0005-0000-0000-0000F18E0000}"/>
    <cellStyle name="Overskrift 2 2 9 3" xfId="44712" xr:uid="{00000000-0005-0000-0000-0000F28E0000}"/>
    <cellStyle name="Overskrift 2 3" xfId="2328" xr:uid="{00000000-0005-0000-0000-0000F38E0000}"/>
    <cellStyle name="Overskrift 2 3 2" xfId="26130" xr:uid="{00000000-0005-0000-0000-0000F48E0000}"/>
    <cellStyle name="Overskrift 2 3 2 2" xfId="41531" xr:uid="{00000000-0005-0000-0000-0000F58E0000}"/>
    <cellStyle name="Overskrift 2 3 3" xfId="44713" xr:uid="{00000000-0005-0000-0000-0000F68E0000}"/>
    <cellStyle name="Overskrift 2 4" xfId="2329" xr:uid="{00000000-0005-0000-0000-0000F78E0000}"/>
    <cellStyle name="Overskrift 2 4 2" xfId="26131" xr:uid="{00000000-0005-0000-0000-0000F88E0000}"/>
    <cellStyle name="Overskrift 2 4 2 2" xfId="41532" xr:uid="{00000000-0005-0000-0000-0000F98E0000}"/>
    <cellStyle name="Overskrift 2 4 3" xfId="44714" xr:uid="{00000000-0005-0000-0000-0000FA8E0000}"/>
    <cellStyle name="Overskrift 2 5" xfId="2330" xr:uid="{00000000-0005-0000-0000-0000FB8E0000}"/>
    <cellStyle name="Overskrift 2 5 2" xfId="26132" xr:uid="{00000000-0005-0000-0000-0000FC8E0000}"/>
    <cellStyle name="Overskrift 2 5 2 2" xfId="41533" xr:uid="{00000000-0005-0000-0000-0000FD8E0000}"/>
    <cellStyle name="Overskrift 2 5 3" xfId="44715" xr:uid="{00000000-0005-0000-0000-0000FE8E0000}"/>
    <cellStyle name="Overskrift 2 6" xfId="2331" xr:uid="{00000000-0005-0000-0000-0000FF8E0000}"/>
    <cellStyle name="Overskrift 2 6 2" xfId="26133" xr:uid="{00000000-0005-0000-0000-0000008F0000}"/>
    <cellStyle name="Overskrift 2 6 2 2" xfId="41534" xr:uid="{00000000-0005-0000-0000-0000018F0000}"/>
    <cellStyle name="Overskrift 2 6 3" xfId="44716" xr:uid="{00000000-0005-0000-0000-0000028F0000}"/>
    <cellStyle name="Overskrift 2 7" xfId="2332" xr:uid="{00000000-0005-0000-0000-0000038F0000}"/>
    <cellStyle name="Overskrift 2 7 2" xfId="26134" xr:uid="{00000000-0005-0000-0000-0000048F0000}"/>
    <cellStyle name="Overskrift 2 7 2 2" xfId="41535" xr:uid="{00000000-0005-0000-0000-0000058F0000}"/>
    <cellStyle name="Overskrift 2 7 3" xfId="44717" xr:uid="{00000000-0005-0000-0000-0000068F0000}"/>
    <cellStyle name="Overskrift 2 8" xfId="2333" xr:uid="{00000000-0005-0000-0000-0000078F0000}"/>
    <cellStyle name="Overskrift 2 8 2" xfId="2334" xr:uid="{00000000-0005-0000-0000-0000088F0000}"/>
    <cellStyle name="Overskrift 2 8 2 2" xfId="26136" xr:uid="{00000000-0005-0000-0000-0000098F0000}"/>
    <cellStyle name="Overskrift 2 8 2 2 2" xfId="41537" xr:uid="{00000000-0005-0000-0000-00000A8F0000}"/>
    <cellStyle name="Overskrift 2 8 2 3" xfId="44719" xr:uid="{00000000-0005-0000-0000-00000B8F0000}"/>
    <cellStyle name="Overskrift 2 8 3" xfId="13007" xr:uid="{00000000-0005-0000-0000-00000C8F0000}"/>
    <cellStyle name="Overskrift 2 8 3 2" xfId="26137" xr:uid="{00000000-0005-0000-0000-00000D8F0000}"/>
    <cellStyle name="Overskrift 2 8 3 2 2" xfId="41538" xr:uid="{00000000-0005-0000-0000-00000E8F0000}"/>
    <cellStyle name="Overskrift 2 8 3 3" xfId="44720" xr:uid="{00000000-0005-0000-0000-00000F8F0000}"/>
    <cellStyle name="Overskrift 2 8 4" xfId="26135" xr:uid="{00000000-0005-0000-0000-0000108F0000}"/>
    <cellStyle name="Overskrift 2 8 4 2" xfId="41536" xr:uid="{00000000-0005-0000-0000-0000118F0000}"/>
    <cellStyle name="Overskrift 2 8 5" xfId="44718" xr:uid="{00000000-0005-0000-0000-0000128F0000}"/>
    <cellStyle name="Overskrift 2 9" xfId="2335" xr:uid="{00000000-0005-0000-0000-0000138F0000}"/>
    <cellStyle name="Overskrift 2 9 2" xfId="2336" xr:uid="{00000000-0005-0000-0000-0000148F0000}"/>
    <cellStyle name="Overskrift 2 9 2 2" xfId="26139" xr:uid="{00000000-0005-0000-0000-0000158F0000}"/>
    <cellStyle name="Overskrift 2 9 2 2 2" xfId="41539" xr:uid="{00000000-0005-0000-0000-0000168F0000}"/>
    <cellStyle name="Overskrift 2 9 2 3" xfId="44721" xr:uid="{00000000-0005-0000-0000-0000178F0000}"/>
    <cellStyle name="Overskrift 2 9 3" xfId="13009" xr:uid="{00000000-0005-0000-0000-0000188F0000}"/>
    <cellStyle name="Overskrift 2 9 3 2" xfId="26140" xr:uid="{00000000-0005-0000-0000-0000198F0000}"/>
    <cellStyle name="Overskrift 2 9 3 2 2" xfId="41540" xr:uid="{00000000-0005-0000-0000-00001A8F0000}"/>
    <cellStyle name="Overskrift 2 9 3 3" xfId="44722" xr:uid="{00000000-0005-0000-0000-00001B8F0000}"/>
    <cellStyle name="Overskrift 2 9 4" xfId="13008" xr:uid="{00000000-0005-0000-0000-00001C8F0000}"/>
    <cellStyle name="Overskrift 2 9 5" xfId="26138" xr:uid="{00000000-0005-0000-0000-00001D8F0000}"/>
    <cellStyle name="Overskrift 3" xfId="4634" xr:uid="{00000000-0005-0000-0000-00001E8F0000}"/>
    <cellStyle name="Overskrift 3 10" xfId="2337" xr:uid="{00000000-0005-0000-0000-00001F8F0000}"/>
    <cellStyle name="Overskrift 3 10 2" xfId="2338" xr:uid="{00000000-0005-0000-0000-0000208F0000}"/>
    <cellStyle name="Overskrift 3 10 2 2" xfId="26142" xr:uid="{00000000-0005-0000-0000-0000218F0000}"/>
    <cellStyle name="Overskrift 3 10 2 2 2" xfId="41542" xr:uid="{00000000-0005-0000-0000-0000228F0000}"/>
    <cellStyle name="Overskrift 3 10 2 3" xfId="44724" xr:uid="{00000000-0005-0000-0000-0000238F0000}"/>
    <cellStyle name="Overskrift 3 10 3" xfId="4428" xr:uid="{00000000-0005-0000-0000-0000248F0000}"/>
    <cellStyle name="Overskrift 3 10 3 2" xfId="26143" xr:uid="{00000000-0005-0000-0000-0000258F0000}"/>
    <cellStyle name="Overskrift 3 10 3 2 2" xfId="41543" xr:uid="{00000000-0005-0000-0000-0000268F0000}"/>
    <cellStyle name="Overskrift 3 10 3 3" xfId="44725" xr:uid="{00000000-0005-0000-0000-0000278F0000}"/>
    <cellStyle name="Overskrift 3 10 4" xfId="4367" xr:uid="{00000000-0005-0000-0000-0000288F0000}"/>
    <cellStyle name="Overskrift 3 10 4 2" xfId="41541" xr:uid="{00000000-0005-0000-0000-0000298F0000}"/>
    <cellStyle name="Overskrift 3 10 5" xfId="13010" xr:uid="{00000000-0005-0000-0000-00002A8F0000}"/>
    <cellStyle name="Overskrift 3 10 5 2" xfId="44723" xr:uid="{00000000-0005-0000-0000-00002B8F0000}"/>
    <cellStyle name="Overskrift 3 10 6" xfId="26141" xr:uid="{00000000-0005-0000-0000-00002C8F0000}"/>
    <cellStyle name="Overskrift 3 11" xfId="2339" xr:uid="{00000000-0005-0000-0000-00002D8F0000}"/>
    <cellStyle name="Overskrift 3 11 2" xfId="3402" xr:uid="{00000000-0005-0000-0000-00002E8F0000}"/>
    <cellStyle name="Overskrift 3 11 2 2" xfId="26145" xr:uid="{00000000-0005-0000-0000-00002F8F0000}"/>
    <cellStyle name="Overskrift 3 11 2 2 2" xfId="41544" xr:uid="{00000000-0005-0000-0000-0000308F0000}"/>
    <cellStyle name="Overskrift 3 11 2 3" xfId="44726" xr:uid="{00000000-0005-0000-0000-0000318F0000}"/>
    <cellStyle name="Overskrift 3 11 3" xfId="13012" xr:uid="{00000000-0005-0000-0000-0000328F0000}"/>
    <cellStyle name="Overskrift 3 11 3 2" xfId="26146" xr:uid="{00000000-0005-0000-0000-0000338F0000}"/>
    <cellStyle name="Overskrift 3 11 3 2 2" xfId="41545" xr:uid="{00000000-0005-0000-0000-0000348F0000}"/>
    <cellStyle name="Overskrift 3 11 3 3" xfId="44727" xr:uid="{00000000-0005-0000-0000-0000358F0000}"/>
    <cellStyle name="Overskrift 3 11 4" xfId="13011" xr:uid="{00000000-0005-0000-0000-0000368F0000}"/>
    <cellStyle name="Overskrift 3 11 5" xfId="26144" xr:uid="{00000000-0005-0000-0000-0000378F0000}"/>
    <cellStyle name="Overskrift 3 12" xfId="2340" xr:uid="{00000000-0005-0000-0000-0000388F0000}"/>
    <cellStyle name="Overskrift 3 12 10" xfId="24823" xr:uid="{00000000-0005-0000-0000-0000398F0000}"/>
    <cellStyle name="Overskrift 3 12 11" xfId="26147" xr:uid="{00000000-0005-0000-0000-00003A8F0000}"/>
    <cellStyle name="Overskrift 3 12 2" xfId="3403" xr:uid="{00000000-0005-0000-0000-00003B8F0000}"/>
    <cellStyle name="Overskrift 3 12 2 2" xfId="13015" xr:uid="{00000000-0005-0000-0000-00003C8F0000}"/>
    <cellStyle name="Overskrift 3 12 2 2 2" xfId="18219" xr:uid="{00000000-0005-0000-0000-00003D8F0000}"/>
    <cellStyle name="Overskrift 3 12 2 2 2 2" xfId="26150" xr:uid="{00000000-0005-0000-0000-00003E8F0000}"/>
    <cellStyle name="Overskrift 3 12 2 2 2 2 2" xfId="43122" xr:uid="{00000000-0005-0000-0000-00003F8F0000}"/>
    <cellStyle name="Overskrift 3 12 2 2 2 3" xfId="44730" xr:uid="{00000000-0005-0000-0000-0000408F0000}"/>
    <cellStyle name="Overskrift 3 12 2 2 3" xfId="16553" xr:uid="{00000000-0005-0000-0000-0000418F0000}"/>
    <cellStyle name="Overskrift 3 12 2 2 3 2" xfId="26151" xr:uid="{00000000-0005-0000-0000-0000428F0000}"/>
    <cellStyle name="Overskrift 3 12 2 2 3 2 2" xfId="43108" xr:uid="{00000000-0005-0000-0000-0000438F0000}"/>
    <cellStyle name="Overskrift 3 12 2 2 3 3" xfId="44731" xr:uid="{00000000-0005-0000-0000-0000448F0000}"/>
    <cellStyle name="Overskrift 3 12 2 2 4" xfId="26149" xr:uid="{00000000-0005-0000-0000-0000458F0000}"/>
    <cellStyle name="Overskrift 3 12 2 2 4 2" xfId="41546" xr:uid="{00000000-0005-0000-0000-0000468F0000}"/>
    <cellStyle name="Overskrift 3 12 2 2 5" xfId="44729" xr:uid="{00000000-0005-0000-0000-0000478F0000}"/>
    <cellStyle name="Overskrift 3 12 2 2_Avviksanalyse løpende RNB15 (1)" xfId="16794" xr:uid="{00000000-0005-0000-0000-0000488F0000}"/>
    <cellStyle name="Overskrift 3 12 2 3" xfId="13014" xr:uid="{00000000-0005-0000-0000-0000498F0000}"/>
    <cellStyle name="Overskrift 3 12 2 4" xfId="26148" xr:uid="{00000000-0005-0000-0000-00004A8F0000}"/>
    <cellStyle name="Overskrift 3 12 3" xfId="3538" xr:uid="{00000000-0005-0000-0000-00004B8F0000}"/>
    <cellStyle name="Overskrift 3 12 3 2" xfId="26152" xr:uid="{00000000-0005-0000-0000-00004C8F0000}"/>
    <cellStyle name="Overskrift 3 12 3 2 2" xfId="41547" xr:uid="{00000000-0005-0000-0000-00004D8F0000}"/>
    <cellStyle name="Overskrift 3 12 3 3" xfId="44732" xr:uid="{00000000-0005-0000-0000-00004E8F0000}"/>
    <cellStyle name="Overskrift 3 12 4" xfId="13013" xr:uid="{00000000-0005-0000-0000-00004F8F0000}"/>
    <cellStyle name="Overskrift 3 12 5" xfId="19907" xr:uid="{00000000-0005-0000-0000-0000508F0000}"/>
    <cellStyle name="Overskrift 3 12 5 2" xfId="44728" xr:uid="{00000000-0005-0000-0000-0000518F0000}"/>
    <cellStyle name="Overskrift 3 12 6" xfId="20156" xr:uid="{00000000-0005-0000-0000-0000528F0000}"/>
    <cellStyle name="Overskrift 3 12 7" xfId="24875" xr:uid="{00000000-0005-0000-0000-0000538F0000}"/>
    <cellStyle name="Overskrift 3 12 8" xfId="24997" xr:uid="{00000000-0005-0000-0000-0000548F0000}"/>
    <cellStyle name="Overskrift 3 12 9" xfId="24970" xr:uid="{00000000-0005-0000-0000-0000558F0000}"/>
    <cellStyle name="Overskrift 3 13" xfId="3422" xr:uid="{00000000-0005-0000-0000-0000568F0000}"/>
    <cellStyle name="Overskrift 3 13 2" xfId="13016" xr:uid="{00000000-0005-0000-0000-0000578F0000}"/>
    <cellStyle name="Overskrift 3 13 3" xfId="26153" xr:uid="{00000000-0005-0000-0000-0000588F0000}"/>
    <cellStyle name="Overskrift 3 14" xfId="13017" xr:uid="{00000000-0005-0000-0000-0000598F0000}"/>
    <cellStyle name="Overskrift 3 14 2" xfId="26154" xr:uid="{00000000-0005-0000-0000-00005A8F0000}"/>
    <cellStyle name="Overskrift 3 14 2 2" xfId="41548" xr:uid="{00000000-0005-0000-0000-00005B8F0000}"/>
    <cellStyle name="Overskrift 3 14 3" xfId="44733" xr:uid="{00000000-0005-0000-0000-00005C8F0000}"/>
    <cellStyle name="Overskrift 3 2" xfId="2341" xr:uid="{00000000-0005-0000-0000-00005D8F0000}"/>
    <cellStyle name="Overskrift 3 2 10" xfId="26155" xr:uid="{00000000-0005-0000-0000-00005E8F0000}"/>
    <cellStyle name="Overskrift 3 2 10 2" xfId="41549" xr:uid="{00000000-0005-0000-0000-00005F8F0000}"/>
    <cellStyle name="Overskrift 3 2 11" xfId="44734" xr:uid="{00000000-0005-0000-0000-0000608F0000}"/>
    <cellStyle name="Overskrift 3 2 2" xfId="13018" xr:uid="{00000000-0005-0000-0000-0000618F0000}"/>
    <cellStyle name="Overskrift 3 2 2 2" xfId="26156" xr:uid="{00000000-0005-0000-0000-0000628F0000}"/>
    <cellStyle name="Overskrift 3 2 2 2 2" xfId="41550" xr:uid="{00000000-0005-0000-0000-0000638F0000}"/>
    <cellStyle name="Overskrift 3 2 2 3" xfId="44735" xr:uid="{00000000-0005-0000-0000-0000648F0000}"/>
    <cellStyle name="Overskrift 3 2 3" xfId="13019" xr:uid="{00000000-0005-0000-0000-0000658F0000}"/>
    <cellStyle name="Overskrift 3 2 3 2" xfId="26157" xr:uid="{00000000-0005-0000-0000-0000668F0000}"/>
    <cellStyle name="Overskrift 3 2 3 2 2" xfId="41551" xr:uid="{00000000-0005-0000-0000-0000678F0000}"/>
    <cellStyle name="Overskrift 3 2 3 3" xfId="44736" xr:uid="{00000000-0005-0000-0000-0000688F0000}"/>
    <cellStyle name="Overskrift 3 2 4" xfId="13020" xr:uid="{00000000-0005-0000-0000-0000698F0000}"/>
    <cellStyle name="Overskrift 3 2 4 2" xfId="26158" xr:uid="{00000000-0005-0000-0000-00006A8F0000}"/>
    <cellStyle name="Overskrift 3 2 4 2 2" xfId="41552" xr:uid="{00000000-0005-0000-0000-00006B8F0000}"/>
    <cellStyle name="Overskrift 3 2 4 3" xfId="44737" xr:uid="{00000000-0005-0000-0000-00006C8F0000}"/>
    <cellStyle name="Overskrift 3 2 5" xfId="13021" xr:uid="{00000000-0005-0000-0000-00006D8F0000}"/>
    <cellStyle name="Overskrift 3 2 5 2" xfId="26159" xr:uid="{00000000-0005-0000-0000-00006E8F0000}"/>
    <cellStyle name="Overskrift 3 2 5 2 2" xfId="41553" xr:uid="{00000000-0005-0000-0000-00006F8F0000}"/>
    <cellStyle name="Overskrift 3 2 5 3" xfId="44738" xr:uid="{00000000-0005-0000-0000-0000708F0000}"/>
    <cellStyle name="Overskrift 3 2 6" xfId="13022" xr:uid="{00000000-0005-0000-0000-0000718F0000}"/>
    <cellStyle name="Overskrift 3 2 6 2" xfId="26160" xr:uid="{00000000-0005-0000-0000-0000728F0000}"/>
    <cellStyle name="Overskrift 3 2 6 2 2" xfId="41554" xr:uid="{00000000-0005-0000-0000-0000738F0000}"/>
    <cellStyle name="Overskrift 3 2 6 3" xfId="44739" xr:uid="{00000000-0005-0000-0000-0000748F0000}"/>
    <cellStyle name="Overskrift 3 2 7" xfId="13023" xr:uid="{00000000-0005-0000-0000-0000758F0000}"/>
    <cellStyle name="Overskrift 3 2 7 2" xfId="26161" xr:uid="{00000000-0005-0000-0000-0000768F0000}"/>
    <cellStyle name="Overskrift 3 2 7 2 2" xfId="41555" xr:uid="{00000000-0005-0000-0000-0000778F0000}"/>
    <cellStyle name="Overskrift 3 2 7 3" xfId="44740" xr:uid="{00000000-0005-0000-0000-0000788F0000}"/>
    <cellStyle name="Overskrift 3 2 8" xfId="13024" xr:uid="{00000000-0005-0000-0000-0000798F0000}"/>
    <cellStyle name="Overskrift 3 2 8 2" xfId="26162" xr:uid="{00000000-0005-0000-0000-00007A8F0000}"/>
    <cellStyle name="Overskrift 3 2 8 2 2" xfId="41556" xr:uid="{00000000-0005-0000-0000-00007B8F0000}"/>
    <cellStyle name="Overskrift 3 2 8 3" xfId="44741" xr:uid="{00000000-0005-0000-0000-00007C8F0000}"/>
    <cellStyle name="Overskrift 3 2 9" xfId="13025" xr:uid="{00000000-0005-0000-0000-00007D8F0000}"/>
    <cellStyle name="Overskrift 3 2 9 2" xfId="26163" xr:uid="{00000000-0005-0000-0000-00007E8F0000}"/>
    <cellStyle name="Overskrift 3 2 9 2 2" xfId="41557" xr:uid="{00000000-0005-0000-0000-00007F8F0000}"/>
    <cellStyle name="Overskrift 3 2 9 3" xfId="44742" xr:uid="{00000000-0005-0000-0000-0000808F0000}"/>
    <cellStyle name="Overskrift 3 3" xfId="2342" xr:uid="{00000000-0005-0000-0000-0000818F0000}"/>
    <cellStyle name="Overskrift 3 3 2" xfId="26164" xr:uid="{00000000-0005-0000-0000-0000828F0000}"/>
    <cellStyle name="Overskrift 3 3 2 2" xfId="41558" xr:uid="{00000000-0005-0000-0000-0000838F0000}"/>
    <cellStyle name="Overskrift 3 3 3" xfId="44743" xr:uid="{00000000-0005-0000-0000-0000848F0000}"/>
    <cellStyle name="Overskrift 3 4" xfId="2343" xr:uid="{00000000-0005-0000-0000-0000858F0000}"/>
    <cellStyle name="Overskrift 3 4 2" xfId="26165" xr:uid="{00000000-0005-0000-0000-0000868F0000}"/>
    <cellStyle name="Overskrift 3 4 2 2" xfId="41559" xr:uid="{00000000-0005-0000-0000-0000878F0000}"/>
    <cellStyle name="Overskrift 3 4 3" xfId="44744" xr:uid="{00000000-0005-0000-0000-0000888F0000}"/>
    <cellStyle name="Overskrift 3 5" xfId="2344" xr:uid="{00000000-0005-0000-0000-0000898F0000}"/>
    <cellStyle name="Overskrift 3 5 2" xfId="26166" xr:uid="{00000000-0005-0000-0000-00008A8F0000}"/>
    <cellStyle name="Overskrift 3 5 2 2" xfId="41560" xr:uid="{00000000-0005-0000-0000-00008B8F0000}"/>
    <cellStyle name="Overskrift 3 5 3" xfId="44745" xr:uid="{00000000-0005-0000-0000-00008C8F0000}"/>
    <cellStyle name="Overskrift 3 6" xfId="2345" xr:uid="{00000000-0005-0000-0000-00008D8F0000}"/>
    <cellStyle name="Overskrift 3 6 2" xfId="26167" xr:uid="{00000000-0005-0000-0000-00008E8F0000}"/>
    <cellStyle name="Overskrift 3 6 2 2" xfId="41561" xr:uid="{00000000-0005-0000-0000-00008F8F0000}"/>
    <cellStyle name="Overskrift 3 6 3" xfId="44746" xr:uid="{00000000-0005-0000-0000-0000908F0000}"/>
    <cellStyle name="Overskrift 3 7" xfId="2346" xr:uid="{00000000-0005-0000-0000-0000918F0000}"/>
    <cellStyle name="Overskrift 3 7 2" xfId="26168" xr:uid="{00000000-0005-0000-0000-0000928F0000}"/>
    <cellStyle name="Overskrift 3 7 2 2" xfId="41562" xr:uid="{00000000-0005-0000-0000-0000938F0000}"/>
    <cellStyle name="Overskrift 3 7 3" xfId="44747" xr:uid="{00000000-0005-0000-0000-0000948F0000}"/>
    <cellStyle name="Overskrift 3 8" xfId="2347" xr:uid="{00000000-0005-0000-0000-0000958F0000}"/>
    <cellStyle name="Overskrift 3 8 2" xfId="2348" xr:uid="{00000000-0005-0000-0000-0000968F0000}"/>
    <cellStyle name="Overskrift 3 8 2 2" xfId="26170" xr:uid="{00000000-0005-0000-0000-0000978F0000}"/>
    <cellStyle name="Overskrift 3 8 2 2 2" xfId="41564" xr:uid="{00000000-0005-0000-0000-0000988F0000}"/>
    <cellStyle name="Overskrift 3 8 2 3" xfId="44749" xr:uid="{00000000-0005-0000-0000-0000998F0000}"/>
    <cellStyle name="Overskrift 3 8 3" xfId="13026" xr:uid="{00000000-0005-0000-0000-00009A8F0000}"/>
    <cellStyle name="Overskrift 3 8 3 2" xfId="26171" xr:uid="{00000000-0005-0000-0000-00009B8F0000}"/>
    <cellStyle name="Overskrift 3 8 3 2 2" xfId="41565" xr:uid="{00000000-0005-0000-0000-00009C8F0000}"/>
    <cellStyle name="Overskrift 3 8 3 3" xfId="44750" xr:uid="{00000000-0005-0000-0000-00009D8F0000}"/>
    <cellStyle name="Overskrift 3 8 4" xfId="26169" xr:uid="{00000000-0005-0000-0000-00009E8F0000}"/>
    <cellStyle name="Overskrift 3 8 4 2" xfId="41563" xr:uid="{00000000-0005-0000-0000-00009F8F0000}"/>
    <cellStyle name="Overskrift 3 8 5" xfId="44748" xr:uid="{00000000-0005-0000-0000-0000A08F0000}"/>
    <cellStyle name="Overskrift 3 9" xfId="2349" xr:uid="{00000000-0005-0000-0000-0000A18F0000}"/>
    <cellStyle name="Overskrift 3 9 2" xfId="2350" xr:uid="{00000000-0005-0000-0000-0000A28F0000}"/>
    <cellStyle name="Overskrift 3 9 2 2" xfId="26173" xr:uid="{00000000-0005-0000-0000-0000A38F0000}"/>
    <cellStyle name="Overskrift 3 9 2 2 2" xfId="41566" xr:uid="{00000000-0005-0000-0000-0000A48F0000}"/>
    <cellStyle name="Overskrift 3 9 2 3" xfId="44751" xr:uid="{00000000-0005-0000-0000-0000A58F0000}"/>
    <cellStyle name="Overskrift 3 9 3" xfId="13028" xr:uid="{00000000-0005-0000-0000-0000A68F0000}"/>
    <cellStyle name="Overskrift 3 9 3 2" xfId="26174" xr:uid="{00000000-0005-0000-0000-0000A78F0000}"/>
    <cellStyle name="Overskrift 3 9 3 2 2" xfId="41567" xr:uid="{00000000-0005-0000-0000-0000A88F0000}"/>
    <cellStyle name="Overskrift 3 9 3 3" xfId="44752" xr:uid="{00000000-0005-0000-0000-0000A98F0000}"/>
    <cellStyle name="Overskrift 3 9 4" xfId="13027" xr:uid="{00000000-0005-0000-0000-0000AA8F0000}"/>
    <cellStyle name="Overskrift 3 9 5" xfId="26172" xr:uid="{00000000-0005-0000-0000-0000AB8F0000}"/>
    <cellStyle name="Overskrift 4" xfId="4635" xr:uid="{00000000-0005-0000-0000-0000AC8F0000}"/>
    <cellStyle name="Overskrift 4 10" xfId="2351" xr:uid="{00000000-0005-0000-0000-0000AD8F0000}"/>
    <cellStyle name="Overskrift 4 10 2" xfId="2352" xr:uid="{00000000-0005-0000-0000-0000AE8F0000}"/>
    <cellStyle name="Overskrift 4 10 2 2" xfId="26176" xr:uid="{00000000-0005-0000-0000-0000AF8F0000}"/>
    <cellStyle name="Overskrift 4 10 2 2 2" xfId="41569" xr:uid="{00000000-0005-0000-0000-0000B08F0000}"/>
    <cellStyle name="Overskrift 4 10 2 3" xfId="44754" xr:uid="{00000000-0005-0000-0000-0000B18F0000}"/>
    <cellStyle name="Overskrift 4 10 3" xfId="4429" xr:uid="{00000000-0005-0000-0000-0000B28F0000}"/>
    <cellStyle name="Overskrift 4 10 3 2" xfId="26177" xr:uid="{00000000-0005-0000-0000-0000B38F0000}"/>
    <cellStyle name="Overskrift 4 10 3 2 2" xfId="41570" xr:uid="{00000000-0005-0000-0000-0000B48F0000}"/>
    <cellStyle name="Overskrift 4 10 3 3" xfId="44755" xr:uid="{00000000-0005-0000-0000-0000B58F0000}"/>
    <cellStyle name="Overskrift 4 10 4" xfId="4368" xr:uid="{00000000-0005-0000-0000-0000B68F0000}"/>
    <cellStyle name="Overskrift 4 10 4 2" xfId="41568" xr:uid="{00000000-0005-0000-0000-0000B78F0000}"/>
    <cellStyle name="Overskrift 4 10 5" xfId="13029" xr:uid="{00000000-0005-0000-0000-0000B88F0000}"/>
    <cellStyle name="Overskrift 4 10 5 2" xfId="44753" xr:uid="{00000000-0005-0000-0000-0000B98F0000}"/>
    <cellStyle name="Overskrift 4 10 6" xfId="26175" xr:uid="{00000000-0005-0000-0000-0000BA8F0000}"/>
    <cellStyle name="Overskrift 4 11" xfId="2353" xr:uid="{00000000-0005-0000-0000-0000BB8F0000}"/>
    <cellStyle name="Overskrift 4 11 2" xfId="3404" xr:uid="{00000000-0005-0000-0000-0000BC8F0000}"/>
    <cellStyle name="Overskrift 4 11 2 2" xfId="26179" xr:uid="{00000000-0005-0000-0000-0000BD8F0000}"/>
    <cellStyle name="Overskrift 4 11 2 2 2" xfId="41571" xr:uid="{00000000-0005-0000-0000-0000BE8F0000}"/>
    <cellStyle name="Overskrift 4 11 2 3" xfId="44756" xr:uid="{00000000-0005-0000-0000-0000BF8F0000}"/>
    <cellStyle name="Overskrift 4 11 3" xfId="13031" xr:uid="{00000000-0005-0000-0000-0000C08F0000}"/>
    <cellStyle name="Overskrift 4 11 3 2" xfId="26180" xr:uid="{00000000-0005-0000-0000-0000C18F0000}"/>
    <cellStyle name="Overskrift 4 11 3 2 2" xfId="41572" xr:uid="{00000000-0005-0000-0000-0000C28F0000}"/>
    <cellStyle name="Overskrift 4 11 3 3" xfId="44757" xr:uid="{00000000-0005-0000-0000-0000C38F0000}"/>
    <cellStyle name="Overskrift 4 11 4" xfId="13030" xr:uid="{00000000-0005-0000-0000-0000C48F0000}"/>
    <cellStyle name="Overskrift 4 11 5" xfId="26178" xr:uid="{00000000-0005-0000-0000-0000C58F0000}"/>
    <cellStyle name="Overskrift 4 12" xfId="2354" xr:uid="{00000000-0005-0000-0000-0000C68F0000}"/>
    <cellStyle name="Overskrift 4 12 10" xfId="24821" xr:uid="{00000000-0005-0000-0000-0000C78F0000}"/>
    <cellStyle name="Overskrift 4 12 11" xfId="26181" xr:uid="{00000000-0005-0000-0000-0000C88F0000}"/>
    <cellStyle name="Overskrift 4 12 2" xfId="3405" xr:uid="{00000000-0005-0000-0000-0000C98F0000}"/>
    <cellStyle name="Overskrift 4 12 2 2" xfId="13034" xr:uid="{00000000-0005-0000-0000-0000CA8F0000}"/>
    <cellStyle name="Overskrift 4 12 2 2 2" xfId="18220" xr:uid="{00000000-0005-0000-0000-0000CB8F0000}"/>
    <cellStyle name="Overskrift 4 12 2 2 2 2" xfId="26184" xr:uid="{00000000-0005-0000-0000-0000CC8F0000}"/>
    <cellStyle name="Overskrift 4 12 2 2 2 2 2" xfId="43123" xr:uid="{00000000-0005-0000-0000-0000CD8F0000}"/>
    <cellStyle name="Overskrift 4 12 2 2 2 3" xfId="44760" xr:uid="{00000000-0005-0000-0000-0000CE8F0000}"/>
    <cellStyle name="Overskrift 4 12 2 2 3" xfId="16554" xr:uid="{00000000-0005-0000-0000-0000CF8F0000}"/>
    <cellStyle name="Overskrift 4 12 2 2 3 2" xfId="26185" xr:uid="{00000000-0005-0000-0000-0000D08F0000}"/>
    <cellStyle name="Overskrift 4 12 2 2 3 2 2" xfId="43109" xr:uid="{00000000-0005-0000-0000-0000D18F0000}"/>
    <cellStyle name="Overskrift 4 12 2 2 3 3" xfId="44761" xr:uid="{00000000-0005-0000-0000-0000D28F0000}"/>
    <cellStyle name="Overskrift 4 12 2 2 4" xfId="26183" xr:uid="{00000000-0005-0000-0000-0000D38F0000}"/>
    <cellStyle name="Overskrift 4 12 2 2 4 2" xfId="41573" xr:uid="{00000000-0005-0000-0000-0000D48F0000}"/>
    <cellStyle name="Overskrift 4 12 2 2 5" xfId="44759" xr:uid="{00000000-0005-0000-0000-0000D58F0000}"/>
    <cellStyle name="Overskrift 4 12 2 2_Avviksanalyse løpende RNB15 (1)" xfId="16795" xr:uid="{00000000-0005-0000-0000-0000D68F0000}"/>
    <cellStyle name="Overskrift 4 12 2 3" xfId="13033" xr:uid="{00000000-0005-0000-0000-0000D78F0000}"/>
    <cellStyle name="Overskrift 4 12 2 4" xfId="26182" xr:uid="{00000000-0005-0000-0000-0000D88F0000}"/>
    <cellStyle name="Overskrift 4 12 3" xfId="3539" xr:uid="{00000000-0005-0000-0000-0000D98F0000}"/>
    <cellStyle name="Overskrift 4 12 3 2" xfId="26186" xr:uid="{00000000-0005-0000-0000-0000DA8F0000}"/>
    <cellStyle name="Overskrift 4 12 3 2 2" xfId="41574" xr:uid="{00000000-0005-0000-0000-0000DB8F0000}"/>
    <cellStyle name="Overskrift 4 12 3 3" xfId="44762" xr:uid="{00000000-0005-0000-0000-0000DC8F0000}"/>
    <cellStyle name="Overskrift 4 12 4" xfId="13032" xr:uid="{00000000-0005-0000-0000-0000DD8F0000}"/>
    <cellStyle name="Overskrift 4 12 5" xfId="19908" xr:uid="{00000000-0005-0000-0000-0000DE8F0000}"/>
    <cellStyle name="Overskrift 4 12 5 2" xfId="44758" xr:uid="{00000000-0005-0000-0000-0000DF8F0000}"/>
    <cellStyle name="Overskrift 4 12 6" xfId="20142" xr:uid="{00000000-0005-0000-0000-0000E08F0000}"/>
    <cellStyle name="Overskrift 4 12 7" xfId="24876" xr:uid="{00000000-0005-0000-0000-0000E18F0000}"/>
    <cellStyle name="Overskrift 4 12 8" xfId="25201" xr:uid="{00000000-0005-0000-0000-0000E28F0000}"/>
    <cellStyle name="Overskrift 4 12 9" xfId="24883" xr:uid="{00000000-0005-0000-0000-0000E38F0000}"/>
    <cellStyle name="Overskrift 4 13" xfId="3423" xr:uid="{00000000-0005-0000-0000-0000E48F0000}"/>
    <cellStyle name="Overskrift 4 13 2" xfId="13035" xr:uid="{00000000-0005-0000-0000-0000E58F0000}"/>
    <cellStyle name="Overskrift 4 13 3" xfId="26187" xr:uid="{00000000-0005-0000-0000-0000E68F0000}"/>
    <cellStyle name="Overskrift 4 14" xfId="13036" xr:uid="{00000000-0005-0000-0000-0000E78F0000}"/>
    <cellStyle name="Overskrift 4 14 2" xfId="26188" xr:uid="{00000000-0005-0000-0000-0000E88F0000}"/>
    <cellStyle name="Overskrift 4 14 2 2" xfId="41575" xr:uid="{00000000-0005-0000-0000-0000E98F0000}"/>
    <cellStyle name="Overskrift 4 14 3" xfId="44763" xr:uid="{00000000-0005-0000-0000-0000EA8F0000}"/>
    <cellStyle name="Overskrift 4 2" xfId="2355" xr:uid="{00000000-0005-0000-0000-0000EB8F0000}"/>
    <cellStyle name="Overskrift 4 2 10" xfId="26189" xr:uid="{00000000-0005-0000-0000-0000EC8F0000}"/>
    <cellStyle name="Overskrift 4 2 10 2" xfId="41576" xr:uid="{00000000-0005-0000-0000-0000ED8F0000}"/>
    <cellStyle name="Overskrift 4 2 11" xfId="44764" xr:uid="{00000000-0005-0000-0000-0000EE8F0000}"/>
    <cellStyle name="Overskrift 4 2 2" xfId="13037" xr:uid="{00000000-0005-0000-0000-0000EF8F0000}"/>
    <cellStyle name="Overskrift 4 2 2 2" xfId="26190" xr:uid="{00000000-0005-0000-0000-0000F08F0000}"/>
    <cellStyle name="Overskrift 4 2 2 2 2" xfId="41577" xr:uid="{00000000-0005-0000-0000-0000F18F0000}"/>
    <cellStyle name="Overskrift 4 2 2 3" xfId="44765" xr:uid="{00000000-0005-0000-0000-0000F28F0000}"/>
    <cellStyle name="Overskrift 4 2 3" xfId="13038" xr:uid="{00000000-0005-0000-0000-0000F38F0000}"/>
    <cellStyle name="Overskrift 4 2 3 2" xfId="26191" xr:uid="{00000000-0005-0000-0000-0000F48F0000}"/>
    <cellStyle name="Overskrift 4 2 3 2 2" xfId="41578" xr:uid="{00000000-0005-0000-0000-0000F58F0000}"/>
    <cellStyle name="Overskrift 4 2 3 3" xfId="44766" xr:uid="{00000000-0005-0000-0000-0000F68F0000}"/>
    <cellStyle name="Overskrift 4 2 4" xfId="13039" xr:uid="{00000000-0005-0000-0000-0000F78F0000}"/>
    <cellStyle name="Overskrift 4 2 4 2" xfId="26192" xr:uid="{00000000-0005-0000-0000-0000F88F0000}"/>
    <cellStyle name="Overskrift 4 2 4 2 2" xfId="41579" xr:uid="{00000000-0005-0000-0000-0000F98F0000}"/>
    <cellStyle name="Overskrift 4 2 4 3" xfId="44767" xr:uid="{00000000-0005-0000-0000-0000FA8F0000}"/>
    <cellStyle name="Overskrift 4 2 5" xfId="13040" xr:uid="{00000000-0005-0000-0000-0000FB8F0000}"/>
    <cellStyle name="Overskrift 4 2 5 2" xfId="26193" xr:uid="{00000000-0005-0000-0000-0000FC8F0000}"/>
    <cellStyle name="Overskrift 4 2 5 2 2" xfId="41580" xr:uid="{00000000-0005-0000-0000-0000FD8F0000}"/>
    <cellStyle name="Overskrift 4 2 5 3" xfId="44768" xr:uid="{00000000-0005-0000-0000-0000FE8F0000}"/>
    <cellStyle name="Overskrift 4 2 6" xfId="13041" xr:uid="{00000000-0005-0000-0000-0000FF8F0000}"/>
    <cellStyle name="Overskrift 4 2 6 2" xfId="26194" xr:uid="{00000000-0005-0000-0000-000000900000}"/>
    <cellStyle name="Overskrift 4 2 6 2 2" xfId="41581" xr:uid="{00000000-0005-0000-0000-000001900000}"/>
    <cellStyle name="Overskrift 4 2 6 3" xfId="44769" xr:uid="{00000000-0005-0000-0000-000002900000}"/>
    <cellStyle name="Overskrift 4 2 7" xfId="13042" xr:uid="{00000000-0005-0000-0000-000003900000}"/>
    <cellStyle name="Overskrift 4 2 7 2" xfId="26195" xr:uid="{00000000-0005-0000-0000-000004900000}"/>
    <cellStyle name="Overskrift 4 2 7 2 2" xfId="41582" xr:uid="{00000000-0005-0000-0000-000005900000}"/>
    <cellStyle name="Overskrift 4 2 7 3" xfId="44770" xr:uid="{00000000-0005-0000-0000-000006900000}"/>
    <cellStyle name="Overskrift 4 2 8" xfId="13043" xr:uid="{00000000-0005-0000-0000-000007900000}"/>
    <cellStyle name="Overskrift 4 2 8 2" xfId="26196" xr:uid="{00000000-0005-0000-0000-000008900000}"/>
    <cellStyle name="Overskrift 4 2 8 2 2" xfId="41583" xr:uid="{00000000-0005-0000-0000-000009900000}"/>
    <cellStyle name="Overskrift 4 2 8 3" xfId="44771" xr:uid="{00000000-0005-0000-0000-00000A900000}"/>
    <cellStyle name="Overskrift 4 2 9" xfId="13044" xr:uid="{00000000-0005-0000-0000-00000B900000}"/>
    <cellStyle name="Overskrift 4 2 9 2" xfId="26197" xr:uid="{00000000-0005-0000-0000-00000C900000}"/>
    <cellStyle name="Overskrift 4 2 9 2 2" xfId="41584" xr:uid="{00000000-0005-0000-0000-00000D900000}"/>
    <cellStyle name="Overskrift 4 2 9 3" xfId="44772" xr:uid="{00000000-0005-0000-0000-00000E900000}"/>
    <cellStyle name="Overskrift 4 3" xfId="2356" xr:uid="{00000000-0005-0000-0000-00000F900000}"/>
    <cellStyle name="Overskrift 4 3 2" xfId="26198" xr:uid="{00000000-0005-0000-0000-000010900000}"/>
    <cellStyle name="Overskrift 4 3 2 2" xfId="41585" xr:uid="{00000000-0005-0000-0000-000011900000}"/>
    <cellStyle name="Overskrift 4 3 3" xfId="44773" xr:uid="{00000000-0005-0000-0000-000012900000}"/>
    <cellStyle name="Overskrift 4 4" xfId="2357" xr:uid="{00000000-0005-0000-0000-000013900000}"/>
    <cellStyle name="Overskrift 4 4 2" xfId="26199" xr:uid="{00000000-0005-0000-0000-000014900000}"/>
    <cellStyle name="Overskrift 4 4 2 2" xfId="41586" xr:uid="{00000000-0005-0000-0000-000015900000}"/>
    <cellStyle name="Overskrift 4 4 3" xfId="44774" xr:uid="{00000000-0005-0000-0000-000016900000}"/>
    <cellStyle name="Overskrift 4 5" xfId="2358" xr:uid="{00000000-0005-0000-0000-000017900000}"/>
    <cellStyle name="Overskrift 4 5 2" xfId="26200" xr:uid="{00000000-0005-0000-0000-000018900000}"/>
    <cellStyle name="Overskrift 4 5 2 2" xfId="41587" xr:uid="{00000000-0005-0000-0000-000019900000}"/>
    <cellStyle name="Overskrift 4 5 3" xfId="44775" xr:uid="{00000000-0005-0000-0000-00001A900000}"/>
    <cellStyle name="Overskrift 4 6" xfId="2359" xr:uid="{00000000-0005-0000-0000-00001B900000}"/>
    <cellStyle name="Overskrift 4 6 2" xfId="26201" xr:uid="{00000000-0005-0000-0000-00001C900000}"/>
    <cellStyle name="Overskrift 4 6 2 2" xfId="41588" xr:uid="{00000000-0005-0000-0000-00001D900000}"/>
    <cellStyle name="Overskrift 4 6 3" xfId="44776" xr:uid="{00000000-0005-0000-0000-00001E900000}"/>
    <cellStyle name="Overskrift 4 7" xfId="2360" xr:uid="{00000000-0005-0000-0000-00001F900000}"/>
    <cellStyle name="Overskrift 4 7 2" xfId="26202" xr:uid="{00000000-0005-0000-0000-000020900000}"/>
    <cellStyle name="Overskrift 4 7 2 2" xfId="41589" xr:uid="{00000000-0005-0000-0000-000021900000}"/>
    <cellStyle name="Overskrift 4 7 3" xfId="44777" xr:uid="{00000000-0005-0000-0000-000022900000}"/>
    <cellStyle name="Overskrift 4 8" xfId="2361" xr:uid="{00000000-0005-0000-0000-000023900000}"/>
    <cellStyle name="Overskrift 4 8 2" xfId="2362" xr:uid="{00000000-0005-0000-0000-000024900000}"/>
    <cellStyle name="Overskrift 4 8 2 2" xfId="26204" xr:uid="{00000000-0005-0000-0000-000025900000}"/>
    <cellStyle name="Overskrift 4 8 2 2 2" xfId="41591" xr:uid="{00000000-0005-0000-0000-000026900000}"/>
    <cellStyle name="Overskrift 4 8 2 3" xfId="44779" xr:uid="{00000000-0005-0000-0000-000027900000}"/>
    <cellStyle name="Overskrift 4 8 3" xfId="13045" xr:uid="{00000000-0005-0000-0000-000028900000}"/>
    <cellStyle name="Overskrift 4 8 3 2" xfId="26205" xr:uid="{00000000-0005-0000-0000-000029900000}"/>
    <cellStyle name="Overskrift 4 8 3 2 2" xfId="41592" xr:uid="{00000000-0005-0000-0000-00002A900000}"/>
    <cellStyle name="Overskrift 4 8 3 3" xfId="44780" xr:uid="{00000000-0005-0000-0000-00002B900000}"/>
    <cellStyle name="Overskrift 4 8 4" xfId="26203" xr:uid="{00000000-0005-0000-0000-00002C900000}"/>
    <cellStyle name="Overskrift 4 8 4 2" xfId="41590" xr:uid="{00000000-0005-0000-0000-00002D900000}"/>
    <cellStyle name="Overskrift 4 8 5" xfId="44778" xr:uid="{00000000-0005-0000-0000-00002E900000}"/>
    <cellStyle name="Overskrift 4 9" xfId="2363" xr:uid="{00000000-0005-0000-0000-00002F900000}"/>
    <cellStyle name="Overskrift 4 9 2" xfId="2364" xr:uid="{00000000-0005-0000-0000-000030900000}"/>
    <cellStyle name="Overskrift 4 9 2 2" xfId="26207" xr:uid="{00000000-0005-0000-0000-000031900000}"/>
    <cellStyle name="Overskrift 4 9 2 2 2" xfId="41593" xr:uid="{00000000-0005-0000-0000-000032900000}"/>
    <cellStyle name="Overskrift 4 9 2 3" xfId="44781" xr:uid="{00000000-0005-0000-0000-000033900000}"/>
    <cellStyle name="Overskrift 4 9 3" xfId="13047" xr:uid="{00000000-0005-0000-0000-000034900000}"/>
    <cellStyle name="Overskrift 4 9 3 2" xfId="26208" xr:uid="{00000000-0005-0000-0000-000035900000}"/>
    <cellStyle name="Overskrift 4 9 3 2 2" xfId="41594" xr:uid="{00000000-0005-0000-0000-000036900000}"/>
    <cellStyle name="Overskrift 4 9 3 3" xfId="44782" xr:uid="{00000000-0005-0000-0000-000037900000}"/>
    <cellStyle name="Overskrift 4 9 4" xfId="13046" xr:uid="{00000000-0005-0000-0000-000038900000}"/>
    <cellStyle name="Overskrift 4 9 5" xfId="26206" xr:uid="{00000000-0005-0000-0000-000039900000}"/>
    <cellStyle name="Percent 2" xfId="2365" xr:uid="{00000000-0005-0000-0000-00003B900000}"/>
    <cellStyle name="Percent 2 2" xfId="26209" xr:uid="{00000000-0005-0000-0000-00003C900000}"/>
    <cellStyle name="Percent 2 2 2" xfId="41595" xr:uid="{00000000-0005-0000-0000-00003D900000}"/>
    <cellStyle name="Percent 2 3" xfId="44783" xr:uid="{00000000-0005-0000-0000-00003E900000}"/>
    <cellStyle name="Percent 3" xfId="1083" xr:uid="{00000000-0005-0000-0000-00003F900000}"/>
    <cellStyle name="Percent 3 2" xfId="5370" xr:uid="{00000000-0005-0000-0000-000040900000}"/>
    <cellStyle name="Percent 3 2 2" xfId="8785" xr:uid="{00000000-0005-0000-0000-000041900000}"/>
    <cellStyle name="Percent 3 2 2 2" xfId="19515" xr:uid="{00000000-0005-0000-0000-000042900000}"/>
    <cellStyle name="Percent 3 2 2 2 2" xfId="35629" xr:uid="{00000000-0005-0000-0000-000043900000}"/>
    <cellStyle name="Percent 3 2 2 3" xfId="29013" xr:uid="{00000000-0005-0000-0000-000044900000}"/>
    <cellStyle name="Percent 3 2 3" xfId="10717" xr:uid="{00000000-0005-0000-0000-000045900000}"/>
    <cellStyle name="Percent 3 2 3 2" xfId="34565" xr:uid="{00000000-0005-0000-0000-000046900000}"/>
    <cellStyle name="Percent 3 2 4" xfId="32404" xr:uid="{00000000-0005-0000-0000-000047900000}"/>
    <cellStyle name="Percent 3 3" xfId="6967" xr:uid="{00000000-0005-0000-0000-000048900000}"/>
    <cellStyle name="Percent 3 3 2" xfId="22163" xr:uid="{00000000-0005-0000-0000-000049900000}"/>
    <cellStyle name="Percent 3 3 2 2" xfId="38237" xr:uid="{00000000-0005-0000-0000-00004A900000}"/>
    <cellStyle name="Percent 3 3 3" xfId="30831" xr:uid="{00000000-0005-0000-0000-00004B900000}"/>
    <cellStyle name="Percent 3 4" xfId="19846" xr:uid="{00000000-0005-0000-0000-00004C900000}"/>
    <cellStyle name="Percent 3 4 2" xfId="35959" xr:uid="{00000000-0005-0000-0000-00004D900000}"/>
    <cellStyle name="Percent 3 5" xfId="34219" xr:uid="{00000000-0005-0000-0000-00004E900000}"/>
    <cellStyle name="Percent 4" xfId="15110" xr:uid="{00000000-0005-0000-0000-00004F900000}"/>
    <cellStyle name="Percent 4 2" xfId="35305" xr:uid="{00000000-0005-0000-0000-000050900000}"/>
    <cellStyle name="Percent 5" xfId="47702" xr:uid="{00000000-0005-0000-0000-000051900000}"/>
    <cellStyle name="PriceHeading1" xfId="3674" xr:uid="{00000000-0005-0000-0000-000052900000}"/>
    <cellStyle name="PriceHeading1 2" xfId="26210" xr:uid="{00000000-0005-0000-0000-000053900000}"/>
    <cellStyle name="PriceHeading1 2 2" xfId="41596" xr:uid="{00000000-0005-0000-0000-000054900000}"/>
    <cellStyle name="PriceHeading1 3" xfId="44784" xr:uid="{00000000-0005-0000-0000-000055900000}"/>
    <cellStyle name="PriceHeading2" xfId="3675" xr:uid="{00000000-0005-0000-0000-000056900000}"/>
    <cellStyle name="PriceHeading2 2" xfId="26211" xr:uid="{00000000-0005-0000-0000-000057900000}"/>
    <cellStyle name="PriceHeading2 2 2" xfId="41597" xr:uid="{00000000-0005-0000-0000-000058900000}"/>
    <cellStyle name="PriceHeading2 3" xfId="44785" xr:uid="{00000000-0005-0000-0000-000059900000}"/>
    <cellStyle name="PriceUnprotected" xfId="3676" xr:uid="{00000000-0005-0000-0000-00005A900000}"/>
    <cellStyle name="PriceUnprotected 2" xfId="26212" xr:uid="{00000000-0005-0000-0000-00005B900000}"/>
    <cellStyle name="PriceUnprotected 2 2" xfId="41598" xr:uid="{00000000-0005-0000-0000-00005C900000}"/>
    <cellStyle name="PriceUnprotected 3" xfId="44786" xr:uid="{00000000-0005-0000-0000-00005D900000}"/>
    <cellStyle name="PriceYear" xfId="3677" xr:uid="{00000000-0005-0000-0000-00005E900000}"/>
    <cellStyle name="PriceYear 2" xfId="26213" xr:uid="{00000000-0005-0000-0000-00005F900000}"/>
    <cellStyle name="PriceYear 2 2" xfId="41599" xr:uid="{00000000-0005-0000-0000-000060900000}"/>
    <cellStyle name="PriceYear 3" xfId="44787" xr:uid="{00000000-0005-0000-0000-000061900000}"/>
    <cellStyle name="Prosent" xfId="2366" builtinId="5"/>
    <cellStyle name="Prosent 10" xfId="47699" xr:uid="{00000000-0005-0000-0000-000062900000}"/>
    <cellStyle name="Prosent 2" xfId="2367" xr:uid="{00000000-0005-0000-0000-000063900000}"/>
    <cellStyle name="Prosent 2 10" xfId="2368" xr:uid="{00000000-0005-0000-0000-000064900000}"/>
    <cellStyle name="Prosent 2 10 2" xfId="13049" xr:uid="{00000000-0005-0000-0000-000065900000}"/>
    <cellStyle name="Prosent 2 10 2 2" xfId="26215" xr:uid="{00000000-0005-0000-0000-000066900000}"/>
    <cellStyle name="Prosent 2 10 2 2 2" xfId="41602" xr:uid="{00000000-0005-0000-0000-000067900000}"/>
    <cellStyle name="Prosent 2 10 2 3" xfId="44789" xr:uid="{00000000-0005-0000-0000-000068900000}"/>
    <cellStyle name="Prosent 2 10 3" xfId="13050" xr:uid="{00000000-0005-0000-0000-000069900000}"/>
    <cellStyle name="Prosent 2 10 3 2" xfId="26216" xr:uid="{00000000-0005-0000-0000-00006A900000}"/>
    <cellStyle name="Prosent 2 10 3 2 2" xfId="41603" xr:uid="{00000000-0005-0000-0000-00006B900000}"/>
    <cellStyle name="Prosent 2 10 3 3" xfId="44790" xr:uid="{00000000-0005-0000-0000-00006C900000}"/>
    <cellStyle name="Prosent 2 10 4" xfId="26214" xr:uid="{00000000-0005-0000-0000-00006D900000}"/>
    <cellStyle name="Prosent 2 10 4 2" xfId="41601" xr:uid="{00000000-0005-0000-0000-00006E900000}"/>
    <cellStyle name="Prosent 2 10 5" xfId="44788" xr:uid="{00000000-0005-0000-0000-00006F900000}"/>
    <cellStyle name="Prosent 2 11" xfId="2369" xr:uid="{00000000-0005-0000-0000-000070900000}"/>
    <cellStyle name="Prosent 2 11 2" xfId="13051" xr:uid="{00000000-0005-0000-0000-000071900000}"/>
    <cellStyle name="Prosent 2 11 2 2" xfId="26218" xr:uid="{00000000-0005-0000-0000-000072900000}"/>
    <cellStyle name="Prosent 2 11 2 2 2" xfId="41605" xr:uid="{00000000-0005-0000-0000-000073900000}"/>
    <cellStyle name="Prosent 2 11 2 3" xfId="44792" xr:uid="{00000000-0005-0000-0000-000074900000}"/>
    <cellStyle name="Prosent 2 11 3" xfId="13052" xr:uid="{00000000-0005-0000-0000-000075900000}"/>
    <cellStyle name="Prosent 2 11 3 2" xfId="26219" xr:uid="{00000000-0005-0000-0000-000076900000}"/>
    <cellStyle name="Prosent 2 11 3 2 2" xfId="41606" xr:uid="{00000000-0005-0000-0000-000077900000}"/>
    <cellStyle name="Prosent 2 11 3 3" xfId="44793" xr:uid="{00000000-0005-0000-0000-000078900000}"/>
    <cellStyle name="Prosent 2 11 4" xfId="26217" xr:uid="{00000000-0005-0000-0000-000079900000}"/>
    <cellStyle name="Prosent 2 11 4 2" xfId="41604" xr:uid="{00000000-0005-0000-0000-00007A900000}"/>
    <cellStyle name="Prosent 2 11 5" xfId="44791" xr:uid="{00000000-0005-0000-0000-00007B900000}"/>
    <cellStyle name="Prosent 2 12" xfId="2370" xr:uid="{00000000-0005-0000-0000-00007C900000}"/>
    <cellStyle name="Prosent 2 12 2" xfId="13053" xr:uid="{00000000-0005-0000-0000-00007D900000}"/>
    <cellStyle name="Prosent 2 12 2 2" xfId="26221" xr:uid="{00000000-0005-0000-0000-00007E900000}"/>
    <cellStyle name="Prosent 2 12 2 2 2" xfId="41608" xr:uid="{00000000-0005-0000-0000-00007F900000}"/>
    <cellStyle name="Prosent 2 12 2 3" xfId="44795" xr:uid="{00000000-0005-0000-0000-000080900000}"/>
    <cellStyle name="Prosent 2 12 3" xfId="13054" xr:uid="{00000000-0005-0000-0000-000081900000}"/>
    <cellStyle name="Prosent 2 12 3 2" xfId="26222" xr:uid="{00000000-0005-0000-0000-000082900000}"/>
    <cellStyle name="Prosent 2 12 3 2 2" xfId="41609" xr:uid="{00000000-0005-0000-0000-000083900000}"/>
    <cellStyle name="Prosent 2 12 3 3" xfId="44796" xr:uid="{00000000-0005-0000-0000-000084900000}"/>
    <cellStyle name="Prosent 2 12 4" xfId="26220" xr:uid="{00000000-0005-0000-0000-000085900000}"/>
    <cellStyle name="Prosent 2 12 4 2" xfId="41607" xr:uid="{00000000-0005-0000-0000-000086900000}"/>
    <cellStyle name="Prosent 2 12 5" xfId="44794" xr:uid="{00000000-0005-0000-0000-000087900000}"/>
    <cellStyle name="Prosent 2 13" xfId="2371" xr:uid="{00000000-0005-0000-0000-000088900000}"/>
    <cellStyle name="Prosent 2 13 2" xfId="2372" xr:uid="{00000000-0005-0000-0000-000089900000}"/>
    <cellStyle name="Prosent 2 13 2 2" xfId="13055" xr:uid="{00000000-0005-0000-0000-00008A900000}"/>
    <cellStyle name="Prosent 2 13 2 2 2" xfId="26225" xr:uid="{00000000-0005-0000-0000-00008B900000}"/>
    <cellStyle name="Prosent 2 13 2 2 2 2" xfId="41612" xr:uid="{00000000-0005-0000-0000-00008C900000}"/>
    <cellStyle name="Prosent 2 13 2 2 3" xfId="44799" xr:uid="{00000000-0005-0000-0000-00008D900000}"/>
    <cellStyle name="Prosent 2 13 2 3" xfId="26224" xr:uid="{00000000-0005-0000-0000-00008E900000}"/>
    <cellStyle name="Prosent 2 13 2 3 2" xfId="41611" xr:uid="{00000000-0005-0000-0000-00008F900000}"/>
    <cellStyle name="Prosent 2 13 2 4" xfId="44798" xr:uid="{00000000-0005-0000-0000-000090900000}"/>
    <cellStyle name="Prosent 2 13 3" xfId="2373" xr:uid="{00000000-0005-0000-0000-000091900000}"/>
    <cellStyle name="Prosent 2 13 3 2" xfId="2374" xr:uid="{00000000-0005-0000-0000-000092900000}"/>
    <cellStyle name="Prosent 2 13 3 2 2" xfId="13056" xr:uid="{00000000-0005-0000-0000-000093900000}"/>
    <cellStyle name="Prosent 2 13 3 2 2 2" xfId="26228" xr:uid="{00000000-0005-0000-0000-000094900000}"/>
    <cellStyle name="Prosent 2 13 3 2 2 2 2" xfId="41615" xr:uid="{00000000-0005-0000-0000-000095900000}"/>
    <cellStyle name="Prosent 2 13 3 2 2 3" xfId="44802" xr:uid="{00000000-0005-0000-0000-000096900000}"/>
    <cellStyle name="Prosent 2 13 3 2 3" xfId="26227" xr:uid="{00000000-0005-0000-0000-000097900000}"/>
    <cellStyle name="Prosent 2 13 3 2 3 2" xfId="41614" xr:uid="{00000000-0005-0000-0000-000098900000}"/>
    <cellStyle name="Prosent 2 13 3 2 4" xfId="44801" xr:uid="{00000000-0005-0000-0000-000099900000}"/>
    <cellStyle name="Prosent 2 13 3 3" xfId="2375" xr:uid="{00000000-0005-0000-0000-00009A900000}"/>
    <cellStyle name="Prosent 2 13 3 3 2" xfId="2376" xr:uid="{00000000-0005-0000-0000-00009B900000}"/>
    <cellStyle name="Prosent 2 13 3 3 2 2" xfId="13057" xr:uid="{00000000-0005-0000-0000-00009C900000}"/>
    <cellStyle name="Prosent 2 13 3 3 2 2 2" xfId="26231" xr:uid="{00000000-0005-0000-0000-00009D900000}"/>
    <cellStyle name="Prosent 2 13 3 3 2 2 2 2" xfId="41618" xr:uid="{00000000-0005-0000-0000-00009E900000}"/>
    <cellStyle name="Prosent 2 13 3 3 2 2 3" xfId="44805" xr:uid="{00000000-0005-0000-0000-00009F900000}"/>
    <cellStyle name="Prosent 2 13 3 3 2 3" xfId="26230" xr:uid="{00000000-0005-0000-0000-0000A0900000}"/>
    <cellStyle name="Prosent 2 13 3 3 2 3 2" xfId="41617" xr:uid="{00000000-0005-0000-0000-0000A1900000}"/>
    <cellStyle name="Prosent 2 13 3 3 2 4" xfId="44804" xr:uid="{00000000-0005-0000-0000-0000A2900000}"/>
    <cellStyle name="Prosent 2 13 3 3 3" xfId="13058" xr:uid="{00000000-0005-0000-0000-0000A3900000}"/>
    <cellStyle name="Prosent 2 13 3 3 3 2" xfId="26232" xr:uid="{00000000-0005-0000-0000-0000A4900000}"/>
    <cellStyle name="Prosent 2 13 3 3 3 2 2" xfId="41619" xr:uid="{00000000-0005-0000-0000-0000A5900000}"/>
    <cellStyle name="Prosent 2 13 3 3 3 3" xfId="44806" xr:uid="{00000000-0005-0000-0000-0000A6900000}"/>
    <cellStyle name="Prosent 2 13 3 3 4" xfId="26229" xr:uid="{00000000-0005-0000-0000-0000A7900000}"/>
    <cellStyle name="Prosent 2 13 3 3 4 2" xfId="41616" xr:uid="{00000000-0005-0000-0000-0000A8900000}"/>
    <cellStyle name="Prosent 2 13 3 3 5" xfId="44803" xr:uid="{00000000-0005-0000-0000-0000A9900000}"/>
    <cellStyle name="Prosent 2 13 3 4" xfId="2377" xr:uid="{00000000-0005-0000-0000-0000AA900000}"/>
    <cellStyle name="Prosent 2 13 3 4 2" xfId="2378" xr:uid="{00000000-0005-0000-0000-0000AB900000}"/>
    <cellStyle name="Prosent 2 13 3 4 2 2" xfId="13059" xr:uid="{00000000-0005-0000-0000-0000AC900000}"/>
    <cellStyle name="Prosent 2 13 3 4 2 2 2" xfId="26235" xr:uid="{00000000-0005-0000-0000-0000AD900000}"/>
    <cellStyle name="Prosent 2 13 3 4 2 2 2 2" xfId="41622" xr:uid="{00000000-0005-0000-0000-0000AE900000}"/>
    <cellStyle name="Prosent 2 13 3 4 2 2 3" xfId="44809" xr:uid="{00000000-0005-0000-0000-0000AF900000}"/>
    <cellStyle name="Prosent 2 13 3 4 2 3" xfId="26234" xr:uid="{00000000-0005-0000-0000-0000B0900000}"/>
    <cellStyle name="Prosent 2 13 3 4 2 3 2" xfId="41621" xr:uid="{00000000-0005-0000-0000-0000B1900000}"/>
    <cellStyle name="Prosent 2 13 3 4 2 4" xfId="44808" xr:uid="{00000000-0005-0000-0000-0000B2900000}"/>
    <cellStyle name="Prosent 2 13 3 4 3" xfId="2379" xr:uid="{00000000-0005-0000-0000-0000B3900000}"/>
    <cellStyle name="Prosent 2 13 3 4 3 2" xfId="13060" xr:uid="{00000000-0005-0000-0000-0000B4900000}"/>
    <cellStyle name="Prosent 2 13 3 4 3 2 2" xfId="26237" xr:uid="{00000000-0005-0000-0000-0000B5900000}"/>
    <cellStyle name="Prosent 2 13 3 4 3 2 2 2" xfId="41624" xr:uid="{00000000-0005-0000-0000-0000B6900000}"/>
    <cellStyle name="Prosent 2 13 3 4 3 2 3" xfId="44811" xr:uid="{00000000-0005-0000-0000-0000B7900000}"/>
    <cellStyle name="Prosent 2 13 3 4 3 3" xfId="26236" xr:uid="{00000000-0005-0000-0000-0000B8900000}"/>
    <cellStyle name="Prosent 2 13 3 4 3 3 2" xfId="41623" xr:uid="{00000000-0005-0000-0000-0000B9900000}"/>
    <cellStyle name="Prosent 2 13 3 4 3 4" xfId="44810" xr:uid="{00000000-0005-0000-0000-0000BA900000}"/>
    <cellStyle name="Prosent 2 13 3 4 4" xfId="13061" xr:uid="{00000000-0005-0000-0000-0000BB900000}"/>
    <cellStyle name="Prosent 2 13 3 4 4 2" xfId="26238" xr:uid="{00000000-0005-0000-0000-0000BC900000}"/>
    <cellStyle name="Prosent 2 13 3 4 4 2 2" xfId="41625" xr:uid="{00000000-0005-0000-0000-0000BD900000}"/>
    <cellStyle name="Prosent 2 13 3 4 4 3" xfId="44812" xr:uid="{00000000-0005-0000-0000-0000BE900000}"/>
    <cellStyle name="Prosent 2 13 3 4 5" xfId="26233" xr:uid="{00000000-0005-0000-0000-0000BF900000}"/>
    <cellStyle name="Prosent 2 13 3 4 5 2" xfId="41620" xr:uid="{00000000-0005-0000-0000-0000C0900000}"/>
    <cellStyle name="Prosent 2 13 3 4 6" xfId="44807" xr:uid="{00000000-0005-0000-0000-0000C1900000}"/>
    <cellStyle name="Prosent 2 13 3 5" xfId="2380" xr:uid="{00000000-0005-0000-0000-0000C2900000}"/>
    <cellStyle name="Prosent 2 13 3 5 2" xfId="2381" xr:uid="{00000000-0005-0000-0000-0000C3900000}"/>
    <cellStyle name="Prosent 2 13 3 5 2 2" xfId="13062" xr:uid="{00000000-0005-0000-0000-0000C4900000}"/>
    <cellStyle name="Prosent 2 13 3 5 2 2 2" xfId="26241" xr:uid="{00000000-0005-0000-0000-0000C5900000}"/>
    <cellStyle name="Prosent 2 13 3 5 2 2 2 2" xfId="41628" xr:uid="{00000000-0005-0000-0000-0000C6900000}"/>
    <cellStyle name="Prosent 2 13 3 5 2 2 3" xfId="44815" xr:uid="{00000000-0005-0000-0000-0000C7900000}"/>
    <cellStyle name="Prosent 2 13 3 5 2 3" xfId="26240" xr:uid="{00000000-0005-0000-0000-0000C8900000}"/>
    <cellStyle name="Prosent 2 13 3 5 2 3 2" xfId="41627" xr:uid="{00000000-0005-0000-0000-0000C9900000}"/>
    <cellStyle name="Prosent 2 13 3 5 2 4" xfId="44814" xr:uid="{00000000-0005-0000-0000-0000CA900000}"/>
    <cellStyle name="Prosent 2 13 3 5 3" xfId="13063" xr:uid="{00000000-0005-0000-0000-0000CB900000}"/>
    <cellStyle name="Prosent 2 13 3 5 3 2" xfId="26242" xr:uid="{00000000-0005-0000-0000-0000CC900000}"/>
    <cellStyle name="Prosent 2 13 3 5 3 2 2" xfId="41629" xr:uid="{00000000-0005-0000-0000-0000CD900000}"/>
    <cellStyle name="Prosent 2 13 3 5 3 3" xfId="44816" xr:uid="{00000000-0005-0000-0000-0000CE900000}"/>
    <cellStyle name="Prosent 2 13 3 5 4" xfId="26239" xr:uid="{00000000-0005-0000-0000-0000CF900000}"/>
    <cellStyle name="Prosent 2 13 3 5 4 2" xfId="41626" xr:uid="{00000000-0005-0000-0000-0000D0900000}"/>
    <cellStyle name="Prosent 2 13 3 5 5" xfId="44813" xr:uid="{00000000-0005-0000-0000-0000D1900000}"/>
    <cellStyle name="Prosent 2 13 3 6" xfId="13064" xr:uid="{00000000-0005-0000-0000-0000D2900000}"/>
    <cellStyle name="Prosent 2 13 3 6 2" xfId="26243" xr:uid="{00000000-0005-0000-0000-0000D3900000}"/>
    <cellStyle name="Prosent 2 13 3 6 2 2" xfId="41630" xr:uid="{00000000-0005-0000-0000-0000D4900000}"/>
    <cellStyle name="Prosent 2 13 3 6 3" xfId="44817" xr:uid="{00000000-0005-0000-0000-0000D5900000}"/>
    <cellStyle name="Prosent 2 13 3 7" xfId="26226" xr:uid="{00000000-0005-0000-0000-0000D6900000}"/>
    <cellStyle name="Prosent 2 13 3 7 2" xfId="41613" xr:uid="{00000000-0005-0000-0000-0000D7900000}"/>
    <cellStyle name="Prosent 2 13 3 8" xfId="44800" xr:uid="{00000000-0005-0000-0000-0000D8900000}"/>
    <cellStyle name="Prosent 2 13 4" xfId="2382" xr:uid="{00000000-0005-0000-0000-0000D9900000}"/>
    <cellStyle name="Prosent 2 13 4 2" xfId="13065" xr:uid="{00000000-0005-0000-0000-0000DA900000}"/>
    <cellStyle name="Prosent 2 13 4 2 2" xfId="26245" xr:uid="{00000000-0005-0000-0000-0000DB900000}"/>
    <cellStyle name="Prosent 2 13 4 2 2 2" xfId="41632" xr:uid="{00000000-0005-0000-0000-0000DC900000}"/>
    <cellStyle name="Prosent 2 13 4 2 3" xfId="44819" xr:uid="{00000000-0005-0000-0000-0000DD900000}"/>
    <cellStyle name="Prosent 2 13 4 3" xfId="26244" xr:uid="{00000000-0005-0000-0000-0000DE900000}"/>
    <cellStyle name="Prosent 2 13 4 3 2" xfId="41631" xr:uid="{00000000-0005-0000-0000-0000DF900000}"/>
    <cellStyle name="Prosent 2 13 4 4" xfId="44818" xr:uid="{00000000-0005-0000-0000-0000E0900000}"/>
    <cellStyle name="Prosent 2 13 5" xfId="2383" xr:uid="{00000000-0005-0000-0000-0000E1900000}"/>
    <cellStyle name="Prosent 2 13 5 2" xfId="2384" xr:uid="{00000000-0005-0000-0000-0000E2900000}"/>
    <cellStyle name="Prosent 2 13 5 2 2" xfId="13067" xr:uid="{00000000-0005-0000-0000-0000E3900000}"/>
    <cellStyle name="Prosent 2 13 5 2 2 2" xfId="26248" xr:uid="{00000000-0005-0000-0000-0000E4900000}"/>
    <cellStyle name="Prosent 2 13 5 2 2 2 2" xfId="41634" xr:uid="{00000000-0005-0000-0000-0000E5900000}"/>
    <cellStyle name="Prosent 2 13 5 2 2 3" xfId="44821" xr:uid="{00000000-0005-0000-0000-0000E6900000}"/>
    <cellStyle name="Prosent 2 13 5 2 3" xfId="26247" xr:uid="{00000000-0005-0000-0000-0000E7900000}"/>
    <cellStyle name="Prosent 2 13 5 2 3 2" xfId="41633" xr:uid="{00000000-0005-0000-0000-0000E8900000}"/>
    <cellStyle name="Prosent 2 13 5 2 4" xfId="44820" xr:uid="{00000000-0005-0000-0000-0000E9900000}"/>
    <cellStyle name="Prosent 2 13 5 3" xfId="13068" xr:uid="{00000000-0005-0000-0000-0000EA900000}"/>
    <cellStyle name="Prosent 2 13 5 3 2" xfId="26249" xr:uid="{00000000-0005-0000-0000-0000EB900000}"/>
    <cellStyle name="Prosent 2 13 5 3 2 2" xfId="41635" xr:uid="{00000000-0005-0000-0000-0000EC900000}"/>
    <cellStyle name="Prosent 2 13 5 3 3" xfId="44822" xr:uid="{00000000-0005-0000-0000-0000ED900000}"/>
    <cellStyle name="Prosent 2 13 5 4" xfId="13069" xr:uid="{00000000-0005-0000-0000-0000EE900000}"/>
    <cellStyle name="Prosent 2 13 5 4 2" xfId="26250" xr:uid="{00000000-0005-0000-0000-0000EF900000}"/>
    <cellStyle name="Prosent 2 13 5 4 2 2" xfId="41636" xr:uid="{00000000-0005-0000-0000-0000F0900000}"/>
    <cellStyle name="Prosent 2 13 5 4 3" xfId="44823" xr:uid="{00000000-0005-0000-0000-0000F1900000}"/>
    <cellStyle name="Prosent 2 13 5 5" xfId="13066" xr:uid="{00000000-0005-0000-0000-0000F2900000}"/>
    <cellStyle name="Prosent 2 13 5 6" xfId="26246" xr:uid="{00000000-0005-0000-0000-0000F3900000}"/>
    <cellStyle name="Prosent 2 13 6" xfId="13070" xr:uid="{00000000-0005-0000-0000-0000F4900000}"/>
    <cellStyle name="Prosent 2 13 6 2" xfId="26251" xr:uid="{00000000-0005-0000-0000-0000F5900000}"/>
    <cellStyle name="Prosent 2 13 6 2 2" xfId="41637" xr:uid="{00000000-0005-0000-0000-0000F6900000}"/>
    <cellStyle name="Prosent 2 13 6 3" xfId="44824" xr:uid="{00000000-0005-0000-0000-0000F7900000}"/>
    <cellStyle name="Prosent 2 13 7" xfId="26223" xr:uid="{00000000-0005-0000-0000-0000F8900000}"/>
    <cellStyle name="Prosent 2 13 7 2" xfId="41610" xr:uid="{00000000-0005-0000-0000-0000F9900000}"/>
    <cellStyle name="Prosent 2 13 8" xfId="44797" xr:uid="{00000000-0005-0000-0000-0000FA900000}"/>
    <cellStyle name="Prosent 2 14" xfId="2385" xr:uid="{00000000-0005-0000-0000-0000FB900000}"/>
    <cellStyle name="Prosent 2 14 2" xfId="26252" xr:uid="{00000000-0005-0000-0000-0000FC900000}"/>
    <cellStyle name="Prosent 2 14 2 2" xfId="41638" xr:uid="{00000000-0005-0000-0000-0000FD900000}"/>
    <cellStyle name="Prosent 2 14 3" xfId="44825" xr:uid="{00000000-0005-0000-0000-0000FE900000}"/>
    <cellStyle name="Prosent 2 15" xfId="2386" xr:uid="{00000000-0005-0000-0000-0000FF900000}"/>
    <cellStyle name="Prosent 2 15 2" xfId="26253" xr:uid="{00000000-0005-0000-0000-000000910000}"/>
    <cellStyle name="Prosent 2 15 2 2" xfId="41639" xr:uid="{00000000-0005-0000-0000-000001910000}"/>
    <cellStyle name="Prosent 2 15 3" xfId="44826" xr:uid="{00000000-0005-0000-0000-000002910000}"/>
    <cellStyle name="Prosent 2 16" xfId="2387" xr:uid="{00000000-0005-0000-0000-000003910000}"/>
    <cellStyle name="Prosent 2 16 2" xfId="26254" xr:uid="{00000000-0005-0000-0000-000004910000}"/>
    <cellStyle name="Prosent 2 16 2 2" xfId="41640" xr:uid="{00000000-0005-0000-0000-000005910000}"/>
    <cellStyle name="Prosent 2 16 3" xfId="44827" xr:uid="{00000000-0005-0000-0000-000006910000}"/>
    <cellStyle name="Prosent 2 17" xfId="2388" xr:uid="{00000000-0005-0000-0000-000007910000}"/>
    <cellStyle name="Prosent 2 17 2" xfId="26255" xr:uid="{00000000-0005-0000-0000-000008910000}"/>
    <cellStyle name="Prosent 2 17 2 2" xfId="41641" xr:uid="{00000000-0005-0000-0000-000009910000}"/>
    <cellStyle name="Prosent 2 17 3" xfId="44828" xr:uid="{00000000-0005-0000-0000-00000A910000}"/>
    <cellStyle name="Prosent 2 18" xfId="13071" xr:uid="{00000000-0005-0000-0000-00000B910000}"/>
    <cellStyle name="Prosent 2 18 2" xfId="26256" xr:uid="{00000000-0005-0000-0000-00000C910000}"/>
    <cellStyle name="Prosent 2 18 2 2" xfId="41642" xr:uid="{00000000-0005-0000-0000-00000D910000}"/>
    <cellStyle name="Prosent 2 18 3" xfId="44829" xr:uid="{00000000-0005-0000-0000-00000E910000}"/>
    <cellStyle name="Prosent 2 19" xfId="13072" xr:uid="{00000000-0005-0000-0000-00000F910000}"/>
    <cellStyle name="Prosent 2 19 2" xfId="26257" xr:uid="{00000000-0005-0000-0000-000010910000}"/>
    <cellStyle name="Prosent 2 19 2 2" xfId="41643" xr:uid="{00000000-0005-0000-0000-000011910000}"/>
    <cellStyle name="Prosent 2 19 3" xfId="44830" xr:uid="{00000000-0005-0000-0000-000012910000}"/>
    <cellStyle name="Prosent 2 2" xfId="2389" xr:uid="{00000000-0005-0000-0000-000013910000}"/>
    <cellStyle name="Prosent 2 2 10" xfId="13073" xr:uid="{00000000-0005-0000-0000-000014910000}"/>
    <cellStyle name="Prosent 2 2 10 2" xfId="26258" xr:uid="{00000000-0005-0000-0000-000015910000}"/>
    <cellStyle name="Prosent 2 2 10 2 2" xfId="41644" xr:uid="{00000000-0005-0000-0000-000016910000}"/>
    <cellStyle name="Prosent 2 2 10 3" xfId="44831" xr:uid="{00000000-0005-0000-0000-000017910000}"/>
    <cellStyle name="Prosent 2 2 11" xfId="13074" xr:uid="{00000000-0005-0000-0000-000018910000}"/>
    <cellStyle name="Prosent 2 2 11 2" xfId="26259" xr:uid="{00000000-0005-0000-0000-000019910000}"/>
    <cellStyle name="Prosent 2 2 11 2 2" xfId="41645" xr:uid="{00000000-0005-0000-0000-00001A910000}"/>
    <cellStyle name="Prosent 2 2 11 3" xfId="44832" xr:uid="{00000000-0005-0000-0000-00001B910000}"/>
    <cellStyle name="Prosent 2 2 12" xfId="13075" xr:uid="{00000000-0005-0000-0000-00001C910000}"/>
    <cellStyle name="Prosent 2 2 12 2" xfId="26260" xr:uid="{00000000-0005-0000-0000-00001D910000}"/>
    <cellStyle name="Prosent 2 2 12 2 2" xfId="41646" xr:uid="{00000000-0005-0000-0000-00001E910000}"/>
    <cellStyle name="Prosent 2 2 12 3" xfId="44833" xr:uid="{00000000-0005-0000-0000-00001F910000}"/>
    <cellStyle name="Prosent 2 2 13" xfId="13076" xr:uid="{00000000-0005-0000-0000-000020910000}"/>
    <cellStyle name="Prosent 2 2 13 2" xfId="26261" xr:uid="{00000000-0005-0000-0000-000021910000}"/>
    <cellStyle name="Prosent 2 2 13 2 2" xfId="41647" xr:uid="{00000000-0005-0000-0000-000022910000}"/>
    <cellStyle name="Prosent 2 2 13 3" xfId="44834" xr:uid="{00000000-0005-0000-0000-000023910000}"/>
    <cellStyle name="Prosent 2 2 14" xfId="13077" xr:uid="{00000000-0005-0000-0000-000024910000}"/>
    <cellStyle name="Prosent 2 2 14 2" xfId="26262" xr:uid="{00000000-0005-0000-0000-000025910000}"/>
    <cellStyle name="Prosent 2 2 14 2 2" xfId="41648" xr:uid="{00000000-0005-0000-0000-000026910000}"/>
    <cellStyle name="Prosent 2 2 14 3" xfId="44835" xr:uid="{00000000-0005-0000-0000-000027910000}"/>
    <cellStyle name="Prosent 2 2 15" xfId="13078" xr:uid="{00000000-0005-0000-0000-000028910000}"/>
    <cellStyle name="Prosent 2 2 15 2" xfId="26263" xr:uid="{00000000-0005-0000-0000-000029910000}"/>
    <cellStyle name="Prosent 2 2 15 2 2" xfId="41649" xr:uid="{00000000-0005-0000-0000-00002A910000}"/>
    <cellStyle name="Prosent 2 2 15 3" xfId="44836" xr:uid="{00000000-0005-0000-0000-00002B910000}"/>
    <cellStyle name="Prosent 2 2 16" xfId="13079" xr:uid="{00000000-0005-0000-0000-00002C910000}"/>
    <cellStyle name="Prosent 2 2 16 2" xfId="26264" xr:uid="{00000000-0005-0000-0000-00002D910000}"/>
    <cellStyle name="Prosent 2 2 16 2 2" xfId="41650" xr:uid="{00000000-0005-0000-0000-00002E910000}"/>
    <cellStyle name="Prosent 2 2 16 3" xfId="44837" xr:uid="{00000000-0005-0000-0000-00002F910000}"/>
    <cellStyle name="Prosent 2 2 17" xfId="13080" xr:uid="{00000000-0005-0000-0000-000030910000}"/>
    <cellStyle name="Prosent 2 2 17 2" xfId="26265" xr:uid="{00000000-0005-0000-0000-000031910000}"/>
    <cellStyle name="Prosent 2 2 17 2 2" xfId="41651" xr:uid="{00000000-0005-0000-0000-000032910000}"/>
    <cellStyle name="Prosent 2 2 17 3" xfId="44838" xr:uid="{00000000-0005-0000-0000-000033910000}"/>
    <cellStyle name="Prosent 2 2 18" xfId="13081" xr:uid="{00000000-0005-0000-0000-000034910000}"/>
    <cellStyle name="Prosent 2 2 18 2" xfId="26266" xr:uid="{00000000-0005-0000-0000-000035910000}"/>
    <cellStyle name="Prosent 2 2 18 2 2" xfId="41652" xr:uid="{00000000-0005-0000-0000-000036910000}"/>
    <cellStyle name="Prosent 2 2 18 3" xfId="44839" xr:uid="{00000000-0005-0000-0000-000037910000}"/>
    <cellStyle name="Prosent 2 2 19" xfId="13082" xr:uid="{00000000-0005-0000-0000-000038910000}"/>
    <cellStyle name="Prosent 2 2 19 2" xfId="26267" xr:uid="{00000000-0005-0000-0000-000039910000}"/>
    <cellStyle name="Prosent 2 2 19 2 2" xfId="41653" xr:uid="{00000000-0005-0000-0000-00003A910000}"/>
    <cellStyle name="Prosent 2 2 19 3" xfId="44840" xr:uid="{00000000-0005-0000-0000-00003B910000}"/>
    <cellStyle name="Prosent 2 2 2" xfId="2390" xr:uid="{00000000-0005-0000-0000-00003C910000}"/>
    <cellStyle name="Prosent 2 2 2 2" xfId="2391" xr:uid="{00000000-0005-0000-0000-00003D910000}"/>
    <cellStyle name="Prosent 2 2 2 2 2" xfId="26268" xr:uid="{00000000-0005-0000-0000-00003E910000}"/>
    <cellStyle name="Prosent 2 2 2 2 2 2" xfId="41655" xr:uid="{00000000-0005-0000-0000-00003F910000}"/>
    <cellStyle name="Prosent 2 2 2 2 3" xfId="44841" xr:uid="{00000000-0005-0000-0000-000040910000}"/>
    <cellStyle name="Prosent 2 2 2 3" xfId="2392" xr:uid="{00000000-0005-0000-0000-000041910000}"/>
    <cellStyle name="Prosent 2 2 2 3 2" xfId="26269" xr:uid="{00000000-0005-0000-0000-000042910000}"/>
    <cellStyle name="Prosent 2 2 2 3 2 2" xfId="41656" xr:uid="{00000000-0005-0000-0000-000043910000}"/>
    <cellStyle name="Prosent 2 2 2 3 3" xfId="44842" xr:uid="{00000000-0005-0000-0000-000044910000}"/>
    <cellStyle name="Prosent 2 2 2 4" xfId="2393" xr:uid="{00000000-0005-0000-0000-000045910000}"/>
    <cellStyle name="Prosent 2 2 2 4 10" xfId="2394" xr:uid="{00000000-0005-0000-0000-000046910000}"/>
    <cellStyle name="Prosent 2 2 2 4 10 2" xfId="2395" xr:uid="{00000000-0005-0000-0000-000047910000}"/>
    <cellStyle name="Prosent 2 2 2 4 10 2 2" xfId="26271" xr:uid="{00000000-0005-0000-0000-000048910000}"/>
    <cellStyle name="Prosent 2 2 2 4 10 2 2 2" xfId="41659" xr:uid="{00000000-0005-0000-0000-000049910000}"/>
    <cellStyle name="Prosent 2 2 2 4 10 2 3" xfId="44844" xr:uid="{00000000-0005-0000-0000-00004A910000}"/>
    <cellStyle name="Prosent 2 2 2 4 10 3" xfId="26270" xr:uid="{00000000-0005-0000-0000-00004B910000}"/>
    <cellStyle name="Prosent 2 2 2 4 10 3 2" xfId="41658" xr:uid="{00000000-0005-0000-0000-00004C910000}"/>
    <cellStyle name="Prosent 2 2 2 4 10 4" xfId="44843" xr:uid="{00000000-0005-0000-0000-00004D910000}"/>
    <cellStyle name="Prosent 2 2 2 4 11" xfId="2396" xr:uid="{00000000-0005-0000-0000-00004E910000}"/>
    <cellStyle name="Prosent 2 2 2 4 11 2" xfId="2397" xr:uid="{00000000-0005-0000-0000-00004F910000}"/>
    <cellStyle name="Prosent 2 2 2 4 11 2 2" xfId="26273" xr:uid="{00000000-0005-0000-0000-000050910000}"/>
    <cellStyle name="Prosent 2 2 2 4 11 2 2 2" xfId="41661" xr:uid="{00000000-0005-0000-0000-000051910000}"/>
    <cellStyle name="Prosent 2 2 2 4 11 2 3" xfId="44846" xr:uid="{00000000-0005-0000-0000-000052910000}"/>
    <cellStyle name="Prosent 2 2 2 4 11 3" xfId="26272" xr:uid="{00000000-0005-0000-0000-000053910000}"/>
    <cellStyle name="Prosent 2 2 2 4 11 3 2" xfId="41660" xr:uid="{00000000-0005-0000-0000-000054910000}"/>
    <cellStyle name="Prosent 2 2 2 4 11 4" xfId="44845" xr:uid="{00000000-0005-0000-0000-000055910000}"/>
    <cellStyle name="Prosent 2 2 2 4 12" xfId="13083" xr:uid="{00000000-0005-0000-0000-000056910000}"/>
    <cellStyle name="Prosent 2 2 2 4 12 2" xfId="18221" xr:uid="{00000000-0005-0000-0000-000057910000}"/>
    <cellStyle name="Prosent 2 2 2 4 12 2 2" xfId="26275" xr:uid="{00000000-0005-0000-0000-000058910000}"/>
    <cellStyle name="Prosent 2 2 2 4 12 2 2 2" xfId="43124" xr:uid="{00000000-0005-0000-0000-000059910000}"/>
    <cellStyle name="Prosent 2 2 2 4 12 2 3" xfId="44848" xr:uid="{00000000-0005-0000-0000-00005A910000}"/>
    <cellStyle name="Prosent 2 2 2 4 12 3" xfId="15461" xr:uid="{00000000-0005-0000-0000-00005B910000}"/>
    <cellStyle name="Prosent 2 2 2 4 12 3 2" xfId="24984" xr:uid="{00000000-0005-0000-0000-00005C910000}"/>
    <cellStyle name="Prosent 2 2 2 4 12 3 2 2" xfId="42017" xr:uid="{00000000-0005-0000-0000-00005D910000}"/>
    <cellStyle name="Prosent 2 2 2 4 12 3 2 3" xfId="43248" xr:uid="{00000000-0005-0000-0000-00005E910000}"/>
    <cellStyle name="Prosent 2 2 2 4 12 3 2 4" xfId="46094" xr:uid="{00000000-0005-0000-0000-00005F910000}"/>
    <cellStyle name="Prosent 2 2 2 4 12 3 2 5" xfId="46861" xr:uid="{00000000-0005-0000-0000-000060910000}"/>
    <cellStyle name="Prosent 2 2 2 4 12 3 2 6" xfId="47448" xr:uid="{00000000-0005-0000-0000-000061910000}"/>
    <cellStyle name="Prosent 2 2 2 4 12 3 3" xfId="26276" xr:uid="{00000000-0005-0000-0000-000062910000}"/>
    <cellStyle name="Prosent 2 2 2 4 12 3 4" xfId="35343" xr:uid="{00000000-0005-0000-0000-000063910000}"/>
    <cellStyle name="Prosent 2 2 2 4 12 3 5" xfId="43704" xr:uid="{00000000-0005-0000-0000-000064910000}"/>
    <cellStyle name="Prosent 2 2 2 4 12 3 6" xfId="46622" xr:uid="{00000000-0005-0000-0000-000065910000}"/>
    <cellStyle name="Prosent 2 2 2 4 12 3 7" xfId="47252" xr:uid="{00000000-0005-0000-0000-000066910000}"/>
    <cellStyle name="Prosent 2 2 2 4 12 4" xfId="26274" xr:uid="{00000000-0005-0000-0000-000067910000}"/>
    <cellStyle name="Prosent 2 2 2 4 12 4 2" xfId="41662" xr:uid="{00000000-0005-0000-0000-000068910000}"/>
    <cellStyle name="Prosent 2 2 2 4 12 5" xfId="44847" xr:uid="{00000000-0005-0000-0000-000069910000}"/>
    <cellStyle name="Prosent 2 2 2 4 12 6" xfId="43498" xr:uid="{00000000-0005-0000-0000-00006A910000}"/>
    <cellStyle name="Prosent 2 2 2 4 12 7" xfId="46397" xr:uid="{00000000-0005-0000-0000-00006B910000}"/>
    <cellStyle name="Prosent 2 2 2 4 12 8" xfId="47062" xr:uid="{00000000-0005-0000-0000-00006C910000}"/>
    <cellStyle name="Prosent 2 2 2 4 13" xfId="41657" xr:uid="{00000000-0005-0000-0000-00006D910000}"/>
    <cellStyle name="Prosent 2 2 2 4 2" xfId="2398" xr:uid="{00000000-0005-0000-0000-00006E910000}"/>
    <cellStyle name="Prosent 2 2 2 4 2 2" xfId="2399" xr:uid="{00000000-0005-0000-0000-00006F910000}"/>
    <cellStyle name="Prosent 2 2 2 4 2 2 10" xfId="41664" xr:uid="{00000000-0005-0000-0000-000070910000}"/>
    <cellStyle name="Prosent 2 2 2 4 2 2 2" xfId="2400" xr:uid="{00000000-0005-0000-0000-000071910000}"/>
    <cellStyle name="Prosent 2 2 2 4 2 2 2 2" xfId="26277" xr:uid="{00000000-0005-0000-0000-000072910000}"/>
    <cellStyle name="Prosent 2 2 2 4 2 2 2 2 2" xfId="41665" xr:uid="{00000000-0005-0000-0000-000073910000}"/>
    <cellStyle name="Prosent 2 2 2 4 2 2 2 3" xfId="44849" xr:uid="{00000000-0005-0000-0000-000074910000}"/>
    <cellStyle name="Prosent 2 2 2 4 2 2 3" xfId="2401" xr:uid="{00000000-0005-0000-0000-000075910000}"/>
    <cellStyle name="Prosent 2 2 2 4 2 2 3 2" xfId="2402" xr:uid="{00000000-0005-0000-0000-000076910000}"/>
    <cellStyle name="Prosent 2 2 2 4 2 2 3 2 2" xfId="26278" xr:uid="{00000000-0005-0000-0000-000077910000}"/>
    <cellStyle name="Prosent 2 2 2 4 2 2 3 2 2 2" xfId="41667" xr:uid="{00000000-0005-0000-0000-000078910000}"/>
    <cellStyle name="Prosent 2 2 2 4 2 2 3 2 3" xfId="44850" xr:uid="{00000000-0005-0000-0000-000079910000}"/>
    <cellStyle name="Prosent 2 2 2 4 2 2 3 3" xfId="2403" xr:uid="{00000000-0005-0000-0000-00007A910000}"/>
    <cellStyle name="Prosent 2 2 2 4 2 2 3 3 2" xfId="2404" xr:uid="{00000000-0005-0000-0000-00007B910000}"/>
    <cellStyle name="Prosent 2 2 2 4 2 2 3 3 2 2" xfId="26280" xr:uid="{00000000-0005-0000-0000-00007C910000}"/>
    <cellStyle name="Prosent 2 2 2 4 2 2 3 3 2 2 2" xfId="41669" xr:uid="{00000000-0005-0000-0000-00007D910000}"/>
    <cellStyle name="Prosent 2 2 2 4 2 2 3 3 2 3" xfId="44852" xr:uid="{00000000-0005-0000-0000-00007E910000}"/>
    <cellStyle name="Prosent 2 2 2 4 2 2 3 3 3" xfId="26279" xr:uid="{00000000-0005-0000-0000-00007F910000}"/>
    <cellStyle name="Prosent 2 2 2 4 2 2 3 3 3 2" xfId="41668" xr:uid="{00000000-0005-0000-0000-000080910000}"/>
    <cellStyle name="Prosent 2 2 2 4 2 2 3 3 4" xfId="44851" xr:uid="{00000000-0005-0000-0000-000081910000}"/>
    <cellStyle name="Prosent 2 2 2 4 2 2 3 4" xfId="2405" xr:uid="{00000000-0005-0000-0000-000082910000}"/>
    <cellStyle name="Prosent 2 2 2 4 2 2 3 4 2" xfId="2406" xr:uid="{00000000-0005-0000-0000-000083910000}"/>
    <cellStyle name="Prosent 2 2 2 4 2 2 3 4 2 2" xfId="26281" xr:uid="{00000000-0005-0000-0000-000084910000}"/>
    <cellStyle name="Prosent 2 2 2 4 2 2 3 4 2 2 2" xfId="41671" xr:uid="{00000000-0005-0000-0000-000085910000}"/>
    <cellStyle name="Prosent 2 2 2 4 2 2 3 4 2 3" xfId="44853" xr:uid="{00000000-0005-0000-0000-000086910000}"/>
    <cellStyle name="Prosent 2 2 2 4 2 2 3 4 3" xfId="2407" xr:uid="{00000000-0005-0000-0000-000087910000}"/>
    <cellStyle name="Prosent 2 2 2 4 2 2 3 4 3 2" xfId="26282" xr:uid="{00000000-0005-0000-0000-000088910000}"/>
    <cellStyle name="Prosent 2 2 2 4 2 2 3 4 3 2 2" xfId="41672" xr:uid="{00000000-0005-0000-0000-000089910000}"/>
    <cellStyle name="Prosent 2 2 2 4 2 2 3 4 3 3" xfId="44854" xr:uid="{00000000-0005-0000-0000-00008A910000}"/>
    <cellStyle name="Prosent 2 2 2 4 2 2 3 4 4" xfId="2408" xr:uid="{00000000-0005-0000-0000-00008B910000}"/>
    <cellStyle name="Prosent 2 2 2 4 2 2 3 4 4 2" xfId="2409" xr:uid="{00000000-0005-0000-0000-00008C910000}"/>
    <cellStyle name="Prosent 2 2 2 4 2 2 3 4 4 2 2" xfId="26284" xr:uid="{00000000-0005-0000-0000-00008D910000}"/>
    <cellStyle name="Prosent 2 2 2 4 2 2 3 4 4 2 2 2" xfId="41674" xr:uid="{00000000-0005-0000-0000-00008E910000}"/>
    <cellStyle name="Prosent 2 2 2 4 2 2 3 4 4 2 3" xfId="44856" xr:uid="{00000000-0005-0000-0000-00008F910000}"/>
    <cellStyle name="Prosent 2 2 2 4 2 2 3 4 4 3" xfId="2410" xr:uid="{00000000-0005-0000-0000-000090910000}"/>
    <cellStyle name="Prosent 2 2 2 4 2 2 3 4 4 3 2" xfId="2411" xr:uid="{00000000-0005-0000-0000-000091910000}"/>
    <cellStyle name="Prosent 2 2 2 4 2 2 3 4 4 3 2 2" xfId="26286" xr:uid="{00000000-0005-0000-0000-000092910000}"/>
    <cellStyle name="Prosent 2 2 2 4 2 2 3 4 4 3 2 2 2" xfId="41676" xr:uid="{00000000-0005-0000-0000-000093910000}"/>
    <cellStyle name="Prosent 2 2 2 4 2 2 3 4 4 3 2 3" xfId="44858" xr:uid="{00000000-0005-0000-0000-000094910000}"/>
    <cellStyle name="Prosent 2 2 2 4 2 2 3 4 4 3 3" xfId="26285" xr:uid="{00000000-0005-0000-0000-000095910000}"/>
    <cellStyle name="Prosent 2 2 2 4 2 2 3 4 4 3 3 2" xfId="41675" xr:uid="{00000000-0005-0000-0000-000096910000}"/>
    <cellStyle name="Prosent 2 2 2 4 2 2 3 4 4 3 4" xfId="44857" xr:uid="{00000000-0005-0000-0000-000097910000}"/>
    <cellStyle name="Prosent 2 2 2 4 2 2 3 4 4 4" xfId="2412" xr:uid="{00000000-0005-0000-0000-000098910000}"/>
    <cellStyle name="Prosent 2 2 2 4 2 2 3 4 4 4 2" xfId="2413" xr:uid="{00000000-0005-0000-0000-000099910000}"/>
    <cellStyle name="Prosent 2 2 2 4 2 2 3 4 4 4 2 2" xfId="26288" xr:uid="{00000000-0005-0000-0000-00009A910000}"/>
    <cellStyle name="Prosent 2 2 2 4 2 2 3 4 4 4 2 2 2" xfId="41678" xr:uid="{00000000-0005-0000-0000-00009B910000}"/>
    <cellStyle name="Prosent 2 2 2 4 2 2 3 4 4 4 2 3" xfId="44860" xr:uid="{00000000-0005-0000-0000-00009C910000}"/>
    <cellStyle name="Prosent 2 2 2 4 2 2 3 4 4 4 3" xfId="26287" xr:uid="{00000000-0005-0000-0000-00009D910000}"/>
    <cellStyle name="Prosent 2 2 2 4 2 2 3 4 4 4 3 2" xfId="41677" xr:uid="{00000000-0005-0000-0000-00009E910000}"/>
    <cellStyle name="Prosent 2 2 2 4 2 2 3 4 4 4 4" xfId="44859" xr:uid="{00000000-0005-0000-0000-00009F910000}"/>
    <cellStyle name="Prosent 2 2 2 4 2 2 3 4 4 5" xfId="26283" xr:uid="{00000000-0005-0000-0000-0000A0910000}"/>
    <cellStyle name="Prosent 2 2 2 4 2 2 3 4 4 5 2" xfId="41673" xr:uid="{00000000-0005-0000-0000-0000A1910000}"/>
    <cellStyle name="Prosent 2 2 2 4 2 2 3 4 4 6" xfId="44855" xr:uid="{00000000-0005-0000-0000-0000A2910000}"/>
    <cellStyle name="Prosent 2 2 2 4 2 2 3 4 5" xfId="2414" xr:uid="{00000000-0005-0000-0000-0000A3910000}"/>
    <cellStyle name="Prosent 2 2 2 4 2 2 3 4 5 2" xfId="2415" xr:uid="{00000000-0005-0000-0000-0000A4910000}"/>
    <cellStyle name="Prosent 2 2 2 4 2 2 3 4 5 2 2" xfId="26289" xr:uid="{00000000-0005-0000-0000-0000A5910000}"/>
    <cellStyle name="Prosent 2 2 2 4 2 2 3 4 5 2 2 2" xfId="41680" xr:uid="{00000000-0005-0000-0000-0000A6910000}"/>
    <cellStyle name="Prosent 2 2 2 4 2 2 3 4 5 2 3" xfId="44861" xr:uid="{00000000-0005-0000-0000-0000A7910000}"/>
    <cellStyle name="Prosent 2 2 2 4 2 2 3 4 5 3" xfId="2416" xr:uid="{00000000-0005-0000-0000-0000A8910000}"/>
    <cellStyle name="Prosent 2 2 2 4 2 2 3 4 5 3 2" xfId="2417" xr:uid="{00000000-0005-0000-0000-0000A9910000}"/>
    <cellStyle name="Prosent 2 2 2 4 2 2 3 4 5 3 2 2" xfId="18222" xr:uid="{00000000-0005-0000-0000-0000AA910000}"/>
    <cellStyle name="Prosent 2 2 2 4 2 2 3 4 5 3 2 3" xfId="15172" xr:uid="{00000000-0005-0000-0000-0000AB910000}"/>
    <cellStyle name="Prosent 2 2 2 4 2 2 3 4 5 3 2 3 2" xfId="26290" xr:uid="{00000000-0005-0000-0000-0000AC910000}"/>
    <cellStyle name="Prosent 2 2 2 4 2 2 3 4 5 3 2 3 2 2" xfId="41728" xr:uid="{00000000-0005-0000-0000-0000AD910000}"/>
    <cellStyle name="Prosent 2 2 2 4 2 2 3 4 5 3 2 3 3" xfId="44862" xr:uid="{00000000-0005-0000-0000-0000AE910000}"/>
    <cellStyle name="Prosent 2 2 2 4 2 2 3 4 5 3 2 4" xfId="13085" xr:uid="{00000000-0005-0000-0000-0000AF910000}"/>
    <cellStyle name="Prosent 2 2 2 4 2 2 3 4 5 3 2_Avviksanalyse løpende RNB15 (1)" xfId="16796" xr:uid="{00000000-0005-0000-0000-0000B0910000}"/>
    <cellStyle name="Prosent 2 2 2 4 2 2 3 4 5 3 3" xfId="41681" xr:uid="{00000000-0005-0000-0000-0000B1910000}"/>
    <cellStyle name="Prosent 2 2 2 4 2 2 3 4 5 4" xfId="2418" xr:uid="{00000000-0005-0000-0000-0000B2910000}"/>
    <cellStyle name="Prosent 2 2 2 4 2 2 3 4 5 4 2" xfId="2419" xr:uid="{00000000-0005-0000-0000-0000B3910000}"/>
    <cellStyle name="Prosent 2 2 2 4 2 2 3 4 5 4 2 2" xfId="18224" xr:uid="{00000000-0005-0000-0000-0000B4910000}"/>
    <cellStyle name="Prosent 2 2 2 4 2 2 3 4 5 4 2 3" xfId="15174" xr:uid="{00000000-0005-0000-0000-0000B5910000}"/>
    <cellStyle name="Prosent 2 2 2 4 2 2 3 4 5 4 2 3 2" xfId="26291" xr:uid="{00000000-0005-0000-0000-0000B6910000}"/>
    <cellStyle name="Prosent 2 2 2 4 2 2 3 4 5 4 2 3 2 2" xfId="41730" xr:uid="{00000000-0005-0000-0000-0000B7910000}"/>
    <cellStyle name="Prosent 2 2 2 4 2 2 3 4 5 4 2 3 3" xfId="44863" xr:uid="{00000000-0005-0000-0000-0000B8910000}"/>
    <cellStyle name="Prosent 2 2 2 4 2 2 3 4 5 4 2 4" xfId="13087" xr:uid="{00000000-0005-0000-0000-0000B9910000}"/>
    <cellStyle name="Prosent 2 2 2 4 2 2 3 4 5 4 2_Avviksanalyse løpende RNB15 (1)" xfId="16798" xr:uid="{00000000-0005-0000-0000-0000BA910000}"/>
    <cellStyle name="Prosent 2 2 2 4 2 2 3 4 5 4 3" xfId="18223" xr:uid="{00000000-0005-0000-0000-0000BB910000}"/>
    <cellStyle name="Prosent 2 2 2 4 2 2 3 4 5 4 4" xfId="15173" xr:uid="{00000000-0005-0000-0000-0000BC910000}"/>
    <cellStyle name="Prosent 2 2 2 4 2 2 3 4 5 4 4 2" xfId="26292" xr:uid="{00000000-0005-0000-0000-0000BD910000}"/>
    <cellStyle name="Prosent 2 2 2 4 2 2 3 4 5 4 4 2 2" xfId="41729" xr:uid="{00000000-0005-0000-0000-0000BE910000}"/>
    <cellStyle name="Prosent 2 2 2 4 2 2 3 4 5 4 4 3" xfId="44864" xr:uid="{00000000-0005-0000-0000-0000BF910000}"/>
    <cellStyle name="Prosent 2 2 2 4 2 2 3 4 5 4 5" xfId="13086" xr:uid="{00000000-0005-0000-0000-0000C0910000}"/>
    <cellStyle name="Prosent 2 2 2 4 2 2 3 4 5 4_Avviksanalyse løpende RNB15 (1)" xfId="16797" xr:uid="{00000000-0005-0000-0000-0000C1910000}"/>
    <cellStyle name="Prosent 2 2 2 4 2 2 3 4 5 5" xfId="41679" xr:uid="{00000000-0005-0000-0000-0000C2910000}"/>
    <cellStyle name="Prosent 2 2 2 4 2 2 3 4 6" xfId="2420" xr:uid="{00000000-0005-0000-0000-0000C3910000}"/>
    <cellStyle name="Prosent 2 2 2 4 2 2 3 4 6 2" xfId="2421" xr:uid="{00000000-0005-0000-0000-0000C4910000}"/>
    <cellStyle name="Prosent 2 2 2 4 2 2 3 4 6 2 2" xfId="18226" xr:uid="{00000000-0005-0000-0000-0000C5910000}"/>
    <cellStyle name="Prosent 2 2 2 4 2 2 3 4 6 2 3" xfId="15176" xr:uid="{00000000-0005-0000-0000-0000C6910000}"/>
    <cellStyle name="Prosent 2 2 2 4 2 2 3 4 6 2 3 2" xfId="26293" xr:uid="{00000000-0005-0000-0000-0000C7910000}"/>
    <cellStyle name="Prosent 2 2 2 4 2 2 3 4 6 2 3 2 2" xfId="41732" xr:uid="{00000000-0005-0000-0000-0000C8910000}"/>
    <cellStyle name="Prosent 2 2 2 4 2 2 3 4 6 2 3 3" xfId="44865" xr:uid="{00000000-0005-0000-0000-0000C9910000}"/>
    <cellStyle name="Prosent 2 2 2 4 2 2 3 4 6 2 4" xfId="13089" xr:uid="{00000000-0005-0000-0000-0000CA910000}"/>
    <cellStyle name="Prosent 2 2 2 4 2 2 3 4 6 2_Avviksanalyse løpende RNB15 (1)" xfId="16800" xr:uid="{00000000-0005-0000-0000-0000CB910000}"/>
    <cellStyle name="Prosent 2 2 2 4 2 2 3 4 6 3" xfId="18225" xr:uid="{00000000-0005-0000-0000-0000CC910000}"/>
    <cellStyle name="Prosent 2 2 2 4 2 2 3 4 6 4" xfId="15175" xr:uid="{00000000-0005-0000-0000-0000CD910000}"/>
    <cellStyle name="Prosent 2 2 2 4 2 2 3 4 6 4 2" xfId="26294" xr:uid="{00000000-0005-0000-0000-0000CE910000}"/>
    <cellStyle name="Prosent 2 2 2 4 2 2 3 4 6 4 2 2" xfId="41731" xr:uid="{00000000-0005-0000-0000-0000CF910000}"/>
    <cellStyle name="Prosent 2 2 2 4 2 2 3 4 6 4 3" xfId="44866" xr:uid="{00000000-0005-0000-0000-0000D0910000}"/>
    <cellStyle name="Prosent 2 2 2 4 2 2 3 4 6 5" xfId="13088" xr:uid="{00000000-0005-0000-0000-0000D1910000}"/>
    <cellStyle name="Prosent 2 2 2 4 2 2 3 4 6_Avviksanalyse løpende RNB15 (1)" xfId="16799" xr:uid="{00000000-0005-0000-0000-0000D2910000}"/>
    <cellStyle name="Prosent 2 2 2 4 2 2 3 4 7" xfId="2422" xr:uid="{00000000-0005-0000-0000-0000D3910000}"/>
    <cellStyle name="Prosent 2 2 2 4 2 2 3 4 7 2" xfId="2423" xr:uid="{00000000-0005-0000-0000-0000D4910000}"/>
    <cellStyle name="Prosent 2 2 2 4 2 2 3 4 7 2 2" xfId="18228" xr:uid="{00000000-0005-0000-0000-0000D5910000}"/>
    <cellStyle name="Prosent 2 2 2 4 2 2 3 4 7 2 3" xfId="15178" xr:uid="{00000000-0005-0000-0000-0000D6910000}"/>
    <cellStyle name="Prosent 2 2 2 4 2 2 3 4 7 2 3 2" xfId="26295" xr:uid="{00000000-0005-0000-0000-0000D7910000}"/>
    <cellStyle name="Prosent 2 2 2 4 2 2 3 4 7 2 3 2 2" xfId="41734" xr:uid="{00000000-0005-0000-0000-0000D8910000}"/>
    <cellStyle name="Prosent 2 2 2 4 2 2 3 4 7 2 3 3" xfId="44867" xr:uid="{00000000-0005-0000-0000-0000D9910000}"/>
    <cellStyle name="Prosent 2 2 2 4 2 2 3 4 7 2 4" xfId="13091" xr:uid="{00000000-0005-0000-0000-0000DA910000}"/>
    <cellStyle name="Prosent 2 2 2 4 2 2 3 4 7 2_Avviksanalyse løpende RNB15 (1)" xfId="16802" xr:uid="{00000000-0005-0000-0000-0000DB910000}"/>
    <cellStyle name="Prosent 2 2 2 4 2 2 3 4 7 3" xfId="18227" xr:uid="{00000000-0005-0000-0000-0000DC910000}"/>
    <cellStyle name="Prosent 2 2 2 4 2 2 3 4 7 4" xfId="15177" xr:uid="{00000000-0005-0000-0000-0000DD910000}"/>
    <cellStyle name="Prosent 2 2 2 4 2 2 3 4 7 4 2" xfId="26296" xr:uid="{00000000-0005-0000-0000-0000DE910000}"/>
    <cellStyle name="Prosent 2 2 2 4 2 2 3 4 7 4 2 2" xfId="41733" xr:uid="{00000000-0005-0000-0000-0000DF910000}"/>
    <cellStyle name="Prosent 2 2 2 4 2 2 3 4 7 4 3" xfId="44868" xr:uid="{00000000-0005-0000-0000-0000E0910000}"/>
    <cellStyle name="Prosent 2 2 2 4 2 2 3 4 7 5" xfId="13090" xr:uid="{00000000-0005-0000-0000-0000E1910000}"/>
    <cellStyle name="Prosent 2 2 2 4 2 2 3 4 7_Avviksanalyse løpende RNB15 (1)" xfId="16801" xr:uid="{00000000-0005-0000-0000-0000E2910000}"/>
    <cellStyle name="Prosent 2 2 2 4 2 2 3 4 8" xfId="41670" xr:uid="{00000000-0005-0000-0000-0000E3910000}"/>
    <cellStyle name="Prosent 2 2 2 4 2 2 3 5" xfId="2424" xr:uid="{00000000-0005-0000-0000-0000E4910000}"/>
    <cellStyle name="Prosent 2 2 2 4 2 2 3 5 2" xfId="2425" xr:uid="{00000000-0005-0000-0000-0000E5910000}"/>
    <cellStyle name="Prosent 2 2 2 4 2 2 3 5 2 2" xfId="18230" xr:uid="{00000000-0005-0000-0000-0000E6910000}"/>
    <cellStyle name="Prosent 2 2 2 4 2 2 3 5 2 3" xfId="15180" xr:uid="{00000000-0005-0000-0000-0000E7910000}"/>
    <cellStyle name="Prosent 2 2 2 4 2 2 3 5 2 3 2" xfId="26297" xr:uid="{00000000-0005-0000-0000-0000E8910000}"/>
    <cellStyle name="Prosent 2 2 2 4 2 2 3 5 2 3 2 2" xfId="41736" xr:uid="{00000000-0005-0000-0000-0000E9910000}"/>
    <cellStyle name="Prosent 2 2 2 4 2 2 3 5 2 3 3" xfId="44869" xr:uid="{00000000-0005-0000-0000-0000EA910000}"/>
    <cellStyle name="Prosent 2 2 2 4 2 2 3 5 2 4" xfId="13093" xr:uid="{00000000-0005-0000-0000-0000EB910000}"/>
    <cellStyle name="Prosent 2 2 2 4 2 2 3 5 2_Avviksanalyse løpende RNB15 (1)" xfId="16804" xr:uid="{00000000-0005-0000-0000-0000EC910000}"/>
    <cellStyle name="Prosent 2 2 2 4 2 2 3 5 3" xfId="2426" xr:uid="{00000000-0005-0000-0000-0000ED910000}"/>
    <cellStyle name="Prosent 2 2 2 4 2 2 3 5 3 2" xfId="2427" xr:uid="{00000000-0005-0000-0000-0000EE910000}"/>
    <cellStyle name="Prosent 2 2 2 4 2 2 3 5 3 2 2" xfId="18232" xr:uid="{00000000-0005-0000-0000-0000EF910000}"/>
    <cellStyle name="Prosent 2 2 2 4 2 2 3 5 3 2 3" xfId="15182" xr:uid="{00000000-0005-0000-0000-0000F0910000}"/>
    <cellStyle name="Prosent 2 2 2 4 2 2 3 5 3 2 3 2" xfId="26298" xr:uid="{00000000-0005-0000-0000-0000F1910000}"/>
    <cellStyle name="Prosent 2 2 2 4 2 2 3 5 3 2 3 2 2" xfId="41738" xr:uid="{00000000-0005-0000-0000-0000F2910000}"/>
    <cellStyle name="Prosent 2 2 2 4 2 2 3 5 3 2 3 3" xfId="44870" xr:uid="{00000000-0005-0000-0000-0000F3910000}"/>
    <cellStyle name="Prosent 2 2 2 4 2 2 3 5 3 2 4" xfId="13095" xr:uid="{00000000-0005-0000-0000-0000F4910000}"/>
    <cellStyle name="Prosent 2 2 2 4 2 2 3 5 3 2_Avviksanalyse løpende RNB15 (1)" xfId="16806" xr:uid="{00000000-0005-0000-0000-0000F5910000}"/>
    <cellStyle name="Prosent 2 2 2 4 2 2 3 5 3 3" xfId="18231" xr:uid="{00000000-0005-0000-0000-0000F6910000}"/>
    <cellStyle name="Prosent 2 2 2 4 2 2 3 5 3 4" xfId="15181" xr:uid="{00000000-0005-0000-0000-0000F7910000}"/>
    <cellStyle name="Prosent 2 2 2 4 2 2 3 5 3 4 2" xfId="26299" xr:uid="{00000000-0005-0000-0000-0000F8910000}"/>
    <cellStyle name="Prosent 2 2 2 4 2 2 3 5 3 4 2 2" xfId="41737" xr:uid="{00000000-0005-0000-0000-0000F9910000}"/>
    <cellStyle name="Prosent 2 2 2 4 2 2 3 5 3 4 3" xfId="44871" xr:uid="{00000000-0005-0000-0000-0000FA910000}"/>
    <cellStyle name="Prosent 2 2 2 4 2 2 3 5 3 5" xfId="13094" xr:uid="{00000000-0005-0000-0000-0000FB910000}"/>
    <cellStyle name="Prosent 2 2 2 4 2 2 3 5 3_Avviksanalyse løpende RNB15 (1)" xfId="16805" xr:uid="{00000000-0005-0000-0000-0000FC910000}"/>
    <cellStyle name="Prosent 2 2 2 4 2 2 3 5 4" xfId="2428" xr:uid="{00000000-0005-0000-0000-0000FD910000}"/>
    <cellStyle name="Prosent 2 2 2 4 2 2 3 5 4 2" xfId="2429" xr:uid="{00000000-0005-0000-0000-0000FE910000}"/>
    <cellStyle name="Prosent 2 2 2 4 2 2 3 5 4 2 2" xfId="18234" xr:uid="{00000000-0005-0000-0000-0000FF910000}"/>
    <cellStyle name="Prosent 2 2 2 4 2 2 3 5 4 2 3" xfId="15184" xr:uid="{00000000-0005-0000-0000-000000920000}"/>
    <cellStyle name="Prosent 2 2 2 4 2 2 3 5 4 2 3 2" xfId="26300" xr:uid="{00000000-0005-0000-0000-000001920000}"/>
    <cellStyle name="Prosent 2 2 2 4 2 2 3 5 4 2 3 2 2" xfId="41740" xr:uid="{00000000-0005-0000-0000-000002920000}"/>
    <cellStyle name="Prosent 2 2 2 4 2 2 3 5 4 2 3 3" xfId="44872" xr:uid="{00000000-0005-0000-0000-000003920000}"/>
    <cellStyle name="Prosent 2 2 2 4 2 2 3 5 4 2 4" xfId="13097" xr:uid="{00000000-0005-0000-0000-000004920000}"/>
    <cellStyle name="Prosent 2 2 2 4 2 2 3 5 4 2_Avviksanalyse løpende RNB15 (1)" xfId="16808" xr:uid="{00000000-0005-0000-0000-000005920000}"/>
    <cellStyle name="Prosent 2 2 2 4 2 2 3 5 4 3" xfId="18233" xr:uid="{00000000-0005-0000-0000-000006920000}"/>
    <cellStyle name="Prosent 2 2 2 4 2 2 3 5 4 4" xfId="15183" xr:uid="{00000000-0005-0000-0000-000007920000}"/>
    <cellStyle name="Prosent 2 2 2 4 2 2 3 5 4 4 2" xfId="26301" xr:uid="{00000000-0005-0000-0000-000008920000}"/>
    <cellStyle name="Prosent 2 2 2 4 2 2 3 5 4 4 2 2" xfId="41739" xr:uid="{00000000-0005-0000-0000-000009920000}"/>
    <cellStyle name="Prosent 2 2 2 4 2 2 3 5 4 4 3" xfId="44873" xr:uid="{00000000-0005-0000-0000-00000A920000}"/>
    <cellStyle name="Prosent 2 2 2 4 2 2 3 5 4 5" xfId="13096" xr:uid="{00000000-0005-0000-0000-00000B920000}"/>
    <cellStyle name="Prosent 2 2 2 4 2 2 3 5 4_Avviksanalyse løpende RNB15 (1)" xfId="16807" xr:uid="{00000000-0005-0000-0000-00000C920000}"/>
    <cellStyle name="Prosent 2 2 2 4 2 2 3 5 5" xfId="18229" xr:uid="{00000000-0005-0000-0000-00000D920000}"/>
    <cellStyle name="Prosent 2 2 2 4 2 2 3 5 6" xfId="15179" xr:uid="{00000000-0005-0000-0000-00000E920000}"/>
    <cellStyle name="Prosent 2 2 2 4 2 2 3 5 6 2" xfId="26302" xr:uid="{00000000-0005-0000-0000-00000F920000}"/>
    <cellStyle name="Prosent 2 2 2 4 2 2 3 5 6 2 2" xfId="41735" xr:uid="{00000000-0005-0000-0000-000010920000}"/>
    <cellStyle name="Prosent 2 2 2 4 2 2 3 5 6 3" xfId="44874" xr:uid="{00000000-0005-0000-0000-000011920000}"/>
    <cellStyle name="Prosent 2 2 2 4 2 2 3 5 7" xfId="13092" xr:uid="{00000000-0005-0000-0000-000012920000}"/>
    <cellStyle name="Prosent 2 2 2 4 2 2 3 5_Avviksanalyse løpende RNB15 (1)" xfId="16803" xr:uid="{00000000-0005-0000-0000-000013920000}"/>
    <cellStyle name="Prosent 2 2 2 4 2 2 3 6" xfId="2430" xr:uid="{00000000-0005-0000-0000-000014920000}"/>
    <cellStyle name="Prosent 2 2 2 4 2 2 3 6 2" xfId="2431" xr:uid="{00000000-0005-0000-0000-000015920000}"/>
    <cellStyle name="Prosent 2 2 2 4 2 2 3 6 2 2" xfId="18236" xr:uid="{00000000-0005-0000-0000-000016920000}"/>
    <cellStyle name="Prosent 2 2 2 4 2 2 3 6 2 3" xfId="15186" xr:uid="{00000000-0005-0000-0000-000017920000}"/>
    <cellStyle name="Prosent 2 2 2 4 2 2 3 6 2 3 2" xfId="26303" xr:uid="{00000000-0005-0000-0000-000018920000}"/>
    <cellStyle name="Prosent 2 2 2 4 2 2 3 6 2 3 2 2" xfId="41742" xr:uid="{00000000-0005-0000-0000-000019920000}"/>
    <cellStyle name="Prosent 2 2 2 4 2 2 3 6 2 3 3" xfId="44875" xr:uid="{00000000-0005-0000-0000-00001A920000}"/>
    <cellStyle name="Prosent 2 2 2 4 2 2 3 6 2 4" xfId="13099" xr:uid="{00000000-0005-0000-0000-00001B920000}"/>
    <cellStyle name="Prosent 2 2 2 4 2 2 3 6 2_Avviksanalyse løpende RNB15 (1)" xfId="16810" xr:uid="{00000000-0005-0000-0000-00001C920000}"/>
    <cellStyle name="Prosent 2 2 2 4 2 2 3 6 3" xfId="2432" xr:uid="{00000000-0005-0000-0000-00001D920000}"/>
    <cellStyle name="Prosent 2 2 2 4 2 2 3 6 3 2" xfId="2433" xr:uid="{00000000-0005-0000-0000-00001E920000}"/>
    <cellStyle name="Prosent 2 2 2 4 2 2 3 6 3 2 2" xfId="18238" xr:uid="{00000000-0005-0000-0000-00001F920000}"/>
    <cellStyle name="Prosent 2 2 2 4 2 2 3 6 3 2 3" xfId="15188" xr:uid="{00000000-0005-0000-0000-000020920000}"/>
    <cellStyle name="Prosent 2 2 2 4 2 2 3 6 3 2 3 2" xfId="26304" xr:uid="{00000000-0005-0000-0000-000021920000}"/>
    <cellStyle name="Prosent 2 2 2 4 2 2 3 6 3 2 3 2 2" xfId="41744" xr:uid="{00000000-0005-0000-0000-000022920000}"/>
    <cellStyle name="Prosent 2 2 2 4 2 2 3 6 3 2 3 3" xfId="44876" xr:uid="{00000000-0005-0000-0000-000023920000}"/>
    <cellStyle name="Prosent 2 2 2 4 2 2 3 6 3 2 4" xfId="13101" xr:uid="{00000000-0005-0000-0000-000024920000}"/>
    <cellStyle name="Prosent 2 2 2 4 2 2 3 6 3 2_Avviksanalyse løpende RNB15 (1)" xfId="16812" xr:uid="{00000000-0005-0000-0000-000025920000}"/>
    <cellStyle name="Prosent 2 2 2 4 2 2 3 6 3 3" xfId="18237" xr:uid="{00000000-0005-0000-0000-000026920000}"/>
    <cellStyle name="Prosent 2 2 2 4 2 2 3 6 3 4" xfId="15187" xr:uid="{00000000-0005-0000-0000-000027920000}"/>
    <cellStyle name="Prosent 2 2 2 4 2 2 3 6 3 4 2" xfId="26305" xr:uid="{00000000-0005-0000-0000-000028920000}"/>
    <cellStyle name="Prosent 2 2 2 4 2 2 3 6 3 4 2 2" xfId="41743" xr:uid="{00000000-0005-0000-0000-000029920000}"/>
    <cellStyle name="Prosent 2 2 2 4 2 2 3 6 3 4 3" xfId="44877" xr:uid="{00000000-0005-0000-0000-00002A920000}"/>
    <cellStyle name="Prosent 2 2 2 4 2 2 3 6 3 5" xfId="13100" xr:uid="{00000000-0005-0000-0000-00002B920000}"/>
    <cellStyle name="Prosent 2 2 2 4 2 2 3 6 3_Avviksanalyse løpende RNB15 (1)" xfId="16811" xr:uid="{00000000-0005-0000-0000-00002C920000}"/>
    <cellStyle name="Prosent 2 2 2 4 2 2 3 6 4" xfId="2434" xr:uid="{00000000-0005-0000-0000-00002D920000}"/>
    <cellStyle name="Prosent 2 2 2 4 2 2 3 6 4 2" xfId="2435" xr:uid="{00000000-0005-0000-0000-00002E920000}"/>
    <cellStyle name="Prosent 2 2 2 4 2 2 3 6 4 2 2" xfId="18240" xr:uid="{00000000-0005-0000-0000-00002F920000}"/>
    <cellStyle name="Prosent 2 2 2 4 2 2 3 6 4 2 3" xfId="15190" xr:uid="{00000000-0005-0000-0000-000030920000}"/>
    <cellStyle name="Prosent 2 2 2 4 2 2 3 6 4 2 3 2" xfId="26306" xr:uid="{00000000-0005-0000-0000-000031920000}"/>
    <cellStyle name="Prosent 2 2 2 4 2 2 3 6 4 2 3 2 2" xfId="41746" xr:uid="{00000000-0005-0000-0000-000032920000}"/>
    <cellStyle name="Prosent 2 2 2 4 2 2 3 6 4 2 3 3" xfId="44878" xr:uid="{00000000-0005-0000-0000-000033920000}"/>
    <cellStyle name="Prosent 2 2 2 4 2 2 3 6 4 2 4" xfId="13103" xr:uid="{00000000-0005-0000-0000-000034920000}"/>
    <cellStyle name="Prosent 2 2 2 4 2 2 3 6 4 2_Avviksanalyse løpende RNB15 (1)" xfId="16814" xr:uid="{00000000-0005-0000-0000-000035920000}"/>
    <cellStyle name="Prosent 2 2 2 4 2 2 3 6 4 3" xfId="18239" xr:uid="{00000000-0005-0000-0000-000036920000}"/>
    <cellStyle name="Prosent 2 2 2 4 2 2 3 6 4 4" xfId="15189" xr:uid="{00000000-0005-0000-0000-000037920000}"/>
    <cellStyle name="Prosent 2 2 2 4 2 2 3 6 4 4 2" xfId="26307" xr:uid="{00000000-0005-0000-0000-000038920000}"/>
    <cellStyle name="Prosent 2 2 2 4 2 2 3 6 4 4 2 2" xfId="41745" xr:uid="{00000000-0005-0000-0000-000039920000}"/>
    <cellStyle name="Prosent 2 2 2 4 2 2 3 6 4 4 3" xfId="44879" xr:uid="{00000000-0005-0000-0000-00003A920000}"/>
    <cellStyle name="Prosent 2 2 2 4 2 2 3 6 4 5" xfId="13102" xr:uid="{00000000-0005-0000-0000-00003B920000}"/>
    <cellStyle name="Prosent 2 2 2 4 2 2 3 6 4_Avviksanalyse løpende RNB15 (1)" xfId="16813" xr:uid="{00000000-0005-0000-0000-00003C920000}"/>
    <cellStyle name="Prosent 2 2 2 4 2 2 3 6 5" xfId="18235" xr:uid="{00000000-0005-0000-0000-00003D920000}"/>
    <cellStyle name="Prosent 2 2 2 4 2 2 3 6 6" xfId="15185" xr:uid="{00000000-0005-0000-0000-00003E920000}"/>
    <cellStyle name="Prosent 2 2 2 4 2 2 3 6 6 2" xfId="26308" xr:uid="{00000000-0005-0000-0000-00003F920000}"/>
    <cellStyle name="Prosent 2 2 2 4 2 2 3 6 6 2 2" xfId="41741" xr:uid="{00000000-0005-0000-0000-000040920000}"/>
    <cellStyle name="Prosent 2 2 2 4 2 2 3 6 6 3" xfId="44880" xr:uid="{00000000-0005-0000-0000-000041920000}"/>
    <cellStyle name="Prosent 2 2 2 4 2 2 3 6 7" xfId="13098" xr:uid="{00000000-0005-0000-0000-000042920000}"/>
    <cellStyle name="Prosent 2 2 2 4 2 2 3 6_Avviksanalyse løpende RNB15 (1)" xfId="16809" xr:uid="{00000000-0005-0000-0000-000043920000}"/>
    <cellStyle name="Prosent 2 2 2 4 2 2 3 7" xfId="2436" xr:uid="{00000000-0005-0000-0000-000044920000}"/>
    <cellStyle name="Prosent 2 2 2 4 2 2 3 7 2" xfId="2437" xr:uid="{00000000-0005-0000-0000-000045920000}"/>
    <cellStyle name="Prosent 2 2 2 4 2 2 3 7 2 2" xfId="18242" xr:uid="{00000000-0005-0000-0000-000046920000}"/>
    <cellStyle name="Prosent 2 2 2 4 2 2 3 7 2 3" xfId="15192" xr:uid="{00000000-0005-0000-0000-000047920000}"/>
    <cellStyle name="Prosent 2 2 2 4 2 2 3 7 2 3 2" xfId="26309" xr:uid="{00000000-0005-0000-0000-000048920000}"/>
    <cellStyle name="Prosent 2 2 2 4 2 2 3 7 2 3 2 2" xfId="41748" xr:uid="{00000000-0005-0000-0000-000049920000}"/>
    <cellStyle name="Prosent 2 2 2 4 2 2 3 7 2 3 3" xfId="44881" xr:uid="{00000000-0005-0000-0000-00004A920000}"/>
    <cellStyle name="Prosent 2 2 2 4 2 2 3 7 2 4" xfId="13105" xr:uid="{00000000-0005-0000-0000-00004B920000}"/>
    <cellStyle name="Prosent 2 2 2 4 2 2 3 7 2_Avviksanalyse løpende RNB15 (1)" xfId="16816" xr:uid="{00000000-0005-0000-0000-00004C920000}"/>
    <cellStyle name="Prosent 2 2 2 4 2 2 3 7 3" xfId="18241" xr:uid="{00000000-0005-0000-0000-00004D920000}"/>
    <cellStyle name="Prosent 2 2 2 4 2 2 3 7 4" xfId="15191" xr:uid="{00000000-0005-0000-0000-00004E920000}"/>
    <cellStyle name="Prosent 2 2 2 4 2 2 3 7 4 2" xfId="26310" xr:uid="{00000000-0005-0000-0000-00004F920000}"/>
    <cellStyle name="Prosent 2 2 2 4 2 2 3 7 4 2 2" xfId="41747" xr:uid="{00000000-0005-0000-0000-000050920000}"/>
    <cellStyle name="Prosent 2 2 2 4 2 2 3 7 4 3" xfId="44882" xr:uid="{00000000-0005-0000-0000-000051920000}"/>
    <cellStyle name="Prosent 2 2 2 4 2 2 3 7 5" xfId="13104" xr:uid="{00000000-0005-0000-0000-000052920000}"/>
    <cellStyle name="Prosent 2 2 2 4 2 2 3 7_Avviksanalyse løpende RNB15 (1)" xfId="16815" xr:uid="{00000000-0005-0000-0000-000053920000}"/>
    <cellStyle name="Prosent 2 2 2 4 2 2 3 8" xfId="2438" xr:uid="{00000000-0005-0000-0000-000054920000}"/>
    <cellStyle name="Prosent 2 2 2 4 2 2 3 8 2" xfId="2439" xr:uid="{00000000-0005-0000-0000-000055920000}"/>
    <cellStyle name="Prosent 2 2 2 4 2 2 3 8 2 2" xfId="18244" xr:uid="{00000000-0005-0000-0000-000056920000}"/>
    <cellStyle name="Prosent 2 2 2 4 2 2 3 8 2 3" xfId="15194" xr:uid="{00000000-0005-0000-0000-000057920000}"/>
    <cellStyle name="Prosent 2 2 2 4 2 2 3 8 2 3 2" xfId="26311" xr:uid="{00000000-0005-0000-0000-000058920000}"/>
    <cellStyle name="Prosent 2 2 2 4 2 2 3 8 2 3 2 2" xfId="41750" xr:uid="{00000000-0005-0000-0000-000059920000}"/>
    <cellStyle name="Prosent 2 2 2 4 2 2 3 8 2 3 3" xfId="44883" xr:uid="{00000000-0005-0000-0000-00005A920000}"/>
    <cellStyle name="Prosent 2 2 2 4 2 2 3 8 2 4" xfId="13107" xr:uid="{00000000-0005-0000-0000-00005B920000}"/>
    <cellStyle name="Prosent 2 2 2 4 2 2 3 8 2_Avviksanalyse løpende RNB15 (1)" xfId="16818" xr:uid="{00000000-0005-0000-0000-00005C920000}"/>
    <cellStyle name="Prosent 2 2 2 4 2 2 3 8 3" xfId="18243" xr:uid="{00000000-0005-0000-0000-00005D920000}"/>
    <cellStyle name="Prosent 2 2 2 4 2 2 3 8 4" xfId="15193" xr:uid="{00000000-0005-0000-0000-00005E920000}"/>
    <cellStyle name="Prosent 2 2 2 4 2 2 3 8 4 2" xfId="26312" xr:uid="{00000000-0005-0000-0000-00005F920000}"/>
    <cellStyle name="Prosent 2 2 2 4 2 2 3 8 4 2 2" xfId="41749" xr:uid="{00000000-0005-0000-0000-000060920000}"/>
    <cellStyle name="Prosent 2 2 2 4 2 2 3 8 4 3" xfId="44884" xr:uid="{00000000-0005-0000-0000-000061920000}"/>
    <cellStyle name="Prosent 2 2 2 4 2 2 3 8 5" xfId="13106" xr:uid="{00000000-0005-0000-0000-000062920000}"/>
    <cellStyle name="Prosent 2 2 2 4 2 2 3 8_Avviksanalyse løpende RNB15 (1)" xfId="16817" xr:uid="{00000000-0005-0000-0000-000063920000}"/>
    <cellStyle name="Prosent 2 2 2 4 2 2 3 9" xfId="41666" xr:uid="{00000000-0005-0000-0000-000064920000}"/>
    <cellStyle name="Prosent 2 2 2 4 2 2 4" xfId="2440" xr:uid="{00000000-0005-0000-0000-000065920000}"/>
    <cellStyle name="Prosent 2 2 2 4 2 2 4 2" xfId="2441" xr:uid="{00000000-0005-0000-0000-000066920000}"/>
    <cellStyle name="Prosent 2 2 2 4 2 2 4 2 2" xfId="18246" xr:uid="{00000000-0005-0000-0000-000067920000}"/>
    <cellStyle name="Prosent 2 2 2 4 2 2 4 2 3" xfId="15196" xr:uid="{00000000-0005-0000-0000-000068920000}"/>
    <cellStyle name="Prosent 2 2 2 4 2 2 4 2 3 2" xfId="26313" xr:uid="{00000000-0005-0000-0000-000069920000}"/>
    <cellStyle name="Prosent 2 2 2 4 2 2 4 2 3 2 2" xfId="41752" xr:uid="{00000000-0005-0000-0000-00006A920000}"/>
    <cellStyle name="Prosent 2 2 2 4 2 2 4 2 3 3" xfId="44885" xr:uid="{00000000-0005-0000-0000-00006B920000}"/>
    <cellStyle name="Prosent 2 2 2 4 2 2 4 2 4" xfId="13109" xr:uid="{00000000-0005-0000-0000-00006C920000}"/>
    <cellStyle name="Prosent 2 2 2 4 2 2 4 2_Avviksanalyse løpende RNB15 (1)" xfId="16820" xr:uid="{00000000-0005-0000-0000-00006D920000}"/>
    <cellStyle name="Prosent 2 2 2 4 2 2 4 3" xfId="18245" xr:uid="{00000000-0005-0000-0000-00006E920000}"/>
    <cellStyle name="Prosent 2 2 2 4 2 2 4 4" xfId="15195" xr:uid="{00000000-0005-0000-0000-00006F920000}"/>
    <cellStyle name="Prosent 2 2 2 4 2 2 4 4 2" xfId="26314" xr:uid="{00000000-0005-0000-0000-000070920000}"/>
    <cellStyle name="Prosent 2 2 2 4 2 2 4 4 2 2" xfId="41751" xr:uid="{00000000-0005-0000-0000-000071920000}"/>
    <cellStyle name="Prosent 2 2 2 4 2 2 4 4 3" xfId="44886" xr:uid="{00000000-0005-0000-0000-000072920000}"/>
    <cellStyle name="Prosent 2 2 2 4 2 2 4 5" xfId="13108" xr:uid="{00000000-0005-0000-0000-000073920000}"/>
    <cellStyle name="Prosent 2 2 2 4 2 2 4_Avviksanalyse løpende RNB15 (1)" xfId="16819" xr:uid="{00000000-0005-0000-0000-000074920000}"/>
    <cellStyle name="Prosent 2 2 2 4 2 2 5" xfId="2442" xr:uid="{00000000-0005-0000-0000-000075920000}"/>
    <cellStyle name="Prosent 2 2 2 4 2 2 5 10" xfId="13110" xr:uid="{00000000-0005-0000-0000-000076920000}"/>
    <cellStyle name="Prosent 2 2 2 4 2 2 5 2" xfId="2443" xr:uid="{00000000-0005-0000-0000-000077920000}"/>
    <cellStyle name="Prosent 2 2 2 4 2 2 5 2 2" xfId="18248" xr:uid="{00000000-0005-0000-0000-000078920000}"/>
    <cellStyle name="Prosent 2 2 2 4 2 2 5 2 3" xfId="15198" xr:uid="{00000000-0005-0000-0000-000079920000}"/>
    <cellStyle name="Prosent 2 2 2 4 2 2 5 2 3 2" xfId="26315" xr:uid="{00000000-0005-0000-0000-00007A920000}"/>
    <cellStyle name="Prosent 2 2 2 4 2 2 5 2 3 2 2" xfId="41754" xr:uid="{00000000-0005-0000-0000-00007B920000}"/>
    <cellStyle name="Prosent 2 2 2 4 2 2 5 2 3 3" xfId="44887" xr:uid="{00000000-0005-0000-0000-00007C920000}"/>
    <cellStyle name="Prosent 2 2 2 4 2 2 5 2 4" xfId="13111" xr:uid="{00000000-0005-0000-0000-00007D920000}"/>
    <cellStyle name="Prosent 2 2 2 4 2 2 5 2_Avviksanalyse løpende RNB15 (1)" xfId="16822" xr:uid="{00000000-0005-0000-0000-00007E920000}"/>
    <cellStyle name="Prosent 2 2 2 4 2 2 5 3" xfId="2444" xr:uid="{00000000-0005-0000-0000-00007F920000}"/>
    <cellStyle name="Prosent 2 2 2 4 2 2 5 3 2" xfId="18249" xr:uid="{00000000-0005-0000-0000-000080920000}"/>
    <cellStyle name="Prosent 2 2 2 4 2 2 5 3 3" xfId="15199" xr:uid="{00000000-0005-0000-0000-000081920000}"/>
    <cellStyle name="Prosent 2 2 2 4 2 2 5 3 3 2" xfId="26316" xr:uid="{00000000-0005-0000-0000-000082920000}"/>
    <cellStyle name="Prosent 2 2 2 4 2 2 5 3 3 2 2" xfId="41755" xr:uid="{00000000-0005-0000-0000-000083920000}"/>
    <cellStyle name="Prosent 2 2 2 4 2 2 5 3 3 3" xfId="44888" xr:uid="{00000000-0005-0000-0000-000084920000}"/>
    <cellStyle name="Prosent 2 2 2 4 2 2 5 3 4" xfId="13112" xr:uid="{00000000-0005-0000-0000-000085920000}"/>
    <cellStyle name="Prosent 2 2 2 4 2 2 5 3_Avviksanalyse løpende RNB15 (1)" xfId="16823" xr:uid="{00000000-0005-0000-0000-000086920000}"/>
    <cellStyle name="Prosent 2 2 2 4 2 2 5 4" xfId="2445" xr:uid="{00000000-0005-0000-0000-000087920000}"/>
    <cellStyle name="Prosent 2 2 2 4 2 2 5 4 2" xfId="2446" xr:uid="{00000000-0005-0000-0000-000088920000}"/>
    <cellStyle name="Prosent 2 2 2 4 2 2 5 4 2 2" xfId="18251" xr:uid="{00000000-0005-0000-0000-000089920000}"/>
    <cellStyle name="Prosent 2 2 2 4 2 2 5 4 2 3" xfId="15201" xr:uid="{00000000-0005-0000-0000-00008A920000}"/>
    <cellStyle name="Prosent 2 2 2 4 2 2 5 4 2 3 2" xfId="26317" xr:uid="{00000000-0005-0000-0000-00008B920000}"/>
    <cellStyle name="Prosent 2 2 2 4 2 2 5 4 2 3 2 2" xfId="41757" xr:uid="{00000000-0005-0000-0000-00008C920000}"/>
    <cellStyle name="Prosent 2 2 2 4 2 2 5 4 2 3 3" xfId="44889" xr:uid="{00000000-0005-0000-0000-00008D920000}"/>
    <cellStyle name="Prosent 2 2 2 4 2 2 5 4 2 4" xfId="13114" xr:uid="{00000000-0005-0000-0000-00008E920000}"/>
    <cellStyle name="Prosent 2 2 2 4 2 2 5 4 2_Avviksanalyse løpende RNB15 (1)" xfId="16825" xr:uid="{00000000-0005-0000-0000-00008F920000}"/>
    <cellStyle name="Prosent 2 2 2 4 2 2 5 4 3" xfId="2447" xr:uid="{00000000-0005-0000-0000-000090920000}"/>
    <cellStyle name="Prosent 2 2 2 4 2 2 5 4 3 2" xfId="2448" xr:uid="{00000000-0005-0000-0000-000091920000}"/>
    <cellStyle name="Prosent 2 2 2 4 2 2 5 4 3 2 2" xfId="18253" xr:uid="{00000000-0005-0000-0000-000092920000}"/>
    <cellStyle name="Prosent 2 2 2 4 2 2 5 4 3 2 3" xfId="15203" xr:uid="{00000000-0005-0000-0000-000093920000}"/>
    <cellStyle name="Prosent 2 2 2 4 2 2 5 4 3 2 3 2" xfId="26318" xr:uid="{00000000-0005-0000-0000-000094920000}"/>
    <cellStyle name="Prosent 2 2 2 4 2 2 5 4 3 2 3 2 2" xfId="41759" xr:uid="{00000000-0005-0000-0000-000095920000}"/>
    <cellStyle name="Prosent 2 2 2 4 2 2 5 4 3 2 3 3" xfId="44890" xr:uid="{00000000-0005-0000-0000-000096920000}"/>
    <cellStyle name="Prosent 2 2 2 4 2 2 5 4 3 2 4" xfId="13116" xr:uid="{00000000-0005-0000-0000-000097920000}"/>
    <cellStyle name="Prosent 2 2 2 4 2 2 5 4 3 2_Avviksanalyse løpende RNB15 (1)" xfId="16827" xr:uid="{00000000-0005-0000-0000-000098920000}"/>
    <cellStyle name="Prosent 2 2 2 4 2 2 5 4 3 3" xfId="18252" xr:uid="{00000000-0005-0000-0000-000099920000}"/>
    <cellStyle name="Prosent 2 2 2 4 2 2 5 4 3 4" xfId="15202" xr:uid="{00000000-0005-0000-0000-00009A920000}"/>
    <cellStyle name="Prosent 2 2 2 4 2 2 5 4 3 4 2" xfId="26319" xr:uid="{00000000-0005-0000-0000-00009B920000}"/>
    <cellStyle name="Prosent 2 2 2 4 2 2 5 4 3 4 2 2" xfId="41758" xr:uid="{00000000-0005-0000-0000-00009C920000}"/>
    <cellStyle name="Prosent 2 2 2 4 2 2 5 4 3 4 3" xfId="44891" xr:uid="{00000000-0005-0000-0000-00009D920000}"/>
    <cellStyle name="Prosent 2 2 2 4 2 2 5 4 3 5" xfId="13115" xr:uid="{00000000-0005-0000-0000-00009E920000}"/>
    <cellStyle name="Prosent 2 2 2 4 2 2 5 4 3_Avviksanalyse løpende RNB15 (1)" xfId="16826" xr:uid="{00000000-0005-0000-0000-00009F920000}"/>
    <cellStyle name="Prosent 2 2 2 4 2 2 5 4 4" xfId="2449" xr:uid="{00000000-0005-0000-0000-0000A0920000}"/>
    <cellStyle name="Prosent 2 2 2 4 2 2 5 4 4 2" xfId="2450" xr:uid="{00000000-0005-0000-0000-0000A1920000}"/>
    <cellStyle name="Prosent 2 2 2 4 2 2 5 4 4 2 2" xfId="18255" xr:uid="{00000000-0005-0000-0000-0000A2920000}"/>
    <cellStyle name="Prosent 2 2 2 4 2 2 5 4 4 2 3" xfId="15205" xr:uid="{00000000-0005-0000-0000-0000A3920000}"/>
    <cellStyle name="Prosent 2 2 2 4 2 2 5 4 4 2 3 2" xfId="26320" xr:uid="{00000000-0005-0000-0000-0000A4920000}"/>
    <cellStyle name="Prosent 2 2 2 4 2 2 5 4 4 2 3 2 2" xfId="41761" xr:uid="{00000000-0005-0000-0000-0000A5920000}"/>
    <cellStyle name="Prosent 2 2 2 4 2 2 5 4 4 2 3 3" xfId="44892" xr:uid="{00000000-0005-0000-0000-0000A6920000}"/>
    <cellStyle name="Prosent 2 2 2 4 2 2 5 4 4 2 4" xfId="13118" xr:uid="{00000000-0005-0000-0000-0000A7920000}"/>
    <cellStyle name="Prosent 2 2 2 4 2 2 5 4 4 2_Avviksanalyse løpende RNB15 (1)" xfId="16829" xr:uid="{00000000-0005-0000-0000-0000A8920000}"/>
    <cellStyle name="Prosent 2 2 2 4 2 2 5 4 4 3" xfId="18254" xr:uid="{00000000-0005-0000-0000-0000A9920000}"/>
    <cellStyle name="Prosent 2 2 2 4 2 2 5 4 4 4" xfId="15204" xr:uid="{00000000-0005-0000-0000-0000AA920000}"/>
    <cellStyle name="Prosent 2 2 2 4 2 2 5 4 4 4 2" xfId="26321" xr:uid="{00000000-0005-0000-0000-0000AB920000}"/>
    <cellStyle name="Prosent 2 2 2 4 2 2 5 4 4 4 2 2" xfId="41760" xr:uid="{00000000-0005-0000-0000-0000AC920000}"/>
    <cellStyle name="Prosent 2 2 2 4 2 2 5 4 4 4 3" xfId="44893" xr:uid="{00000000-0005-0000-0000-0000AD920000}"/>
    <cellStyle name="Prosent 2 2 2 4 2 2 5 4 4 5" xfId="13117" xr:uid="{00000000-0005-0000-0000-0000AE920000}"/>
    <cellStyle name="Prosent 2 2 2 4 2 2 5 4 4_Avviksanalyse løpende RNB15 (1)" xfId="16828" xr:uid="{00000000-0005-0000-0000-0000AF920000}"/>
    <cellStyle name="Prosent 2 2 2 4 2 2 5 4 5" xfId="18250" xr:uid="{00000000-0005-0000-0000-0000B0920000}"/>
    <cellStyle name="Prosent 2 2 2 4 2 2 5 4 6" xfId="15200" xr:uid="{00000000-0005-0000-0000-0000B1920000}"/>
    <cellStyle name="Prosent 2 2 2 4 2 2 5 4 6 2" xfId="26322" xr:uid="{00000000-0005-0000-0000-0000B2920000}"/>
    <cellStyle name="Prosent 2 2 2 4 2 2 5 4 6 2 2" xfId="41756" xr:uid="{00000000-0005-0000-0000-0000B3920000}"/>
    <cellStyle name="Prosent 2 2 2 4 2 2 5 4 6 3" xfId="44894" xr:uid="{00000000-0005-0000-0000-0000B4920000}"/>
    <cellStyle name="Prosent 2 2 2 4 2 2 5 4 7" xfId="13113" xr:uid="{00000000-0005-0000-0000-0000B5920000}"/>
    <cellStyle name="Prosent 2 2 2 4 2 2 5 4_Avviksanalyse løpende RNB15 (1)" xfId="16824" xr:uid="{00000000-0005-0000-0000-0000B6920000}"/>
    <cellStyle name="Prosent 2 2 2 4 2 2 5 5" xfId="2451" xr:uid="{00000000-0005-0000-0000-0000B7920000}"/>
    <cellStyle name="Prosent 2 2 2 4 2 2 5 5 2" xfId="2452" xr:uid="{00000000-0005-0000-0000-0000B8920000}"/>
    <cellStyle name="Prosent 2 2 2 4 2 2 5 5 2 2" xfId="18257" xr:uid="{00000000-0005-0000-0000-0000B9920000}"/>
    <cellStyle name="Prosent 2 2 2 4 2 2 5 5 2 3" xfId="15207" xr:uid="{00000000-0005-0000-0000-0000BA920000}"/>
    <cellStyle name="Prosent 2 2 2 4 2 2 5 5 2 3 2" xfId="26323" xr:uid="{00000000-0005-0000-0000-0000BB920000}"/>
    <cellStyle name="Prosent 2 2 2 4 2 2 5 5 2 3 2 2" xfId="41763" xr:uid="{00000000-0005-0000-0000-0000BC920000}"/>
    <cellStyle name="Prosent 2 2 2 4 2 2 5 5 2 3 3" xfId="44895" xr:uid="{00000000-0005-0000-0000-0000BD920000}"/>
    <cellStyle name="Prosent 2 2 2 4 2 2 5 5 2 4" xfId="13120" xr:uid="{00000000-0005-0000-0000-0000BE920000}"/>
    <cellStyle name="Prosent 2 2 2 4 2 2 5 5 2_Avviksanalyse løpende RNB15 (1)" xfId="16831" xr:uid="{00000000-0005-0000-0000-0000BF920000}"/>
    <cellStyle name="Prosent 2 2 2 4 2 2 5 5 3" xfId="2453" xr:uid="{00000000-0005-0000-0000-0000C0920000}"/>
    <cellStyle name="Prosent 2 2 2 4 2 2 5 5 3 2" xfId="2454" xr:uid="{00000000-0005-0000-0000-0000C1920000}"/>
    <cellStyle name="Prosent 2 2 2 4 2 2 5 5 3 2 2" xfId="18259" xr:uid="{00000000-0005-0000-0000-0000C2920000}"/>
    <cellStyle name="Prosent 2 2 2 4 2 2 5 5 3 2 3" xfId="15209" xr:uid="{00000000-0005-0000-0000-0000C3920000}"/>
    <cellStyle name="Prosent 2 2 2 4 2 2 5 5 3 2 3 2" xfId="26324" xr:uid="{00000000-0005-0000-0000-0000C4920000}"/>
    <cellStyle name="Prosent 2 2 2 4 2 2 5 5 3 2 3 2 2" xfId="41765" xr:uid="{00000000-0005-0000-0000-0000C5920000}"/>
    <cellStyle name="Prosent 2 2 2 4 2 2 5 5 3 2 3 3" xfId="44896" xr:uid="{00000000-0005-0000-0000-0000C6920000}"/>
    <cellStyle name="Prosent 2 2 2 4 2 2 5 5 3 2 4" xfId="13122" xr:uid="{00000000-0005-0000-0000-0000C7920000}"/>
    <cellStyle name="Prosent 2 2 2 4 2 2 5 5 3 2_Avviksanalyse løpende RNB15 (1)" xfId="16833" xr:uid="{00000000-0005-0000-0000-0000C8920000}"/>
    <cellStyle name="Prosent 2 2 2 4 2 2 5 5 3 3" xfId="18258" xr:uid="{00000000-0005-0000-0000-0000C9920000}"/>
    <cellStyle name="Prosent 2 2 2 4 2 2 5 5 3 4" xfId="15208" xr:uid="{00000000-0005-0000-0000-0000CA920000}"/>
    <cellStyle name="Prosent 2 2 2 4 2 2 5 5 3 4 2" xfId="26325" xr:uid="{00000000-0005-0000-0000-0000CB920000}"/>
    <cellStyle name="Prosent 2 2 2 4 2 2 5 5 3 4 2 2" xfId="41764" xr:uid="{00000000-0005-0000-0000-0000CC920000}"/>
    <cellStyle name="Prosent 2 2 2 4 2 2 5 5 3 4 3" xfId="44897" xr:uid="{00000000-0005-0000-0000-0000CD920000}"/>
    <cellStyle name="Prosent 2 2 2 4 2 2 5 5 3 5" xfId="13121" xr:uid="{00000000-0005-0000-0000-0000CE920000}"/>
    <cellStyle name="Prosent 2 2 2 4 2 2 5 5 3_Avviksanalyse løpende RNB15 (1)" xfId="16832" xr:uid="{00000000-0005-0000-0000-0000CF920000}"/>
    <cellStyle name="Prosent 2 2 2 4 2 2 5 5 4" xfId="2455" xr:uid="{00000000-0005-0000-0000-0000D0920000}"/>
    <cellStyle name="Prosent 2 2 2 4 2 2 5 5 4 2" xfId="2456" xr:uid="{00000000-0005-0000-0000-0000D1920000}"/>
    <cellStyle name="Prosent 2 2 2 4 2 2 5 5 4 2 2" xfId="18261" xr:uid="{00000000-0005-0000-0000-0000D2920000}"/>
    <cellStyle name="Prosent 2 2 2 4 2 2 5 5 4 2 3" xfId="15211" xr:uid="{00000000-0005-0000-0000-0000D3920000}"/>
    <cellStyle name="Prosent 2 2 2 4 2 2 5 5 4 2 3 2" xfId="26326" xr:uid="{00000000-0005-0000-0000-0000D4920000}"/>
    <cellStyle name="Prosent 2 2 2 4 2 2 5 5 4 2 3 2 2" xfId="41767" xr:uid="{00000000-0005-0000-0000-0000D5920000}"/>
    <cellStyle name="Prosent 2 2 2 4 2 2 5 5 4 2 3 3" xfId="44898" xr:uid="{00000000-0005-0000-0000-0000D6920000}"/>
    <cellStyle name="Prosent 2 2 2 4 2 2 5 5 4 2 4" xfId="13124" xr:uid="{00000000-0005-0000-0000-0000D7920000}"/>
    <cellStyle name="Prosent 2 2 2 4 2 2 5 5 4 2_Avviksanalyse løpende RNB15 (1)" xfId="16835" xr:uid="{00000000-0005-0000-0000-0000D8920000}"/>
    <cellStyle name="Prosent 2 2 2 4 2 2 5 5 4 3" xfId="18260" xr:uid="{00000000-0005-0000-0000-0000D9920000}"/>
    <cellStyle name="Prosent 2 2 2 4 2 2 5 5 4 4" xfId="15210" xr:uid="{00000000-0005-0000-0000-0000DA920000}"/>
    <cellStyle name="Prosent 2 2 2 4 2 2 5 5 4 4 2" xfId="26327" xr:uid="{00000000-0005-0000-0000-0000DB920000}"/>
    <cellStyle name="Prosent 2 2 2 4 2 2 5 5 4 4 2 2" xfId="41766" xr:uid="{00000000-0005-0000-0000-0000DC920000}"/>
    <cellStyle name="Prosent 2 2 2 4 2 2 5 5 4 4 3" xfId="44899" xr:uid="{00000000-0005-0000-0000-0000DD920000}"/>
    <cellStyle name="Prosent 2 2 2 4 2 2 5 5 4 5" xfId="13123" xr:uid="{00000000-0005-0000-0000-0000DE920000}"/>
    <cellStyle name="Prosent 2 2 2 4 2 2 5 5 4_Avviksanalyse løpende RNB15 (1)" xfId="16834" xr:uid="{00000000-0005-0000-0000-0000DF920000}"/>
    <cellStyle name="Prosent 2 2 2 4 2 2 5 5 5" xfId="18256" xr:uid="{00000000-0005-0000-0000-0000E0920000}"/>
    <cellStyle name="Prosent 2 2 2 4 2 2 5 5 6" xfId="15206" xr:uid="{00000000-0005-0000-0000-0000E1920000}"/>
    <cellStyle name="Prosent 2 2 2 4 2 2 5 5 6 2" xfId="26328" xr:uid="{00000000-0005-0000-0000-0000E2920000}"/>
    <cellStyle name="Prosent 2 2 2 4 2 2 5 5 6 2 2" xfId="41762" xr:uid="{00000000-0005-0000-0000-0000E3920000}"/>
    <cellStyle name="Prosent 2 2 2 4 2 2 5 5 6 3" xfId="44900" xr:uid="{00000000-0005-0000-0000-0000E4920000}"/>
    <cellStyle name="Prosent 2 2 2 4 2 2 5 5 7" xfId="13119" xr:uid="{00000000-0005-0000-0000-0000E5920000}"/>
    <cellStyle name="Prosent 2 2 2 4 2 2 5 5_Avviksanalyse løpende RNB15 (1)" xfId="16830" xr:uid="{00000000-0005-0000-0000-0000E6920000}"/>
    <cellStyle name="Prosent 2 2 2 4 2 2 5 6" xfId="2457" xr:uid="{00000000-0005-0000-0000-0000E7920000}"/>
    <cellStyle name="Prosent 2 2 2 4 2 2 5 6 2" xfId="2458" xr:uid="{00000000-0005-0000-0000-0000E8920000}"/>
    <cellStyle name="Prosent 2 2 2 4 2 2 5 6 2 2" xfId="18263" xr:uid="{00000000-0005-0000-0000-0000E9920000}"/>
    <cellStyle name="Prosent 2 2 2 4 2 2 5 6 2 3" xfId="15213" xr:uid="{00000000-0005-0000-0000-0000EA920000}"/>
    <cellStyle name="Prosent 2 2 2 4 2 2 5 6 2 3 2" xfId="26329" xr:uid="{00000000-0005-0000-0000-0000EB920000}"/>
    <cellStyle name="Prosent 2 2 2 4 2 2 5 6 2 3 2 2" xfId="41769" xr:uid="{00000000-0005-0000-0000-0000EC920000}"/>
    <cellStyle name="Prosent 2 2 2 4 2 2 5 6 2 3 3" xfId="44901" xr:uid="{00000000-0005-0000-0000-0000ED920000}"/>
    <cellStyle name="Prosent 2 2 2 4 2 2 5 6 2 4" xfId="13126" xr:uid="{00000000-0005-0000-0000-0000EE920000}"/>
    <cellStyle name="Prosent 2 2 2 4 2 2 5 6 2_Avviksanalyse løpende RNB15 (1)" xfId="16837" xr:uid="{00000000-0005-0000-0000-0000EF920000}"/>
    <cellStyle name="Prosent 2 2 2 4 2 2 5 6 3" xfId="18262" xr:uid="{00000000-0005-0000-0000-0000F0920000}"/>
    <cellStyle name="Prosent 2 2 2 4 2 2 5 6 4" xfId="15212" xr:uid="{00000000-0005-0000-0000-0000F1920000}"/>
    <cellStyle name="Prosent 2 2 2 4 2 2 5 6 4 2" xfId="26330" xr:uid="{00000000-0005-0000-0000-0000F2920000}"/>
    <cellStyle name="Prosent 2 2 2 4 2 2 5 6 4 2 2" xfId="41768" xr:uid="{00000000-0005-0000-0000-0000F3920000}"/>
    <cellStyle name="Prosent 2 2 2 4 2 2 5 6 4 3" xfId="44902" xr:uid="{00000000-0005-0000-0000-0000F4920000}"/>
    <cellStyle name="Prosent 2 2 2 4 2 2 5 6 5" xfId="13125" xr:uid="{00000000-0005-0000-0000-0000F5920000}"/>
    <cellStyle name="Prosent 2 2 2 4 2 2 5 6_Avviksanalyse løpende RNB15 (1)" xfId="16836" xr:uid="{00000000-0005-0000-0000-0000F6920000}"/>
    <cellStyle name="Prosent 2 2 2 4 2 2 5 7" xfId="2459" xr:uid="{00000000-0005-0000-0000-0000F7920000}"/>
    <cellStyle name="Prosent 2 2 2 4 2 2 5 7 2" xfId="2460" xr:uid="{00000000-0005-0000-0000-0000F8920000}"/>
    <cellStyle name="Prosent 2 2 2 4 2 2 5 7 2 2" xfId="18265" xr:uid="{00000000-0005-0000-0000-0000F9920000}"/>
    <cellStyle name="Prosent 2 2 2 4 2 2 5 7 2 3" xfId="15215" xr:uid="{00000000-0005-0000-0000-0000FA920000}"/>
    <cellStyle name="Prosent 2 2 2 4 2 2 5 7 2 3 2" xfId="26331" xr:uid="{00000000-0005-0000-0000-0000FB920000}"/>
    <cellStyle name="Prosent 2 2 2 4 2 2 5 7 2 3 2 2" xfId="41771" xr:uid="{00000000-0005-0000-0000-0000FC920000}"/>
    <cellStyle name="Prosent 2 2 2 4 2 2 5 7 2 3 3" xfId="44903" xr:uid="{00000000-0005-0000-0000-0000FD920000}"/>
    <cellStyle name="Prosent 2 2 2 4 2 2 5 7 2 4" xfId="13128" xr:uid="{00000000-0005-0000-0000-0000FE920000}"/>
    <cellStyle name="Prosent 2 2 2 4 2 2 5 7 2_Avviksanalyse løpende RNB15 (1)" xfId="16839" xr:uid="{00000000-0005-0000-0000-0000FF920000}"/>
    <cellStyle name="Prosent 2 2 2 4 2 2 5 7 3" xfId="18264" xr:uid="{00000000-0005-0000-0000-000000930000}"/>
    <cellStyle name="Prosent 2 2 2 4 2 2 5 7 4" xfId="15214" xr:uid="{00000000-0005-0000-0000-000001930000}"/>
    <cellStyle name="Prosent 2 2 2 4 2 2 5 7 4 2" xfId="26332" xr:uid="{00000000-0005-0000-0000-000002930000}"/>
    <cellStyle name="Prosent 2 2 2 4 2 2 5 7 4 2 2" xfId="41770" xr:uid="{00000000-0005-0000-0000-000003930000}"/>
    <cellStyle name="Prosent 2 2 2 4 2 2 5 7 4 3" xfId="44904" xr:uid="{00000000-0005-0000-0000-000004930000}"/>
    <cellStyle name="Prosent 2 2 2 4 2 2 5 7 5" xfId="13127" xr:uid="{00000000-0005-0000-0000-000005930000}"/>
    <cellStyle name="Prosent 2 2 2 4 2 2 5 7_Avviksanalyse løpende RNB15 (1)" xfId="16838" xr:uid="{00000000-0005-0000-0000-000006930000}"/>
    <cellStyle name="Prosent 2 2 2 4 2 2 5 8" xfId="18247" xr:uid="{00000000-0005-0000-0000-000007930000}"/>
    <cellStyle name="Prosent 2 2 2 4 2 2 5 9" xfId="15197" xr:uid="{00000000-0005-0000-0000-000008930000}"/>
    <cellStyle name="Prosent 2 2 2 4 2 2 5 9 2" xfId="26333" xr:uid="{00000000-0005-0000-0000-000009930000}"/>
    <cellStyle name="Prosent 2 2 2 4 2 2 5 9 2 2" xfId="41753" xr:uid="{00000000-0005-0000-0000-00000A930000}"/>
    <cellStyle name="Prosent 2 2 2 4 2 2 5 9 3" xfId="44905" xr:uid="{00000000-0005-0000-0000-00000B930000}"/>
    <cellStyle name="Prosent 2 2 2 4 2 2 5_Avviksanalyse løpende RNB15 (1)" xfId="16821" xr:uid="{00000000-0005-0000-0000-00000C930000}"/>
    <cellStyle name="Prosent 2 2 2 4 2 2 6" xfId="2461" xr:uid="{00000000-0005-0000-0000-00000D930000}"/>
    <cellStyle name="Prosent 2 2 2 4 2 2 6 2" xfId="2462" xr:uid="{00000000-0005-0000-0000-00000E930000}"/>
    <cellStyle name="Prosent 2 2 2 4 2 2 6 2 2" xfId="18267" xr:uid="{00000000-0005-0000-0000-00000F930000}"/>
    <cellStyle name="Prosent 2 2 2 4 2 2 6 2 3" xfId="15217" xr:uid="{00000000-0005-0000-0000-000010930000}"/>
    <cellStyle name="Prosent 2 2 2 4 2 2 6 2 3 2" xfId="26334" xr:uid="{00000000-0005-0000-0000-000011930000}"/>
    <cellStyle name="Prosent 2 2 2 4 2 2 6 2 3 2 2" xfId="41773" xr:uid="{00000000-0005-0000-0000-000012930000}"/>
    <cellStyle name="Prosent 2 2 2 4 2 2 6 2 3 3" xfId="44906" xr:uid="{00000000-0005-0000-0000-000013930000}"/>
    <cellStyle name="Prosent 2 2 2 4 2 2 6 2 4" xfId="13130" xr:uid="{00000000-0005-0000-0000-000014930000}"/>
    <cellStyle name="Prosent 2 2 2 4 2 2 6 2_Avviksanalyse løpende RNB15 (1)" xfId="16841" xr:uid="{00000000-0005-0000-0000-000015930000}"/>
    <cellStyle name="Prosent 2 2 2 4 2 2 6 3" xfId="2463" xr:uid="{00000000-0005-0000-0000-000016930000}"/>
    <cellStyle name="Prosent 2 2 2 4 2 2 6 3 2" xfId="2464" xr:uid="{00000000-0005-0000-0000-000017930000}"/>
    <cellStyle name="Prosent 2 2 2 4 2 2 6 3 2 2" xfId="18269" xr:uid="{00000000-0005-0000-0000-000018930000}"/>
    <cellStyle name="Prosent 2 2 2 4 2 2 6 3 2 3" xfId="15219" xr:uid="{00000000-0005-0000-0000-000019930000}"/>
    <cellStyle name="Prosent 2 2 2 4 2 2 6 3 2 3 2" xfId="26335" xr:uid="{00000000-0005-0000-0000-00001A930000}"/>
    <cellStyle name="Prosent 2 2 2 4 2 2 6 3 2 3 2 2" xfId="41775" xr:uid="{00000000-0005-0000-0000-00001B930000}"/>
    <cellStyle name="Prosent 2 2 2 4 2 2 6 3 2 3 3" xfId="44907" xr:uid="{00000000-0005-0000-0000-00001C930000}"/>
    <cellStyle name="Prosent 2 2 2 4 2 2 6 3 2 4" xfId="13132" xr:uid="{00000000-0005-0000-0000-00001D930000}"/>
    <cellStyle name="Prosent 2 2 2 4 2 2 6 3 2_Avviksanalyse løpende RNB15 (1)" xfId="16843" xr:uid="{00000000-0005-0000-0000-00001E930000}"/>
    <cellStyle name="Prosent 2 2 2 4 2 2 6 3 3" xfId="18268" xr:uid="{00000000-0005-0000-0000-00001F930000}"/>
    <cellStyle name="Prosent 2 2 2 4 2 2 6 3 4" xfId="15218" xr:uid="{00000000-0005-0000-0000-000020930000}"/>
    <cellStyle name="Prosent 2 2 2 4 2 2 6 3 4 2" xfId="26336" xr:uid="{00000000-0005-0000-0000-000021930000}"/>
    <cellStyle name="Prosent 2 2 2 4 2 2 6 3 4 2 2" xfId="41774" xr:uid="{00000000-0005-0000-0000-000022930000}"/>
    <cellStyle name="Prosent 2 2 2 4 2 2 6 3 4 3" xfId="44908" xr:uid="{00000000-0005-0000-0000-000023930000}"/>
    <cellStyle name="Prosent 2 2 2 4 2 2 6 3 5" xfId="13131" xr:uid="{00000000-0005-0000-0000-000024930000}"/>
    <cellStyle name="Prosent 2 2 2 4 2 2 6 3_Avviksanalyse løpende RNB15 (1)" xfId="16842" xr:uid="{00000000-0005-0000-0000-000025930000}"/>
    <cellStyle name="Prosent 2 2 2 4 2 2 6 4" xfId="2465" xr:uid="{00000000-0005-0000-0000-000026930000}"/>
    <cellStyle name="Prosent 2 2 2 4 2 2 6 4 2" xfId="2466" xr:uid="{00000000-0005-0000-0000-000027930000}"/>
    <cellStyle name="Prosent 2 2 2 4 2 2 6 4 2 2" xfId="18271" xr:uid="{00000000-0005-0000-0000-000028930000}"/>
    <cellStyle name="Prosent 2 2 2 4 2 2 6 4 2 3" xfId="15221" xr:uid="{00000000-0005-0000-0000-000029930000}"/>
    <cellStyle name="Prosent 2 2 2 4 2 2 6 4 2 3 2" xfId="26337" xr:uid="{00000000-0005-0000-0000-00002A930000}"/>
    <cellStyle name="Prosent 2 2 2 4 2 2 6 4 2 3 2 2" xfId="41777" xr:uid="{00000000-0005-0000-0000-00002B930000}"/>
    <cellStyle name="Prosent 2 2 2 4 2 2 6 4 2 3 3" xfId="44910" xr:uid="{00000000-0005-0000-0000-00002C930000}"/>
    <cellStyle name="Prosent 2 2 2 4 2 2 6 4 2 4" xfId="13134" xr:uid="{00000000-0005-0000-0000-00002D930000}"/>
    <cellStyle name="Prosent 2 2 2 4 2 2 6 4 2_Avviksanalyse løpende RNB15 (1)" xfId="16845" xr:uid="{00000000-0005-0000-0000-00002E930000}"/>
    <cellStyle name="Prosent 2 2 2 4 2 2 6 4 3" xfId="18270" xr:uid="{00000000-0005-0000-0000-00002F930000}"/>
    <cellStyle name="Prosent 2 2 2 4 2 2 6 4 4" xfId="15220" xr:uid="{00000000-0005-0000-0000-000030930000}"/>
    <cellStyle name="Prosent 2 2 2 4 2 2 6 4 4 2" xfId="26338" xr:uid="{00000000-0005-0000-0000-000031930000}"/>
    <cellStyle name="Prosent 2 2 2 4 2 2 6 4 4 2 2" xfId="41776" xr:uid="{00000000-0005-0000-0000-000032930000}"/>
    <cellStyle name="Prosent 2 2 2 4 2 2 6 4 4 3" xfId="44911" xr:uid="{00000000-0005-0000-0000-000033930000}"/>
    <cellStyle name="Prosent 2 2 2 4 2 2 6 4 5" xfId="13133" xr:uid="{00000000-0005-0000-0000-000034930000}"/>
    <cellStyle name="Prosent 2 2 2 4 2 2 6 4_Avviksanalyse løpende RNB15 (1)" xfId="16844" xr:uid="{00000000-0005-0000-0000-000035930000}"/>
    <cellStyle name="Prosent 2 2 2 4 2 2 6 5" xfId="18266" xr:uid="{00000000-0005-0000-0000-000036930000}"/>
    <cellStyle name="Prosent 2 2 2 4 2 2 6 6" xfId="15216" xr:uid="{00000000-0005-0000-0000-000037930000}"/>
    <cellStyle name="Prosent 2 2 2 4 2 2 6 6 2" xfId="26339" xr:uid="{00000000-0005-0000-0000-000038930000}"/>
    <cellStyle name="Prosent 2 2 2 4 2 2 6 6 2 2" xfId="41772" xr:uid="{00000000-0005-0000-0000-000039930000}"/>
    <cellStyle name="Prosent 2 2 2 4 2 2 6 6 3" xfId="44912" xr:uid="{00000000-0005-0000-0000-00003A930000}"/>
    <cellStyle name="Prosent 2 2 2 4 2 2 6 7" xfId="13129" xr:uid="{00000000-0005-0000-0000-00003B930000}"/>
    <cellStyle name="Prosent 2 2 2 4 2 2 6_Avviksanalyse løpende RNB15 (1)" xfId="16840" xr:uid="{00000000-0005-0000-0000-00003C930000}"/>
    <cellStyle name="Prosent 2 2 2 4 2 2 7" xfId="2467" xr:uid="{00000000-0005-0000-0000-00003D930000}"/>
    <cellStyle name="Prosent 2 2 2 4 2 2 7 2" xfId="2468" xr:uid="{00000000-0005-0000-0000-00003E930000}"/>
    <cellStyle name="Prosent 2 2 2 4 2 2 7 2 2" xfId="18273" xr:uid="{00000000-0005-0000-0000-00003F930000}"/>
    <cellStyle name="Prosent 2 2 2 4 2 2 7 2 3" xfId="15223" xr:uid="{00000000-0005-0000-0000-000040930000}"/>
    <cellStyle name="Prosent 2 2 2 4 2 2 7 2 3 2" xfId="26340" xr:uid="{00000000-0005-0000-0000-000041930000}"/>
    <cellStyle name="Prosent 2 2 2 4 2 2 7 2 3 2 2" xfId="41779" xr:uid="{00000000-0005-0000-0000-000042930000}"/>
    <cellStyle name="Prosent 2 2 2 4 2 2 7 2 3 3" xfId="44914" xr:uid="{00000000-0005-0000-0000-000043930000}"/>
    <cellStyle name="Prosent 2 2 2 4 2 2 7 2 4" xfId="13136" xr:uid="{00000000-0005-0000-0000-000044930000}"/>
    <cellStyle name="Prosent 2 2 2 4 2 2 7 2_Avviksanalyse løpende RNB15 (1)" xfId="16847" xr:uid="{00000000-0005-0000-0000-000045930000}"/>
    <cellStyle name="Prosent 2 2 2 4 2 2 7 3" xfId="2469" xr:uid="{00000000-0005-0000-0000-000046930000}"/>
    <cellStyle name="Prosent 2 2 2 4 2 2 7 3 2" xfId="2470" xr:uid="{00000000-0005-0000-0000-000047930000}"/>
    <cellStyle name="Prosent 2 2 2 4 2 2 7 3 2 2" xfId="18275" xr:uid="{00000000-0005-0000-0000-000048930000}"/>
    <cellStyle name="Prosent 2 2 2 4 2 2 7 3 2 3" xfId="15225" xr:uid="{00000000-0005-0000-0000-000049930000}"/>
    <cellStyle name="Prosent 2 2 2 4 2 2 7 3 2 3 2" xfId="26341" xr:uid="{00000000-0005-0000-0000-00004A930000}"/>
    <cellStyle name="Prosent 2 2 2 4 2 2 7 3 2 3 2 2" xfId="41781" xr:uid="{00000000-0005-0000-0000-00004B930000}"/>
    <cellStyle name="Prosent 2 2 2 4 2 2 7 3 2 3 3" xfId="44915" xr:uid="{00000000-0005-0000-0000-00004C930000}"/>
    <cellStyle name="Prosent 2 2 2 4 2 2 7 3 2 4" xfId="13138" xr:uid="{00000000-0005-0000-0000-00004D930000}"/>
    <cellStyle name="Prosent 2 2 2 4 2 2 7 3 2_Avviksanalyse løpende RNB15 (1)" xfId="16849" xr:uid="{00000000-0005-0000-0000-00004E930000}"/>
    <cellStyle name="Prosent 2 2 2 4 2 2 7 3 3" xfId="18274" xr:uid="{00000000-0005-0000-0000-00004F930000}"/>
    <cellStyle name="Prosent 2 2 2 4 2 2 7 3 4" xfId="15224" xr:uid="{00000000-0005-0000-0000-000050930000}"/>
    <cellStyle name="Prosent 2 2 2 4 2 2 7 3 4 2" xfId="26342" xr:uid="{00000000-0005-0000-0000-000051930000}"/>
    <cellStyle name="Prosent 2 2 2 4 2 2 7 3 4 2 2" xfId="41780" xr:uid="{00000000-0005-0000-0000-000052930000}"/>
    <cellStyle name="Prosent 2 2 2 4 2 2 7 3 4 3" xfId="44916" xr:uid="{00000000-0005-0000-0000-000053930000}"/>
    <cellStyle name="Prosent 2 2 2 4 2 2 7 3 5" xfId="13137" xr:uid="{00000000-0005-0000-0000-000054930000}"/>
    <cellStyle name="Prosent 2 2 2 4 2 2 7 3_Avviksanalyse løpende RNB15 (1)" xfId="16848" xr:uid="{00000000-0005-0000-0000-000055930000}"/>
    <cellStyle name="Prosent 2 2 2 4 2 2 7 4" xfId="2471" xr:uid="{00000000-0005-0000-0000-000056930000}"/>
    <cellStyle name="Prosent 2 2 2 4 2 2 7 4 2" xfId="2472" xr:uid="{00000000-0005-0000-0000-000057930000}"/>
    <cellStyle name="Prosent 2 2 2 4 2 2 7 4 2 2" xfId="18277" xr:uid="{00000000-0005-0000-0000-000058930000}"/>
    <cellStyle name="Prosent 2 2 2 4 2 2 7 4 2 3" xfId="15227" xr:uid="{00000000-0005-0000-0000-000059930000}"/>
    <cellStyle name="Prosent 2 2 2 4 2 2 7 4 2 3 2" xfId="26343" xr:uid="{00000000-0005-0000-0000-00005A930000}"/>
    <cellStyle name="Prosent 2 2 2 4 2 2 7 4 2 3 2 2" xfId="41783" xr:uid="{00000000-0005-0000-0000-00005B930000}"/>
    <cellStyle name="Prosent 2 2 2 4 2 2 7 4 2 3 3" xfId="44917" xr:uid="{00000000-0005-0000-0000-00005C930000}"/>
    <cellStyle name="Prosent 2 2 2 4 2 2 7 4 2 4" xfId="13140" xr:uid="{00000000-0005-0000-0000-00005D930000}"/>
    <cellStyle name="Prosent 2 2 2 4 2 2 7 4 2_Avviksanalyse løpende RNB15 (1)" xfId="16851" xr:uid="{00000000-0005-0000-0000-00005E930000}"/>
    <cellStyle name="Prosent 2 2 2 4 2 2 7 4 3" xfId="18276" xr:uid="{00000000-0005-0000-0000-00005F930000}"/>
    <cellStyle name="Prosent 2 2 2 4 2 2 7 4 4" xfId="15226" xr:uid="{00000000-0005-0000-0000-000060930000}"/>
    <cellStyle name="Prosent 2 2 2 4 2 2 7 4 4 2" xfId="26344" xr:uid="{00000000-0005-0000-0000-000061930000}"/>
    <cellStyle name="Prosent 2 2 2 4 2 2 7 4 4 2 2" xfId="41782" xr:uid="{00000000-0005-0000-0000-000062930000}"/>
    <cellStyle name="Prosent 2 2 2 4 2 2 7 4 4 3" xfId="44918" xr:uid="{00000000-0005-0000-0000-000063930000}"/>
    <cellStyle name="Prosent 2 2 2 4 2 2 7 4 5" xfId="13139" xr:uid="{00000000-0005-0000-0000-000064930000}"/>
    <cellStyle name="Prosent 2 2 2 4 2 2 7 4_Avviksanalyse løpende RNB15 (1)" xfId="16850" xr:uid="{00000000-0005-0000-0000-000065930000}"/>
    <cellStyle name="Prosent 2 2 2 4 2 2 7 5" xfId="18272" xr:uid="{00000000-0005-0000-0000-000066930000}"/>
    <cellStyle name="Prosent 2 2 2 4 2 2 7 6" xfId="15222" xr:uid="{00000000-0005-0000-0000-000067930000}"/>
    <cellStyle name="Prosent 2 2 2 4 2 2 7 6 2" xfId="26345" xr:uid="{00000000-0005-0000-0000-000068930000}"/>
    <cellStyle name="Prosent 2 2 2 4 2 2 7 6 2 2" xfId="41778" xr:uid="{00000000-0005-0000-0000-000069930000}"/>
    <cellStyle name="Prosent 2 2 2 4 2 2 7 6 3" xfId="44919" xr:uid="{00000000-0005-0000-0000-00006A930000}"/>
    <cellStyle name="Prosent 2 2 2 4 2 2 7 7" xfId="13135" xr:uid="{00000000-0005-0000-0000-00006B930000}"/>
    <cellStyle name="Prosent 2 2 2 4 2 2 7_Avviksanalyse løpende RNB15 (1)" xfId="16846" xr:uid="{00000000-0005-0000-0000-00006C930000}"/>
    <cellStyle name="Prosent 2 2 2 4 2 2 8" xfId="2473" xr:uid="{00000000-0005-0000-0000-00006D930000}"/>
    <cellStyle name="Prosent 2 2 2 4 2 2 8 2" xfId="2474" xr:uid="{00000000-0005-0000-0000-00006E930000}"/>
    <cellStyle name="Prosent 2 2 2 4 2 2 8 2 2" xfId="18279" xr:uid="{00000000-0005-0000-0000-00006F930000}"/>
    <cellStyle name="Prosent 2 2 2 4 2 2 8 2 3" xfId="15229" xr:uid="{00000000-0005-0000-0000-000070930000}"/>
    <cellStyle name="Prosent 2 2 2 4 2 2 8 2 3 2" xfId="26346" xr:uid="{00000000-0005-0000-0000-000071930000}"/>
    <cellStyle name="Prosent 2 2 2 4 2 2 8 2 3 2 2" xfId="41785" xr:uid="{00000000-0005-0000-0000-000072930000}"/>
    <cellStyle name="Prosent 2 2 2 4 2 2 8 2 3 3" xfId="44920" xr:uid="{00000000-0005-0000-0000-000073930000}"/>
    <cellStyle name="Prosent 2 2 2 4 2 2 8 2 4" xfId="13142" xr:uid="{00000000-0005-0000-0000-000074930000}"/>
    <cellStyle name="Prosent 2 2 2 4 2 2 8 2_Avviksanalyse løpende RNB15 (1)" xfId="16853" xr:uid="{00000000-0005-0000-0000-000075930000}"/>
    <cellStyle name="Prosent 2 2 2 4 2 2 8 3" xfId="18278" xr:uid="{00000000-0005-0000-0000-000076930000}"/>
    <cellStyle name="Prosent 2 2 2 4 2 2 8 4" xfId="15228" xr:uid="{00000000-0005-0000-0000-000077930000}"/>
    <cellStyle name="Prosent 2 2 2 4 2 2 8 4 2" xfId="26347" xr:uid="{00000000-0005-0000-0000-000078930000}"/>
    <cellStyle name="Prosent 2 2 2 4 2 2 8 4 2 2" xfId="41784" xr:uid="{00000000-0005-0000-0000-000079930000}"/>
    <cellStyle name="Prosent 2 2 2 4 2 2 8 4 3" xfId="44921" xr:uid="{00000000-0005-0000-0000-00007A930000}"/>
    <cellStyle name="Prosent 2 2 2 4 2 2 8 5" xfId="13141" xr:uid="{00000000-0005-0000-0000-00007B930000}"/>
    <cellStyle name="Prosent 2 2 2 4 2 2 8_Avviksanalyse løpende RNB15 (1)" xfId="16852" xr:uid="{00000000-0005-0000-0000-00007C930000}"/>
    <cellStyle name="Prosent 2 2 2 4 2 2 9" xfId="2475" xr:uid="{00000000-0005-0000-0000-00007D930000}"/>
    <cellStyle name="Prosent 2 2 2 4 2 2 9 2" xfId="2476" xr:uid="{00000000-0005-0000-0000-00007E930000}"/>
    <cellStyle name="Prosent 2 2 2 4 2 2 9 2 2" xfId="18281" xr:uid="{00000000-0005-0000-0000-00007F930000}"/>
    <cellStyle name="Prosent 2 2 2 4 2 2 9 2 3" xfId="15231" xr:uid="{00000000-0005-0000-0000-000080930000}"/>
    <cellStyle name="Prosent 2 2 2 4 2 2 9 2 3 2" xfId="26348" xr:uid="{00000000-0005-0000-0000-000081930000}"/>
    <cellStyle name="Prosent 2 2 2 4 2 2 9 2 3 2 2" xfId="41787" xr:uid="{00000000-0005-0000-0000-000082930000}"/>
    <cellStyle name="Prosent 2 2 2 4 2 2 9 2 3 3" xfId="44922" xr:uid="{00000000-0005-0000-0000-000083930000}"/>
    <cellStyle name="Prosent 2 2 2 4 2 2 9 2 4" xfId="13144" xr:uid="{00000000-0005-0000-0000-000084930000}"/>
    <cellStyle name="Prosent 2 2 2 4 2 2 9 2_Avviksanalyse løpende RNB15 (1)" xfId="16855" xr:uid="{00000000-0005-0000-0000-000085930000}"/>
    <cellStyle name="Prosent 2 2 2 4 2 2 9 3" xfId="18280" xr:uid="{00000000-0005-0000-0000-000086930000}"/>
    <cellStyle name="Prosent 2 2 2 4 2 2 9 4" xfId="15230" xr:uid="{00000000-0005-0000-0000-000087930000}"/>
    <cellStyle name="Prosent 2 2 2 4 2 2 9 4 2" xfId="26349" xr:uid="{00000000-0005-0000-0000-000088930000}"/>
    <cellStyle name="Prosent 2 2 2 4 2 2 9 4 2 2" xfId="41786" xr:uid="{00000000-0005-0000-0000-000089930000}"/>
    <cellStyle name="Prosent 2 2 2 4 2 2 9 4 3" xfId="44923" xr:uid="{00000000-0005-0000-0000-00008A930000}"/>
    <cellStyle name="Prosent 2 2 2 4 2 2 9 5" xfId="13143" xr:uid="{00000000-0005-0000-0000-00008B930000}"/>
    <cellStyle name="Prosent 2 2 2 4 2 2 9_Avviksanalyse løpende RNB15 (1)" xfId="16854" xr:uid="{00000000-0005-0000-0000-00008C930000}"/>
    <cellStyle name="Prosent 2 2 2 4 2 3" xfId="41663" xr:uid="{00000000-0005-0000-0000-00008D930000}"/>
    <cellStyle name="Prosent 2 2 2 4 3" xfId="2477" xr:uid="{00000000-0005-0000-0000-00008E930000}"/>
    <cellStyle name="Prosent 2 2 2 4 3 2" xfId="18282" xr:uid="{00000000-0005-0000-0000-00008F930000}"/>
    <cellStyle name="Prosent 2 2 2 4 3 3" xfId="15232" xr:uid="{00000000-0005-0000-0000-000090930000}"/>
    <cellStyle name="Prosent 2 2 2 4 3 3 2" xfId="26350" xr:uid="{00000000-0005-0000-0000-000091930000}"/>
    <cellStyle name="Prosent 2 2 2 4 3 3 2 2" xfId="41788" xr:uid="{00000000-0005-0000-0000-000092930000}"/>
    <cellStyle name="Prosent 2 2 2 4 3 3 3" xfId="44924" xr:uid="{00000000-0005-0000-0000-000093930000}"/>
    <cellStyle name="Prosent 2 2 2 4 3 4" xfId="13145" xr:uid="{00000000-0005-0000-0000-000094930000}"/>
    <cellStyle name="Prosent 2 2 2 4 3_Avviksanalyse løpende RNB15 (1)" xfId="16856" xr:uid="{00000000-0005-0000-0000-000095930000}"/>
    <cellStyle name="Prosent 2 2 2 4 4" xfId="2478" xr:uid="{00000000-0005-0000-0000-000096930000}"/>
    <cellStyle name="Prosent 2 2 2 4 4 10" xfId="18283" xr:uid="{00000000-0005-0000-0000-000097930000}"/>
    <cellStyle name="Prosent 2 2 2 4 4 11" xfId="15233" xr:uid="{00000000-0005-0000-0000-000098930000}"/>
    <cellStyle name="Prosent 2 2 2 4 4 11 2" xfId="26351" xr:uid="{00000000-0005-0000-0000-000099930000}"/>
    <cellStyle name="Prosent 2 2 2 4 4 11 2 2" xfId="41789" xr:uid="{00000000-0005-0000-0000-00009A930000}"/>
    <cellStyle name="Prosent 2 2 2 4 4 11 3" xfId="44925" xr:uid="{00000000-0005-0000-0000-00009B930000}"/>
    <cellStyle name="Prosent 2 2 2 4 4 12" xfId="13146" xr:uid="{00000000-0005-0000-0000-00009C930000}"/>
    <cellStyle name="Prosent 2 2 2 4 4 2" xfId="2479" xr:uid="{00000000-0005-0000-0000-00009D930000}"/>
    <cellStyle name="Prosent 2 2 2 4 4 2 2" xfId="18284" xr:uid="{00000000-0005-0000-0000-00009E930000}"/>
    <cellStyle name="Prosent 2 2 2 4 4 2 3" xfId="15234" xr:uid="{00000000-0005-0000-0000-00009F930000}"/>
    <cellStyle name="Prosent 2 2 2 4 4 2 3 2" xfId="26352" xr:uid="{00000000-0005-0000-0000-0000A0930000}"/>
    <cellStyle name="Prosent 2 2 2 4 4 2 3 2 2" xfId="41790" xr:uid="{00000000-0005-0000-0000-0000A1930000}"/>
    <cellStyle name="Prosent 2 2 2 4 4 2 3 3" xfId="44926" xr:uid="{00000000-0005-0000-0000-0000A2930000}"/>
    <cellStyle name="Prosent 2 2 2 4 4 2 4" xfId="13147" xr:uid="{00000000-0005-0000-0000-0000A3930000}"/>
    <cellStyle name="Prosent 2 2 2 4 4 2_Avviksanalyse løpende RNB15 (1)" xfId="16858" xr:uid="{00000000-0005-0000-0000-0000A4930000}"/>
    <cellStyle name="Prosent 2 2 2 4 4 3" xfId="2480" xr:uid="{00000000-0005-0000-0000-0000A5930000}"/>
    <cellStyle name="Prosent 2 2 2 4 4 3 2" xfId="2481" xr:uid="{00000000-0005-0000-0000-0000A6930000}"/>
    <cellStyle name="Prosent 2 2 2 4 4 3 2 2" xfId="18286" xr:uid="{00000000-0005-0000-0000-0000A7930000}"/>
    <cellStyle name="Prosent 2 2 2 4 4 3 2 3" xfId="15236" xr:uid="{00000000-0005-0000-0000-0000A8930000}"/>
    <cellStyle name="Prosent 2 2 2 4 4 3 2 3 2" xfId="26353" xr:uid="{00000000-0005-0000-0000-0000A9930000}"/>
    <cellStyle name="Prosent 2 2 2 4 4 3 2 3 2 2" xfId="41792" xr:uid="{00000000-0005-0000-0000-0000AA930000}"/>
    <cellStyle name="Prosent 2 2 2 4 4 3 2 3 3" xfId="44927" xr:uid="{00000000-0005-0000-0000-0000AB930000}"/>
    <cellStyle name="Prosent 2 2 2 4 4 3 2 4" xfId="13149" xr:uid="{00000000-0005-0000-0000-0000AC930000}"/>
    <cellStyle name="Prosent 2 2 2 4 4 3 2_Avviksanalyse løpende RNB15 (1)" xfId="16860" xr:uid="{00000000-0005-0000-0000-0000AD930000}"/>
    <cellStyle name="Prosent 2 2 2 4 4 3 3" xfId="2482" xr:uid="{00000000-0005-0000-0000-0000AE930000}"/>
    <cellStyle name="Prosent 2 2 2 4 4 3 3 2" xfId="18287" xr:uid="{00000000-0005-0000-0000-0000AF930000}"/>
    <cellStyle name="Prosent 2 2 2 4 4 3 3 3" xfId="15237" xr:uid="{00000000-0005-0000-0000-0000B0930000}"/>
    <cellStyle name="Prosent 2 2 2 4 4 3 3 3 2" xfId="26354" xr:uid="{00000000-0005-0000-0000-0000B1930000}"/>
    <cellStyle name="Prosent 2 2 2 4 4 3 3 3 2 2" xfId="41793" xr:uid="{00000000-0005-0000-0000-0000B2930000}"/>
    <cellStyle name="Prosent 2 2 2 4 4 3 3 3 3" xfId="44928" xr:uid="{00000000-0005-0000-0000-0000B3930000}"/>
    <cellStyle name="Prosent 2 2 2 4 4 3 3 4" xfId="13150" xr:uid="{00000000-0005-0000-0000-0000B4930000}"/>
    <cellStyle name="Prosent 2 2 2 4 4 3 3_Avviksanalyse løpende RNB15 (1)" xfId="16861" xr:uid="{00000000-0005-0000-0000-0000B5930000}"/>
    <cellStyle name="Prosent 2 2 2 4 4 3 4" xfId="2483" xr:uid="{00000000-0005-0000-0000-0000B6930000}"/>
    <cellStyle name="Prosent 2 2 2 4 4 3 4 2" xfId="2484" xr:uid="{00000000-0005-0000-0000-0000B7930000}"/>
    <cellStyle name="Prosent 2 2 2 4 4 3 4 2 2" xfId="2485" xr:uid="{00000000-0005-0000-0000-0000B8930000}"/>
    <cellStyle name="Prosent 2 2 2 4 4 3 4 2 2 2" xfId="18290" xr:uid="{00000000-0005-0000-0000-0000B9930000}"/>
    <cellStyle name="Prosent 2 2 2 4 4 3 4 2 2 3" xfId="15240" xr:uid="{00000000-0005-0000-0000-0000BA930000}"/>
    <cellStyle name="Prosent 2 2 2 4 4 3 4 2 2 3 2" xfId="26355" xr:uid="{00000000-0005-0000-0000-0000BB930000}"/>
    <cellStyle name="Prosent 2 2 2 4 4 3 4 2 2 3 2 2" xfId="41796" xr:uid="{00000000-0005-0000-0000-0000BC930000}"/>
    <cellStyle name="Prosent 2 2 2 4 4 3 4 2 2 3 3" xfId="44929" xr:uid="{00000000-0005-0000-0000-0000BD930000}"/>
    <cellStyle name="Prosent 2 2 2 4 4 3 4 2 2 4" xfId="13153" xr:uid="{00000000-0005-0000-0000-0000BE930000}"/>
    <cellStyle name="Prosent 2 2 2 4 4 3 4 2 2_Avviksanalyse løpende RNB15 (1)" xfId="16864" xr:uid="{00000000-0005-0000-0000-0000BF930000}"/>
    <cellStyle name="Prosent 2 2 2 4 4 3 4 2 3" xfId="2486" xr:uid="{00000000-0005-0000-0000-0000C0930000}"/>
    <cellStyle name="Prosent 2 2 2 4 4 3 4 2 3 2" xfId="2487" xr:uid="{00000000-0005-0000-0000-0000C1930000}"/>
    <cellStyle name="Prosent 2 2 2 4 4 3 4 2 3 2 2" xfId="18292" xr:uid="{00000000-0005-0000-0000-0000C2930000}"/>
    <cellStyle name="Prosent 2 2 2 4 4 3 4 2 3 2 3" xfId="15242" xr:uid="{00000000-0005-0000-0000-0000C3930000}"/>
    <cellStyle name="Prosent 2 2 2 4 4 3 4 2 3 2 3 2" xfId="26356" xr:uid="{00000000-0005-0000-0000-0000C4930000}"/>
    <cellStyle name="Prosent 2 2 2 4 4 3 4 2 3 2 3 2 2" xfId="41798" xr:uid="{00000000-0005-0000-0000-0000C5930000}"/>
    <cellStyle name="Prosent 2 2 2 4 4 3 4 2 3 2 3 3" xfId="44930" xr:uid="{00000000-0005-0000-0000-0000C6930000}"/>
    <cellStyle name="Prosent 2 2 2 4 4 3 4 2 3 2 4" xfId="13155" xr:uid="{00000000-0005-0000-0000-0000C7930000}"/>
    <cellStyle name="Prosent 2 2 2 4 4 3 4 2 3 2_Avviksanalyse løpende RNB15 (1)" xfId="16866" xr:uid="{00000000-0005-0000-0000-0000C8930000}"/>
    <cellStyle name="Prosent 2 2 2 4 4 3 4 2 3 3" xfId="18291" xr:uid="{00000000-0005-0000-0000-0000C9930000}"/>
    <cellStyle name="Prosent 2 2 2 4 4 3 4 2 3 4" xfId="15241" xr:uid="{00000000-0005-0000-0000-0000CA930000}"/>
    <cellStyle name="Prosent 2 2 2 4 4 3 4 2 3 4 2" xfId="26357" xr:uid="{00000000-0005-0000-0000-0000CB930000}"/>
    <cellStyle name="Prosent 2 2 2 4 4 3 4 2 3 4 2 2" xfId="41797" xr:uid="{00000000-0005-0000-0000-0000CC930000}"/>
    <cellStyle name="Prosent 2 2 2 4 4 3 4 2 3 4 3" xfId="44931" xr:uid="{00000000-0005-0000-0000-0000CD930000}"/>
    <cellStyle name="Prosent 2 2 2 4 4 3 4 2 3 5" xfId="13154" xr:uid="{00000000-0005-0000-0000-0000CE930000}"/>
    <cellStyle name="Prosent 2 2 2 4 4 3 4 2 3_Avviksanalyse løpende RNB15 (1)" xfId="16865" xr:uid="{00000000-0005-0000-0000-0000CF930000}"/>
    <cellStyle name="Prosent 2 2 2 4 4 3 4 2 4" xfId="2488" xr:uid="{00000000-0005-0000-0000-0000D0930000}"/>
    <cellStyle name="Prosent 2 2 2 4 4 3 4 2 4 2" xfId="2489" xr:uid="{00000000-0005-0000-0000-0000D1930000}"/>
    <cellStyle name="Prosent 2 2 2 4 4 3 4 2 4 2 2" xfId="18294" xr:uid="{00000000-0005-0000-0000-0000D2930000}"/>
    <cellStyle name="Prosent 2 2 2 4 4 3 4 2 4 2 3" xfId="15244" xr:uid="{00000000-0005-0000-0000-0000D3930000}"/>
    <cellStyle name="Prosent 2 2 2 4 4 3 4 2 4 2 3 2" xfId="26358" xr:uid="{00000000-0005-0000-0000-0000D4930000}"/>
    <cellStyle name="Prosent 2 2 2 4 4 3 4 2 4 2 3 2 2" xfId="41800" xr:uid="{00000000-0005-0000-0000-0000D5930000}"/>
    <cellStyle name="Prosent 2 2 2 4 4 3 4 2 4 2 3 3" xfId="44932" xr:uid="{00000000-0005-0000-0000-0000D6930000}"/>
    <cellStyle name="Prosent 2 2 2 4 4 3 4 2 4 2 4" xfId="13157" xr:uid="{00000000-0005-0000-0000-0000D7930000}"/>
    <cellStyle name="Prosent 2 2 2 4 4 3 4 2 4 2_Avviksanalyse løpende RNB15 (1)" xfId="16868" xr:uid="{00000000-0005-0000-0000-0000D8930000}"/>
    <cellStyle name="Prosent 2 2 2 4 4 3 4 2 4 3" xfId="18293" xr:uid="{00000000-0005-0000-0000-0000D9930000}"/>
    <cellStyle name="Prosent 2 2 2 4 4 3 4 2 4 4" xfId="15243" xr:uid="{00000000-0005-0000-0000-0000DA930000}"/>
    <cellStyle name="Prosent 2 2 2 4 4 3 4 2 4 4 2" xfId="26359" xr:uid="{00000000-0005-0000-0000-0000DB930000}"/>
    <cellStyle name="Prosent 2 2 2 4 4 3 4 2 4 4 2 2" xfId="41799" xr:uid="{00000000-0005-0000-0000-0000DC930000}"/>
    <cellStyle name="Prosent 2 2 2 4 4 3 4 2 4 4 3" xfId="44933" xr:uid="{00000000-0005-0000-0000-0000DD930000}"/>
    <cellStyle name="Prosent 2 2 2 4 4 3 4 2 4 5" xfId="13156" xr:uid="{00000000-0005-0000-0000-0000DE930000}"/>
    <cellStyle name="Prosent 2 2 2 4 4 3 4 2 4_Avviksanalyse løpende RNB15 (1)" xfId="16867" xr:uid="{00000000-0005-0000-0000-0000DF930000}"/>
    <cellStyle name="Prosent 2 2 2 4 4 3 4 2 5" xfId="18289" xr:uid="{00000000-0005-0000-0000-0000E0930000}"/>
    <cellStyle name="Prosent 2 2 2 4 4 3 4 2 6" xfId="15239" xr:uid="{00000000-0005-0000-0000-0000E1930000}"/>
    <cellStyle name="Prosent 2 2 2 4 4 3 4 2 6 2" xfId="26360" xr:uid="{00000000-0005-0000-0000-0000E2930000}"/>
    <cellStyle name="Prosent 2 2 2 4 4 3 4 2 6 2 2" xfId="41795" xr:uid="{00000000-0005-0000-0000-0000E3930000}"/>
    <cellStyle name="Prosent 2 2 2 4 4 3 4 2 6 3" xfId="44934" xr:uid="{00000000-0005-0000-0000-0000E4930000}"/>
    <cellStyle name="Prosent 2 2 2 4 4 3 4 2 7" xfId="13152" xr:uid="{00000000-0005-0000-0000-0000E5930000}"/>
    <cellStyle name="Prosent 2 2 2 4 4 3 4 2_Avviksanalyse løpende RNB15 (1)" xfId="16863" xr:uid="{00000000-0005-0000-0000-0000E6930000}"/>
    <cellStyle name="Prosent 2 2 2 4 4 3 4 3" xfId="2490" xr:uid="{00000000-0005-0000-0000-0000E7930000}"/>
    <cellStyle name="Prosent 2 2 2 4 4 3 4 3 2" xfId="18295" xr:uid="{00000000-0005-0000-0000-0000E8930000}"/>
    <cellStyle name="Prosent 2 2 2 4 4 3 4 3 3" xfId="15245" xr:uid="{00000000-0005-0000-0000-0000E9930000}"/>
    <cellStyle name="Prosent 2 2 2 4 4 3 4 3 3 2" xfId="26361" xr:uid="{00000000-0005-0000-0000-0000EA930000}"/>
    <cellStyle name="Prosent 2 2 2 4 4 3 4 3 3 2 2" xfId="41801" xr:uid="{00000000-0005-0000-0000-0000EB930000}"/>
    <cellStyle name="Prosent 2 2 2 4 4 3 4 3 3 3" xfId="44935" xr:uid="{00000000-0005-0000-0000-0000EC930000}"/>
    <cellStyle name="Prosent 2 2 2 4 4 3 4 3 4" xfId="13158" xr:uid="{00000000-0005-0000-0000-0000ED930000}"/>
    <cellStyle name="Prosent 2 2 2 4 4 3 4 3_Avviksanalyse løpende RNB15 (1)" xfId="16869" xr:uid="{00000000-0005-0000-0000-0000EE930000}"/>
    <cellStyle name="Prosent 2 2 2 4 4 3 4 4" xfId="2491" xr:uid="{00000000-0005-0000-0000-0000EF930000}"/>
    <cellStyle name="Prosent 2 2 2 4 4 3 4 4 2" xfId="2492" xr:uid="{00000000-0005-0000-0000-0000F0930000}"/>
    <cellStyle name="Prosent 2 2 2 4 4 3 4 4 2 2" xfId="18297" xr:uid="{00000000-0005-0000-0000-0000F1930000}"/>
    <cellStyle name="Prosent 2 2 2 4 4 3 4 4 2 3" xfId="15247" xr:uid="{00000000-0005-0000-0000-0000F2930000}"/>
    <cellStyle name="Prosent 2 2 2 4 4 3 4 4 2 3 2" xfId="26362" xr:uid="{00000000-0005-0000-0000-0000F3930000}"/>
    <cellStyle name="Prosent 2 2 2 4 4 3 4 4 2 3 2 2" xfId="41803" xr:uid="{00000000-0005-0000-0000-0000F4930000}"/>
    <cellStyle name="Prosent 2 2 2 4 4 3 4 4 2 3 3" xfId="44936" xr:uid="{00000000-0005-0000-0000-0000F5930000}"/>
    <cellStyle name="Prosent 2 2 2 4 4 3 4 4 2 4" xfId="13160" xr:uid="{00000000-0005-0000-0000-0000F6930000}"/>
    <cellStyle name="Prosent 2 2 2 4 4 3 4 4 2_Avviksanalyse løpende RNB15 (1)" xfId="16871" xr:uid="{00000000-0005-0000-0000-0000F7930000}"/>
    <cellStyle name="Prosent 2 2 2 4 4 3 4 4 3" xfId="18296" xr:uid="{00000000-0005-0000-0000-0000F8930000}"/>
    <cellStyle name="Prosent 2 2 2 4 4 3 4 4 4" xfId="15246" xr:uid="{00000000-0005-0000-0000-0000F9930000}"/>
    <cellStyle name="Prosent 2 2 2 4 4 3 4 4 4 2" xfId="26363" xr:uid="{00000000-0005-0000-0000-0000FA930000}"/>
    <cellStyle name="Prosent 2 2 2 4 4 3 4 4 4 2 2" xfId="41802" xr:uid="{00000000-0005-0000-0000-0000FB930000}"/>
    <cellStyle name="Prosent 2 2 2 4 4 3 4 4 4 3" xfId="44937" xr:uid="{00000000-0005-0000-0000-0000FC930000}"/>
    <cellStyle name="Prosent 2 2 2 4 4 3 4 4 5" xfId="13159" xr:uid="{00000000-0005-0000-0000-0000FD930000}"/>
    <cellStyle name="Prosent 2 2 2 4 4 3 4 4_Avviksanalyse løpende RNB15 (1)" xfId="16870" xr:uid="{00000000-0005-0000-0000-0000FE930000}"/>
    <cellStyle name="Prosent 2 2 2 4 4 3 4 5" xfId="2493" xr:uid="{00000000-0005-0000-0000-0000FF930000}"/>
    <cellStyle name="Prosent 2 2 2 4 4 3 4 5 2" xfId="2494" xr:uid="{00000000-0005-0000-0000-000000940000}"/>
    <cellStyle name="Prosent 2 2 2 4 4 3 4 5 2 2" xfId="18299" xr:uid="{00000000-0005-0000-0000-000001940000}"/>
    <cellStyle name="Prosent 2 2 2 4 4 3 4 5 2 3" xfId="15249" xr:uid="{00000000-0005-0000-0000-000002940000}"/>
    <cellStyle name="Prosent 2 2 2 4 4 3 4 5 2 3 2" xfId="26364" xr:uid="{00000000-0005-0000-0000-000003940000}"/>
    <cellStyle name="Prosent 2 2 2 4 4 3 4 5 2 3 2 2" xfId="41805" xr:uid="{00000000-0005-0000-0000-000004940000}"/>
    <cellStyle name="Prosent 2 2 2 4 4 3 4 5 2 3 3" xfId="44938" xr:uid="{00000000-0005-0000-0000-000005940000}"/>
    <cellStyle name="Prosent 2 2 2 4 4 3 4 5 2 4" xfId="13162" xr:uid="{00000000-0005-0000-0000-000006940000}"/>
    <cellStyle name="Prosent 2 2 2 4 4 3 4 5 2_Avviksanalyse løpende RNB15 (1)" xfId="16873" xr:uid="{00000000-0005-0000-0000-000007940000}"/>
    <cellStyle name="Prosent 2 2 2 4 4 3 4 5 3" xfId="18298" xr:uid="{00000000-0005-0000-0000-000008940000}"/>
    <cellStyle name="Prosent 2 2 2 4 4 3 4 5 4" xfId="15248" xr:uid="{00000000-0005-0000-0000-000009940000}"/>
    <cellStyle name="Prosent 2 2 2 4 4 3 4 5 4 2" xfId="26365" xr:uid="{00000000-0005-0000-0000-00000A940000}"/>
    <cellStyle name="Prosent 2 2 2 4 4 3 4 5 4 2 2" xfId="41804" xr:uid="{00000000-0005-0000-0000-00000B940000}"/>
    <cellStyle name="Prosent 2 2 2 4 4 3 4 5 4 3" xfId="44939" xr:uid="{00000000-0005-0000-0000-00000C940000}"/>
    <cellStyle name="Prosent 2 2 2 4 4 3 4 5 5" xfId="13161" xr:uid="{00000000-0005-0000-0000-00000D940000}"/>
    <cellStyle name="Prosent 2 2 2 4 4 3 4 5_Avviksanalyse løpende RNB15 (1)" xfId="16872" xr:uid="{00000000-0005-0000-0000-00000E940000}"/>
    <cellStyle name="Prosent 2 2 2 4 4 3 4 6" xfId="18288" xr:uid="{00000000-0005-0000-0000-00000F940000}"/>
    <cellStyle name="Prosent 2 2 2 4 4 3 4 7" xfId="15238" xr:uid="{00000000-0005-0000-0000-000010940000}"/>
    <cellStyle name="Prosent 2 2 2 4 4 3 4 7 2" xfId="26366" xr:uid="{00000000-0005-0000-0000-000011940000}"/>
    <cellStyle name="Prosent 2 2 2 4 4 3 4 7 2 2" xfId="41794" xr:uid="{00000000-0005-0000-0000-000012940000}"/>
    <cellStyle name="Prosent 2 2 2 4 4 3 4 7 3" xfId="44940" xr:uid="{00000000-0005-0000-0000-000013940000}"/>
    <cellStyle name="Prosent 2 2 2 4 4 3 4 8" xfId="13151" xr:uid="{00000000-0005-0000-0000-000014940000}"/>
    <cellStyle name="Prosent 2 2 2 4 4 3 4_Avviksanalyse løpende RNB15 (1)" xfId="16862" xr:uid="{00000000-0005-0000-0000-000015940000}"/>
    <cellStyle name="Prosent 2 2 2 4 4 3 5" xfId="18285" xr:uid="{00000000-0005-0000-0000-000016940000}"/>
    <cellStyle name="Prosent 2 2 2 4 4 3 6" xfId="15235" xr:uid="{00000000-0005-0000-0000-000017940000}"/>
    <cellStyle name="Prosent 2 2 2 4 4 3 6 2" xfId="26367" xr:uid="{00000000-0005-0000-0000-000018940000}"/>
    <cellStyle name="Prosent 2 2 2 4 4 3 6 2 2" xfId="41791" xr:uid="{00000000-0005-0000-0000-000019940000}"/>
    <cellStyle name="Prosent 2 2 2 4 4 3 6 3" xfId="44941" xr:uid="{00000000-0005-0000-0000-00001A940000}"/>
    <cellStyle name="Prosent 2 2 2 4 4 3 7" xfId="13148" xr:uid="{00000000-0005-0000-0000-00001B940000}"/>
    <cellStyle name="Prosent 2 2 2 4 4 3_Avviksanalyse løpende RNB15 (1)" xfId="16859" xr:uid="{00000000-0005-0000-0000-00001C940000}"/>
    <cellStyle name="Prosent 2 2 2 4 4 4" xfId="2495" xr:uid="{00000000-0005-0000-0000-00001D940000}"/>
    <cellStyle name="Prosent 2 2 2 4 4 4 2" xfId="2496" xr:uid="{00000000-0005-0000-0000-00001E940000}"/>
    <cellStyle name="Prosent 2 2 2 4 4 4 2 2" xfId="18301" xr:uid="{00000000-0005-0000-0000-00001F940000}"/>
    <cellStyle name="Prosent 2 2 2 4 4 4 2 3" xfId="15251" xr:uid="{00000000-0005-0000-0000-000020940000}"/>
    <cellStyle name="Prosent 2 2 2 4 4 4 2 3 2" xfId="26368" xr:uid="{00000000-0005-0000-0000-000021940000}"/>
    <cellStyle name="Prosent 2 2 2 4 4 4 2 3 2 2" xfId="41807" xr:uid="{00000000-0005-0000-0000-000022940000}"/>
    <cellStyle name="Prosent 2 2 2 4 4 4 2 3 3" xfId="44942" xr:uid="{00000000-0005-0000-0000-000023940000}"/>
    <cellStyle name="Prosent 2 2 2 4 4 4 2 4" xfId="13164" xr:uid="{00000000-0005-0000-0000-000024940000}"/>
    <cellStyle name="Prosent 2 2 2 4 4 4 2_Avviksanalyse løpende RNB15 (1)" xfId="16875" xr:uid="{00000000-0005-0000-0000-000025940000}"/>
    <cellStyle name="Prosent 2 2 2 4 4 4 3" xfId="18300" xr:uid="{00000000-0005-0000-0000-000026940000}"/>
    <cellStyle name="Prosent 2 2 2 4 4 4 4" xfId="15250" xr:uid="{00000000-0005-0000-0000-000027940000}"/>
    <cellStyle name="Prosent 2 2 2 4 4 4 4 2" xfId="26369" xr:uid="{00000000-0005-0000-0000-000028940000}"/>
    <cellStyle name="Prosent 2 2 2 4 4 4 4 2 2" xfId="41806" xr:uid="{00000000-0005-0000-0000-000029940000}"/>
    <cellStyle name="Prosent 2 2 2 4 4 4 4 3" xfId="44943" xr:uid="{00000000-0005-0000-0000-00002A940000}"/>
    <cellStyle name="Prosent 2 2 2 4 4 4 5" xfId="13163" xr:uid="{00000000-0005-0000-0000-00002B940000}"/>
    <cellStyle name="Prosent 2 2 2 4 4 4_Avviksanalyse løpende RNB15 (1)" xfId="16874" xr:uid="{00000000-0005-0000-0000-00002C940000}"/>
    <cellStyle name="Prosent 2 2 2 4 4 5" xfId="2497" xr:uid="{00000000-0005-0000-0000-00002D940000}"/>
    <cellStyle name="Prosent 2 2 2 4 4 5 10" xfId="13165" xr:uid="{00000000-0005-0000-0000-00002E940000}"/>
    <cellStyle name="Prosent 2 2 2 4 4 5 2" xfId="2498" xr:uid="{00000000-0005-0000-0000-00002F940000}"/>
    <cellStyle name="Prosent 2 2 2 4 4 5 2 2" xfId="18303" xr:uid="{00000000-0005-0000-0000-000030940000}"/>
    <cellStyle name="Prosent 2 2 2 4 4 5 2 3" xfId="15253" xr:uid="{00000000-0005-0000-0000-000031940000}"/>
    <cellStyle name="Prosent 2 2 2 4 4 5 2 3 2" xfId="26370" xr:uid="{00000000-0005-0000-0000-000032940000}"/>
    <cellStyle name="Prosent 2 2 2 4 4 5 2 3 2 2" xfId="41809" xr:uid="{00000000-0005-0000-0000-000033940000}"/>
    <cellStyle name="Prosent 2 2 2 4 4 5 2 3 3" xfId="44944" xr:uid="{00000000-0005-0000-0000-000034940000}"/>
    <cellStyle name="Prosent 2 2 2 4 4 5 2 4" xfId="13166" xr:uid="{00000000-0005-0000-0000-000035940000}"/>
    <cellStyle name="Prosent 2 2 2 4 4 5 2_Avviksanalyse løpende RNB15 (1)" xfId="16877" xr:uid="{00000000-0005-0000-0000-000036940000}"/>
    <cellStyle name="Prosent 2 2 2 4 4 5 3" xfId="2499" xr:uid="{00000000-0005-0000-0000-000037940000}"/>
    <cellStyle name="Prosent 2 2 2 4 4 5 3 2" xfId="18304" xr:uid="{00000000-0005-0000-0000-000038940000}"/>
    <cellStyle name="Prosent 2 2 2 4 4 5 3 3" xfId="15254" xr:uid="{00000000-0005-0000-0000-000039940000}"/>
    <cellStyle name="Prosent 2 2 2 4 4 5 3 3 2" xfId="26371" xr:uid="{00000000-0005-0000-0000-00003A940000}"/>
    <cellStyle name="Prosent 2 2 2 4 4 5 3 3 2 2" xfId="41810" xr:uid="{00000000-0005-0000-0000-00003B940000}"/>
    <cellStyle name="Prosent 2 2 2 4 4 5 3 3 3" xfId="44945" xr:uid="{00000000-0005-0000-0000-00003C940000}"/>
    <cellStyle name="Prosent 2 2 2 4 4 5 3 4" xfId="13167" xr:uid="{00000000-0005-0000-0000-00003D940000}"/>
    <cellStyle name="Prosent 2 2 2 4 4 5 3_Avviksanalyse løpende RNB15 (1)" xfId="16878" xr:uid="{00000000-0005-0000-0000-00003E940000}"/>
    <cellStyle name="Prosent 2 2 2 4 4 5 4" xfId="2500" xr:uid="{00000000-0005-0000-0000-00003F940000}"/>
    <cellStyle name="Prosent 2 2 2 4 4 5 4 2" xfId="2501" xr:uid="{00000000-0005-0000-0000-000040940000}"/>
    <cellStyle name="Prosent 2 2 2 4 4 5 4 2 2" xfId="18306" xr:uid="{00000000-0005-0000-0000-000041940000}"/>
    <cellStyle name="Prosent 2 2 2 4 4 5 4 2 3" xfId="15256" xr:uid="{00000000-0005-0000-0000-000042940000}"/>
    <cellStyle name="Prosent 2 2 2 4 4 5 4 2 3 2" xfId="26372" xr:uid="{00000000-0005-0000-0000-000043940000}"/>
    <cellStyle name="Prosent 2 2 2 4 4 5 4 2 3 2 2" xfId="41812" xr:uid="{00000000-0005-0000-0000-000044940000}"/>
    <cellStyle name="Prosent 2 2 2 4 4 5 4 2 3 3" xfId="44946" xr:uid="{00000000-0005-0000-0000-000045940000}"/>
    <cellStyle name="Prosent 2 2 2 4 4 5 4 2 4" xfId="13169" xr:uid="{00000000-0005-0000-0000-000046940000}"/>
    <cellStyle name="Prosent 2 2 2 4 4 5 4 2_Avviksanalyse løpende RNB15 (1)" xfId="16880" xr:uid="{00000000-0005-0000-0000-000047940000}"/>
    <cellStyle name="Prosent 2 2 2 4 4 5 4 3" xfId="2502" xr:uid="{00000000-0005-0000-0000-000048940000}"/>
    <cellStyle name="Prosent 2 2 2 4 4 5 4 3 2" xfId="2503" xr:uid="{00000000-0005-0000-0000-000049940000}"/>
    <cellStyle name="Prosent 2 2 2 4 4 5 4 3 2 2" xfId="18308" xr:uid="{00000000-0005-0000-0000-00004A940000}"/>
    <cellStyle name="Prosent 2 2 2 4 4 5 4 3 2 3" xfId="15258" xr:uid="{00000000-0005-0000-0000-00004B940000}"/>
    <cellStyle name="Prosent 2 2 2 4 4 5 4 3 2 3 2" xfId="26373" xr:uid="{00000000-0005-0000-0000-00004C940000}"/>
    <cellStyle name="Prosent 2 2 2 4 4 5 4 3 2 3 2 2" xfId="41814" xr:uid="{00000000-0005-0000-0000-00004D940000}"/>
    <cellStyle name="Prosent 2 2 2 4 4 5 4 3 2 3 3" xfId="44947" xr:uid="{00000000-0005-0000-0000-00004E940000}"/>
    <cellStyle name="Prosent 2 2 2 4 4 5 4 3 2 4" xfId="13171" xr:uid="{00000000-0005-0000-0000-00004F940000}"/>
    <cellStyle name="Prosent 2 2 2 4 4 5 4 3 2_Avviksanalyse løpende RNB15 (1)" xfId="16882" xr:uid="{00000000-0005-0000-0000-000050940000}"/>
    <cellStyle name="Prosent 2 2 2 4 4 5 4 3 3" xfId="18307" xr:uid="{00000000-0005-0000-0000-000051940000}"/>
    <cellStyle name="Prosent 2 2 2 4 4 5 4 3 4" xfId="15257" xr:uid="{00000000-0005-0000-0000-000052940000}"/>
    <cellStyle name="Prosent 2 2 2 4 4 5 4 3 4 2" xfId="26374" xr:uid="{00000000-0005-0000-0000-000053940000}"/>
    <cellStyle name="Prosent 2 2 2 4 4 5 4 3 4 2 2" xfId="41813" xr:uid="{00000000-0005-0000-0000-000054940000}"/>
    <cellStyle name="Prosent 2 2 2 4 4 5 4 3 4 3" xfId="44948" xr:uid="{00000000-0005-0000-0000-000055940000}"/>
    <cellStyle name="Prosent 2 2 2 4 4 5 4 3 5" xfId="13170" xr:uid="{00000000-0005-0000-0000-000056940000}"/>
    <cellStyle name="Prosent 2 2 2 4 4 5 4 3_Avviksanalyse løpende RNB15 (1)" xfId="16881" xr:uid="{00000000-0005-0000-0000-000057940000}"/>
    <cellStyle name="Prosent 2 2 2 4 4 5 4 4" xfId="2504" xr:uid="{00000000-0005-0000-0000-000058940000}"/>
    <cellStyle name="Prosent 2 2 2 4 4 5 4 4 2" xfId="2505" xr:uid="{00000000-0005-0000-0000-000059940000}"/>
    <cellStyle name="Prosent 2 2 2 4 4 5 4 4 2 2" xfId="18310" xr:uid="{00000000-0005-0000-0000-00005A940000}"/>
    <cellStyle name="Prosent 2 2 2 4 4 5 4 4 2 3" xfId="15260" xr:uid="{00000000-0005-0000-0000-00005B940000}"/>
    <cellStyle name="Prosent 2 2 2 4 4 5 4 4 2 3 2" xfId="26375" xr:uid="{00000000-0005-0000-0000-00005C940000}"/>
    <cellStyle name="Prosent 2 2 2 4 4 5 4 4 2 3 2 2" xfId="41816" xr:uid="{00000000-0005-0000-0000-00005D940000}"/>
    <cellStyle name="Prosent 2 2 2 4 4 5 4 4 2 3 3" xfId="44949" xr:uid="{00000000-0005-0000-0000-00005E940000}"/>
    <cellStyle name="Prosent 2 2 2 4 4 5 4 4 2 4" xfId="13173" xr:uid="{00000000-0005-0000-0000-00005F940000}"/>
    <cellStyle name="Prosent 2 2 2 4 4 5 4 4 2_Avviksanalyse løpende RNB15 (1)" xfId="16884" xr:uid="{00000000-0005-0000-0000-000060940000}"/>
    <cellStyle name="Prosent 2 2 2 4 4 5 4 4 3" xfId="18309" xr:uid="{00000000-0005-0000-0000-000061940000}"/>
    <cellStyle name="Prosent 2 2 2 4 4 5 4 4 4" xfId="15259" xr:uid="{00000000-0005-0000-0000-000062940000}"/>
    <cellStyle name="Prosent 2 2 2 4 4 5 4 4 4 2" xfId="26376" xr:uid="{00000000-0005-0000-0000-000063940000}"/>
    <cellStyle name="Prosent 2 2 2 4 4 5 4 4 4 2 2" xfId="41815" xr:uid="{00000000-0005-0000-0000-000064940000}"/>
    <cellStyle name="Prosent 2 2 2 4 4 5 4 4 4 3" xfId="44950" xr:uid="{00000000-0005-0000-0000-000065940000}"/>
    <cellStyle name="Prosent 2 2 2 4 4 5 4 4 5" xfId="13172" xr:uid="{00000000-0005-0000-0000-000066940000}"/>
    <cellStyle name="Prosent 2 2 2 4 4 5 4 4_Avviksanalyse løpende RNB15 (1)" xfId="16883" xr:uid="{00000000-0005-0000-0000-000067940000}"/>
    <cellStyle name="Prosent 2 2 2 4 4 5 4 5" xfId="18305" xr:uid="{00000000-0005-0000-0000-000068940000}"/>
    <cellStyle name="Prosent 2 2 2 4 4 5 4 6" xfId="15255" xr:uid="{00000000-0005-0000-0000-000069940000}"/>
    <cellStyle name="Prosent 2 2 2 4 4 5 4 6 2" xfId="26377" xr:uid="{00000000-0005-0000-0000-00006A940000}"/>
    <cellStyle name="Prosent 2 2 2 4 4 5 4 6 2 2" xfId="41811" xr:uid="{00000000-0005-0000-0000-00006B940000}"/>
    <cellStyle name="Prosent 2 2 2 4 4 5 4 6 3" xfId="44951" xr:uid="{00000000-0005-0000-0000-00006C940000}"/>
    <cellStyle name="Prosent 2 2 2 4 4 5 4 7" xfId="13168" xr:uid="{00000000-0005-0000-0000-00006D940000}"/>
    <cellStyle name="Prosent 2 2 2 4 4 5 4_Avviksanalyse løpende RNB15 (1)" xfId="16879" xr:uid="{00000000-0005-0000-0000-00006E940000}"/>
    <cellStyle name="Prosent 2 2 2 4 4 5 5" xfId="2506" xr:uid="{00000000-0005-0000-0000-00006F940000}"/>
    <cellStyle name="Prosent 2 2 2 4 4 5 5 2" xfId="2507" xr:uid="{00000000-0005-0000-0000-000070940000}"/>
    <cellStyle name="Prosent 2 2 2 4 4 5 5 2 2" xfId="18312" xr:uid="{00000000-0005-0000-0000-000071940000}"/>
    <cellStyle name="Prosent 2 2 2 4 4 5 5 2 3" xfId="15262" xr:uid="{00000000-0005-0000-0000-000072940000}"/>
    <cellStyle name="Prosent 2 2 2 4 4 5 5 2 3 2" xfId="26378" xr:uid="{00000000-0005-0000-0000-000073940000}"/>
    <cellStyle name="Prosent 2 2 2 4 4 5 5 2 3 2 2" xfId="41818" xr:uid="{00000000-0005-0000-0000-000074940000}"/>
    <cellStyle name="Prosent 2 2 2 4 4 5 5 2 3 3" xfId="44952" xr:uid="{00000000-0005-0000-0000-000075940000}"/>
    <cellStyle name="Prosent 2 2 2 4 4 5 5 2 4" xfId="13175" xr:uid="{00000000-0005-0000-0000-000076940000}"/>
    <cellStyle name="Prosent 2 2 2 4 4 5 5 2_Avviksanalyse løpende RNB15 (1)" xfId="16886" xr:uid="{00000000-0005-0000-0000-000077940000}"/>
    <cellStyle name="Prosent 2 2 2 4 4 5 5 3" xfId="2508" xr:uid="{00000000-0005-0000-0000-000078940000}"/>
    <cellStyle name="Prosent 2 2 2 4 4 5 5 3 2" xfId="2509" xr:uid="{00000000-0005-0000-0000-000079940000}"/>
    <cellStyle name="Prosent 2 2 2 4 4 5 5 3 2 2" xfId="18314" xr:uid="{00000000-0005-0000-0000-00007A940000}"/>
    <cellStyle name="Prosent 2 2 2 4 4 5 5 3 2 3" xfId="15264" xr:uid="{00000000-0005-0000-0000-00007B940000}"/>
    <cellStyle name="Prosent 2 2 2 4 4 5 5 3 2 3 2" xfId="26379" xr:uid="{00000000-0005-0000-0000-00007C940000}"/>
    <cellStyle name="Prosent 2 2 2 4 4 5 5 3 2 3 2 2" xfId="41820" xr:uid="{00000000-0005-0000-0000-00007D940000}"/>
    <cellStyle name="Prosent 2 2 2 4 4 5 5 3 2 3 3" xfId="44953" xr:uid="{00000000-0005-0000-0000-00007E940000}"/>
    <cellStyle name="Prosent 2 2 2 4 4 5 5 3 2 4" xfId="13177" xr:uid="{00000000-0005-0000-0000-00007F940000}"/>
    <cellStyle name="Prosent 2 2 2 4 4 5 5 3 2_Avviksanalyse løpende RNB15 (1)" xfId="16888" xr:uid="{00000000-0005-0000-0000-000080940000}"/>
    <cellStyle name="Prosent 2 2 2 4 4 5 5 3 3" xfId="18313" xr:uid="{00000000-0005-0000-0000-000081940000}"/>
    <cellStyle name="Prosent 2 2 2 4 4 5 5 3 4" xfId="15263" xr:uid="{00000000-0005-0000-0000-000082940000}"/>
    <cellStyle name="Prosent 2 2 2 4 4 5 5 3 4 2" xfId="26380" xr:uid="{00000000-0005-0000-0000-000083940000}"/>
    <cellStyle name="Prosent 2 2 2 4 4 5 5 3 4 2 2" xfId="41819" xr:uid="{00000000-0005-0000-0000-000084940000}"/>
    <cellStyle name="Prosent 2 2 2 4 4 5 5 3 4 3" xfId="44954" xr:uid="{00000000-0005-0000-0000-000085940000}"/>
    <cellStyle name="Prosent 2 2 2 4 4 5 5 3 5" xfId="13176" xr:uid="{00000000-0005-0000-0000-000086940000}"/>
    <cellStyle name="Prosent 2 2 2 4 4 5 5 3_Avviksanalyse løpende RNB15 (1)" xfId="16887" xr:uid="{00000000-0005-0000-0000-000087940000}"/>
    <cellStyle name="Prosent 2 2 2 4 4 5 5 4" xfId="2510" xr:uid="{00000000-0005-0000-0000-000088940000}"/>
    <cellStyle name="Prosent 2 2 2 4 4 5 5 4 2" xfId="2511" xr:uid="{00000000-0005-0000-0000-000089940000}"/>
    <cellStyle name="Prosent 2 2 2 4 4 5 5 4 2 2" xfId="18316" xr:uid="{00000000-0005-0000-0000-00008A940000}"/>
    <cellStyle name="Prosent 2 2 2 4 4 5 5 4 2 3" xfId="15266" xr:uid="{00000000-0005-0000-0000-00008B940000}"/>
    <cellStyle name="Prosent 2 2 2 4 4 5 5 4 2 3 2" xfId="26381" xr:uid="{00000000-0005-0000-0000-00008C940000}"/>
    <cellStyle name="Prosent 2 2 2 4 4 5 5 4 2 3 2 2" xfId="41822" xr:uid="{00000000-0005-0000-0000-00008D940000}"/>
    <cellStyle name="Prosent 2 2 2 4 4 5 5 4 2 3 3" xfId="44955" xr:uid="{00000000-0005-0000-0000-00008E940000}"/>
    <cellStyle name="Prosent 2 2 2 4 4 5 5 4 2 4" xfId="13179" xr:uid="{00000000-0005-0000-0000-00008F940000}"/>
    <cellStyle name="Prosent 2 2 2 4 4 5 5 4 2_Avviksanalyse løpende RNB15 (1)" xfId="16890" xr:uid="{00000000-0005-0000-0000-000090940000}"/>
    <cellStyle name="Prosent 2 2 2 4 4 5 5 4 3" xfId="18315" xr:uid="{00000000-0005-0000-0000-000091940000}"/>
    <cellStyle name="Prosent 2 2 2 4 4 5 5 4 4" xfId="15265" xr:uid="{00000000-0005-0000-0000-000092940000}"/>
    <cellStyle name="Prosent 2 2 2 4 4 5 5 4 4 2" xfId="26382" xr:uid="{00000000-0005-0000-0000-000093940000}"/>
    <cellStyle name="Prosent 2 2 2 4 4 5 5 4 4 2 2" xfId="41821" xr:uid="{00000000-0005-0000-0000-000094940000}"/>
    <cellStyle name="Prosent 2 2 2 4 4 5 5 4 4 3" xfId="44956" xr:uid="{00000000-0005-0000-0000-000095940000}"/>
    <cellStyle name="Prosent 2 2 2 4 4 5 5 4 5" xfId="13178" xr:uid="{00000000-0005-0000-0000-000096940000}"/>
    <cellStyle name="Prosent 2 2 2 4 4 5 5 4_Avviksanalyse løpende RNB15 (1)" xfId="16889" xr:uid="{00000000-0005-0000-0000-000097940000}"/>
    <cellStyle name="Prosent 2 2 2 4 4 5 5 5" xfId="18311" xr:uid="{00000000-0005-0000-0000-000098940000}"/>
    <cellStyle name="Prosent 2 2 2 4 4 5 5 6" xfId="15261" xr:uid="{00000000-0005-0000-0000-000099940000}"/>
    <cellStyle name="Prosent 2 2 2 4 4 5 5 6 2" xfId="26383" xr:uid="{00000000-0005-0000-0000-00009A940000}"/>
    <cellStyle name="Prosent 2 2 2 4 4 5 5 6 2 2" xfId="41817" xr:uid="{00000000-0005-0000-0000-00009B940000}"/>
    <cellStyle name="Prosent 2 2 2 4 4 5 5 6 3" xfId="44957" xr:uid="{00000000-0005-0000-0000-00009C940000}"/>
    <cellStyle name="Prosent 2 2 2 4 4 5 5 7" xfId="13174" xr:uid="{00000000-0005-0000-0000-00009D940000}"/>
    <cellStyle name="Prosent 2 2 2 4 4 5 5_Avviksanalyse løpende RNB15 (1)" xfId="16885" xr:uid="{00000000-0005-0000-0000-00009E940000}"/>
    <cellStyle name="Prosent 2 2 2 4 4 5 6" xfId="2512" xr:uid="{00000000-0005-0000-0000-00009F940000}"/>
    <cellStyle name="Prosent 2 2 2 4 4 5 6 2" xfId="2513" xr:uid="{00000000-0005-0000-0000-0000A0940000}"/>
    <cellStyle name="Prosent 2 2 2 4 4 5 6 2 2" xfId="18318" xr:uid="{00000000-0005-0000-0000-0000A1940000}"/>
    <cellStyle name="Prosent 2 2 2 4 4 5 6 2 3" xfId="15268" xr:uid="{00000000-0005-0000-0000-0000A2940000}"/>
    <cellStyle name="Prosent 2 2 2 4 4 5 6 2 3 2" xfId="26384" xr:uid="{00000000-0005-0000-0000-0000A3940000}"/>
    <cellStyle name="Prosent 2 2 2 4 4 5 6 2 3 2 2" xfId="41824" xr:uid="{00000000-0005-0000-0000-0000A4940000}"/>
    <cellStyle name="Prosent 2 2 2 4 4 5 6 2 3 3" xfId="44959" xr:uid="{00000000-0005-0000-0000-0000A5940000}"/>
    <cellStyle name="Prosent 2 2 2 4 4 5 6 2 4" xfId="13181" xr:uid="{00000000-0005-0000-0000-0000A6940000}"/>
    <cellStyle name="Prosent 2 2 2 4 4 5 6 2_Avviksanalyse løpende RNB15 (1)" xfId="16892" xr:uid="{00000000-0005-0000-0000-0000A7940000}"/>
    <cellStyle name="Prosent 2 2 2 4 4 5 6 3" xfId="18317" xr:uid="{00000000-0005-0000-0000-0000A8940000}"/>
    <cellStyle name="Prosent 2 2 2 4 4 5 6 4" xfId="15267" xr:uid="{00000000-0005-0000-0000-0000A9940000}"/>
    <cellStyle name="Prosent 2 2 2 4 4 5 6 4 2" xfId="26385" xr:uid="{00000000-0005-0000-0000-0000AA940000}"/>
    <cellStyle name="Prosent 2 2 2 4 4 5 6 4 2 2" xfId="41823" xr:uid="{00000000-0005-0000-0000-0000AB940000}"/>
    <cellStyle name="Prosent 2 2 2 4 4 5 6 4 3" xfId="44960" xr:uid="{00000000-0005-0000-0000-0000AC940000}"/>
    <cellStyle name="Prosent 2 2 2 4 4 5 6 5" xfId="13180" xr:uid="{00000000-0005-0000-0000-0000AD940000}"/>
    <cellStyle name="Prosent 2 2 2 4 4 5 6_Avviksanalyse løpende RNB15 (1)" xfId="16891" xr:uid="{00000000-0005-0000-0000-0000AE940000}"/>
    <cellStyle name="Prosent 2 2 2 4 4 5 7" xfId="2514" xr:uid="{00000000-0005-0000-0000-0000AF940000}"/>
    <cellStyle name="Prosent 2 2 2 4 4 5 7 2" xfId="2515" xr:uid="{00000000-0005-0000-0000-0000B0940000}"/>
    <cellStyle name="Prosent 2 2 2 4 4 5 7 2 2" xfId="18320" xr:uid="{00000000-0005-0000-0000-0000B1940000}"/>
    <cellStyle name="Prosent 2 2 2 4 4 5 7 2 3" xfId="15270" xr:uid="{00000000-0005-0000-0000-0000B2940000}"/>
    <cellStyle name="Prosent 2 2 2 4 4 5 7 2 3 2" xfId="26386" xr:uid="{00000000-0005-0000-0000-0000B3940000}"/>
    <cellStyle name="Prosent 2 2 2 4 4 5 7 2 3 2 2" xfId="41826" xr:uid="{00000000-0005-0000-0000-0000B4940000}"/>
    <cellStyle name="Prosent 2 2 2 4 4 5 7 2 3 3" xfId="44961" xr:uid="{00000000-0005-0000-0000-0000B5940000}"/>
    <cellStyle name="Prosent 2 2 2 4 4 5 7 2 4" xfId="13183" xr:uid="{00000000-0005-0000-0000-0000B6940000}"/>
    <cellStyle name="Prosent 2 2 2 4 4 5 7 2_Avviksanalyse løpende RNB15 (1)" xfId="16894" xr:uid="{00000000-0005-0000-0000-0000B7940000}"/>
    <cellStyle name="Prosent 2 2 2 4 4 5 7 3" xfId="18319" xr:uid="{00000000-0005-0000-0000-0000B8940000}"/>
    <cellStyle name="Prosent 2 2 2 4 4 5 7 4" xfId="15269" xr:uid="{00000000-0005-0000-0000-0000B9940000}"/>
    <cellStyle name="Prosent 2 2 2 4 4 5 7 4 2" xfId="26387" xr:uid="{00000000-0005-0000-0000-0000BA940000}"/>
    <cellStyle name="Prosent 2 2 2 4 4 5 7 4 2 2" xfId="41825" xr:uid="{00000000-0005-0000-0000-0000BB940000}"/>
    <cellStyle name="Prosent 2 2 2 4 4 5 7 4 3" xfId="44962" xr:uid="{00000000-0005-0000-0000-0000BC940000}"/>
    <cellStyle name="Prosent 2 2 2 4 4 5 7 5" xfId="13182" xr:uid="{00000000-0005-0000-0000-0000BD940000}"/>
    <cellStyle name="Prosent 2 2 2 4 4 5 7_Avviksanalyse løpende RNB15 (1)" xfId="16893" xr:uid="{00000000-0005-0000-0000-0000BE940000}"/>
    <cellStyle name="Prosent 2 2 2 4 4 5 8" xfId="18302" xr:uid="{00000000-0005-0000-0000-0000BF940000}"/>
    <cellStyle name="Prosent 2 2 2 4 4 5 9" xfId="15252" xr:uid="{00000000-0005-0000-0000-0000C0940000}"/>
    <cellStyle name="Prosent 2 2 2 4 4 5 9 2" xfId="26388" xr:uid="{00000000-0005-0000-0000-0000C1940000}"/>
    <cellStyle name="Prosent 2 2 2 4 4 5 9 2 2" xfId="41808" xr:uid="{00000000-0005-0000-0000-0000C2940000}"/>
    <cellStyle name="Prosent 2 2 2 4 4 5 9 3" xfId="44963" xr:uid="{00000000-0005-0000-0000-0000C3940000}"/>
    <cellStyle name="Prosent 2 2 2 4 4 5_Avviksanalyse løpende RNB15 (1)" xfId="16876" xr:uid="{00000000-0005-0000-0000-0000C4940000}"/>
    <cellStyle name="Prosent 2 2 2 4 4 6" xfId="2516" xr:uid="{00000000-0005-0000-0000-0000C5940000}"/>
    <cellStyle name="Prosent 2 2 2 4 4 6 2" xfId="2517" xr:uid="{00000000-0005-0000-0000-0000C6940000}"/>
    <cellStyle name="Prosent 2 2 2 4 4 6 2 2" xfId="2518" xr:uid="{00000000-0005-0000-0000-0000C7940000}"/>
    <cellStyle name="Prosent 2 2 2 4 4 6 2 2 2" xfId="18323" xr:uid="{00000000-0005-0000-0000-0000C8940000}"/>
    <cellStyle name="Prosent 2 2 2 4 4 6 2 2 3" xfId="15273" xr:uid="{00000000-0005-0000-0000-0000C9940000}"/>
    <cellStyle name="Prosent 2 2 2 4 4 6 2 2 3 2" xfId="26389" xr:uid="{00000000-0005-0000-0000-0000CA940000}"/>
    <cellStyle name="Prosent 2 2 2 4 4 6 2 2 3 2 2" xfId="41829" xr:uid="{00000000-0005-0000-0000-0000CB940000}"/>
    <cellStyle name="Prosent 2 2 2 4 4 6 2 2 3 3" xfId="44964" xr:uid="{00000000-0005-0000-0000-0000CC940000}"/>
    <cellStyle name="Prosent 2 2 2 4 4 6 2 2 4" xfId="13186" xr:uid="{00000000-0005-0000-0000-0000CD940000}"/>
    <cellStyle name="Prosent 2 2 2 4 4 6 2 2_Avviksanalyse løpende RNB15 (1)" xfId="16897" xr:uid="{00000000-0005-0000-0000-0000CE940000}"/>
    <cellStyle name="Prosent 2 2 2 4 4 6 2 3" xfId="2519" xr:uid="{00000000-0005-0000-0000-0000CF940000}"/>
    <cellStyle name="Prosent 2 2 2 4 4 6 2 3 2" xfId="2520" xr:uid="{00000000-0005-0000-0000-0000D0940000}"/>
    <cellStyle name="Prosent 2 2 2 4 4 6 2 3 2 2" xfId="18325" xr:uid="{00000000-0005-0000-0000-0000D1940000}"/>
    <cellStyle name="Prosent 2 2 2 4 4 6 2 3 2 3" xfId="15275" xr:uid="{00000000-0005-0000-0000-0000D2940000}"/>
    <cellStyle name="Prosent 2 2 2 4 4 6 2 3 2 3 2" xfId="26390" xr:uid="{00000000-0005-0000-0000-0000D3940000}"/>
    <cellStyle name="Prosent 2 2 2 4 4 6 2 3 2 3 2 2" xfId="41831" xr:uid="{00000000-0005-0000-0000-0000D4940000}"/>
    <cellStyle name="Prosent 2 2 2 4 4 6 2 3 2 3 3" xfId="44965" xr:uid="{00000000-0005-0000-0000-0000D5940000}"/>
    <cellStyle name="Prosent 2 2 2 4 4 6 2 3 2 4" xfId="13188" xr:uid="{00000000-0005-0000-0000-0000D6940000}"/>
    <cellStyle name="Prosent 2 2 2 4 4 6 2 3 2_Avviksanalyse løpende RNB15 (1)" xfId="16899" xr:uid="{00000000-0005-0000-0000-0000D7940000}"/>
    <cellStyle name="Prosent 2 2 2 4 4 6 2 3 3" xfId="18324" xr:uid="{00000000-0005-0000-0000-0000D8940000}"/>
    <cellStyle name="Prosent 2 2 2 4 4 6 2 3 4" xfId="15274" xr:uid="{00000000-0005-0000-0000-0000D9940000}"/>
    <cellStyle name="Prosent 2 2 2 4 4 6 2 3 4 2" xfId="26391" xr:uid="{00000000-0005-0000-0000-0000DA940000}"/>
    <cellStyle name="Prosent 2 2 2 4 4 6 2 3 4 2 2" xfId="41830" xr:uid="{00000000-0005-0000-0000-0000DB940000}"/>
    <cellStyle name="Prosent 2 2 2 4 4 6 2 3 4 3" xfId="44966" xr:uid="{00000000-0005-0000-0000-0000DC940000}"/>
    <cellStyle name="Prosent 2 2 2 4 4 6 2 3 5" xfId="13187" xr:uid="{00000000-0005-0000-0000-0000DD940000}"/>
    <cellStyle name="Prosent 2 2 2 4 4 6 2 3_Avviksanalyse løpende RNB15 (1)" xfId="16898" xr:uid="{00000000-0005-0000-0000-0000DE940000}"/>
    <cellStyle name="Prosent 2 2 2 4 4 6 2 4" xfId="2521" xr:uid="{00000000-0005-0000-0000-0000DF940000}"/>
    <cellStyle name="Prosent 2 2 2 4 4 6 2 4 2" xfId="2522" xr:uid="{00000000-0005-0000-0000-0000E0940000}"/>
    <cellStyle name="Prosent 2 2 2 4 4 6 2 4 2 2" xfId="18327" xr:uid="{00000000-0005-0000-0000-0000E1940000}"/>
    <cellStyle name="Prosent 2 2 2 4 4 6 2 4 2 3" xfId="15277" xr:uid="{00000000-0005-0000-0000-0000E2940000}"/>
    <cellStyle name="Prosent 2 2 2 4 4 6 2 4 2 3 2" xfId="26392" xr:uid="{00000000-0005-0000-0000-0000E3940000}"/>
    <cellStyle name="Prosent 2 2 2 4 4 6 2 4 2 3 2 2" xfId="41833" xr:uid="{00000000-0005-0000-0000-0000E4940000}"/>
    <cellStyle name="Prosent 2 2 2 4 4 6 2 4 2 3 3" xfId="44967" xr:uid="{00000000-0005-0000-0000-0000E5940000}"/>
    <cellStyle name="Prosent 2 2 2 4 4 6 2 4 2 4" xfId="13190" xr:uid="{00000000-0005-0000-0000-0000E6940000}"/>
    <cellStyle name="Prosent 2 2 2 4 4 6 2 4 2_Avviksanalyse løpende RNB15 (1)" xfId="16901" xr:uid="{00000000-0005-0000-0000-0000E7940000}"/>
    <cellStyle name="Prosent 2 2 2 4 4 6 2 4 3" xfId="18326" xr:uid="{00000000-0005-0000-0000-0000E8940000}"/>
    <cellStyle name="Prosent 2 2 2 4 4 6 2 4 4" xfId="15276" xr:uid="{00000000-0005-0000-0000-0000E9940000}"/>
    <cellStyle name="Prosent 2 2 2 4 4 6 2 4 4 2" xfId="26393" xr:uid="{00000000-0005-0000-0000-0000EA940000}"/>
    <cellStyle name="Prosent 2 2 2 4 4 6 2 4 4 2 2" xfId="41832" xr:uid="{00000000-0005-0000-0000-0000EB940000}"/>
    <cellStyle name="Prosent 2 2 2 4 4 6 2 4 4 3" xfId="44968" xr:uid="{00000000-0005-0000-0000-0000EC940000}"/>
    <cellStyle name="Prosent 2 2 2 4 4 6 2 4 5" xfId="13189" xr:uid="{00000000-0005-0000-0000-0000ED940000}"/>
    <cellStyle name="Prosent 2 2 2 4 4 6 2 4_Avviksanalyse løpende RNB15 (1)" xfId="16900" xr:uid="{00000000-0005-0000-0000-0000EE940000}"/>
    <cellStyle name="Prosent 2 2 2 4 4 6 2 5" xfId="18322" xr:uid="{00000000-0005-0000-0000-0000EF940000}"/>
    <cellStyle name="Prosent 2 2 2 4 4 6 2 6" xfId="15272" xr:uid="{00000000-0005-0000-0000-0000F0940000}"/>
    <cellStyle name="Prosent 2 2 2 4 4 6 2 6 2" xfId="26394" xr:uid="{00000000-0005-0000-0000-0000F1940000}"/>
    <cellStyle name="Prosent 2 2 2 4 4 6 2 6 2 2" xfId="41828" xr:uid="{00000000-0005-0000-0000-0000F2940000}"/>
    <cellStyle name="Prosent 2 2 2 4 4 6 2 6 3" xfId="44969" xr:uid="{00000000-0005-0000-0000-0000F3940000}"/>
    <cellStyle name="Prosent 2 2 2 4 4 6 2 7" xfId="13185" xr:uid="{00000000-0005-0000-0000-0000F4940000}"/>
    <cellStyle name="Prosent 2 2 2 4 4 6 2_Avviksanalyse løpende RNB15 (1)" xfId="16896" xr:uid="{00000000-0005-0000-0000-0000F5940000}"/>
    <cellStyle name="Prosent 2 2 2 4 4 6 3" xfId="2523" xr:uid="{00000000-0005-0000-0000-0000F6940000}"/>
    <cellStyle name="Prosent 2 2 2 4 4 6 3 2" xfId="18328" xr:uid="{00000000-0005-0000-0000-0000F7940000}"/>
    <cellStyle name="Prosent 2 2 2 4 4 6 3 3" xfId="15278" xr:uid="{00000000-0005-0000-0000-0000F8940000}"/>
    <cellStyle name="Prosent 2 2 2 4 4 6 3 3 2" xfId="26395" xr:uid="{00000000-0005-0000-0000-0000F9940000}"/>
    <cellStyle name="Prosent 2 2 2 4 4 6 3 3 2 2" xfId="41834" xr:uid="{00000000-0005-0000-0000-0000FA940000}"/>
    <cellStyle name="Prosent 2 2 2 4 4 6 3 3 3" xfId="44970" xr:uid="{00000000-0005-0000-0000-0000FB940000}"/>
    <cellStyle name="Prosent 2 2 2 4 4 6 3 4" xfId="13191" xr:uid="{00000000-0005-0000-0000-0000FC940000}"/>
    <cellStyle name="Prosent 2 2 2 4 4 6 3_Avviksanalyse løpende RNB15 (1)" xfId="16902" xr:uid="{00000000-0005-0000-0000-0000FD940000}"/>
    <cellStyle name="Prosent 2 2 2 4 4 6 4" xfId="2524" xr:uid="{00000000-0005-0000-0000-0000FE940000}"/>
    <cellStyle name="Prosent 2 2 2 4 4 6 4 2" xfId="2525" xr:uid="{00000000-0005-0000-0000-0000FF940000}"/>
    <cellStyle name="Prosent 2 2 2 4 4 6 4 2 2" xfId="18330" xr:uid="{00000000-0005-0000-0000-000000950000}"/>
    <cellStyle name="Prosent 2 2 2 4 4 6 4 2 3" xfId="15280" xr:uid="{00000000-0005-0000-0000-000001950000}"/>
    <cellStyle name="Prosent 2 2 2 4 4 6 4 2 3 2" xfId="26396" xr:uid="{00000000-0005-0000-0000-000002950000}"/>
    <cellStyle name="Prosent 2 2 2 4 4 6 4 2 3 2 2" xfId="41836" xr:uid="{00000000-0005-0000-0000-000003950000}"/>
    <cellStyle name="Prosent 2 2 2 4 4 6 4 2 3 3" xfId="44971" xr:uid="{00000000-0005-0000-0000-000004950000}"/>
    <cellStyle name="Prosent 2 2 2 4 4 6 4 2 4" xfId="13193" xr:uid="{00000000-0005-0000-0000-000005950000}"/>
    <cellStyle name="Prosent 2 2 2 4 4 6 4 2_Avviksanalyse løpende RNB15 (1)" xfId="16904" xr:uid="{00000000-0005-0000-0000-000006950000}"/>
    <cellStyle name="Prosent 2 2 2 4 4 6 4 3" xfId="18329" xr:uid="{00000000-0005-0000-0000-000007950000}"/>
    <cellStyle name="Prosent 2 2 2 4 4 6 4 4" xfId="15279" xr:uid="{00000000-0005-0000-0000-000008950000}"/>
    <cellStyle name="Prosent 2 2 2 4 4 6 4 4 2" xfId="26397" xr:uid="{00000000-0005-0000-0000-000009950000}"/>
    <cellStyle name="Prosent 2 2 2 4 4 6 4 4 2 2" xfId="41835" xr:uid="{00000000-0005-0000-0000-00000A950000}"/>
    <cellStyle name="Prosent 2 2 2 4 4 6 4 4 3" xfId="44972" xr:uid="{00000000-0005-0000-0000-00000B950000}"/>
    <cellStyle name="Prosent 2 2 2 4 4 6 4 5" xfId="13192" xr:uid="{00000000-0005-0000-0000-00000C950000}"/>
    <cellStyle name="Prosent 2 2 2 4 4 6 4_Avviksanalyse løpende RNB15 (1)" xfId="16903" xr:uid="{00000000-0005-0000-0000-00000D950000}"/>
    <cellStyle name="Prosent 2 2 2 4 4 6 5" xfId="2526" xr:uid="{00000000-0005-0000-0000-00000E950000}"/>
    <cellStyle name="Prosent 2 2 2 4 4 6 5 2" xfId="2527" xr:uid="{00000000-0005-0000-0000-00000F950000}"/>
    <cellStyle name="Prosent 2 2 2 4 4 6 5 2 2" xfId="18332" xr:uid="{00000000-0005-0000-0000-000010950000}"/>
    <cellStyle name="Prosent 2 2 2 4 4 6 5 2 3" xfId="15282" xr:uid="{00000000-0005-0000-0000-000011950000}"/>
    <cellStyle name="Prosent 2 2 2 4 4 6 5 2 3 2" xfId="26398" xr:uid="{00000000-0005-0000-0000-000012950000}"/>
    <cellStyle name="Prosent 2 2 2 4 4 6 5 2 3 2 2" xfId="41838" xr:uid="{00000000-0005-0000-0000-000013950000}"/>
    <cellStyle name="Prosent 2 2 2 4 4 6 5 2 3 3" xfId="44973" xr:uid="{00000000-0005-0000-0000-000014950000}"/>
    <cellStyle name="Prosent 2 2 2 4 4 6 5 2 4" xfId="13195" xr:uid="{00000000-0005-0000-0000-000015950000}"/>
    <cellStyle name="Prosent 2 2 2 4 4 6 5 2_Avviksanalyse løpende RNB15 (1)" xfId="16906" xr:uid="{00000000-0005-0000-0000-000016950000}"/>
    <cellStyle name="Prosent 2 2 2 4 4 6 5 3" xfId="18331" xr:uid="{00000000-0005-0000-0000-000017950000}"/>
    <cellStyle name="Prosent 2 2 2 4 4 6 5 4" xfId="15281" xr:uid="{00000000-0005-0000-0000-000018950000}"/>
    <cellStyle name="Prosent 2 2 2 4 4 6 5 4 2" xfId="26399" xr:uid="{00000000-0005-0000-0000-000019950000}"/>
    <cellStyle name="Prosent 2 2 2 4 4 6 5 4 2 2" xfId="41837" xr:uid="{00000000-0005-0000-0000-00001A950000}"/>
    <cellStyle name="Prosent 2 2 2 4 4 6 5 4 3" xfId="44974" xr:uid="{00000000-0005-0000-0000-00001B950000}"/>
    <cellStyle name="Prosent 2 2 2 4 4 6 5 5" xfId="13194" xr:uid="{00000000-0005-0000-0000-00001C950000}"/>
    <cellStyle name="Prosent 2 2 2 4 4 6 5_Avviksanalyse løpende RNB15 (1)" xfId="16905" xr:uid="{00000000-0005-0000-0000-00001D950000}"/>
    <cellStyle name="Prosent 2 2 2 4 4 6 6" xfId="18321" xr:uid="{00000000-0005-0000-0000-00001E950000}"/>
    <cellStyle name="Prosent 2 2 2 4 4 6 7" xfId="15271" xr:uid="{00000000-0005-0000-0000-00001F950000}"/>
    <cellStyle name="Prosent 2 2 2 4 4 6 7 2" xfId="26400" xr:uid="{00000000-0005-0000-0000-000020950000}"/>
    <cellStyle name="Prosent 2 2 2 4 4 6 7 2 2" xfId="41827" xr:uid="{00000000-0005-0000-0000-000021950000}"/>
    <cellStyle name="Prosent 2 2 2 4 4 6 7 3" xfId="44975" xr:uid="{00000000-0005-0000-0000-000022950000}"/>
    <cellStyle name="Prosent 2 2 2 4 4 6 8" xfId="13184" xr:uid="{00000000-0005-0000-0000-000023950000}"/>
    <cellStyle name="Prosent 2 2 2 4 4 6_Avviksanalyse løpende RNB15 (1)" xfId="16895" xr:uid="{00000000-0005-0000-0000-000024950000}"/>
    <cellStyle name="Prosent 2 2 2 4 4 7" xfId="2528" xr:uid="{00000000-0005-0000-0000-000025950000}"/>
    <cellStyle name="Prosent 2 2 2 4 4 7 2" xfId="2529" xr:uid="{00000000-0005-0000-0000-000026950000}"/>
    <cellStyle name="Prosent 2 2 2 4 4 7 2 2" xfId="18334" xr:uid="{00000000-0005-0000-0000-000027950000}"/>
    <cellStyle name="Prosent 2 2 2 4 4 7 2 3" xfId="15284" xr:uid="{00000000-0005-0000-0000-000028950000}"/>
    <cellStyle name="Prosent 2 2 2 4 4 7 2 3 2" xfId="26401" xr:uid="{00000000-0005-0000-0000-000029950000}"/>
    <cellStyle name="Prosent 2 2 2 4 4 7 2 3 2 2" xfId="41840" xr:uid="{00000000-0005-0000-0000-00002A950000}"/>
    <cellStyle name="Prosent 2 2 2 4 4 7 2 3 3" xfId="44976" xr:uid="{00000000-0005-0000-0000-00002B950000}"/>
    <cellStyle name="Prosent 2 2 2 4 4 7 2 4" xfId="13197" xr:uid="{00000000-0005-0000-0000-00002C950000}"/>
    <cellStyle name="Prosent 2 2 2 4 4 7 2_Avviksanalyse løpende RNB15 (1)" xfId="16908" xr:uid="{00000000-0005-0000-0000-00002D950000}"/>
    <cellStyle name="Prosent 2 2 2 4 4 7 3" xfId="2530" xr:uid="{00000000-0005-0000-0000-00002E950000}"/>
    <cellStyle name="Prosent 2 2 2 4 4 7 3 2" xfId="2531" xr:uid="{00000000-0005-0000-0000-00002F950000}"/>
    <cellStyle name="Prosent 2 2 2 4 4 7 3 2 2" xfId="18336" xr:uid="{00000000-0005-0000-0000-000030950000}"/>
    <cellStyle name="Prosent 2 2 2 4 4 7 3 2 3" xfId="15286" xr:uid="{00000000-0005-0000-0000-000031950000}"/>
    <cellStyle name="Prosent 2 2 2 4 4 7 3 2 3 2" xfId="26402" xr:uid="{00000000-0005-0000-0000-000032950000}"/>
    <cellStyle name="Prosent 2 2 2 4 4 7 3 2 3 2 2" xfId="41842" xr:uid="{00000000-0005-0000-0000-000033950000}"/>
    <cellStyle name="Prosent 2 2 2 4 4 7 3 2 3 3" xfId="44977" xr:uid="{00000000-0005-0000-0000-000034950000}"/>
    <cellStyle name="Prosent 2 2 2 4 4 7 3 2 4" xfId="13199" xr:uid="{00000000-0005-0000-0000-000035950000}"/>
    <cellStyle name="Prosent 2 2 2 4 4 7 3 2_Avviksanalyse løpende RNB15 (1)" xfId="16910" xr:uid="{00000000-0005-0000-0000-000036950000}"/>
    <cellStyle name="Prosent 2 2 2 4 4 7 3 3" xfId="18335" xr:uid="{00000000-0005-0000-0000-000037950000}"/>
    <cellStyle name="Prosent 2 2 2 4 4 7 3 4" xfId="15285" xr:uid="{00000000-0005-0000-0000-000038950000}"/>
    <cellStyle name="Prosent 2 2 2 4 4 7 3 4 2" xfId="26403" xr:uid="{00000000-0005-0000-0000-000039950000}"/>
    <cellStyle name="Prosent 2 2 2 4 4 7 3 4 2 2" xfId="41841" xr:uid="{00000000-0005-0000-0000-00003A950000}"/>
    <cellStyle name="Prosent 2 2 2 4 4 7 3 4 3" xfId="44978" xr:uid="{00000000-0005-0000-0000-00003B950000}"/>
    <cellStyle name="Prosent 2 2 2 4 4 7 3 5" xfId="13198" xr:uid="{00000000-0005-0000-0000-00003C950000}"/>
    <cellStyle name="Prosent 2 2 2 4 4 7 3_Avviksanalyse løpende RNB15 (1)" xfId="16909" xr:uid="{00000000-0005-0000-0000-00003D950000}"/>
    <cellStyle name="Prosent 2 2 2 4 4 7 4" xfId="2532" xr:uid="{00000000-0005-0000-0000-00003E950000}"/>
    <cellStyle name="Prosent 2 2 2 4 4 7 4 2" xfId="2533" xr:uid="{00000000-0005-0000-0000-00003F950000}"/>
    <cellStyle name="Prosent 2 2 2 4 4 7 4 2 2" xfId="18338" xr:uid="{00000000-0005-0000-0000-000040950000}"/>
    <cellStyle name="Prosent 2 2 2 4 4 7 4 2 3" xfId="15288" xr:uid="{00000000-0005-0000-0000-000041950000}"/>
    <cellStyle name="Prosent 2 2 2 4 4 7 4 2 3 2" xfId="26404" xr:uid="{00000000-0005-0000-0000-000042950000}"/>
    <cellStyle name="Prosent 2 2 2 4 4 7 4 2 3 2 2" xfId="41844" xr:uid="{00000000-0005-0000-0000-000043950000}"/>
    <cellStyle name="Prosent 2 2 2 4 4 7 4 2 3 3" xfId="44979" xr:uid="{00000000-0005-0000-0000-000044950000}"/>
    <cellStyle name="Prosent 2 2 2 4 4 7 4 2 4" xfId="13201" xr:uid="{00000000-0005-0000-0000-000045950000}"/>
    <cellStyle name="Prosent 2 2 2 4 4 7 4 2_Avviksanalyse løpende RNB15 (1)" xfId="16912" xr:uid="{00000000-0005-0000-0000-000046950000}"/>
    <cellStyle name="Prosent 2 2 2 4 4 7 4 3" xfId="18337" xr:uid="{00000000-0005-0000-0000-000047950000}"/>
    <cellStyle name="Prosent 2 2 2 4 4 7 4 4" xfId="15287" xr:uid="{00000000-0005-0000-0000-000048950000}"/>
    <cellStyle name="Prosent 2 2 2 4 4 7 4 4 2" xfId="26405" xr:uid="{00000000-0005-0000-0000-000049950000}"/>
    <cellStyle name="Prosent 2 2 2 4 4 7 4 4 2 2" xfId="41843" xr:uid="{00000000-0005-0000-0000-00004A950000}"/>
    <cellStyle name="Prosent 2 2 2 4 4 7 4 4 3" xfId="44980" xr:uid="{00000000-0005-0000-0000-00004B950000}"/>
    <cellStyle name="Prosent 2 2 2 4 4 7 4 5" xfId="13200" xr:uid="{00000000-0005-0000-0000-00004C950000}"/>
    <cellStyle name="Prosent 2 2 2 4 4 7 4_Avviksanalyse løpende RNB15 (1)" xfId="16911" xr:uid="{00000000-0005-0000-0000-00004D950000}"/>
    <cellStyle name="Prosent 2 2 2 4 4 7 5" xfId="18333" xr:uid="{00000000-0005-0000-0000-00004E950000}"/>
    <cellStyle name="Prosent 2 2 2 4 4 7 6" xfId="15283" xr:uid="{00000000-0005-0000-0000-00004F950000}"/>
    <cellStyle name="Prosent 2 2 2 4 4 7 6 2" xfId="26406" xr:uid="{00000000-0005-0000-0000-000050950000}"/>
    <cellStyle name="Prosent 2 2 2 4 4 7 6 2 2" xfId="41839" xr:uid="{00000000-0005-0000-0000-000051950000}"/>
    <cellStyle name="Prosent 2 2 2 4 4 7 6 3" xfId="44981" xr:uid="{00000000-0005-0000-0000-000052950000}"/>
    <cellStyle name="Prosent 2 2 2 4 4 7 7" xfId="13196" xr:uid="{00000000-0005-0000-0000-000053950000}"/>
    <cellStyle name="Prosent 2 2 2 4 4 7_Avviksanalyse løpende RNB15 (1)" xfId="16907" xr:uid="{00000000-0005-0000-0000-000054950000}"/>
    <cellStyle name="Prosent 2 2 2 4 4 8" xfId="2534" xr:uid="{00000000-0005-0000-0000-000055950000}"/>
    <cellStyle name="Prosent 2 2 2 4 4 8 2" xfId="2535" xr:uid="{00000000-0005-0000-0000-000056950000}"/>
    <cellStyle name="Prosent 2 2 2 4 4 8 2 2" xfId="18340" xr:uid="{00000000-0005-0000-0000-000057950000}"/>
    <cellStyle name="Prosent 2 2 2 4 4 8 2 3" xfId="15290" xr:uid="{00000000-0005-0000-0000-000058950000}"/>
    <cellStyle name="Prosent 2 2 2 4 4 8 2 3 2" xfId="26407" xr:uid="{00000000-0005-0000-0000-000059950000}"/>
    <cellStyle name="Prosent 2 2 2 4 4 8 2 3 2 2" xfId="41846" xr:uid="{00000000-0005-0000-0000-00005A950000}"/>
    <cellStyle name="Prosent 2 2 2 4 4 8 2 3 3" xfId="44982" xr:uid="{00000000-0005-0000-0000-00005B950000}"/>
    <cellStyle name="Prosent 2 2 2 4 4 8 2 4" xfId="13203" xr:uid="{00000000-0005-0000-0000-00005C950000}"/>
    <cellStyle name="Prosent 2 2 2 4 4 8 2_Avviksanalyse løpende RNB15 (1)" xfId="16914" xr:uid="{00000000-0005-0000-0000-00005D950000}"/>
    <cellStyle name="Prosent 2 2 2 4 4 8 3" xfId="18339" xr:uid="{00000000-0005-0000-0000-00005E950000}"/>
    <cellStyle name="Prosent 2 2 2 4 4 8 4" xfId="15289" xr:uid="{00000000-0005-0000-0000-00005F950000}"/>
    <cellStyle name="Prosent 2 2 2 4 4 8 4 2" xfId="26408" xr:uid="{00000000-0005-0000-0000-000060950000}"/>
    <cellStyle name="Prosent 2 2 2 4 4 8 4 2 2" xfId="41845" xr:uid="{00000000-0005-0000-0000-000061950000}"/>
    <cellStyle name="Prosent 2 2 2 4 4 8 4 3" xfId="44983" xr:uid="{00000000-0005-0000-0000-000062950000}"/>
    <cellStyle name="Prosent 2 2 2 4 4 8 5" xfId="13202" xr:uid="{00000000-0005-0000-0000-000063950000}"/>
    <cellStyle name="Prosent 2 2 2 4 4 8_Avviksanalyse løpende RNB15 (1)" xfId="16913" xr:uid="{00000000-0005-0000-0000-000064950000}"/>
    <cellStyle name="Prosent 2 2 2 4 4 9" xfId="2536" xr:uid="{00000000-0005-0000-0000-000065950000}"/>
    <cellStyle name="Prosent 2 2 2 4 4 9 2" xfId="2537" xr:uid="{00000000-0005-0000-0000-000066950000}"/>
    <cellStyle name="Prosent 2 2 2 4 4 9 2 2" xfId="18342" xr:uid="{00000000-0005-0000-0000-000067950000}"/>
    <cellStyle name="Prosent 2 2 2 4 4 9 2 3" xfId="15292" xr:uid="{00000000-0005-0000-0000-000068950000}"/>
    <cellStyle name="Prosent 2 2 2 4 4 9 2 3 2" xfId="26409" xr:uid="{00000000-0005-0000-0000-000069950000}"/>
    <cellStyle name="Prosent 2 2 2 4 4 9 2 3 2 2" xfId="41848" xr:uid="{00000000-0005-0000-0000-00006A950000}"/>
    <cellStyle name="Prosent 2 2 2 4 4 9 2 3 3" xfId="44984" xr:uid="{00000000-0005-0000-0000-00006B950000}"/>
    <cellStyle name="Prosent 2 2 2 4 4 9 2 4" xfId="13205" xr:uid="{00000000-0005-0000-0000-00006C950000}"/>
    <cellStyle name="Prosent 2 2 2 4 4 9 2_Avviksanalyse løpende RNB15 (1)" xfId="16916" xr:uid="{00000000-0005-0000-0000-00006D950000}"/>
    <cellStyle name="Prosent 2 2 2 4 4 9 3" xfId="18341" xr:uid="{00000000-0005-0000-0000-00006E950000}"/>
    <cellStyle name="Prosent 2 2 2 4 4 9 4" xfId="15291" xr:uid="{00000000-0005-0000-0000-00006F950000}"/>
    <cellStyle name="Prosent 2 2 2 4 4 9 4 2" xfId="26410" xr:uid="{00000000-0005-0000-0000-000070950000}"/>
    <cellStyle name="Prosent 2 2 2 4 4 9 4 2 2" xfId="41847" xr:uid="{00000000-0005-0000-0000-000071950000}"/>
    <cellStyle name="Prosent 2 2 2 4 4 9 4 3" xfId="44985" xr:uid="{00000000-0005-0000-0000-000072950000}"/>
    <cellStyle name="Prosent 2 2 2 4 4 9 5" xfId="13204" xr:uid="{00000000-0005-0000-0000-000073950000}"/>
    <cellStyle name="Prosent 2 2 2 4 4 9_Avviksanalyse løpende RNB15 (1)" xfId="16915" xr:uid="{00000000-0005-0000-0000-000074950000}"/>
    <cellStyle name="Prosent 2 2 2 4 4_Avviksanalyse løpende RNB15 (1)" xfId="16857" xr:uid="{00000000-0005-0000-0000-000075950000}"/>
    <cellStyle name="Prosent 2 2 2 4 5" xfId="2538" xr:uid="{00000000-0005-0000-0000-000076950000}"/>
    <cellStyle name="Prosent 2 2 2 4 5 2" xfId="2539" xr:uid="{00000000-0005-0000-0000-000077950000}"/>
    <cellStyle name="Prosent 2 2 2 4 5 2 2" xfId="18344" xr:uid="{00000000-0005-0000-0000-000078950000}"/>
    <cellStyle name="Prosent 2 2 2 4 5 2 3" xfId="15294" xr:uid="{00000000-0005-0000-0000-000079950000}"/>
    <cellStyle name="Prosent 2 2 2 4 5 2 3 2" xfId="26411" xr:uid="{00000000-0005-0000-0000-00007A950000}"/>
    <cellStyle name="Prosent 2 2 2 4 5 2 3 2 2" xfId="41850" xr:uid="{00000000-0005-0000-0000-00007B950000}"/>
    <cellStyle name="Prosent 2 2 2 4 5 2 3 3" xfId="44986" xr:uid="{00000000-0005-0000-0000-00007C950000}"/>
    <cellStyle name="Prosent 2 2 2 4 5 2 4" xfId="13207" xr:uid="{00000000-0005-0000-0000-00007D950000}"/>
    <cellStyle name="Prosent 2 2 2 4 5 2_Avviksanalyse løpende RNB15 (1)" xfId="16918" xr:uid="{00000000-0005-0000-0000-00007E950000}"/>
    <cellStyle name="Prosent 2 2 2 4 5 3" xfId="2540" xr:uid="{00000000-0005-0000-0000-00007F950000}"/>
    <cellStyle name="Prosent 2 2 2 4 5 3 2" xfId="18345" xr:uid="{00000000-0005-0000-0000-000080950000}"/>
    <cellStyle name="Prosent 2 2 2 4 5 3 3" xfId="15295" xr:uid="{00000000-0005-0000-0000-000081950000}"/>
    <cellStyle name="Prosent 2 2 2 4 5 3 3 2" xfId="26412" xr:uid="{00000000-0005-0000-0000-000082950000}"/>
    <cellStyle name="Prosent 2 2 2 4 5 3 3 2 2" xfId="41851" xr:uid="{00000000-0005-0000-0000-000083950000}"/>
    <cellStyle name="Prosent 2 2 2 4 5 3 3 3" xfId="44987" xr:uid="{00000000-0005-0000-0000-000084950000}"/>
    <cellStyle name="Prosent 2 2 2 4 5 3 4" xfId="13208" xr:uid="{00000000-0005-0000-0000-000085950000}"/>
    <cellStyle name="Prosent 2 2 2 4 5 3_Avviksanalyse løpende RNB15 (1)" xfId="16919" xr:uid="{00000000-0005-0000-0000-000086950000}"/>
    <cellStyle name="Prosent 2 2 2 4 5 4" xfId="2541" xr:uid="{00000000-0005-0000-0000-000087950000}"/>
    <cellStyle name="Prosent 2 2 2 4 5 4 2" xfId="2542" xr:uid="{00000000-0005-0000-0000-000088950000}"/>
    <cellStyle name="Prosent 2 2 2 4 5 4 2 2" xfId="2543" xr:uid="{00000000-0005-0000-0000-000089950000}"/>
    <cellStyle name="Prosent 2 2 2 4 5 4 2 2 2" xfId="18348" xr:uid="{00000000-0005-0000-0000-00008A950000}"/>
    <cellStyle name="Prosent 2 2 2 4 5 4 2 2 3" xfId="15298" xr:uid="{00000000-0005-0000-0000-00008B950000}"/>
    <cellStyle name="Prosent 2 2 2 4 5 4 2 2 3 2" xfId="26413" xr:uid="{00000000-0005-0000-0000-00008C950000}"/>
    <cellStyle name="Prosent 2 2 2 4 5 4 2 2 3 2 2" xfId="41854" xr:uid="{00000000-0005-0000-0000-00008D950000}"/>
    <cellStyle name="Prosent 2 2 2 4 5 4 2 2 3 3" xfId="44988" xr:uid="{00000000-0005-0000-0000-00008E950000}"/>
    <cellStyle name="Prosent 2 2 2 4 5 4 2 2 4" xfId="13211" xr:uid="{00000000-0005-0000-0000-00008F950000}"/>
    <cellStyle name="Prosent 2 2 2 4 5 4 2 2_Avviksanalyse løpende RNB15 (1)" xfId="16922" xr:uid="{00000000-0005-0000-0000-000090950000}"/>
    <cellStyle name="Prosent 2 2 2 4 5 4 2 3" xfId="2544" xr:uid="{00000000-0005-0000-0000-000091950000}"/>
    <cellStyle name="Prosent 2 2 2 4 5 4 2 3 2" xfId="2545" xr:uid="{00000000-0005-0000-0000-000092950000}"/>
    <cellStyle name="Prosent 2 2 2 4 5 4 2 3 2 2" xfId="18350" xr:uid="{00000000-0005-0000-0000-000093950000}"/>
    <cellStyle name="Prosent 2 2 2 4 5 4 2 3 2 3" xfId="15300" xr:uid="{00000000-0005-0000-0000-000094950000}"/>
    <cellStyle name="Prosent 2 2 2 4 5 4 2 3 2 3 2" xfId="26414" xr:uid="{00000000-0005-0000-0000-000095950000}"/>
    <cellStyle name="Prosent 2 2 2 4 5 4 2 3 2 3 2 2" xfId="41856" xr:uid="{00000000-0005-0000-0000-000096950000}"/>
    <cellStyle name="Prosent 2 2 2 4 5 4 2 3 2 3 3" xfId="44989" xr:uid="{00000000-0005-0000-0000-000097950000}"/>
    <cellStyle name="Prosent 2 2 2 4 5 4 2 3 2 4" xfId="13213" xr:uid="{00000000-0005-0000-0000-000098950000}"/>
    <cellStyle name="Prosent 2 2 2 4 5 4 2 3 2_Avviksanalyse løpende RNB15 (1)" xfId="16924" xr:uid="{00000000-0005-0000-0000-000099950000}"/>
    <cellStyle name="Prosent 2 2 2 4 5 4 2 3 3" xfId="18349" xr:uid="{00000000-0005-0000-0000-00009A950000}"/>
    <cellStyle name="Prosent 2 2 2 4 5 4 2 3 4" xfId="15299" xr:uid="{00000000-0005-0000-0000-00009B950000}"/>
    <cellStyle name="Prosent 2 2 2 4 5 4 2 3 4 2" xfId="26415" xr:uid="{00000000-0005-0000-0000-00009C950000}"/>
    <cellStyle name="Prosent 2 2 2 4 5 4 2 3 4 2 2" xfId="41855" xr:uid="{00000000-0005-0000-0000-00009D950000}"/>
    <cellStyle name="Prosent 2 2 2 4 5 4 2 3 4 3" xfId="44990" xr:uid="{00000000-0005-0000-0000-00009E950000}"/>
    <cellStyle name="Prosent 2 2 2 4 5 4 2 3 5" xfId="13212" xr:uid="{00000000-0005-0000-0000-00009F950000}"/>
    <cellStyle name="Prosent 2 2 2 4 5 4 2 3_Avviksanalyse løpende RNB15 (1)" xfId="16923" xr:uid="{00000000-0005-0000-0000-0000A0950000}"/>
    <cellStyle name="Prosent 2 2 2 4 5 4 2 4" xfId="2546" xr:uid="{00000000-0005-0000-0000-0000A1950000}"/>
    <cellStyle name="Prosent 2 2 2 4 5 4 2 4 2" xfId="2547" xr:uid="{00000000-0005-0000-0000-0000A2950000}"/>
    <cellStyle name="Prosent 2 2 2 4 5 4 2 4 2 2" xfId="18352" xr:uid="{00000000-0005-0000-0000-0000A3950000}"/>
    <cellStyle name="Prosent 2 2 2 4 5 4 2 4 2 3" xfId="15302" xr:uid="{00000000-0005-0000-0000-0000A4950000}"/>
    <cellStyle name="Prosent 2 2 2 4 5 4 2 4 2 3 2" xfId="26416" xr:uid="{00000000-0005-0000-0000-0000A5950000}"/>
    <cellStyle name="Prosent 2 2 2 4 5 4 2 4 2 3 2 2" xfId="41858" xr:uid="{00000000-0005-0000-0000-0000A6950000}"/>
    <cellStyle name="Prosent 2 2 2 4 5 4 2 4 2 3 3" xfId="44991" xr:uid="{00000000-0005-0000-0000-0000A7950000}"/>
    <cellStyle name="Prosent 2 2 2 4 5 4 2 4 2 4" xfId="13215" xr:uid="{00000000-0005-0000-0000-0000A8950000}"/>
    <cellStyle name="Prosent 2 2 2 4 5 4 2 4 2_Avviksanalyse løpende RNB15 (1)" xfId="16926" xr:uid="{00000000-0005-0000-0000-0000A9950000}"/>
    <cellStyle name="Prosent 2 2 2 4 5 4 2 4 3" xfId="18351" xr:uid="{00000000-0005-0000-0000-0000AA950000}"/>
    <cellStyle name="Prosent 2 2 2 4 5 4 2 4 4" xfId="15301" xr:uid="{00000000-0005-0000-0000-0000AB950000}"/>
    <cellStyle name="Prosent 2 2 2 4 5 4 2 4 4 2" xfId="26417" xr:uid="{00000000-0005-0000-0000-0000AC950000}"/>
    <cellStyle name="Prosent 2 2 2 4 5 4 2 4 4 2 2" xfId="41857" xr:uid="{00000000-0005-0000-0000-0000AD950000}"/>
    <cellStyle name="Prosent 2 2 2 4 5 4 2 4 4 3" xfId="44992" xr:uid="{00000000-0005-0000-0000-0000AE950000}"/>
    <cellStyle name="Prosent 2 2 2 4 5 4 2 4 5" xfId="13214" xr:uid="{00000000-0005-0000-0000-0000AF950000}"/>
    <cellStyle name="Prosent 2 2 2 4 5 4 2 4_Avviksanalyse løpende RNB15 (1)" xfId="16925" xr:uid="{00000000-0005-0000-0000-0000B0950000}"/>
    <cellStyle name="Prosent 2 2 2 4 5 4 2 5" xfId="18347" xr:uid="{00000000-0005-0000-0000-0000B1950000}"/>
    <cellStyle name="Prosent 2 2 2 4 5 4 2 6" xfId="15297" xr:uid="{00000000-0005-0000-0000-0000B2950000}"/>
    <cellStyle name="Prosent 2 2 2 4 5 4 2 6 2" xfId="26418" xr:uid="{00000000-0005-0000-0000-0000B3950000}"/>
    <cellStyle name="Prosent 2 2 2 4 5 4 2 6 2 2" xfId="41853" xr:uid="{00000000-0005-0000-0000-0000B4950000}"/>
    <cellStyle name="Prosent 2 2 2 4 5 4 2 6 3" xfId="44993" xr:uid="{00000000-0005-0000-0000-0000B5950000}"/>
    <cellStyle name="Prosent 2 2 2 4 5 4 2 7" xfId="13210" xr:uid="{00000000-0005-0000-0000-0000B6950000}"/>
    <cellStyle name="Prosent 2 2 2 4 5 4 2_Avviksanalyse løpende RNB15 (1)" xfId="16921" xr:uid="{00000000-0005-0000-0000-0000B7950000}"/>
    <cellStyle name="Prosent 2 2 2 4 5 4 3" xfId="2548" xr:uid="{00000000-0005-0000-0000-0000B8950000}"/>
    <cellStyle name="Prosent 2 2 2 4 5 4 3 2" xfId="18353" xr:uid="{00000000-0005-0000-0000-0000B9950000}"/>
    <cellStyle name="Prosent 2 2 2 4 5 4 3 3" xfId="15303" xr:uid="{00000000-0005-0000-0000-0000BA950000}"/>
    <cellStyle name="Prosent 2 2 2 4 5 4 3 3 2" xfId="26419" xr:uid="{00000000-0005-0000-0000-0000BB950000}"/>
    <cellStyle name="Prosent 2 2 2 4 5 4 3 3 2 2" xfId="41859" xr:uid="{00000000-0005-0000-0000-0000BC950000}"/>
    <cellStyle name="Prosent 2 2 2 4 5 4 3 3 3" xfId="44994" xr:uid="{00000000-0005-0000-0000-0000BD950000}"/>
    <cellStyle name="Prosent 2 2 2 4 5 4 3 4" xfId="13216" xr:uid="{00000000-0005-0000-0000-0000BE950000}"/>
    <cellStyle name="Prosent 2 2 2 4 5 4 3_Avviksanalyse løpende RNB15 (1)" xfId="16927" xr:uid="{00000000-0005-0000-0000-0000BF950000}"/>
    <cellStyle name="Prosent 2 2 2 4 5 4 4" xfId="2549" xr:uid="{00000000-0005-0000-0000-0000C0950000}"/>
    <cellStyle name="Prosent 2 2 2 4 5 4 4 2" xfId="2550" xr:uid="{00000000-0005-0000-0000-0000C1950000}"/>
    <cellStyle name="Prosent 2 2 2 4 5 4 4 2 2" xfId="18355" xr:uid="{00000000-0005-0000-0000-0000C2950000}"/>
    <cellStyle name="Prosent 2 2 2 4 5 4 4 2 3" xfId="15305" xr:uid="{00000000-0005-0000-0000-0000C3950000}"/>
    <cellStyle name="Prosent 2 2 2 4 5 4 4 2 3 2" xfId="26420" xr:uid="{00000000-0005-0000-0000-0000C4950000}"/>
    <cellStyle name="Prosent 2 2 2 4 5 4 4 2 3 2 2" xfId="41861" xr:uid="{00000000-0005-0000-0000-0000C5950000}"/>
    <cellStyle name="Prosent 2 2 2 4 5 4 4 2 3 3" xfId="44995" xr:uid="{00000000-0005-0000-0000-0000C6950000}"/>
    <cellStyle name="Prosent 2 2 2 4 5 4 4 2 4" xfId="13218" xr:uid="{00000000-0005-0000-0000-0000C7950000}"/>
    <cellStyle name="Prosent 2 2 2 4 5 4 4 2_Avviksanalyse løpende RNB15 (1)" xfId="16929" xr:uid="{00000000-0005-0000-0000-0000C8950000}"/>
    <cellStyle name="Prosent 2 2 2 4 5 4 4 3" xfId="18354" xr:uid="{00000000-0005-0000-0000-0000C9950000}"/>
    <cellStyle name="Prosent 2 2 2 4 5 4 4 4" xfId="15304" xr:uid="{00000000-0005-0000-0000-0000CA950000}"/>
    <cellStyle name="Prosent 2 2 2 4 5 4 4 4 2" xfId="26421" xr:uid="{00000000-0005-0000-0000-0000CB950000}"/>
    <cellStyle name="Prosent 2 2 2 4 5 4 4 4 2 2" xfId="41860" xr:uid="{00000000-0005-0000-0000-0000CC950000}"/>
    <cellStyle name="Prosent 2 2 2 4 5 4 4 4 3" xfId="44996" xr:uid="{00000000-0005-0000-0000-0000CD950000}"/>
    <cellStyle name="Prosent 2 2 2 4 5 4 4 5" xfId="13217" xr:uid="{00000000-0005-0000-0000-0000CE950000}"/>
    <cellStyle name="Prosent 2 2 2 4 5 4 4_Avviksanalyse løpende RNB15 (1)" xfId="16928" xr:uid="{00000000-0005-0000-0000-0000CF950000}"/>
    <cellStyle name="Prosent 2 2 2 4 5 4 5" xfId="2551" xr:uid="{00000000-0005-0000-0000-0000D0950000}"/>
    <cellStyle name="Prosent 2 2 2 4 5 4 5 2" xfId="2552" xr:uid="{00000000-0005-0000-0000-0000D1950000}"/>
    <cellStyle name="Prosent 2 2 2 4 5 4 5 2 2" xfId="18357" xr:uid="{00000000-0005-0000-0000-0000D2950000}"/>
    <cellStyle name="Prosent 2 2 2 4 5 4 5 2 3" xfId="15307" xr:uid="{00000000-0005-0000-0000-0000D3950000}"/>
    <cellStyle name="Prosent 2 2 2 4 5 4 5 2 3 2" xfId="26422" xr:uid="{00000000-0005-0000-0000-0000D4950000}"/>
    <cellStyle name="Prosent 2 2 2 4 5 4 5 2 3 2 2" xfId="41863" xr:uid="{00000000-0005-0000-0000-0000D5950000}"/>
    <cellStyle name="Prosent 2 2 2 4 5 4 5 2 3 3" xfId="44997" xr:uid="{00000000-0005-0000-0000-0000D6950000}"/>
    <cellStyle name="Prosent 2 2 2 4 5 4 5 2 4" xfId="13220" xr:uid="{00000000-0005-0000-0000-0000D7950000}"/>
    <cellStyle name="Prosent 2 2 2 4 5 4 5 2_Avviksanalyse løpende RNB15 (1)" xfId="16931" xr:uid="{00000000-0005-0000-0000-0000D8950000}"/>
    <cellStyle name="Prosent 2 2 2 4 5 4 5 3" xfId="18356" xr:uid="{00000000-0005-0000-0000-0000D9950000}"/>
    <cellStyle name="Prosent 2 2 2 4 5 4 5 4" xfId="15306" xr:uid="{00000000-0005-0000-0000-0000DA950000}"/>
    <cellStyle name="Prosent 2 2 2 4 5 4 5 4 2" xfId="26423" xr:uid="{00000000-0005-0000-0000-0000DB950000}"/>
    <cellStyle name="Prosent 2 2 2 4 5 4 5 4 2 2" xfId="41862" xr:uid="{00000000-0005-0000-0000-0000DC950000}"/>
    <cellStyle name="Prosent 2 2 2 4 5 4 5 4 3" xfId="44998" xr:uid="{00000000-0005-0000-0000-0000DD950000}"/>
    <cellStyle name="Prosent 2 2 2 4 5 4 5 5" xfId="13219" xr:uid="{00000000-0005-0000-0000-0000DE950000}"/>
    <cellStyle name="Prosent 2 2 2 4 5 4 5_Avviksanalyse løpende RNB15 (1)" xfId="16930" xr:uid="{00000000-0005-0000-0000-0000DF950000}"/>
    <cellStyle name="Prosent 2 2 2 4 5 4 6" xfId="18346" xr:uid="{00000000-0005-0000-0000-0000E0950000}"/>
    <cellStyle name="Prosent 2 2 2 4 5 4 7" xfId="15296" xr:uid="{00000000-0005-0000-0000-0000E1950000}"/>
    <cellStyle name="Prosent 2 2 2 4 5 4 7 2" xfId="26424" xr:uid="{00000000-0005-0000-0000-0000E2950000}"/>
    <cellStyle name="Prosent 2 2 2 4 5 4 7 2 2" xfId="41852" xr:uid="{00000000-0005-0000-0000-0000E3950000}"/>
    <cellStyle name="Prosent 2 2 2 4 5 4 7 3" xfId="44999" xr:uid="{00000000-0005-0000-0000-0000E4950000}"/>
    <cellStyle name="Prosent 2 2 2 4 5 4 8" xfId="13209" xr:uid="{00000000-0005-0000-0000-0000E5950000}"/>
    <cellStyle name="Prosent 2 2 2 4 5 4_Avviksanalyse løpende RNB15 (1)" xfId="16920" xr:uid="{00000000-0005-0000-0000-0000E6950000}"/>
    <cellStyle name="Prosent 2 2 2 4 5 5" xfId="18343" xr:uid="{00000000-0005-0000-0000-0000E7950000}"/>
    <cellStyle name="Prosent 2 2 2 4 5 6" xfId="15293" xr:uid="{00000000-0005-0000-0000-0000E8950000}"/>
    <cellStyle name="Prosent 2 2 2 4 5 6 2" xfId="26425" xr:uid="{00000000-0005-0000-0000-0000E9950000}"/>
    <cellStyle name="Prosent 2 2 2 4 5 6 2 2" xfId="41849" xr:uid="{00000000-0005-0000-0000-0000EA950000}"/>
    <cellStyle name="Prosent 2 2 2 4 5 6 3" xfId="45000" xr:uid="{00000000-0005-0000-0000-0000EB950000}"/>
    <cellStyle name="Prosent 2 2 2 4 5 7" xfId="13206" xr:uid="{00000000-0005-0000-0000-0000EC950000}"/>
    <cellStyle name="Prosent 2 2 2 4 5_Avviksanalyse løpende RNB15 (1)" xfId="16917" xr:uid="{00000000-0005-0000-0000-0000ED950000}"/>
    <cellStyle name="Prosent 2 2 2 4 6" xfId="2553" xr:uid="{00000000-0005-0000-0000-0000EE950000}"/>
    <cellStyle name="Prosent 2 2 2 4 6 2" xfId="2554" xr:uid="{00000000-0005-0000-0000-0000EF950000}"/>
    <cellStyle name="Prosent 2 2 2 4 6 2 2" xfId="18359" xr:uid="{00000000-0005-0000-0000-0000F0950000}"/>
    <cellStyle name="Prosent 2 2 2 4 6 2 3" xfId="15309" xr:uid="{00000000-0005-0000-0000-0000F1950000}"/>
    <cellStyle name="Prosent 2 2 2 4 6 2 3 2" xfId="26426" xr:uid="{00000000-0005-0000-0000-0000F2950000}"/>
    <cellStyle name="Prosent 2 2 2 4 6 2 3 2 2" xfId="41865" xr:uid="{00000000-0005-0000-0000-0000F3950000}"/>
    <cellStyle name="Prosent 2 2 2 4 6 2 3 3" xfId="45001" xr:uid="{00000000-0005-0000-0000-0000F4950000}"/>
    <cellStyle name="Prosent 2 2 2 4 6 2 4" xfId="13222" xr:uid="{00000000-0005-0000-0000-0000F5950000}"/>
    <cellStyle name="Prosent 2 2 2 4 6 2_Avviksanalyse løpende RNB15 (1)" xfId="16933" xr:uid="{00000000-0005-0000-0000-0000F6950000}"/>
    <cellStyle name="Prosent 2 2 2 4 6 3" xfId="18358" xr:uid="{00000000-0005-0000-0000-0000F7950000}"/>
    <cellStyle name="Prosent 2 2 2 4 6 4" xfId="15308" xr:uid="{00000000-0005-0000-0000-0000F8950000}"/>
    <cellStyle name="Prosent 2 2 2 4 6 4 2" xfId="26427" xr:uid="{00000000-0005-0000-0000-0000F9950000}"/>
    <cellStyle name="Prosent 2 2 2 4 6 4 2 2" xfId="41864" xr:uid="{00000000-0005-0000-0000-0000FA950000}"/>
    <cellStyle name="Prosent 2 2 2 4 6 4 3" xfId="45002" xr:uid="{00000000-0005-0000-0000-0000FB950000}"/>
    <cellStyle name="Prosent 2 2 2 4 6 5" xfId="13221" xr:uid="{00000000-0005-0000-0000-0000FC950000}"/>
    <cellStyle name="Prosent 2 2 2 4 6_Avviksanalyse løpende RNB15 (1)" xfId="16932" xr:uid="{00000000-0005-0000-0000-0000FD950000}"/>
    <cellStyle name="Prosent 2 2 2 4 7" xfId="2555" xr:uid="{00000000-0005-0000-0000-0000FE950000}"/>
    <cellStyle name="Prosent 2 2 2 4 7 10" xfId="13223" xr:uid="{00000000-0005-0000-0000-0000FF950000}"/>
    <cellStyle name="Prosent 2 2 2 4 7 2" xfId="2556" xr:uid="{00000000-0005-0000-0000-000000960000}"/>
    <cellStyle name="Prosent 2 2 2 4 7 2 2" xfId="18361" xr:uid="{00000000-0005-0000-0000-000001960000}"/>
    <cellStyle name="Prosent 2 2 2 4 7 2 3" xfId="15311" xr:uid="{00000000-0005-0000-0000-000002960000}"/>
    <cellStyle name="Prosent 2 2 2 4 7 2 3 2" xfId="26428" xr:uid="{00000000-0005-0000-0000-000003960000}"/>
    <cellStyle name="Prosent 2 2 2 4 7 2 3 2 2" xfId="41867" xr:uid="{00000000-0005-0000-0000-000004960000}"/>
    <cellStyle name="Prosent 2 2 2 4 7 2 3 3" xfId="45003" xr:uid="{00000000-0005-0000-0000-000005960000}"/>
    <cellStyle name="Prosent 2 2 2 4 7 2 4" xfId="13224" xr:uid="{00000000-0005-0000-0000-000006960000}"/>
    <cellStyle name="Prosent 2 2 2 4 7 2_Avviksanalyse løpende RNB15 (1)" xfId="16935" xr:uid="{00000000-0005-0000-0000-000007960000}"/>
    <cellStyle name="Prosent 2 2 2 4 7 3" xfId="2557" xr:uid="{00000000-0005-0000-0000-000008960000}"/>
    <cellStyle name="Prosent 2 2 2 4 7 3 2" xfId="18362" xr:uid="{00000000-0005-0000-0000-000009960000}"/>
    <cellStyle name="Prosent 2 2 2 4 7 3 3" xfId="15312" xr:uid="{00000000-0005-0000-0000-00000A960000}"/>
    <cellStyle name="Prosent 2 2 2 4 7 3 3 2" xfId="26429" xr:uid="{00000000-0005-0000-0000-00000B960000}"/>
    <cellStyle name="Prosent 2 2 2 4 7 3 3 2 2" xfId="41868" xr:uid="{00000000-0005-0000-0000-00000C960000}"/>
    <cellStyle name="Prosent 2 2 2 4 7 3 3 3" xfId="45004" xr:uid="{00000000-0005-0000-0000-00000D960000}"/>
    <cellStyle name="Prosent 2 2 2 4 7 3 4" xfId="13225" xr:uid="{00000000-0005-0000-0000-00000E960000}"/>
    <cellStyle name="Prosent 2 2 2 4 7 3_Avviksanalyse løpende RNB15 (1)" xfId="16936" xr:uid="{00000000-0005-0000-0000-00000F960000}"/>
    <cellStyle name="Prosent 2 2 2 4 7 4" xfId="2558" xr:uid="{00000000-0005-0000-0000-000010960000}"/>
    <cellStyle name="Prosent 2 2 2 4 7 4 2" xfId="2559" xr:uid="{00000000-0005-0000-0000-000011960000}"/>
    <cellStyle name="Prosent 2 2 2 4 7 4 2 2" xfId="18364" xr:uid="{00000000-0005-0000-0000-000012960000}"/>
    <cellStyle name="Prosent 2 2 2 4 7 4 2 3" xfId="15314" xr:uid="{00000000-0005-0000-0000-000013960000}"/>
    <cellStyle name="Prosent 2 2 2 4 7 4 2 3 2" xfId="26430" xr:uid="{00000000-0005-0000-0000-000014960000}"/>
    <cellStyle name="Prosent 2 2 2 4 7 4 2 3 2 2" xfId="41870" xr:uid="{00000000-0005-0000-0000-000015960000}"/>
    <cellStyle name="Prosent 2 2 2 4 7 4 2 3 3" xfId="45005" xr:uid="{00000000-0005-0000-0000-000016960000}"/>
    <cellStyle name="Prosent 2 2 2 4 7 4 2 4" xfId="13227" xr:uid="{00000000-0005-0000-0000-000017960000}"/>
    <cellStyle name="Prosent 2 2 2 4 7 4 2_Avviksanalyse løpende RNB15 (1)" xfId="16938" xr:uid="{00000000-0005-0000-0000-000018960000}"/>
    <cellStyle name="Prosent 2 2 2 4 7 4 3" xfId="2560" xr:uid="{00000000-0005-0000-0000-000019960000}"/>
    <cellStyle name="Prosent 2 2 2 4 7 4 3 2" xfId="2561" xr:uid="{00000000-0005-0000-0000-00001A960000}"/>
    <cellStyle name="Prosent 2 2 2 4 7 4 3 2 2" xfId="18366" xr:uid="{00000000-0005-0000-0000-00001B960000}"/>
    <cellStyle name="Prosent 2 2 2 4 7 4 3 2 3" xfId="15316" xr:uid="{00000000-0005-0000-0000-00001C960000}"/>
    <cellStyle name="Prosent 2 2 2 4 7 4 3 2 3 2" xfId="26431" xr:uid="{00000000-0005-0000-0000-00001D960000}"/>
    <cellStyle name="Prosent 2 2 2 4 7 4 3 2 3 2 2" xfId="41872" xr:uid="{00000000-0005-0000-0000-00001E960000}"/>
    <cellStyle name="Prosent 2 2 2 4 7 4 3 2 3 3" xfId="45006" xr:uid="{00000000-0005-0000-0000-00001F960000}"/>
    <cellStyle name="Prosent 2 2 2 4 7 4 3 2 4" xfId="13229" xr:uid="{00000000-0005-0000-0000-000020960000}"/>
    <cellStyle name="Prosent 2 2 2 4 7 4 3 2_Avviksanalyse løpende RNB15 (1)" xfId="16940" xr:uid="{00000000-0005-0000-0000-000021960000}"/>
    <cellStyle name="Prosent 2 2 2 4 7 4 3 3" xfId="18365" xr:uid="{00000000-0005-0000-0000-000022960000}"/>
    <cellStyle name="Prosent 2 2 2 4 7 4 3 4" xfId="15315" xr:uid="{00000000-0005-0000-0000-000023960000}"/>
    <cellStyle name="Prosent 2 2 2 4 7 4 3 4 2" xfId="26432" xr:uid="{00000000-0005-0000-0000-000024960000}"/>
    <cellStyle name="Prosent 2 2 2 4 7 4 3 4 2 2" xfId="41871" xr:uid="{00000000-0005-0000-0000-000025960000}"/>
    <cellStyle name="Prosent 2 2 2 4 7 4 3 4 3" xfId="45007" xr:uid="{00000000-0005-0000-0000-000026960000}"/>
    <cellStyle name="Prosent 2 2 2 4 7 4 3 5" xfId="13228" xr:uid="{00000000-0005-0000-0000-000027960000}"/>
    <cellStyle name="Prosent 2 2 2 4 7 4 3_Avviksanalyse løpende RNB15 (1)" xfId="16939" xr:uid="{00000000-0005-0000-0000-000028960000}"/>
    <cellStyle name="Prosent 2 2 2 4 7 4 4" xfId="2562" xr:uid="{00000000-0005-0000-0000-000029960000}"/>
    <cellStyle name="Prosent 2 2 2 4 7 4 4 2" xfId="2563" xr:uid="{00000000-0005-0000-0000-00002A960000}"/>
    <cellStyle name="Prosent 2 2 2 4 7 4 4 2 2" xfId="18368" xr:uid="{00000000-0005-0000-0000-00002B960000}"/>
    <cellStyle name="Prosent 2 2 2 4 7 4 4 2 3" xfId="15318" xr:uid="{00000000-0005-0000-0000-00002C960000}"/>
    <cellStyle name="Prosent 2 2 2 4 7 4 4 2 3 2" xfId="26433" xr:uid="{00000000-0005-0000-0000-00002D960000}"/>
    <cellStyle name="Prosent 2 2 2 4 7 4 4 2 3 2 2" xfId="41874" xr:uid="{00000000-0005-0000-0000-00002E960000}"/>
    <cellStyle name="Prosent 2 2 2 4 7 4 4 2 3 3" xfId="45008" xr:uid="{00000000-0005-0000-0000-00002F960000}"/>
    <cellStyle name="Prosent 2 2 2 4 7 4 4 2 4" xfId="13231" xr:uid="{00000000-0005-0000-0000-000030960000}"/>
    <cellStyle name="Prosent 2 2 2 4 7 4 4 2_Avviksanalyse løpende RNB15 (1)" xfId="16942" xr:uid="{00000000-0005-0000-0000-000031960000}"/>
    <cellStyle name="Prosent 2 2 2 4 7 4 4 3" xfId="18367" xr:uid="{00000000-0005-0000-0000-000032960000}"/>
    <cellStyle name="Prosent 2 2 2 4 7 4 4 4" xfId="15317" xr:uid="{00000000-0005-0000-0000-000033960000}"/>
    <cellStyle name="Prosent 2 2 2 4 7 4 4 4 2" xfId="26434" xr:uid="{00000000-0005-0000-0000-000034960000}"/>
    <cellStyle name="Prosent 2 2 2 4 7 4 4 4 2 2" xfId="41873" xr:uid="{00000000-0005-0000-0000-000035960000}"/>
    <cellStyle name="Prosent 2 2 2 4 7 4 4 4 3" xfId="45009" xr:uid="{00000000-0005-0000-0000-000036960000}"/>
    <cellStyle name="Prosent 2 2 2 4 7 4 4 5" xfId="13230" xr:uid="{00000000-0005-0000-0000-000037960000}"/>
    <cellStyle name="Prosent 2 2 2 4 7 4 4_Avviksanalyse løpende RNB15 (1)" xfId="16941" xr:uid="{00000000-0005-0000-0000-000038960000}"/>
    <cellStyle name="Prosent 2 2 2 4 7 4 5" xfId="18363" xr:uid="{00000000-0005-0000-0000-000039960000}"/>
    <cellStyle name="Prosent 2 2 2 4 7 4 6" xfId="15313" xr:uid="{00000000-0005-0000-0000-00003A960000}"/>
    <cellStyle name="Prosent 2 2 2 4 7 4 6 2" xfId="26435" xr:uid="{00000000-0005-0000-0000-00003B960000}"/>
    <cellStyle name="Prosent 2 2 2 4 7 4 6 2 2" xfId="41869" xr:uid="{00000000-0005-0000-0000-00003C960000}"/>
    <cellStyle name="Prosent 2 2 2 4 7 4 6 3" xfId="45010" xr:uid="{00000000-0005-0000-0000-00003D960000}"/>
    <cellStyle name="Prosent 2 2 2 4 7 4 7" xfId="13226" xr:uid="{00000000-0005-0000-0000-00003E960000}"/>
    <cellStyle name="Prosent 2 2 2 4 7 4_Avviksanalyse løpende RNB15 (1)" xfId="16937" xr:uid="{00000000-0005-0000-0000-00003F960000}"/>
    <cellStyle name="Prosent 2 2 2 4 7 5" xfId="2564" xr:uid="{00000000-0005-0000-0000-000040960000}"/>
    <cellStyle name="Prosent 2 2 2 4 7 5 2" xfId="2565" xr:uid="{00000000-0005-0000-0000-000041960000}"/>
    <cellStyle name="Prosent 2 2 2 4 7 5 2 2" xfId="18370" xr:uid="{00000000-0005-0000-0000-000042960000}"/>
    <cellStyle name="Prosent 2 2 2 4 7 5 2 3" xfId="15320" xr:uid="{00000000-0005-0000-0000-000043960000}"/>
    <cellStyle name="Prosent 2 2 2 4 7 5 2 3 2" xfId="26436" xr:uid="{00000000-0005-0000-0000-000044960000}"/>
    <cellStyle name="Prosent 2 2 2 4 7 5 2 3 2 2" xfId="41876" xr:uid="{00000000-0005-0000-0000-000045960000}"/>
    <cellStyle name="Prosent 2 2 2 4 7 5 2 3 3" xfId="45011" xr:uid="{00000000-0005-0000-0000-000046960000}"/>
    <cellStyle name="Prosent 2 2 2 4 7 5 2 4" xfId="13233" xr:uid="{00000000-0005-0000-0000-000047960000}"/>
    <cellStyle name="Prosent 2 2 2 4 7 5 2_Avviksanalyse løpende RNB15 (1)" xfId="16944" xr:uid="{00000000-0005-0000-0000-000048960000}"/>
    <cellStyle name="Prosent 2 2 2 4 7 5 3" xfId="2566" xr:uid="{00000000-0005-0000-0000-000049960000}"/>
    <cellStyle name="Prosent 2 2 2 4 7 5 3 2" xfId="2567" xr:uid="{00000000-0005-0000-0000-00004A960000}"/>
    <cellStyle name="Prosent 2 2 2 4 7 5 3 2 2" xfId="18372" xr:uid="{00000000-0005-0000-0000-00004B960000}"/>
    <cellStyle name="Prosent 2 2 2 4 7 5 3 2 3" xfId="15322" xr:uid="{00000000-0005-0000-0000-00004C960000}"/>
    <cellStyle name="Prosent 2 2 2 4 7 5 3 2 3 2" xfId="26437" xr:uid="{00000000-0005-0000-0000-00004D960000}"/>
    <cellStyle name="Prosent 2 2 2 4 7 5 3 2 3 2 2" xfId="41878" xr:uid="{00000000-0005-0000-0000-00004E960000}"/>
    <cellStyle name="Prosent 2 2 2 4 7 5 3 2 3 3" xfId="45012" xr:uid="{00000000-0005-0000-0000-00004F960000}"/>
    <cellStyle name="Prosent 2 2 2 4 7 5 3 2 4" xfId="13235" xr:uid="{00000000-0005-0000-0000-000050960000}"/>
    <cellStyle name="Prosent 2 2 2 4 7 5 3 2_Avviksanalyse løpende RNB15 (1)" xfId="16946" xr:uid="{00000000-0005-0000-0000-000051960000}"/>
    <cellStyle name="Prosent 2 2 2 4 7 5 3 3" xfId="18371" xr:uid="{00000000-0005-0000-0000-000052960000}"/>
    <cellStyle name="Prosent 2 2 2 4 7 5 3 4" xfId="15321" xr:uid="{00000000-0005-0000-0000-000053960000}"/>
    <cellStyle name="Prosent 2 2 2 4 7 5 3 4 2" xfId="26438" xr:uid="{00000000-0005-0000-0000-000054960000}"/>
    <cellStyle name="Prosent 2 2 2 4 7 5 3 4 2 2" xfId="41877" xr:uid="{00000000-0005-0000-0000-000055960000}"/>
    <cellStyle name="Prosent 2 2 2 4 7 5 3 4 3" xfId="45013" xr:uid="{00000000-0005-0000-0000-000056960000}"/>
    <cellStyle name="Prosent 2 2 2 4 7 5 3 5" xfId="13234" xr:uid="{00000000-0005-0000-0000-000057960000}"/>
    <cellStyle name="Prosent 2 2 2 4 7 5 3_Avviksanalyse løpende RNB15 (1)" xfId="16945" xr:uid="{00000000-0005-0000-0000-000058960000}"/>
    <cellStyle name="Prosent 2 2 2 4 7 5 4" xfId="2568" xr:uid="{00000000-0005-0000-0000-000059960000}"/>
    <cellStyle name="Prosent 2 2 2 4 7 5 4 2" xfId="2569" xr:uid="{00000000-0005-0000-0000-00005A960000}"/>
    <cellStyle name="Prosent 2 2 2 4 7 5 4 2 2" xfId="18374" xr:uid="{00000000-0005-0000-0000-00005B960000}"/>
    <cellStyle name="Prosent 2 2 2 4 7 5 4 2 3" xfId="15324" xr:uid="{00000000-0005-0000-0000-00005C960000}"/>
    <cellStyle name="Prosent 2 2 2 4 7 5 4 2 3 2" xfId="26439" xr:uid="{00000000-0005-0000-0000-00005D960000}"/>
    <cellStyle name="Prosent 2 2 2 4 7 5 4 2 3 2 2" xfId="41880" xr:uid="{00000000-0005-0000-0000-00005E960000}"/>
    <cellStyle name="Prosent 2 2 2 4 7 5 4 2 3 3" xfId="45014" xr:uid="{00000000-0005-0000-0000-00005F960000}"/>
    <cellStyle name="Prosent 2 2 2 4 7 5 4 2 4" xfId="13237" xr:uid="{00000000-0005-0000-0000-000060960000}"/>
    <cellStyle name="Prosent 2 2 2 4 7 5 4 2_Avviksanalyse løpende RNB15 (1)" xfId="16948" xr:uid="{00000000-0005-0000-0000-000061960000}"/>
    <cellStyle name="Prosent 2 2 2 4 7 5 4 3" xfId="18373" xr:uid="{00000000-0005-0000-0000-000062960000}"/>
    <cellStyle name="Prosent 2 2 2 4 7 5 4 4" xfId="15323" xr:uid="{00000000-0005-0000-0000-000063960000}"/>
    <cellStyle name="Prosent 2 2 2 4 7 5 4 4 2" xfId="26440" xr:uid="{00000000-0005-0000-0000-000064960000}"/>
    <cellStyle name="Prosent 2 2 2 4 7 5 4 4 2 2" xfId="41879" xr:uid="{00000000-0005-0000-0000-000065960000}"/>
    <cellStyle name="Prosent 2 2 2 4 7 5 4 4 3" xfId="45015" xr:uid="{00000000-0005-0000-0000-000066960000}"/>
    <cellStyle name="Prosent 2 2 2 4 7 5 4 5" xfId="13236" xr:uid="{00000000-0005-0000-0000-000067960000}"/>
    <cellStyle name="Prosent 2 2 2 4 7 5 4_Avviksanalyse løpende RNB15 (1)" xfId="16947" xr:uid="{00000000-0005-0000-0000-000068960000}"/>
    <cellStyle name="Prosent 2 2 2 4 7 5 5" xfId="18369" xr:uid="{00000000-0005-0000-0000-000069960000}"/>
    <cellStyle name="Prosent 2 2 2 4 7 5 6" xfId="15319" xr:uid="{00000000-0005-0000-0000-00006A960000}"/>
    <cellStyle name="Prosent 2 2 2 4 7 5 6 2" xfId="26441" xr:uid="{00000000-0005-0000-0000-00006B960000}"/>
    <cellStyle name="Prosent 2 2 2 4 7 5 6 2 2" xfId="41875" xr:uid="{00000000-0005-0000-0000-00006C960000}"/>
    <cellStyle name="Prosent 2 2 2 4 7 5 6 3" xfId="45016" xr:uid="{00000000-0005-0000-0000-00006D960000}"/>
    <cellStyle name="Prosent 2 2 2 4 7 5 7" xfId="13232" xr:uid="{00000000-0005-0000-0000-00006E960000}"/>
    <cellStyle name="Prosent 2 2 2 4 7 5_Avviksanalyse løpende RNB15 (1)" xfId="16943" xr:uid="{00000000-0005-0000-0000-00006F960000}"/>
    <cellStyle name="Prosent 2 2 2 4 7 6" xfId="2570" xr:uid="{00000000-0005-0000-0000-000070960000}"/>
    <cellStyle name="Prosent 2 2 2 4 7 6 2" xfId="2571" xr:uid="{00000000-0005-0000-0000-000071960000}"/>
    <cellStyle name="Prosent 2 2 2 4 7 6 2 2" xfId="18376" xr:uid="{00000000-0005-0000-0000-000072960000}"/>
    <cellStyle name="Prosent 2 2 2 4 7 6 2 3" xfId="15326" xr:uid="{00000000-0005-0000-0000-000073960000}"/>
    <cellStyle name="Prosent 2 2 2 4 7 6 2 3 2" xfId="26442" xr:uid="{00000000-0005-0000-0000-000074960000}"/>
    <cellStyle name="Prosent 2 2 2 4 7 6 2 3 2 2" xfId="41882" xr:uid="{00000000-0005-0000-0000-000075960000}"/>
    <cellStyle name="Prosent 2 2 2 4 7 6 2 3 3" xfId="45017" xr:uid="{00000000-0005-0000-0000-000076960000}"/>
    <cellStyle name="Prosent 2 2 2 4 7 6 2 4" xfId="13239" xr:uid="{00000000-0005-0000-0000-000077960000}"/>
    <cellStyle name="Prosent 2 2 2 4 7 6 2_Avviksanalyse løpende RNB15 (1)" xfId="16950" xr:uid="{00000000-0005-0000-0000-000078960000}"/>
    <cellStyle name="Prosent 2 2 2 4 7 6 3" xfId="18375" xr:uid="{00000000-0005-0000-0000-000079960000}"/>
    <cellStyle name="Prosent 2 2 2 4 7 6 4" xfId="15325" xr:uid="{00000000-0005-0000-0000-00007A960000}"/>
    <cellStyle name="Prosent 2 2 2 4 7 6 4 2" xfId="26443" xr:uid="{00000000-0005-0000-0000-00007B960000}"/>
    <cellStyle name="Prosent 2 2 2 4 7 6 4 2 2" xfId="41881" xr:uid="{00000000-0005-0000-0000-00007C960000}"/>
    <cellStyle name="Prosent 2 2 2 4 7 6 4 3" xfId="45018" xr:uid="{00000000-0005-0000-0000-00007D960000}"/>
    <cellStyle name="Prosent 2 2 2 4 7 6 5" xfId="13238" xr:uid="{00000000-0005-0000-0000-00007E960000}"/>
    <cellStyle name="Prosent 2 2 2 4 7 6_Avviksanalyse løpende RNB15 (1)" xfId="16949" xr:uid="{00000000-0005-0000-0000-00007F960000}"/>
    <cellStyle name="Prosent 2 2 2 4 7 7" xfId="2572" xr:uid="{00000000-0005-0000-0000-000080960000}"/>
    <cellStyle name="Prosent 2 2 2 4 7 7 2" xfId="2573" xr:uid="{00000000-0005-0000-0000-000081960000}"/>
    <cellStyle name="Prosent 2 2 2 4 7 7 2 2" xfId="18378" xr:uid="{00000000-0005-0000-0000-000082960000}"/>
    <cellStyle name="Prosent 2 2 2 4 7 7 2 3" xfId="15328" xr:uid="{00000000-0005-0000-0000-000083960000}"/>
    <cellStyle name="Prosent 2 2 2 4 7 7 2 3 2" xfId="26444" xr:uid="{00000000-0005-0000-0000-000084960000}"/>
    <cellStyle name="Prosent 2 2 2 4 7 7 2 3 2 2" xfId="41884" xr:uid="{00000000-0005-0000-0000-000085960000}"/>
    <cellStyle name="Prosent 2 2 2 4 7 7 2 3 3" xfId="45019" xr:uid="{00000000-0005-0000-0000-000086960000}"/>
    <cellStyle name="Prosent 2 2 2 4 7 7 2 4" xfId="13241" xr:uid="{00000000-0005-0000-0000-000087960000}"/>
    <cellStyle name="Prosent 2 2 2 4 7 7 2_Avviksanalyse løpende RNB15 (1)" xfId="16952" xr:uid="{00000000-0005-0000-0000-000088960000}"/>
    <cellStyle name="Prosent 2 2 2 4 7 7 3" xfId="18377" xr:uid="{00000000-0005-0000-0000-000089960000}"/>
    <cellStyle name="Prosent 2 2 2 4 7 7 4" xfId="15327" xr:uid="{00000000-0005-0000-0000-00008A960000}"/>
    <cellStyle name="Prosent 2 2 2 4 7 7 4 2" xfId="26445" xr:uid="{00000000-0005-0000-0000-00008B960000}"/>
    <cellStyle name="Prosent 2 2 2 4 7 7 4 2 2" xfId="41883" xr:uid="{00000000-0005-0000-0000-00008C960000}"/>
    <cellStyle name="Prosent 2 2 2 4 7 7 4 3" xfId="45020" xr:uid="{00000000-0005-0000-0000-00008D960000}"/>
    <cellStyle name="Prosent 2 2 2 4 7 7 5" xfId="13240" xr:uid="{00000000-0005-0000-0000-00008E960000}"/>
    <cellStyle name="Prosent 2 2 2 4 7 7_Avviksanalyse løpende RNB15 (1)" xfId="16951" xr:uid="{00000000-0005-0000-0000-00008F960000}"/>
    <cellStyle name="Prosent 2 2 2 4 7 8" xfId="18360" xr:uid="{00000000-0005-0000-0000-000090960000}"/>
    <cellStyle name="Prosent 2 2 2 4 7 9" xfId="15310" xr:uid="{00000000-0005-0000-0000-000091960000}"/>
    <cellStyle name="Prosent 2 2 2 4 7 9 2" xfId="26446" xr:uid="{00000000-0005-0000-0000-000092960000}"/>
    <cellStyle name="Prosent 2 2 2 4 7 9 2 2" xfId="41866" xr:uid="{00000000-0005-0000-0000-000093960000}"/>
    <cellStyle name="Prosent 2 2 2 4 7 9 3" xfId="45021" xr:uid="{00000000-0005-0000-0000-000094960000}"/>
    <cellStyle name="Prosent 2 2 2 4 7_Avviksanalyse løpende RNB15 (1)" xfId="16934" xr:uid="{00000000-0005-0000-0000-000095960000}"/>
    <cellStyle name="Prosent 2 2 2 4 8" xfId="2574" xr:uid="{00000000-0005-0000-0000-000096960000}"/>
    <cellStyle name="Prosent 2 2 2 4 8 2" xfId="2575" xr:uid="{00000000-0005-0000-0000-000097960000}"/>
    <cellStyle name="Prosent 2 2 2 4 8 2 2" xfId="2576" xr:uid="{00000000-0005-0000-0000-000098960000}"/>
    <cellStyle name="Prosent 2 2 2 4 8 2 2 2" xfId="18381" xr:uid="{00000000-0005-0000-0000-000099960000}"/>
    <cellStyle name="Prosent 2 2 2 4 8 2 2 3" xfId="15331" xr:uid="{00000000-0005-0000-0000-00009A960000}"/>
    <cellStyle name="Prosent 2 2 2 4 8 2 2 3 2" xfId="26447" xr:uid="{00000000-0005-0000-0000-00009B960000}"/>
    <cellStyle name="Prosent 2 2 2 4 8 2 2 3 2 2" xfId="41887" xr:uid="{00000000-0005-0000-0000-00009C960000}"/>
    <cellStyle name="Prosent 2 2 2 4 8 2 2 3 3" xfId="45022" xr:uid="{00000000-0005-0000-0000-00009D960000}"/>
    <cellStyle name="Prosent 2 2 2 4 8 2 2 4" xfId="13244" xr:uid="{00000000-0005-0000-0000-00009E960000}"/>
    <cellStyle name="Prosent 2 2 2 4 8 2 2_Avviksanalyse løpende RNB15 (1)" xfId="16955" xr:uid="{00000000-0005-0000-0000-00009F960000}"/>
    <cellStyle name="Prosent 2 2 2 4 8 2 3" xfId="2577" xr:uid="{00000000-0005-0000-0000-0000A0960000}"/>
    <cellStyle name="Prosent 2 2 2 4 8 2 3 2" xfId="2578" xr:uid="{00000000-0005-0000-0000-0000A1960000}"/>
    <cellStyle name="Prosent 2 2 2 4 8 2 3 2 2" xfId="18383" xr:uid="{00000000-0005-0000-0000-0000A2960000}"/>
    <cellStyle name="Prosent 2 2 2 4 8 2 3 2 3" xfId="15333" xr:uid="{00000000-0005-0000-0000-0000A3960000}"/>
    <cellStyle name="Prosent 2 2 2 4 8 2 3 2 3 2" xfId="26448" xr:uid="{00000000-0005-0000-0000-0000A4960000}"/>
    <cellStyle name="Prosent 2 2 2 4 8 2 3 2 3 2 2" xfId="41889" xr:uid="{00000000-0005-0000-0000-0000A5960000}"/>
    <cellStyle name="Prosent 2 2 2 4 8 2 3 2 3 3" xfId="45023" xr:uid="{00000000-0005-0000-0000-0000A6960000}"/>
    <cellStyle name="Prosent 2 2 2 4 8 2 3 2 4" xfId="13246" xr:uid="{00000000-0005-0000-0000-0000A7960000}"/>
    <cellStyle name="Prosent 2 2 2 4 8 2 3 2_Avviksanalyse løpende RNB15 (1)" xfId="16957" xr:uid="{00000000-0005-0000-0000-0000A8960000}"/>
    <cellStyle name="Prosent 2 2 2 4 8 2 3 3" xfId="18382" xr:uid="{00000000-0005-0000-0000-0000A9960000}"/>
    <cellStyle name="Prosent 2 2 2 4 8 2 3 4" xfId="15332" xr:uid="{00000000-0005-0000-0000-0000AA960000}"/>
    <cellStyle name="Prosent 2 2 2 4 8 2 3 4 2" xfId="26449" xr:uid="{00000000-0005-0000-0000-0000AB960000}"/>
    <cellStyle name="Prosent 2 2 2 4 8 2 3 4 2 2" xfId="41888" xr:uid="{00000000-0005-0000-0000-0000AC960000}"/>
    <cellStyle name="Prosent 2 2 2 4 8 2 3 4 3" xfId="45024" xr:uid="{00000000-0005-0000-0000-0000AD960000}"/>
    <cellStyle name="Prosent 2 2 2 4 8 2 3 5" xfId="13245" xr:uid="{00000000-0005-0000-0000-0000AE960000}"/>
    <cellStyle name="Prosent 2 2 2 4 8 2 3_Avviksanalyse løpende RNB15 (1)" xfId="16956" xr:uid="{00000000-0005-0000-0000-0000AF960000}"/>
    <cellStyle name="Prosent 2 2 2 4 8 2 4" xfId="2579" xr:uid="{00000000-0005-0000-0000-0000B0960000}"/>
    <cellStyle name="Prosent 2 2 2 4 8 2 4 2" xfId="2580" xr:uid="{00000000-0005-0000-0000-0000B1960000}"/>
    <cellStyle name="Prosent 2 2 2 4 8 2 4 2 2" xfId="18385" xr:uid="{00000000-0005-0000-0000-0000B2960000}"/>
    <cellStyle name="Prosent 2 2 2 4 8 2 4 2 3" xfId="15335" xr:uid="{00000000-0005-0000-0000-0000B3960000}"/>
    <cellStyle name="Prosent 2 2 2 4 8 2 4 2 3 2" xfId="26450" xr:uid="{00000000-0005-0000-0000-0000B4960000}"/>
    <cellStyle name="Prosent 2 2 2 4 8 2 4 2 3 2 2" xfId="41891" xr:uid="{00000000-0005-0000-0000-0000B5960000}"/>
    <cellStyle name="Prosent 2 2 2 4 8 2 4 2 3 3" xfId="45025" xr:uid="{00000000-0005-0000-0000-0000B6960000}"/>
    <cellStyle name="Prosent 2 2 2 4 8 2 4 2 4" xfId="13248" xr:uid="{00000000-0005-0000-0000-0000B7960000}"/>
    <cellStyle name="Prosent 2 2 2 4 8 2 4 2_Avviksanalyse løpende RNB15 (1)" xfId="16959" xr:uid="{00000000-0005-0000-0000-0000B8960000}"/>
    <cellStyle name="Prosent 2 2 2 4 8 2 4 3" xfId="18384" xr:uid="{00000000-0005-0000-0000-0000B9960000}"/>
    <cellStyle name="Prosent 2 2 2 4 8 2 4 4" xfId="15334" xr:uid="{00000000-0005-0000-0000-0000BA960000}"/>
    <cellStyle name="Prosent 2 2 2 4 8 2 4 4 2" xfId="26451" xr:uid="{00000000-0005-0000-0000-0000BB960000}"/>
    <cellStyle name="Prosent 2 2 2 4 8 2 4 4 2 2" xfId="41890" xr:uid="{00000000-0005-0000-0000-0000BC960000}"/>
    <cellStyle name="Prosent 2 2 2 4 8 2 4 4 3" xfId="45026" xr:uid="{00000000-0005-0000-0000-0000BD960000}"/>
    <cellStyle name="Prosent 2 2 2 4 8 2 4 5" xfId="13247" xr:uid="{00000000-0005-0000-0000-0000BE960000}"/>
    <cellStyle name="Prosent 2 2 2 4 8 2 4_Avviksanalyse løpende RNB15 (1)" xfId="16958" xr:uid="{00000000-0005-0000-0000-0000BF960000}"/>
    <cellStyle name="Prosent 2 2 2 4 8 2 5" xfId="18380" xr:uid="{00000000-0005-0000-0000-0000C0960000}"/>
    <cellStyle name="Prosent 2 2 2 4 8 2 6" xfId="15330" xr:uid="{00000000-0005-0000-0000-0000C1960000}"/>
    <cellStyle name="Prosent 2 2 2 4 8 2 6 2" xfId="26452" xr:uid="{00000000-0005-0000-0000-0000C2960000}"/>
    <cellStyle name="Prosent 2 2 2 4 8 2 6 2 2" xfId="41886" xr:uid="{00000000-0005-0000-0000-0000C3960000}"/>
    <cellStyle name="Prosent 2 2 2 4 8 2 6 3" xfId="45027" xr:uid="{00000000-0005-0000-0000-0000C4960000}"/>
    <cellStyle name="Prosent 2 2 2 4 8 2 7" xfId="13243" xr:uid="{00000000-0005-0000-0000-0000C5960000}"/>
    <cellStyle name="Prosent 2 2 2 4 8 2_Avviksanalyse løpende RNB15 (1)" xfId="16954" xr:uid="{00000000-0005-0000-0000-0000C6960000}"/>
    <cellStyle name="Prosent 2 2 2 4 8 3" xfId="2581" xr:uid="{00000000-0005-0000-0000-0000C7960000}"/>
    <cellStyle name="Prosent 2 2 2 4 8 3 2" xfId="18386" xr:uid="{00000000-0005-0000-0000-0000C8960000}"/>
    <cellStyle name="Prosent 2 2 2 4 8 3 3" xfId="15336" xr:uid="{00000000-0005-0000-0000-0000C9960000}"/>
    <cellStyle name="Prosent 2 2 2 4 8 3 3 2" xfId="26453" xr:uid="{00000000-0005-0000-0000-0000CA960000}"/>
    <cellStyle name="Prosent 2 2 2 4 8 3 3 2 2" xfId="41892" xr:uid="{00000000-0005-0000-0000-0000CB960000}"/>
    <cellStyle name="Prosent 2 2 2 4 8 3 3 3" xfId="45028" xr:uid="{00000000-0005-0000-0000-0000CC960000}"/>
    <cellStyle name="Prosent 2 2 2 4 8 3 4" xfId="13249" xr:uid="{00000000-0005-0000-0000-0000CD960000}"/>
    <cellStyle name="Prosent 2 2 2 4 8 3_Avviksanalyse løpende RNB15 (1)" xfId="16960" xr:uid="{00000000-0005-0000-0000-0000CE960000}"/>
    <cellStyle name="Prosent 2 2 2 4 8 4" xfId="2582" xr:uid="{00000000-0005-0000-0000-0000CF960000}"/>
    <cellStyle name="Prosent 2 2 2 4 8 4 2" xfId="2583" xr:uid="{00000000-0005-0000-0000-0000D0960000}"/>
    <cellStyle name="Prosent 2 2 2 4 8 4 2 2" xfId="18388" xr:uid="{00000000-0005-0000-0000-0000D1960000}"/>
    <cellStyle name="Prosent 2 2 2 4 8 4 2 3" xfId="15338" xr:uid="{00000000-0005-0000-0000-0000D2960000}"/>
    <cellStyle name="Prosent 2 2 2 4 8 4 2 3 2" xfId="26454" xr:uid="{00000000-0005-0000-0000-0000D3960000}"/>
    <cellStyle name="Prosent 2 2 2 4 8 4 2 3 2 2" xfId="41894" xr:uid="{00000000-0005-0000-0000-0000D4960000}"/>
    <cellStyle name="Prosent 2 2 2 4 8 4 2 3 3" xfId="45029" xr:uid="{00000000-0005-0000-0000-0000D5960000}"/>
    <cellStyle name="Prosent 2 2 2 4 8 4 2 4" xfId="13251" xr:uid="{00000000-0005-0000-0000-0000D6960000}"/>
    <cellStyle name="Prosent 2 2 2 4 8 4 2_Avviksanalyse løpende RNB15 (1)" xfId="16962" xr:uid="{00000000-0005-0000-0000-0000D7960000}"/>
    <cellStyle name="Prosent 2 2 2 4 8 4 3" xfId="18387" xr:uid="{00000000-0005-0000-0000-0000D8960000}"/>
    <cellStyle name="Prosent 2 2 2 4 8 4 4" xfId="15337" xr:uid="{00000000-0005-0000-0000-0000D9960000}"/>
    <cellStyle name="Prosent 2 2 2 4 8 4 4 2" xfId="26455" xr:uid="{00000000-0005-0000-0000-0000DA960000}"/>
    <cellStyle name="Prosent 2 2 2 4 8 4 4 2 2" xfId="41893" xr:uid="{00000000-0005-0000-0000-0000DB960000}"/>
    <cellStyle name="Prosent 2 2 2 4 8 4 4 3" xfId="45030" xr:uid="{00000000-0005-0000-0000-0000DC960000}"/>
    <cellStyle name="Prosent 2 2 2 4 8 4 5" xfId="13250" xr:uid="{00000000-0005-0000-0000-0000DD960000}"/>
    <cellStyle name="Prosent 2 2 2 4 8 4_Avviksanalyse løpende RNB15 (1)" xfId="16961" xr:uid="{00000000-0005-0000-0000-0000DE960000}"/>
    <cellStyle name="Prosent 2 2 2 4 8 5" xfId="2584" xr:uid="{00000000-0005-0000-0000-0000DF960000}"/>
    <cellStyle name="Prosent 2 2 2 4 8 5 2" xfId="2585" xr:uid="{00000000-0005-0000-0000-0000E0960000}"/>
    <cellStyle name="Prosent 2 2 2 4 8 5 2 2" xfId="18390" xr:uid="{00000000-0005-0000-0000-0000E1960000}"/>
    <cellStyle name="Prosent 2 2 2 4 8 5 2 3" xfId="15340" xr:uid="{00000000-0005-0000-0000-0000E2960000}"/>
    <cellStyle name="Prosent 2 2 2 4 8 5 2 3 2" xfId="26456" xr:uid="{00000000-0005-0000-0000-0000E3960000}"/>
    <cellStyle name="Prosent 2 2 2 4 8 5 2 3 2 2" xfId="41896" xr:uid="{00000000-0005-0000-0000-0000E4960000}"/>
    <cellStyle name="Prosent 2 2 2 4 8 5 2 3 3" xfId="45031" xr:uid="{00000000-0005-0000-0000-0000E5960000}"/>
    <cellStyle name="Prosent 2 2 2 4 8 5 2 4" xfId="13253" xr:uid="{00000000-0005-0000-0000-0000E6960000}"/>
    <cellStyle name="Prosent 2 2 2 4 8 5 2_Avviksanalyse løpende RNB15 (1)" xfId="16964" xr:uid="{00000000-0005-0000-0000-0000E7960000}"/>
    <cellStyle name="Prosent 2 2 2 4 8 5 3" xfId="18389" xr:uid="{00000000-0005-0000-0000-0000E8960000}"/>
    <cellStyle name="Prosent 2 2 2 4 8 5 4" xfId="15339" xr:uid="{00000000-0005-0000-0000-0000E9960000}"/>
    <cellStyle name="Prosent 2 2 2 4 8 5 4 2" xfId="26457" xr:uid="{00000000-0005-0000-0000-0000EA960000}"/>
    <cellStyle name="Prosent 2 2 2 4 8 5 4 2 2" xfId="41895" xr:uid="{00000000-0005-0000-0000-0000EB960000}"/>
    <cellStyle name="Prosent 2 2 2 4 8 5 4 3" xfId="45032" xr:uid="{00000000-0005-0000-0000-0000EC960000}"/>
    <cellStyle name="Prosent 2 2 2 4 8 5 5" xfId="13252" xr:uid="{00000000-0005-0000-0000-0000ED960000}"/>
    <cellStyle name="Prosent 2 2 2 4 8 5_Avviksanalyse løpende RNB15 (1)" xfId="16963" xr:uid="{00000000-0005-0000-0000-0000EE960000}"/>
    <cellStyle name="Prosent 2 2 2 4 8 6" xfId="18379" xr:uid="{00000000-0005-0000-0000-0000EF960000}"/>
    <cellStyle name="Prosent 2 2 2 4 8 7" xfId="15329" xr:uid="{00000000-0005-0000-0000-0000F0960000}"/>
    <cellStyle name="Prosent 2 2 2 4 8 7 2" xfId="26458" xr:uid="{00000000-0005-0000-0000-0000F1960000}"/>
    <cellStyle name="Prosent 2 2 2 4 8 7 2 2" xfId="41885" xr:uid="{00000000-0005-0000-0000-0000F2960000}"/>
    <cellStyle name="Prosent 2 2 2 4 8 7 3" xfId="45033" xr:uid="{00000000-0005-0000-0000-0000F3960000}"/>
    <cellStyle name="Prosent 2 2 2 4 8 8" xfId="13242" xr:uid="{00000000-0005-0000-0000-0000F4960000}"/>
    <cellStyle name="Prosent 2 2 2 4 8_Avviksanalyse løpende RNB15 (1)" xfId="16953" xr:uid="{00000000-0005-0000-0000-0000F5960000}"/>
    <cellStyle name="Prosent 2 2 2 4 9" xfId="2586" xr:uid="{00000000-0005-0000-0000-0000F6960000}"/>
    <cellStyle name="Prosent 2 2 2 4 9 2" xfId="2587" xr:uid="{00000000-0005-0000-0000-0000F7960000}"/>
    <cellStyle name="Prosent 2 2 2 4 9 2 2" xfId="18392" xr:uid="{00000000-0005-0000-0000-0000F8960000}"/>
    <cellStyle name="Prosent 2 2 2 4 9 2 3" xfId="15342" xr:uid="{00000000-0005-0000-0000-0000F9960000}"/>
    <cellStyle name="Prosent 2 2 2 4 9 2 3 2" xfId="26459" xr:uid="{00000000-0005-0000-0000-0000FA960000}"/>
    <cellStyle name="Prosent 2 2 2 4 9 2 3 2 2" xfId="41898" xr:uid="{00000000-0005-0000-0000-0000FB960000}"/>
    <cellStyle name="Prosent 2 2 2 4 9 2 3 3" xfId="45034" xr:uid="{00000000-0005-0000-0000-0000FC960000}"/>
    <cellStyle name="Prosent 2 2 2 4 9 2 4" xfId="13255" xr:uid="{00000000-0005-0000-0000-0000FD960000}"/>
    <cellStyle name="Prosent 2 2 2 4 9 2_Avviksanalyse løpende RNB15 (1)" xfId="16966" xr:uid="{00000000-0005-0000-0000-0000FE960000}"/>
    <cellStyle name="Prosent 2 2 2 4 9 3" xfId="2588" xr:uid="{00000000-0005-0000-0000-0000FF960000}"/>
    <cellStyle name="Prosent 2 2 2 4 9 3 2" xfId="2589" xr:uid="{00000000-0005-0000-0000-000000970000}"/>
    <cellStyle name="Prosent 2 2 2 4 9 3 2 2" xfId="18394" xr:uid="{00000000-0005-0000-0000-000001970000}"/>
    <cellStyle name="Prosent 2 2 2 4 9 3 2 3" xfId="15344" xr:uid="{00000000-0005-0000-0000-000002970000}"/>
    <cellStyle name="Prosent 2 2 2 4 9 3 2 3 2" xfId="26460" xr:uid="{00000000-0005-0000-0000-000003970000}"/>
    <cellStyle name="Prosent 2 2 2 4 9 3 2 3 2 2" xfId="41900" xr:uid="{00000000-0005-0000-0000-000004970000}"/>
    <cellStyle name="Prosent 2 2 2 4 9 3 2 3 3" xfId="45035" xr:uid="{00000000-0005-0000-0000-000005970000}"/>
    <cellStyle name="Prosent 2 2 2 4 9 3 2 4" xfId="13257" xr:uid="{00000000-0005-0000-0000-000006970000}"/>
    <cellStyle name="Prosent 2 2 2 4 9 3 2_Avviksanalyse løpende RNB15 (1)" xfId="16968" xr:uid="{00000000-0005-0000-0000-000007970000}"/>
    <cellStyle name="Prosent 2 2 2 4 9 3 3" xfId="18393" xr:uid="{00000000-0005-0000-0000-000008970000}"/>
    <cellStyle name="Prosent 2 2 2 4 9 3 4" xfId="15343" xr:uid="{00000000-0005-0000-0000-000009970000}"/>
    <cellStyle name="Prosent 2 2 2 4 9 3 4 2" xfId="26461" xr:uid="{00000000-0005-0000-0000-00000A970000}"/>
    <cellStyle name="Prosent 2 2 2 4 9 3 4 2 2" xfId="41899" xr:uid="{00000000-0005-0000-0000-00000B970000}"/>
    <cellStyle name="Prosent 2 2 2 4 9 3 4 3" xfId="45036" xr:uid="{00000000-0005-0000-0000-00000C970000}"/>
    <cellStyle name="Prosent 2 2 2 4 9 3 5" xfId="13256" xr:uid="{00000000-0005-0000-0000-00000D970000}"/>
    <cellStyle name="Prosent 2 2 2 4 9 3_Avviksanalyse løpende RNB15 (1)" xfId="16967" xr:uid="{00000000-0005-0000-0000-00000E970000}"/>
    <cellStyle name="Prosent 2 2 2 4 9 4" xfId="2590" xr:uid="{00000000-0005-0000-0000-00000F970000}"/>
    <cellStyle name="Prosent 2 2 2 4 9 4 2" xfId="2591" xr:uid="{00000000-0005-0000-0000-000010970000}"/>
    <cellStyle name="Prosent 2 2 2 4 9 4 2 2" xfId="18396" xr:uid="{00000000-0005-0000-0000-000011970000}"/>
    <cellStyle name="Prosent 2 2 2 4 9 4 2 3" xfId="15346" xr:uid="{00000000-0005-0000-0000-000012970000}"/>
    <cellStyle name="Prosent 2 2 2 4 9 4 2 3 2" xfId="26462" xr:uid="{00000000-0005-0000-0000-000013970000}"/>
    <cellStyle name="Prosent 2 2 2 4 9 4 2 3 2 2" xfId="41902" xr:uid="{00000000-0005-0000-0000-000014970000}"/>
    <cellStyle name="Prosent 2 2 2 4 9 4 2 3 3" xfId="45037" xr:uid="{00000000-0005-0000-0000-000015970000}"/>
    <cellStyle name="Prosent 2 2 2 4 9 4 2 4" xfId="13259" xr:uid="{00000000-0005-0000-0000-000016970000}"/>
    <cellStyle name="Prosent 2 2 2 4 9 4 2_Avviksanalyse løpende RNB15 (1)" xfId="16970" xr:uid="{00000000-0005-0000-0000-000017970000}"/>
    <cellStyle name="Prosent 2 2 2 4 9 4 3" xfId="18395" xr:uid="{00000000-0005-0000-0000-000018970000}"/>
    <cellStyle name="Prosent 2 2 2 4 9 4 4" xfId="15345" xr:uid="{00000000-0005-0000-0000-000019970000}"/>
    <cellStyle name="Prosent 2 2 2 4 9 4 4 2" xfId="26463" xr:uid="{00000000-0005-0000-0000-00001A970000}"/>
    <cellStyle name="Prosent 2 2 2 4 9 4 4 2 2" xfId="41901" xr:uid="{00000000-0005-0000-0000-00001B970000}"/>
    <cellStyle name="Prosent 2 2 2 4 9 4 4 3" xfId="45038" xr:uid="{00000000-0005-0000-0000-00001C970000}"/>
    <cellStyle name="Prosent 2 2 2 4 9 4 5" xfId="13258" xr:uid="{00000000-0005-0000-0000-00001D970000}"/>
    <cellStyle name="Prosent 2 2 2 4 9 4_Avviksanalyse løpende RNB15 (1)" xfId="16969" xr:uid="{00000000-0005-0000-0000-00001E970000}"/>
    <cellStyle name="Prosent 2 2 2 4 9 5" xfId="18391" xr:uid="{00000000-0005-0000-0000-00001F970000}"/>
    <cellStyle name="Prosent 2 2 2 4 9 6" xfId="15341" xr:uid="{00000000-0005-0000-0000-000020970000}"/>
    <cellStyle name="Prosent 2 2 2 4 9 6 2" xfId="26464" xr:uid="{00000000-0005-0000-0000-000021970000}"/>
    <cellStyle name="Prosent 2 2 2 4 9 6 2 2" xfId="41897" xr:uid="{00000000-0005-0000-0000-000022970000}"/>
    <cellStyle name="Prosent 2 2 2 4 9 6 3" xfId="45039" xr:uid="{00000000-0005-0000-0000-000023970000}"/>
    <cellStyle name="Prosent 2 2 2 4 9 7" xfId="13254" xr:uid="{00000000-0005-0000-0000-000024970000}"/>
    <cellStyle name="Prosent 2 2 2 4 9_Avviksanalyse løpende RNB15 (1)" xfId="16965" xr:uid="{00000000-0005-0000-0000-000025970000}"/>
    <cellStyle name="Prosent 2 2 2 5" xfId="2592" xr:uid="{00000000-0005-0000-0000-000026970000}"/>
    <cellStyle name="Prosent 2 2 2 5 10" xfId="18397" xr:uid="{00000000-0005-0000-0000-000027970000}"/>
    <cellStyle name="Prosent 2 2 2 5 11" xfId="15347" xr:uid="{00000000-0005-0000-0000-000028970000}"/>
    <cellStyle name="Prosent 2 2 2 5 11 2" xfId="26465" xr:uid="{00000000-0005-0000-0000-000029970000}"/>
    <cellStyle name="Prosent 2 2 2 5 11 2 2" xfId="41903" xr:uid="{00000000-0005-0000-0000-00002A970000}"/>
    <cellStyle name="Prosent 2 2 2 5 11 3" xfId="45040" xr:uid="{00000000-0005-0000-0000-00002B970000}"/>
    <cellStyle name="Prosent 2 2 2 5 12" xfId="13260" xr:uid="{00000000-0005-0000-0000-00002C970000}"/>
    <cellStyle name="Prosent 2 2 2 5 2" xfId="2593" xr:uid="{00000000-0005-0000-0000-00002D970000}"/>
    <cellStyle name="Prosent 2 2 2 5 2 2" xfId="18398" xr:uid="{00000000-0005-0000-0000-00002E970000}"/>
    <cellStyle name="Prosent 2 2 2 5 2 3" xfId="15348" xr:uid="{00000000-0005-0000-0000-00002F970000}"/>
    <cellStyle name="Prosent 2 2 2 5 2 3 2" xfId="26466" xr:uid="{00000000-0005-0000-0000-000030970000}"/>
    <cellStyle name="Prosent 2 2 2 5 2 3 2 2" xfId="41904" xr:uid="{00000000-0005-0000-0000-000031970000}"/>
    <cellStyle name="Prosent 2 2 2 5 2 3 3" xfId="45041" xr:uid="{00000000-0005-0000-0000-000032970000}"/>
    <cellStyle name="Prosent 2 2 2 5 2 4" xfId="13261" xr:uid="{00000000-0005-0000-0000-000033970000}"/>
    <cellStyle name="Prosent 2 2 2 5 2_Avviksanalyse løpende RNB15 (1)" xfId="16972" xr:uid="{00000000-0005-0000-0000-000034970000}"/>
    <cellStyle name="Prosent 2 2 2 5 3" xfId="2594" xr:uid="{00000000-0005-0000-0000-000035970000}"/>
    <cellStyle name="Prosent 2 2 2 5 3 2" xfId="2595" xr:uid="{00000000-0005-0000-0000-000036970000}"/>
    <cellStyle name="Prosent 2 2 2 5 3 2 2" xfId="18400" xr:uid="{00000000-0005-0000-0000-000037970000}"/>
    <cellStyle name="Prosent 2 2 2 5 3 2 3" xfId="15350" xr:uid="{00000000-0005-0000-0000-000038970000}"/>
    <cellStyle name="Prosent 2 2 2 5 3 2 3 2" xfId="26467" xr:uid="{00000000-0005-0000-0000-000039970000}"/>
    <cellStyle name="Prosent 2 2 2 5 3 2 3 2 2" xfId="41906" xr:uid="{00000000-0005-0000-0000-00003A970000}"/>
    <cellStyle name="Prosent 2 2 2 5 3 2 3 3" xfId="45042" xr:uid="{00000000-0005-0000-0000-00003B970000}"/>
    <cellStyle name="Prosent 2 2 2 5 3 2 4" xfId="13263" xr:uid="{00000000-0005-0000-0000-00003C970000}"/>
    <cellStyle name="Prosent 2 2 2 5 3 2_Avviksanalyse løpende RNB15 (1)" xfId="16974" xr:uid="{00000000-0005-0000-0000-00003D970000}"/>
    <cellStyle name="Prosent 2 2 2 5 3 3" xfId="2596" xr:uid="{00000000-0005-0000-0000-00003E970000}"/>
    <cellStyle name="Prosent 2 2 2 5 3 3 2" xfId="18401" xr:uid="{00000000-0005-0000-0000-00003F970000}"/>
    <cellStyle name="Prosent 2 2 2 5 3 3 3" xfId="15351" xr:uid="{00000000-0005-0000-0000-000040970000}"/>
    <cellStyle name="Prosent 2 2 2 5 3 3 3 2" xfId="26468" xr:uid="{00000000-0005-0000-0000-000041970000}"/>
    <cellStyle name="Prosent 2 2 2 5 3 3 3 2 2" xfId="41907" xr:uid="{00000000-0005-0000-0000-000042970000}"/>
    <cellStyle name="Prosent 2 2 2 5 3 3 3 3" xfId="45043" xr:uid="{00000000-0005-0000-0000-000043970000}"/>
    <cellStyle name="Prosent 2 2 2 5 3 3 4" xfId="13264" xr:uid="{00000000-0005-0000-0000-000044970000}"/>
    <cellStyle name="Prosent 2 2 2 5 3 3_Avviksanalyse løpende RNB15 (1)" xfId="16975" xr:uid="{00000000-0005-0000-0000-000045970000}"/>
    <cellStyle name="Prosent 2 2 2 5 3 4" xfId="2597" xr:uid="{00000000-0005-0000-0000-000046970000}"/>
    <cellStyle name="Prosent 2 2 2 5 3 4 2" xfId="2598" xr:uid="{00000000-0005-0000-0000-000047970000}"/>
    <cellStyle name="Prosent 2 2 2 5 3 4 2 2" xfId="2599" xr:uid="{00000000-0005-0000-0000-000048970000}"/>
    <cellStyle name="Prosent 2 2 2 5 3 4 2 2 2" xfId="18404" xr:uid="{00000000-0005-0000-0000-000049970000}"/>
    <cellStyle name="Prosent 2 2 2 5 3 4 2 2 3" xfId="15354" xr:uid="{00000000-0005-0000-0000-00004A970000}"/>
    <cellStyle name="Prosent 2 2 2 5 3 4 2 2 3 2" xfId="26469" xr:uid="{00000000-0005-0000-0000-00004B970000}"/>
    <cellStyle name="Prosent 2 2 2 5 3 4 2 2 3 2 2" xfId="41910" xr:uid="{00000000-0005-0000-0000-00004C970000}"/>
    <cellStyle name="Prosent 2 2 2 5 3 4 2 2 3 3" xfId="45044" xr:uid="{00000000-0005-0000-0000-00004D970000}"/>
    <cellStyle name="Prosent 2 2 2 5 3 4 2 2 4" xfId="13267" xr:uid="{00000000-0005-0000-0000-00004E970000}"/>
    <cellStyle name="Prosent 2 2 2 5 3 4 2 2_Avviksanalyse løpende RNB15 (1)" xfId="16978" xr:uid="{00000000-0005-0000-0000-00004F970000}"/>
    <cellStyle name="Prosent 2 2 2 5 3 4 2 3" xfId="2600" xr:uid="{00000000-0005-0000-0000-000050970000}"/>
    <cellStyle name="Prosent 2 2 2 5 3 4 2 3 2" xfId="2601" xr:uid="{00000000-0005-0000-0000-000051970000}"/>
    <cellStyle name="Prosent 2 2 2 5 3 4 2 3 2 2" xfId="18406" xr:uid="{00000000-0005-0000-0000-000052970000}"/>
    <cellStyle name="Prosent 2 2 2 5 3 4 2 3 2 3" xfId="15356" xr:uid="{00000000-0005-0000-0000-000053970000}"/>
    <cellStyle name="Prosent 2 2 2 5 3 4 2 3 2 3 2" xfId="26470" xr:uid="{00000000-0005-0000-0000-000054970000}"/>
    <cellStyle name="Prosent 2 2 2 5 3 4 2 3 2 3 2 2" xfId="41912" xr:uid="{00000000-0005-0000-0000-000055970000}"/>
    <cellStyle name="Prosent 2 2 2 5 3 4 2 3 2 3 3" xfId="45045" xr:uid="{00000000-0005-0000-0000-000056970000}"/>
    <cellStyle name="Prosent 2 2 2 5 3 4 2 3 2 4" xfId="13269" xr:uid="{00000000-0005-0000-0000-000057970000}"/>
    <cellStyle name="Prosent 2 2 2 5 3 4 2 3 2_Avviksanalyse løpende RNB15 (1)" xfId="16980" xr:uid="{00000000-0005-0000-0000-000058970000}"/>
    <cellStyle name="Prosent 2 2 2 5 3 4 2 3 3" xfId="18405" xr:uid="{00000000-0005-0000-0000-000059970000}"/>
    <cellStyle name="Prosent 2 2 2 5 3 4 2 3 4" xfId="15355" xr:uid="{00000000-0005-0000-0000-00005A970000}"/>
    <cellStyle name="Prosent 2 2 2 5 3 4 2 3 4 2" xfId="26471" xr:uid="{00000000-0005-0000-0000-00005B970000}"/>
    <cellStyle name="Prosent 2 2 2 5 3 4 2 3 4 2 2" xfId="41911" xr:uid="{00000000-0005-0000-0000-00005C970000}"/>
    <cellStyle name="Prosent 2 2 2 5 3 4 2 3 4 3" xfId="45046" xr:uid="{00000000-0005-0000-0000-00005D970000}"/>
    <cellStyle name="Prosent 2 2 2 5 3 4 2 3 5" xfId="13268" xr:uid="{00000000-0005-0000-0000-00005E970000}"/>
    <cellStyle name="Prosent 2 2 2 5 3 4 2 3_Avviksanalyse løpende RNB15 (1)" xfId="16979" xr:uid="{00000000-0005-0000-0000-00005F970000}"/>
    <cellStyle name="Prosent 2 2 2 5 3 4 2 4" xfId="2602" xr:uid="{00000000-0005-0000-0000-000060970000}"/>
    <cellStyle name="Prosent 2 2 2 5 3 4 2 4 2" xfId="2603" xr:uid="{00000000-0005-0000-0000-000061970000}"/>
    <cellStyle name="Prosent 2 2 2 5 3 4 2 4 2 2" xfId="18408" xr:uid="{00000000-0005-0000-0000-000062970000}"/>
    <cellStyle name="Prosent 2 2 2 5 3 4 2 4 2 3" xfId="15358" xr:uid="{00000000-0005-0000-0000-000063970000}"/>
    <cellStyle name="Prosent 2 2 2 5 3 4 2 4 2 3 2" xfId="26472" xr:uid="{00000000-0005-0000-0000-000064970000}"/>
    <cellStyle name="Prosent 2 2 2 5 3 4 2 4 2 3 2 2" xfId="41914" xr:uid="{00000000-0005-0000-0000-000065970000}"/>
    <cellStyle name="Prosent 2 2 2 5 3 4 2 4 2 3 3" xfId="45047" xr:uid="{00000000-0005-0000-0000-000066970000}"/>
    <cellStyle name="Prosent 2 2 2 5 3 4 2 4 2 4" xfId="13271" xr:uid="{00000000-0005-0000-0000-000067970000}"/>
    <cellStyle name="Prosent 2 2 2 5 3 4 2 4 2_Avviksanalyse løpende RNB15 (1)" xfId="16982" xr:uid="{00000000-0005-0000-0000-000068970000}"/>
    <cellStyle name="Prosent 2 2 2 5 3 4 2 4 3" xfId="18407" xr:uid="{00000000-0005-0000-0000-000069970000}"/>
    <cellStyle name="Prosent 2 2 2 5 3 4 2 4 4" xfId="15357" xr:uid="{00000000-0005-0000-0000-00006A970000}"/>
    <cellStyle name="Prosent 2 2 2 5 3 4 2 4 4 2" xfId="26473" xr:uid="{00000000-0005-0000-0000-00006B970000}"/>
    <cellStyle name="Prosent 2 2 2 5 3 4 2 4 4 2 2" xfId="41913" xr:uid="{00000000-0005-0000-0000-00006C970000}"/>
    <cellStyle name="Prosent 2 2 2 5 3 4 2 4 4 3" xfId="45048" xr:uid="{00000000-0005-0000-0000-00006D970000}"/>
    <cellStyle name="Prosent 2 2 2 5 3 4 2 4 5" xfId="13270" xr:uid="{00000000-0005-0000-0000-00006E970000}"/>
    <cellStyle name="Prosent 2 2 2 5 3 4 2 4_Avviksanalyse løpende RNB15 (1)" xfId="16981" xr:uid="{00000000-0005-0000-0000-00006F970000}"/>
    <cellStyle name="Prosent 2 2 2 5 3 4 2 5" xfId="18403" xr:uid="{00000000-0005-0000-0000-000070970000}"/>
    <cellStyle name="Prosent 2 2 2 5 3 4 2 6" xfId="15353" xr:uid="{00000000-0005-0000-0000-000071970000}"/>
    <cellStyle name="Prosent 2 2 2 5 3 4 2 6 2" xfId="26474" xr:uid="{00000000-0005-0000-0000-000072970000}"/>
    <cellStyle name="Prosent 2 2 2 5 3 4 2 6 2 2" xfId="41909" xr:uid="{00000000-0005-0000-0000-000073970000}"/>
    <cellStyle name="Prosent 2 2 2 5 3 4 2 6 3" xfId="45049" xr:uid="{00000000-0005-0000-0000-000074970000}"/>
    <cellStyle name="Prosent 2 2 2 5 3 4 2 7" xfId="13266" xr:uid="{00000000-0005-0000-0000-000075970000}"/>
    <cellStyle name="Prosent 2 2 2 5 3 4 2_Avviksanalyse løpende RNB15 (1)" xfId="16977" xr:uid="{00000000-0005-0000-0000-000076970000}"/>
    <cellStyle name="Prosent 2 2 2 5 3 4 3" xfId="2604" xr:uid="{00000000-0005-0000-0000-000077970000}"/>
    <cellStyle name="Prosent 2 2 2 5 3 4 3 2" xfId="18409" xr:uid="{00000000-0005-0000-0000-000078970000}"/>
    <cellStyle name="Prosent 2 2 2 5 3 4 3 3" xfId="15359" xr:uid="{00000000-0005-0000-0000-000079970000}"/>
    <cellStyle name="Prosent 2 2 2 5 3 4 3 3 2" xfId="26475" xr:uid="{00000000-0005-0000-0000-00007A970000}"/>
    <cellStyle name="Prosent 2 2 2 5 3 4 3 3 2 2" xfId="41915" xr:uid="{00000000-0005-0000-0000-00007B970000}"/>
    <cellStyle name="Prosent 2 2 2 5 3 4 3 3 3" xfId="45050" xr:uid="{00000000-0005-0000-0000-00007C970000}"/>
    <cellStyle name="Prosent 2 2 2 5 3 4 3 4" xfId="13272" xr:uid="{00000000-0005-0000-0000-00007D970000}"/>
    <cellStyle name="Prosent 2 2 2 5 3 4 3_Avviksanalyse løpende RNB15 (1)" xfId="16983" xr:uid="{00000000-0005-0000-0000-00007E970000}"/>
    <cellStyle name="Prosent 2 2 2 5 3 4 4" xfId="2605" xr:uid="{00000000-0005-0000-0000-00007F970000}"/>
    <cellStyle name="Prosent 2 2 2 5 3 4 4 2" xfId="2606" xr:uid="{00000000-0005-0000-0000-000080970000}"/>
    <cellStyle name="Prosent 2 2 2 5 3 4 4 2 2" xfId="18411" xr:uid="{00000000-0005-0000-0000-000081970000}"/>
    <cellStyle name="Prosent 2 2 2 5 3 4 4 2 3" xfId="15361" xr:uid="{00000000-0005-0000-0000-000082970000}"/>
    <cellStyle name="Prosent 2 2 2 5 3 4 4 2 3 2" xfId="26476" xr:uid="{00000000-0005-0000-0000-000083970000}"/>
    <cellStyle name="Prosent 2 2 2 5 3 4 4 2 3 2 2" xfId="41917" xr:uid="{00000000-0005-0000-0000-000084970000}"/>
    <cellStyle name="Prosent 2 2 2 5 3 4 4 2 3 3" xfId="45051" xr:uid="{00000000-0005-0000-0000-000085970000}"/>
    <cellStyle name="Prosent 2 2 2 5 3 4 4 2 4" xfId="13274" xr:uid="{00000000-0005-0000-0000-000086970000}"/>
    <cellStyle name="Prosent 2 2 2 5 3 4 4 2_Avviksanalyse løpende RNB15 (1)" xfId="16985" xr:uid="{00000000-0005-0000-0000-000087970000}"/>
    <cellStyle name="Prosent 2 2 2 5 3 4 4 3" xfId="18410" xr:uid="{00000000-0005-0000-0000-000088970000}"/>
    <cellStyle name="Prosent 2 2 2 5 3 4 4 4" xfId="15360" xr:uid="{00000000-0005-0000-0000-000089970000}"/>
    <cellStyle name="Prosent 2 2 2 5 3 4 4 4 2" xfId="26477" xr:uid="{00000000-0005-0000-0000-00008A970000}"/>
    <cellStyle name="Prosent 2 2 2 5 3 4 4 4 2 2" xfId="41916" xr:uid="{00000000-0005-0000-0000-00008B970000}"/>
    <cellStyle name="Prosent 2 2 2 5 3 4 4 4 3" xfId="45052" xr:uid="{00000000-0005-0000-0000-00008C970000}"/>
    <cellStyle name="Prosent 2 2 2 5 3 4 4 5" xfId="13273" xr:uid="{00000000-0005-0000-0000-00008D970000}"/>
    <cellStyle name="Prosent 2 2 2 5 3 4 4_Avviksanalyse løpende RNB15 (1)" xfId="16984" xr:uid="{00000000-0005-0000-0000-00008E970000}"/>
    <cellStyle name="Prosent 2 2 2 5 3 4 5" xfId="2607" xr:uid="{00000000-0005-0000-0000-00008F970000}"/>
    <cellStyle name="Prosent 2 2 2 5 3 4 5 2" xfId="2608" xr:uid="{00000000-0005-0000-0000-000090970000}"/>
    <cellStyle name="Prosent 2 2 2 5 3 4 5 2 2" xfId="18413" xr:uid="{00000000-0005-0000-0000-000091970000}"/>
    <cellStyle name="Prosent 2 2 2 5 3 4 5 2 3" xfId="15363" xr:uid="{00000000-0005-0000-0000-000092970000}"/>
    <cellStyle name="Prosent 2 2 2 5 3 4 5 2 3 2" xfId="26478" xr:uid="{00000000-0005-0000-0000-000093970000}"/>
    <cellStyle name="Prosent 2 2 2 5 3 4 5 2 3 2 2" xfId="41919" xr:uid="{00000000-0005-0000-0000-000094970000}"/>
    <cellStyle name="Prosent 2 2 2 5 3 4 5 2 3 3" xfId="45053" xr:uid="{00000000-0005-0000-0000-000095970000}"/>
    <cellStyle name="Prosent 2 2 2 5 3 4 5 2 4" xfId="13276" xr:uid="{00000000-0005-0000-0000-000096970000}"/>
    <cellStyle name="Prosent 2 2 2 5 3 4 5 2_Avviksanalyse løpende RNB15 (1)" xfId="16987" xr:uid="{00000000-0005-0000-0000-000097970000}"/>
    <cellStyle name="Prosent 2 2 2 5 3 4 5 3" xfId="18412" xr:uid="{00000000-0005-0000-0000-000098970000}"/>
    <cellStyle name="Prosent 2 2 2 5 3 4 5 4" xfId="15362" xr:uid="{00000000-0005-0000-0000-000099970000}"/>
    <cellStyle name="Prosent 2 2 2 5 3 4 5 4 2" xfId="26479" xr:uid="{00000000-0005-0000-0000-00009A970000}"/>
    <cellStyle name="Prosent 2 2 2 5 3 4 5 4 2 2" xfId="41918" xr:uid="{00000000-0005-0000-0000-00009B970000}"/>
    <cellStyle name="Prosent 2 2 2 5 3 4 5 4 3" xfId="45054" xr:uid="{00000000-0005-0000-0000-00009C970000}"/>
    <cellStyle name="Prosent 2 2 2 5 3 4 5 5" xfId="13275" xr:uid="{00000000-0005-0000-0000-00009D970000}"/>
    <cellStyle name="Prosent 2 2 2 5 3 4 5_Avviksanalyse løpende RNB15 (1)" xfId="16986" xr:uid="{00000000-0005-0000-0000-00009E970000}"/>
    <cellStyle name="Prosent 2 2 2 5 3 4 6" xfId="18402" xr:uid="{00000000-0005-0000-0000-00009F970000}"/>
    <cellStyle name="Prosent 2 2 2 5 3 4 7" xfId="15352" xr:uid="{00000000-0005-0000-0000-0000A0970000}"/>
    <cellStyle name="Prosent 2 2 2 5 3 4 7 2" xfId="26480" xr:uid="{00000000-0005-0000-0000-0000A1970000}"/>
    <cellStyle name="Prosent 2 2 2 5 3 4 7 2 2" xfId="41908" xr:uid="{00000000-0005-0000-0000-0000A2970000}"/>
    <cellStyle name="Prosent 2 2 2 5 3 4 7 3" xfId="45055" xr:uid="{00000000-0005-0000-0000-0000A3970000}"/>
    <cellStyle name="Prosent 2 2 2 5 3 4 8" xfId="13265" xr:uid="{00000000-0005-0000-0000-0000A4970000}"/>
    <cellStyle name="Prosent 2 2 2 5 3 4_Avviksanalyse løpende RNB15 (1)" xfId="16976" xr:uid="{00000000-0005-0000-0000-0000A5970000}"/>
    <cellStyle name="Prosent 2 2 2 5 3 5" xfId="18399" xr:uid="{00000000-0005-0000-0000-0000A6970000}"/>
    <cellStyle name="Prosent 2 2 2 5 3 6" xfId="15349" xr:uid="{00000000-0005-0000-0000-0000A7970000}"/>
    <cellStyle name="Prosent 2 2 2 5 3 6 2" xfId="26481" xr:uid="{00000000-0005-0000-0000-0000A8970000}"/>
    <cellStyle name="Prosent 2 2 2 5 3 6 2 2" xfId="41905" xr:uid="{00000000-0005-0000-0000-0000A9970000}"/>
    <cellStyle name="Prosent 2 2 2 5 3 6 3" xfId="45056" xr:uid="{00000000-0005-0000-0000-0000AA970000}"/>
    <cellStyle name="Prosent 2 2 2 5 3 7" xfId="13262" xr:uid="{00000000-0005-0000-0000-0000AB970000}"/>
    <cellStyle name="Prosent 2 2 2 5 3_Avviksanalyse løpende RNB15 (1)" xfId="16973" xr:uid="{00000000-0005-0000-0000-0000AC970000}"/>
    <cellStyle name="Prosent 2 2 2 5 4" xfId="2609" xr:uid="{00000000-0005-0000-0000-0000AD970000}"/>
    <cellStyle name="Prosent 2 2 2 5 4 2" xfId="2610" xr:uid="{00000000-0005-0000-0000-0000AE970000}"/>
    <cellStyle name="Prosent 2 2 2 5 4 2 2" xfId="18415" xr:uid="{00000000-0005-0000-0000-0000AF970000}"/>
    <cellStyle name="Prosent 2 2 2 5 4 2 3" xfId="15365" xr:uid="{00000000-0005-0000-0000-0000B0970000}"/>
    <cellStyle name="Prosent 2 2 2 5 4 2 3 2" xfId="26482" xr:uid="{00000000-0005-0000-0000-0000B1970000}"/>
    <cellStyle name="Prosent 2 2 2 5 4 2 3 2 2" xfId="41921" xr:uid="{00000000-0005-0000-0000-0000B2970000}"/>
    <cellStyle name="Prosent 2 2 2 5 4 2 3 3" xfId="45057" xr:uid="{00000000-0005-0000-0000-0000B3970000}"/>
    <cellStyle name="Prosent 2 2 2 5 4 2 4" xfId="13278" xr:uid="{00000000-0005-0000-0000-0000B4970000}"/>
    <cellStyle name="Prosent 2 2 2 5 4 2_Avviksanalyse løpende RNB15 (1)" xfId="16989" xr:uid="{00000000-0005-0000-0000-0000B5970000}"/>
    <cellStyle name="Prosent 2 2 2 5 4 3" xfId="18414" xr:uid="{00000000-0005-0000-0000-0000B6970000}"/>
    <cellStyle name="Prosent 2 2 2 5 4 4" xfId="15364" xr:uid="{00000000-0005-0000-0000-0000B7970000}"/>
    <cellStyle name="Prosent 2 2 2 5 4 4 2" xfId="26483" xr:uid="{00000000-0005-0000-0000-0000B8970000}"/>
    <cellStyle name="Prosent 2 2 2 5 4 4 2 2" xfId="41920" xr:uid="{00000000-0005-0000-0000-0000B9970000}"/>
    <cellStyle name="Prosent 2 2 2 5 4 4 3" xfId="45058" xr:uid="{00000000-0005-0000-0000-0000BA970000}"/>
    <cellStyle name="Prosent 2 2 2 5 4 5" xfId="13277" xr:uid="{00000000-0005-0000-0000-0000BB970000}"/>
    <cellStyle name="Prosent 2 2 2 5 4_Avviksanalyse løpende RNB15 (1)" xfId="16988" xr:uid="{00000000-0005-0000-0000-0000BC970000}"/>
    <cellStyle name="Prosent 2 2 2 5 5" xfId="2611" xr:uid="{00000000-0005-0000-0000-0000BD970000}"/>
    <cellStyle name="Prosent 2 2 2 5 5 10" xfId="13279" xr:uid="{00000000-0005-0000-0000-0000BE970000}"/>
    <cellStyle name="Prosent 2 2 2 5 5 2" xfId="2612" xr:uid="{00000000-0005-0000-0000-0000BF970000}"/>
    <cellStyle name="Prosent 2 2 2 5 5 2 2" xfId="18417" xr:uid="{00000000-0005-0000-0000-0000C0970000}"/>
    <cellStyle name="Prosent 2 2 2 5 5 2 3" xfId="15367" xr:uid="{00000000-0005-0000-0000-0000C1970000}"/>
    <cellStyle name="Prosent 2 2 2 5 5 2 3 2" xfId="26484" xr:uid="{00000000-0005-0000-0000-0000C2970000}"/>
    <cellStyle name="Prosent 2 2 2 5 5 2 3 2 2" xfId="41923" xr:uid="{00000000-0005-0000-0000-0000C3970000}"/>
    <cellStyle name="Prosent 2 2 2 5 5 2 3 3" xfId="45059" xr:uid="{00000000-0005-0000-0000-0000C4970000}"/>
    <cellStyle name="Prosent 2 2 2 5 5 2 4" xfId="13280" xr:uid="{00000000-0005-0000-0000-0000C5970000}"/>
    <cellStyle name="Prosent 2 2 2 5 5 2_Avviksanalyse løpende RNB15 (1)" xfId="16991" xr:uid="{00000000-0005-0000-0000-0000C6970000}"/>
    <cellStyle name="Prosent 2 2 2 5 5 3" xfId="2613" xr:uid="{00000000-0005-0000-0000-0000C7970000}"/>
    <cellStyle name="Prosent 2 2 2 5 5 3 2" xfId="18418" xr:uid="{00000000-0005-0000-0000-0000C8970000}"/>
    <cellStyle name="Prosent 2 2 2 5 5 3 3" xfId="15368" xr:uid="{00000000-0005-0000-0000-0000C9970000}"/>
    <cellStyle name="Prosent 2 2 2 5 5 3 3 2" xfId="26485" xr:uid="{00000000-0005-0000-0000-0000CA970000}"/>
    <cellStyle name="Prosent 2 2 2 5 5 3 3 2 2" xfId="41924" xr:uid="{00000000-0005-0000-0000-0000CB970000}"/>
    <cellStyle name="Prosent 2 2 2 5 5 3 3 3" xfId="45060" xr:uid="{00000000-0005-0000-0000-0000CC970000}"/>
    <cellStyle name="Prosent 2 2 2 5 5 3 4" xfId="13281" xr:uid="{00000000-0005-0000-0000-0000CD970000}"/>
    <cellStyle name="Prosent 2 2 2 5 5 3_Avviksanalyse løpende RNB15 (1)" xfId="16992" xr:uid="{00000000-0005-0000-0000-0000CE970000}"/>
    <cellStyle name="Prosent 2 2 2 5 5 4" xfId="2614" xr:uid="{00000000-0005-0000-0000-0000CF970000}"/>
    <cellStyle name="Prosent 2 2 2 5 5 4 2" xfId="2615" xr:uid="{00000000-0005-0000-0000-0000D0970000}"/>
    <cellStyle name="Prosent 2 2 2 5 5 4 2 2" xfId="18420" xr:uid="{00000000-0005-0000-0000-0000D1970000}"/>
    <cellStyle name="Prosent 2 2 2 5 5 4 2 3" xfId="15370" xr:uid="{00000000-0005-0000-0000-0000D2970000}"/>
    <cellStyle name="Prosent 2 2 2 5 5 4 2 3 2" xfId="26486" xr:uid="{00000000-0005-0000-0000-0000D3970000}"/>
    <cellStyle name="Prosent 2 2 2 5 5 4 2 3 2 2" xfId="41926" xr:uid="{00000000-0005-0000-0000-0000D4970000}"/>
    <cellStyle name="Prosent 2 2 2 5 5 4 2 3 3" xfId="45061" xr:uid="{00000000-0005-0000-0000-0000D5970000}"/>
    <cellStyle name="Prosent 2 2 2 5 5 4 2 4" xfId="13283" xr:uid="{00000000-0005-0000-0000-0000D6970000}"/>
    <cellStyle name="Prosent 2 2 2 5 5 4 2_Avviksanalyse løpende RNB15 (1)" xfId="16994" xr:uid="{00000000-0005-0000-0000-0000D7970000}"/>
    <cellStyle name="Prosent 2 2 2 5 5 4 3" xfId="2616" xr:uid="{00000000-0005-0000-0000-0000D8970000}"/>
    <cellStyle name="Prosent 2 2 2 5 5 4 3 2" xfId="2617" xr:uid="{00000000-0005-0000-0000-0000D9970000}"/>
    <cellStyle name="Prosent 2 2 2 5 5 4 3 2 2" xfId="18422" xr:uid="{00000000-0005-0000-0000-0000DA970000}"/>
    <cellStyle name="Prosent 2 2 2 5 5 4 3 2 3" xfId="15372" xr:uid="{00000000-0005-0000-0000-0000DB970000}"/>
    <cellStyle name="Prosent 2 2 2 5 5 4 3 2 3 2" xfId="26487" xr:uid="{00000000-0005-0000-0000-0000DC970000}"/>
    <cellStyle name="Prosent 2 2 2 5 5 4 3 2 3 2 2" xfId="41928" xr:uid="{00000000-0005-0000-0000-0000DD970000}"/>
    <cellStyle name="Prosent 2 2 2 5 5 4 3 2 3 3" xfId="45062" xr:uid="{00000000-0005-0000-0000-0000DE970000}"/>
    <cellStyle name="Prosent 2 2 2 5 5 4 3 2 4" xfId="13285" xr:uid="{00000000-0005-0000-0000-0000DF970000}"/>
    <cellStyle name="Prosent 2 2 2 5 5 4 3 2_Avviksanalyse løpende RNB15 (1)" xfId="16996" xr:uid="{00000000-0005-0000-0000-0000E0970000}"/>
    <cellStyle name="Prosent 2 2 2 5 5 4 3 3" xfId="18421" xr:uid="{00000000-0005-0000-0000-0000E1970000}"/>
    <cellStyle name="Prosent 2 2 2 5 5 4 3 4" xfId="15371" xr:uid="{00000000-0005-0000-0000-0000E2970000}"/>
    <cellStyle name="Prosent 2 2 2 5 5 4 3 4 2" xfId="26488" xr:uid="{00000000-0005-0000-0000-0000E3970000}"/>
    <cellStyle name="Prosent 2 2 2 5 5 4 3 4 2 2" xfId="41927" xr:uid="{00000000-0005-0000-0000-0000E4970000}"/>
    <cellStyle name="Prosent 2 2 2 5 5 4 3 4 3" xfId="45063" xr:uid="{00000000-0005-0000-0000-0000E5970000}"/>
    <cellStyle name="Prosent 2 2 2 5 5 4 3 5" xfId="13284" xr:uid="{00000000-0005-0000-0000-0000E6970000}"/>
    <cellStyle name="Prosent 2 2 2 5 5 4 3_Avviksanalyse løpende RNB15 (1)" xfId="16995" xr:uid="{00000000-0005-0000-0000-0000E7970000}"/>
    <cellStyle name="Prosent 2 2 2 5 5 4 4" xfId="2618" xr:uid="{00000000-0005-0000-0000-0000E8970000}"/>
    <cellStyle name="Prosent 2 2 2 5 5 4 4 2" xfId="2619" xr:uid="{00000000-0005-0000-0000-0000E9970000}"/>
    <cellStyle name="Prosent 2 2 2 5 5 4 4 2 2" xfId="18424" xr:uid="{00000000-0005-0000-0000-0000EA970000}"/>
    <cellStyle name="Prosent 2 2 2 5 5 4 4 2 3" xfId="15374" xr:uid="{00000000-0005-0000-0000-0000EB970000}"/>
    <cellStyle name="Prosent 2 2 2 5 5 4 4 2 3 2" xfId="26489" xr:uid="{00000000-0005-0000-0000-0000EC970000}"/>
    <cellStyle name="Prosent 2 2 2 5 5 4 4 2 3 2 2" xfId="41930" xr:uid="{00000000-0005-0000-0000-0000ED970000}"/>
    <cellStyle name="Prosent 2 2 2 5 5 4 4 2 3 3" xfId="45064" xr:uid="{00000000-0005-0000-0000-0000EE970000}"/>
    <cellStyle name="Prosent 2 2 2 5 5 4 4 2 4" xfId="13287" xr:uid="{00000000-0005-0000-0000-0000EF970000}"/>
    <cellStyle name="Prosent 2 2 2 5 5 4 4 2_Avviksanalyse løpende RNB15 (1)" xfId="16998" xr:uid="{00000000-0005-0000-0000-0000F0970000}"/>
    <cellStyle name="Prosent 2 2 2 5 5 4 4 3" xfId="18423" xr:uid="{00000000-0005-0000-0000-0000F1970000}"/>
    <cellStyle name="Prosent 2 2 2 5 5 4 4 4" xfId="15373" xr:uid="{00000000-0005-0000-0000-0000F2970000}"/>
    <cellStyle name="Prosent 2 2 2 5 5 4 4 4 2" xfId="26490" xr:uid="{00000000-0005-0000-0000-0000F3970000}"/>
    <cellStyle name="Prosent 2 2 2 5 5 4 4 4 2 2" xfId="41929" xr:uid="{00000000-0005-0000-0000-0000F4970000}"/>
    <cellStyle name="Prosent 2 2 2 5 5 4 4 4 3" xfId="45065" xr:uid="{00000000-0005-0000-0000-0000F5970000}"/>
    <cellStyle name="Prosent 2 2 2 5 5 4 4 5" xfId="13286" xr:uid="{00000000-0005-0000-0000-0000F6970000}"/>
    <cellStyle name="Prosent 2 2 2 5 5 4 4_Avviksanalyse løpende RNB15 (1)" xfId="16997" xr:uid="{00000000-0005-0000-0000-0000F7970000}"/>
    <cellStyle name="Prosent 2 2 2 5 5 4 5" xfId="18419" xr:uid="{00000000-0005-0000-0000-0000F8970000}"/>
    <cellStyle name="Prosent 2 2 2 5 5 4 6" xfId="15369" xr:uid="{00000000-0005-0000-0000-0000F9970000}"/>
    <cellStyle name="Prosent 2 2 2 5 5 4 6 2" xfId="26491" xr:uid="{00000000-0005-0000-0000-0000FA970000}"/>
    <cellStyle name="Prosent 2 2 2 5 5 4 6 2 2" xfId="41925" xr:uid="{00000000-0005-0000-0000-0000FB970000}"/>
    <cellStyle name="Prosent 2 2 2 5 5 4 6 3" xfId="45066" xr:uid="{00000000-0005-0000-0000-0000FC970000}"/>
    <cellStyle name="Prosent 2 2 2 5 5 4 7" xfId="13282" xr:uid="{00000000-0005-0000-0000-0000FD970000}"/>
    <cellStyle name="Prosent 2 2 2 5 5 4_Avviksanalyse løpende RNB15 (1)" xfId="16993" xr:uid="{00000000-0005-0000-0000-0000FE970000}"/>
    <cellStyle name="Prosent 2 2 2 5 5 5" xfId="2620" xr:uid="{00000000-0005-0000-0000-0000FF970000}"/>
    <cellStyle name="Prosent 2 2 2 5 5 5 2" xfId="2621" xr:uid="{00000000-0005-0000-0000-000000980000}"/>
    <cellStyle name="Prosent 2 2 2 5 5 5 2 2" xfId="18426" xr:uid="{00000000-0005-0000-0000-000001980000}"/>
    <cellStyle name="Prosent 2 2 2 5 5 5 2 3" xfId="15376" xr:uid="{00000000-0005-0000-0000-000002980000}"/>
    <cellStyle name="Prosent 2 2 2 5 5 5 2 3 2" xfId="26492" xr:uid="{00000000-0005-0000-0000-000003980000}"/>
    <cellStyle name="Prosent 2 2 2 5 5 5 2 3 2 2" xfId="41932" xr:uid="{00000000-0005-0000-0000-000004980000}"/>
    <cellStyle name="Prosent 2 2 2 5 5 5 2 3 3" xfId="45067" xr:uid="{00000000-0005-0000-0000-000005980000}"/>
    <cellStyle name="Prosent 2 2 2 5 5 5 2 4" xfId="13289" xr:uid="{00000000-0005-0000-0000-000006980000}"/>
    <cellStyle name="Prosent 2 2 2 5 5 5 2_Avviksanalyse løpende RNB15 (1)" xfId="17000" xr:uid="{00000000-0005-0000-0000-000007980000}"/>
    <cellStyle name="Prosent 2 2 2 5 5 5 3" xfId="2622" xr:uid="{00000000-0005-0000-0000-000008980000}"/>
    <cellStyle name="Prosent 2 2 2 5 5 5 3 2" xfId="2623" xr:uid="{00000000-0005-0000-0000-000009980000}"/>
    <cellStyle name="Prosent 2 2 2 5 5 5 3 2 2" xfId="18428" xr:uid="{00000000-0005-0000-0000-00000A980000}"/>
    <cellStyle name="Prosent 2 2 2 5 5 5 3 2 3" xfId="15378" xr:uid="{00000000-0005-0000-0000-00000B980000}"/>
    <cellStyle name="Prosent 2 2 2 5 5 5 3 2 3 2" xfId="26493" xr:uid="{00000000-0005-0000-0000-00000C980000}"/>
    <cellStyle name="Prosent 2 2 2 5 5 5 3 2 3 2 2" xfId="41934" xr:uid="{00000000-0005-0000-0000-00000D980000}"/>
    <cellStyle name="Prosent 2 2 2 5 5 5 3 2 3 3" xfId="45068" xr:uid="{00000000-0005-0000-0000-00000E980000}"/>
    <cellStyle name="Prosent 2 2 2 5 5 5 3 2 4" xfId="13291" xr:uid="{00000000-0005-0000-0000-00000F980000}"/>
    <cellStyle name="Prosent 2 2 2 5 5 5 3 2_Avviksanalyse løpende RNB15 (1)" xfId="17002" xr:uid="{00000000-0005-0000-0000-000010980000}"/>
    <cellStyle name="Prosent 2 2 2 5 5 5 3 3" xfId="18427" xr:uid="{00000000-0005-0000-0000-000011980000}"/>
    <cellStyle name="Prosent 2 2 2 5 5 5 3 4" xfId="15377" xr:uid="{00000000-0005-0000-0000-000012980000}"/>
    <cellStyle name="Prosent 2 2 2 5 5 5 3 4 2" xfId="26494" xr:uid="{00000000-0005-0000-0000-000013980000}"/>
    <cellStyle name="Prosent 2 2 2 5 5 5 3 4 2 2" xfId="41933" xr:uid="{00000000-0005-0000-0000-000014980000}"/>
    <cellStyle name="Prosent 2 2 2 5 5 5 3 4 3" xfId="45069" xr:uid="{00000000-0005-0000-0000-000015980000}"/>
    <cellStyle name="Prosent 2 2 2 5 5 5 3 5" xfId="13290" xr:uid="{00000000-0005-0000-0000-000016980000}"/>
    <cellStyle name="Prosent 2 2 2 5 5 5 3_Avviksanalyse løpende RNB15 (1)" xfId="17001" xr:uid="{00000000-0005-0000-0000-000017980000}"/>
    <cellStyle name="Prosent 2 2 2 5 5 5 4" xfId="2624" xr:uid="{00000000-0005-0000-0000-000018980000}"/>
    <cellStyle name="Prosent 2 2 2 5 5 5 4 2" xfId="2625" xr:uid="{00000000-0005-0000-0000-000019980000}"/>
    <cellStyle name="Prosent 2 2 2 5 5 5 4 2 2" xfId="18430" xr:uid="{00000000-0005-0000-0000-00001A980000}"/>
    <cellStyle name="Prosent 2 2 2 5 5 5 4 2 3" xfId="15380" xr:uid="{00000000-0005-0000-0000-00001B980000}"/>
    <cellStyle name="Prosent 2 2 2 5 5 5 4 2 3 2" xfId="26495" xr:uid="{00000000-0005-0000-0000-00001C980000}"/>
    <cellStyle name="Prosent 2 2 2 5 5 5 4 2 3 2 2" xfId="41936" xr:uid="{00000000-0005-0000-0000-00001D980000}"/>
    <cellStyle name="Prosent 2 2 2 5 5 5 4 2 3 3" xfId="45070" xr:uid="{00000000-0005-0000-0000-00001E980000}"/>
    <cellStyle name="Prosent 2 2 2 5 5 5 4 2 4" xfId="13293" xr:uid="{00000000-0005-0000-0000-00001F980000}"/>
    <cellStyle name="Prosent 2 2 2 5 5 5 4 2_Avviksanalyse løpende RNB15 (1)" xfId="17004" xr:uid="{00000000-0005-0000-0000-000020980000}"/>
    <cellStyle name="Prosent 2 2 2 5 5 5 4 3" xfId="18429" xr:uid="{00000000-0005-0000-0000-000021980000}"/>
    <cellStyle name="Prosent 2 2 2 5 5 5 4 4" xfId="15379" xr:uid="{00000000-0005-0000-0000-000022980000}"/>
    <cellStyle name="Prosent 2 2 2 5 5 5 4 4 2" xfId="26496" xr:uid="{00000000-0005-0000-0000-000023980000}"/>
    <cellStyle name="Prosent 2 2 2 5 5 5 4 4 2 2" xfId="41935" xr:uid="{00000000-0005-0000-0000-000024980000}"/>
    <cellStyle name="Prosent 2 2 2 5 5 5 4 4 3" xfId="45071" xr:uid="{00000000-0005-0000-0000-000025980000}"/>
    <cellStyle name="Prosent 2 2 2 5 5 5 4 5" xfId="13292" xr:uid="{00000000-0005-0000-0000-000026980000}"/>
    <cellStyle name="Prosent 2 2 2 5 5 5 4_Avviksanalyse løpende RNB15 (1)" xfId="17003" xr:uid="{00000000-0005-0000-0000-000027980000}"/>
    <cellStyle name="Prosent 2 2 2 5 5 5 5" xfId="18425" xr:uid="{00000000-0005-0000-0000-000028980000}"/>
    <cellStyle name="Prosent 2 2 2 5 5 5 6" xfId="15375" xr:uid="{00000000-0005-0000-0000-000029980000}"/>
    <cellStyle name="Prosent 2 2 2 5 5 5 6 2" xfId="26497" xr:uid="{00000000-0005-0000-0000-00002A980000}"/>
    <cellStyle name="Prosent 2 2 2 5 5 5 6 2 2" xfId="41931" xr:uid="{00000000-0005-0000-0000-00002B980000}"/>
    <cellStyle name="Prosent 2 2 2 5 5 5 6 3" xfId="45072" xr:uid="{00000000-0005-0000-0000-00002C980000}"/>
    <cellStyle name="Prosent 2 2 2 5 5 5 7" xfId="13288" xr:uid="{00000000-0005-0000-0000-00002D980000}"/>
    <cellStyle name="Prosent 2 2 2 5 5 5_Avviksanalyse løpende RNB15 (1)" xfId="16999" xr:uid="{00000000-0005-0000-0000-00002E980000}"/>
    <cellStyle name="Prosent 2 2 2 5 5 6" xfId="2626" xr:uid="{00000000-0005-0000-0000-00002F980000}"/>
    <cellStyle name="Prosent 2 2 2 5 5 6 2" xfId="2627" xr:uid="{00000000-0005-0000-0000-000030980000}"/>
    <cellStyle name="Prosent 2 2 2 5 5 6 2 2" xfId="18432" xr:uid="{00000000-0005-0000-0000-000031980000}"/>
    <cellStyle name="Prosent 2 2 2 5 5 6 2 3" xfId="15382" xr:uid="{00000000-0005-0000-0000-000032980000}"/>
    <cellStyle name="Prosent 2 2 2 5 5 6 2 3 2" xfId="26498" xr:uid="{00000000-0005-0000-0000-000033980000}"/>
    <cellStyle name="Prosent 2 2 2 5 5 6 2 3 2 2" xfId="41938" xr:uid="{00000000-0005-0000-0000-000034980000}"/>
    <cellStyle name="Prosent 2 2 2 5 5 6 2 3 3" xfId="45073" xr:uid="{00000000-0005-0000-0000-000035980000}"/>
    <cellStyle name="Prosent 2 2 2 5 5 6 2 4" xfId="13295" xr:uid="{00000000-0005-0000-0000-000036980000}"/>
    <cellStyle name="Prosent 2 2 2 5 5 6 2_Avviksanalyse løpende RNB15 (1)" xfId="17006" xr:uid="{00000000-0005-0000-0000-000037980000}"/>
    <cellStyle name="Prosent 2 2 2 5 5 6 3" xfId="18431" xr:uid="{00000000-0005-0000-0000-000038980000}"/>
    <cellStyle name="Prosent 2 2 2 5 5 6 4" xfId="15381" xr:uid="{00000000-0005-0000-0000-000039980000}"/>
    <cellStyle name="Prosent 2 2 2 5 5 6 4 2" xfId="26499" xr:uid="{00000000-0005-0000-0000-00003A980000}"/>
    <cellStyle name="Prosent 2 2 2 5 5 6 4 2 2" xfId="41937" xr:uid="{00000000-0005-0000-0000-00003B980000}"/>
    <cellStyle name="Prosent 2 2 2 5 5 6 4 3" xfId="45074" xr:uid="{00000000-0005-0000-0000-00003C980000}"/>
    <cellStyle name="Prosent 2 2 2 5 5 6 5" xfId="13294" xr:uid="{00000000-0005-0000-0000-00003D980000}"/>
    <cellStyle name="Prosent 2 2 2 5 5 6_Avviksanalyse løpende RNB15 (1)" xfId="17005" xr:uid="{00000000-0005-0000-0000-00003E980000}"/>
    <cellStyle name="Prosent 2 2 2 5 5 7" xfId="2628" xr:uid="{00000000-0005-0000-0000-00003F980000}"/>
    <cellStyle name="Prosent 2 2 2 5 5 7 2" xfId="2629" xr:uid="{00000000-0005-0000-0000-000040980000}"/>
    <cellStyle name="Prosent 2 2 2 5 5 7 2 2" xfId="18434" xr:uid="{00000000-0005-0000-0000-000041980000}"/>
    <cellStyle name="Prosent 2 2 2 5 5 7 2 3" xfId="15384" xr:uid="{00000000-0005-0000-0000-000042980000}"/>
    <cellStyle name="Prosent 2 2 2 5 5 7 2 3 2" xfId="26500" xr:uid="{00000000-0005-0000-0000-000043980000}"/>
    <cellStyle name="Prosent 2 2 2 5 5 7 2 3 2 2" xfId="41940" xr:uid="{00000000-0005-0000-0000-000044980000}"/>
    <cellStyle name="Prosent 2 2 2 5 5 7 2 3 3" xfId="45075" xr:uid="{00000000-0005-0000-0000-000045980000}"/>
    <cellStyle name="Prosent 2 2 2 5 5 7 2 4" xfId="13297" xr:uid="{00000000-0005-0000-0000-000046980000}"/>
    <cellStyle name="Prosent 2 2 2 5 5 7 2_Avviksanalyse løpende RNB15 (1)" xfId="17008" xr:uid="{00000000-0005-0000-0000-000047980000}"/>
    <cellStyle name="Prosent 2 2 2 5 5 7 3" xfId="18433" xr:uid="{00000000-0005-0000-0000-000048980000}"/>
    <cellStyle name="Prosent 2 2 2 5 5 7 4" xfId="15383" xr:uid="{00000000-0005-0000-0000-000049980000}"/>
    <cellStyle name="Prosent 2 2 2 5 5 7 4 2" xfId="26501" xr:uid="{00000000-0005-0000-0000-00004A980000}"/>
    <cellStyle name="Prosent 2 2 2 5 5 7 4 2 2" xfId="41939" xr:uid="{00000000-0005-0000-0000-00004B980000}"/>
    <cellStyle name="Prosent 2 2 2 5 5 7 4 3" xfId="45076" xr:uid="{00000000-0005-0000-0000-00004C980000}"/>
    <cellStyle name="Prosent 2 2 2 5 5 7 5" xfId="13296" xr:uid="{00000000-0005-0000-0000-00004D980000}"/>
    <cellStyle name="Prosent 2 2 2 5 5 7_Avviksanalyse løpende RNB15 (1)" xfId="17007" xr:uid="{00000000-0005-0000-0000-00004E980000}"/>
    <cellStyle name="Prosent 2 2 2 5 5 8" xfId="18416" xr:uid="{00000000-0005-0000-0000-00004F980000}"/>
    <cellStyle name="Prosent 2 2 2 5 5 9" xfId="15366" xr:uid="{00000000-0005-0000-0000-000050980000}"/>
    <cellStyle name="Prosent 2 2 2 5 5 9 2" xfId="26502" xr:uid="{00000000-0005-0000-0000-000051980000}"/>
    <cellStyle name="Prosent 2 2 2 5 5 9 2 2" xfId="41922" xr:uid="{00000000-0005-0000-0000-000052980000}"/>
    <cellStyle name="Prosent 2 2 2 5 5 9 3" xfId="45077" xr:uid="{00000000-0005-0000-0000-000053980000}"/>
    <cellStyle name="Prosent 2 2 2 5 5_Avviksanalyse løpende RNB15 (1)" xfId="16990" xr:uid="{00000000-0005-0000-0000-000054980000}"/>
    <cellStyle name="Prosent 2 2 2 5 6" xfId="2630" xr:uid="{00000000-0005-0000-0000-000055980000}"/>
    <cellStyle name="Prosent 2 2 2 5 6 2" xfId="2631" xr:uid="{00000000-0005-0000-0000-000056980000}"/>
    <cellStyle name="Prosent 2 2 2 5 6 2 2" xfId="2632" xr:uid="{00000000-0005-0000-0000-000057980000}"/>
    <cellStyle name="Prosent 2 2 2 5 6 2 2 2" xfId="18437" xr:uid="{00000000-0005-0000-0000-000058980000}"/>
    <cellStyle name="Prosent 2 2 2 5 6 2 2 3" xfId="15387" xr:uid="{00000000-0005-0000-0000-000059980000}"/>
    <cellStyle name="Prosent 2 2 2 5 6 2 2 3 2" xfId="26503" xr:uid="{00000000-0005-0000-0000-00005A980000}"/>
    <cellStyle name="Prosent 2 2 2 5 6 2 2 3 2 2" xfId="41943" xr:uid="{00000000-0005-0000-0000-00005B980000}"/>
    <cellStyle name="Prosent 2 2 2 5 6 2 2 3 3" xfId="45078" xr:uid="{00000000-0005-0000-0000-00005C980000}"/>
    <cellStyle name="Prosent 2 2 2 5 6 2 2 4" xfId="13300" xr:uid="{00000000-0005-0000-0000-00005D980000}"/>
    <cellStyle name="Prosent 2 2 2 5 6 2 2_Avviksanalyse løpende RNB15 (1)" xfId="17011" xr:uid="{00000000-0005-0000-0000-00005E980000}"/>
    <cellStyle name="Prosent 2 2 2 5 6 2 3" xfId="2633" xr:uid="{00000000-0005-0000-0000-00005F980000}"/>
    <cellStyle name="Prosent 2 2 2 5 6 2 3 2" xfId="2634" xr:uid="{00000000-0005-0000-0000-000060980000}"/>
    <cellStyle name="Prosent 2 2 2 5 6 2 3 2 2" xfId="18439" xr:uid="{00000000-0005-0000-0000-000061980000}"/>
    <cellStyle name="Prosent 2 2 2 5 6 2 3 2 3" xfId="15389" xr:uid="{00000000-0005-0000-0000-000062980000}"/>
    <cellStyle name="Prosent 2 2 2 5 6 2 3 2 3 2" xfId="26504" xr:uid="{00000000-0005-0000-0000-000063980000}"/>
    <cellStyle name="Prosent 2 2 2 5 6 2 3 2 3 2 2" xfId="41945" xr:uid="{00000000-0005-0000-0000-000064980000}"/>
    <cellStyle name="Prosent 2 2 2 5 6 2 3 2 3 3" xfId="45079" xr:uid="{00000000-0005-0000-0000-000065980000}"/>
    <cellStyle name="Prosent 2 2 2 5 6 2 3 2 4" xfId="13302" xr:uid="{00000000-0005-0000-0000-000066980000}"/>
    <cellStyle name="Prosent 2 2 2 5 6 2 3 2_Avviksanalyse løpende RNB15 (1)" xfId="17013" xr:uid="{00000000-0005-0000-0000-000067980000}"/>
    <cellStyle name="Prosent 2 2 2 5 6 2 3 3" xfId="18438" xr:uid="{00000000-0005-0000-0000-000068980000}"/>
    <cellStyle name="Prosent 2 2 2 5 6 2 3 4" xfId="15388" xr:uid="{00000000-0005-0000-0000-000069980000}"/>
    <cellStyle name="Prosent 2 2 2 5 6 2 3 4 2" xfId="26505" xr:uid="{00000000-0005-0000-0000-00006A980000}"/>
    <cellStyle name="Prosent 2 2 2 5 6 2 3 4 2 2" xfId="41944" xr:uid="{00000000-0005-0000-0000-00006B980000}"/>
    <cellStyle name="Prosent 2 2 2 5 6 2 3 4 3" xfId="45080" xr:uid="{00000000-0005-0000-0000-00006C980000}"/>
    <cellStyle name="Prosent 2 2 2 5 6 2 3 5" xfId="13301" xr:uid="{00000000-0005-0000-0000-00006D980000}"/>
    <cellStyle name="Prosent 2 2 2 5 6 2 3_Avviksanalyse løpende RNB15 (1)" xfId="17012" xr:uid="{00000000-0005-0000-0000-00006E980000}"/>
    <cellStyle name="Prosent 2 2 2 5 6 2 4" xfId="2635" xr:uid="{00000000-0005-0000-0000-00006F980000}"/>
    <cellStyle name="Prosent 2 2 2 5 6 2 4 2" xfId="2636" xr:uid="{00000000-0005-0000-0000-000070980000}"/>
    <cellStyle name="Prosent 2 2 2 5 6 2 4 2 2" xfId="18441" xr:uid="{00000000-0005-0000-0000-000071980000}"/>
    <cellStyle name="Prosent 2 2 2 5 6 2 4 2 3" xfId="15391" xr:uid="{00000000-0005-0000-0000-000072980000}"/>
    <cellStyle name="Prosent 2 2 2 5 6 2 4 2 3 2" xfId="26506" xr:uid="{00000000-0005-0000-0000-000073980000}"/>
    <cellStyle name="Prosent 2 2 2 5 6 2 4 2 3 2 2" xfId="41947" xr:uid="{00000000-0005-0000-0000-000074980000}"/>
    <cellStyle name="Prosent 2 2 2 5 6 2 4 2 3 3" xfId="45081" xr:uid="{00000000-0005-0000-0000-000075980000}"/>
    <cellStyle name="Prosent 2 2 2 5 6 2 4 2 4" xfId="13304" xr:uid="{00000000-0005-0000-0000-000076980000}"/>
    <cellStyle name="Prosent 2 2 2 5 6 2 4 2_Avviksanalyse løpende RNB15 (1)" xfId="17015" xr:uid="{00000000-0005-0000-0000-000077980000}"/>
    <cellStyle name="Prosent 2 2 2 5 6 2 4 3" xfId="18440" xr:uid="{00000000-0005-0000-0000-000078980000}"/>
    <cellStyle name="Prosent 2 2 2 5 6 2 4 4" xfId="15390" xr:uid="{00000000-0005-0000-0000-000079980000}"/>
    <cellStyle name="Prosent 2 2 2 5 6 2 4 4 2" xfId="26507" xr:uid="{00000000-0005-0000-0000-00007A980000}"/>
    <cellStyle name="Prosent 2 2 2 5 6 2 4 4 2 2" xfId="41946" xr:uid="{00000000-0005-0000-0000-00007B980000}"/>
    <cellStyle name="Prosent 2 2 2 5 6 2 4 4 3" xfId="45082" xr:uid="{00000000-0005-0000-0000-00007C980000}"/>
    <cellStyle name="Prosent 2 2 2 5 6 2 4 5" xfId="13303" xr:uid="{00000000-0005-0000-0000-00007D980000}"/>
    <cellStyle name="Prosent 2 2 2 5 6 2 4_Avviksanalyse løpende RNB15 (1)" xfId="17014" xr:uid="{00000000-0005-0000-0000-00007E980000}"/>
    <cellStyle name="Prosent 2 2 2 5 6 2 5" xfId="18436" xr:uid="{00000000-0005-0000-0000-00007F980000}"/>
    <cellStyle name="Prosent 2 2 2 5 6 2 6" xfId="15386" xr:uid="{00000000-0005-0000-0000-000080980000}"/>
    <cellStyle name="Prosent 2 2 2 5 6 2 6 2" xfId="26508" xr:uid="{00000000-0005-0000-0000-000081980000}"/>
    <cellStyle name="Prosent 2 2 2 5 6 2 6 2 2" xfId="41942" xr:uid="{00000000-0005-0000-0000-000082980000}"/>
    <cellStyle name="Prosent 2 2 2 5 6 2 6 3" xfId="45083" xr:uid="{00000000-0005-0000-0000-000083980000}"/>
    <cellStyle name="Prosent 2 2 2 5 6 2 7" xfId="13299" xr:uid="{00000000-0005-0000-0000-000084980000}"/>
    <cellStyle name="Prosent 2 2 2 5 6 2_Avviksanalyse løpende RNB15 (1)" xfId="17010" xr:uid="{00000000-0005-0000-0000-000085980000}"/>
    <cellStyle name="Prosent 2 2 2 5 6 3" xfId="2637" xr:uid="{00000000-0005-0000-0000-000086980000}"/>
    <cellStyle name="Prosent 2 2 2 5 6 3 2" xfId="18442" xr:uid="{00000000-0005-0000-0000-000087980000}"/>
    <cellStyle name="Prosent 2 2 2 5 6 3 3" xfId="15392" xr:uid="{00000000-0005-0000-0000-000088980000}"/>
    <cellStyle name="Prosent 2 2 2 5 6 3 3 2" xfId="26509" xr:uid="{00000000-0005-0000-0000-000089980000}"/>
    <cellStyle name="Prosent 2 2 2 5 6 3 3 2 2" xfId="41948" xr:uid="{00000000-0005-0000-0000-00008A980000}"/>
    <cellStyle name="Prosent 2 2 2 5 6 3 3 3" xfId="45084" xr:uid="{00000000-0005-0000-0000-00008B980000}"/>
    <cellStyle name="Prosent 2 2 2 5 6 3 4" xfId="13305" xr:uid="{00000000-0005-0000-0000-00008C980000}"/>
    <cellStyle name="Prosent 2 2 2 5 6 3_Avviksanalyse løpende RNB15 (1)" xfId="17016" xr:uid="{00000000-0005-0000-0000-00008D980000}"/>
    <cellStyle name="Prosent 2 2 2 5 6 4" xfId="2638" xr:uid="{00000000-0005-0000-0000-00008E980000}"/>
    <cellStyle name="Prosent 2 2 2 5 6 4 2" xfId="2639" xr:uid="{00000000-0005-0000-0000-00008F980000}"/>
    <cellStyle name="Prosent 2 2 2 5 6 4 2 2" xfId="18444" xr:uid="{00000000-0005-0000-0000-000090980000}"/>
    <cellStyle name="Prosent 2 2 2 5 6 4 2 3" xfId="15394" xr:uid="{00000000-0005-0000-0000-000091980000}"/>
    <cellStyle name="Prosent 2 2 2 5 6 4 2 3 2" xfId="26510" xr:uid="{00000000-0005-0000-0000-000092980000}"/>
    <cellStyle name="Prosent 2 2 2 5 6 4 2 3 2 2" xfId="41950" xr:uid="{00000000-0005-0000-0000-000093980000}"/>
    <cellStyle name="Prosent 2 2 2 5 6 4 2 3 3" xfId="45085" xr:uid="{00000000-0005-0000-0000-000094980000}"/>
    <cellStyle name="Prosent 2 2 2 5 6 4 2 4" xfId="13307" xr:uid="{00000000-0005-0000-0000-000095980000}"/>
    <cellStyle name="Prosent 2 2 2 5 6 4 2_Avviksanalyse løpende RNB15 (1)" xfId="17018" xr:uid="{00000000-0005-0000-0000-000096980000}"/>
    <cellStyle name="Prosent 2 2 2 5 6 4 3" xfId="18443" xr:uid="{00000000-0005-0000-0000-000097980000}"/>
    <cellStyle name="Prosent 2 2 2 5 6 4 4" xfId="15393" xr:uid="{00000000-0005-0000-0000-000098980000}"/>
    <cellStyle name="Prosent 2 2 2 5 6 4 4 2" xfId="26511" xr:uid="{00000000-0005-0000-0000-000099980000}"/>
    <cellStyle name="Prosent 2 2 2 5 6 4 4 2 2" xfId="41949" xr:uid="{00000000-0005-0000-0000-00009A980000}"/>
    <cellStyle name="Prosent 2 2 2 5 6 4 4 3" xfId="45086" xr:uid="{00000000-0005-0000-0000-00009B980000}"/>
    <cellStyle name="Prosent 2 2 2 5 6 4 5" xfId="13306" xr:uid="{00000000-0005-0000-0000-00009C980000}"/>
    <cellStyle name="Prosent 2 2 2 5 6 4_Avviksanalyse løpende RNB15 (1)" xfId="17017" xr:uid="{00000000-0005-0000-0000-00009D980000}"/>
    <cellStyle name="Prosent 2 2 2 5 6 5" xfId="2640" xr:uid="{00000000-0005-0000-0000-00009E980000}"/>
    <cellStyle name="Prosent 2 2 2 5 6 5 2" xfId="2641" xr:uid="{00000000-0005-0000-0000-00009F980000}"/>
    <cellStyle name="Prosent 2 2 2 5 6 5 2 2" xfId="18446" xr:uid="{00000000-0005-0000-0000-0000A0980000}"/>
    <cellStyle name="Prosent 2 2 2 5 6 5 2 3" xfId="15396" xr:uid="{00000000-0005-0000-0000-0000A1980000}"/>
    <cellStyle name="Prosent 2 2 2 5 6 5 2 3 2" xfId="26512" xr:uid="{00000000-0005-0000-0000-0000A2980000}"/>
    <cellStyle name="Prosent 2 2 2 5 6 5 2 3 2 2" xfId="41952" xr:uid="{00000000-0005-0000-0000-0000A3980000}"/>
    <cellStyle name="Prosent 2 2 2 5 6 5 2 3 3" xfId="45087" xr:uid="{00000000-0005-0000-0000-0000A4980000}"/>
    <cellStyle name="Prosent 2 2 2 5 6 5 2 4" xfId="13309" xr:uid="{00000000-0005-0000-0000-0000A5980000}"/>
    <cellStyle name="Prosent 2 2 2 5 6 5 2_Avviksanalyse løpende RNB15 (1)" xfId="17020" xr:uid="{00000000-0005-0000-0000-0000A6980000}"/>
    <cellStyle name="Prosent 2 2 2 5 6 5 3" xfId="18445" xr:uid="{00000000-0005-0000-0000-0000A7980000}"/>
    <cellStyle name="Prosent 2 2 2 5 6 5 4" xfId="15395" xr:uid="{00000000-0005-0000-0000-0000A8980000}"/>
    <cellStyle name="Prosent 2 2 2 5 6 5 4 2" xfId="26513" xr:uid="{00000000-0005-0000-0000-0000A9980000}"/>
    <cellStyle name="Prosent 2 2 2 5 6 5 4 2 2" xfId="41951" xr:uid="{00000000-0005-0000-0000-0000AA980000}"/>
    <cellStyle name="Prosent 2 2 2 5 6 5 4 3" xfId="45088" xr:uid="{00000000-0005-0000-0000-0000AB980000}"/>
    <cellStyle name="Prosent 2 2 2 5 6 5 5" xfId="13308" xr:uid="{00000000-0005-0000-0000-0000AC980000}"/>
    <cellStyle name="Prosent 2 2 2 5 6 5_Avviksanalyse løpende RNB15 (1)" xfId="17019" xr:uid="{00000000-0005-0000-0000-0000AD980000}"/>
    <cellStyle name="Prosent 2 2 2 5 6 6" xfId="18435" xr:uid="{00000000-0005-0000-0000-0000AE980000}"/>
    <cellStyle name="Prosent 2 2 2 5 6 7" xfId="15385" xr:uid="{00000000-0005-0000-0000-0000AF980000}"/>
    <cellStyle name="Prosent 2 2 2 5 6 7 2" xfId="26514" xr:uid="{00000000-0005-0000-0000-0000B0980000}"/>
    <cellStyle name="Prosent 2 2 2 5 6 7 2 2" xfId="41941" xr:uid="{00000000-0005-0000-0000-0000B1980000}"/>
    <cellStyle name="Prosent 2 2 2 5 6 7 3" xfId="45089" xr:uid="{00000000-0005-0000-0000-0000B2980000}"/>
    <cellStyle name="Prosent 2 2 2 5 6 8" xfId="13298" xr:uid="{00000000-0005-0000-0000-0000B3980000}"/>
    <cellStyle name="Prosent 2 2 2 5 6_Avviksanalyse løpende RNB15 (1)" xfId="17009" xr:uid="{00000000-0005-0000-0000-0000B4980000}"/>
    <cellStyle name="Prosent 2 2 2 5 7" xfId="2642" xr:uid="{00000000-0005-0000-0000-0000B5980000}"/>
    <cellStyle name="Prosent 2 2 2 5 7 2" xfId="2643" xr:uid="{00000000-0005-0000-0000-0000B6980000}"/>
    <cellStyle name="Prosent 2 2 2 5 7 2 2" xfId="18448" xr:uid="{00000000-0005-0000-0000-0000B7980000}"/>
    <cellStyle name="Prosent 2 2 2 5 7 2 3" xfId="15398" xr:uid="{00000000-0005-0000-0000-0000B8980000}"/>
    <cellStyle name="Prosent 2 2 2 5 7 2 3 2" xfId="26515" xr:uid="{00000000-0005-0000-0000-0000B9980000}"/>
    <cellStyle name="Prosent 2 2 2 5 7 2 3 2 2" xfId="41954" xr:uid="{00000000-0005-0000-0000-0000BA980000}"/>
    <cellStyle name="Prosent 2 2 2 5 7 2 3 3" xfId="45090" xr:uid="{00000000-0005-0000-0000-0000BB980000}"/>
    <cellStyle name="Prosent 2 2 2 5 7 2 4" xfId="13311" xr:uid="{00000000-0005-0000-0000-0000BC980000}"/>
    <cellStyle name="Prosent 2 2 2 5 7 2_Avviksanalyse løpende RNB15 (1)" xfId="17022" xr:uid="{00000000-0005-0000-0000-0000BD980000}"/>
    <cellStyle name="Prosent 2 2 2 5 7 3" xfId="2644" xr:uid="{00000000-0005-0000-0000-0000BE980000}"/>
    <cellStyle name="Prosent 2 2 2 5 7 3 2" xfId="2645" xr:uid="{00000000-0005-0000-0000-0000BF980000}"/>
    <cellStyle name="Prosent 2 2 2 5 7 3 2 2" xfId="18450" xr:uid="{00000000-0005-0000-0000-0000C0980000}"/>
    <cellStyle name="Prosent 2 2 2 5 7 3 2 3" xfId="15400" xr:uid="{00000000-0005-0000-0000-0000C1980000}"/>
    <cellStyle name="Prosent 2 2 2 5 7 3 2 3 2" xfId="26516" xr:uid="{00000000-0005-0000-0000-0000C2980000}"/>
    <cellStyle name="Prosent 2 2 2 5 7 3 2 3 2 2" xfId="41956" xr:uid="{00000000-0005-0000-0000-0000C3980000}"/>
    <cellStyle name="Prosent 2 2 2 5 7 3 2 3 3" xfId="45091" xr:uid="{00000000-0005-0000-0000-0000C4980000}"/>
    <cellStyle name="Prosent 2 2 2 5 7 3 2 4" xfId="13313" xr:uid="{00000000-0005-0000-0000-0000C5980000}"/>
    <cellStyle name="Prosent 2 2 2 5 7 3 2_Avviksanalyse løpende RNB15 (1)" xfId="17024" xr:uid="{00000000-0005-0000-0000-0000C6980000}"/>
    <cellStyle name="Prosent 2 2 2 5 7 3 3" xfId="18449" xr:uid="{00000000-0005-0000-0000-0000C7980000}"/>
    <cellStyle name="Prosent 2 2 2 5 7 3 4" xfId="15399" xr:uid="{00000000-0005-0000-0000-0000C8980000}"/>
    <cellStyle name="Prosent 2 2 2 5 7 3 4 2" xfId="26517" xr:uid="{00000000-0005-0000-0000-0000C9980000}"/>
    <cellStyle name="Prosent 2 2 2 5 7 3 4 2 2" xfId="41955" xr:uid="{00000000-0005-0000-0000-0000CA980000}"/>
    <cellStyle name="Prosent 2 2 2 5 7 3 4 3" xfId="45092" xr:uid="{00000000-0005-0000-0000-0000CB980000}"/>
    <cellStyle name="Prosent 2 2 2 5 7 3 5" xfId="13312" xr:uid="{00000000-0005-0000-0000-0000CC980000}"/>
    <cellStyle name="Prosent 2 2 2 5 7 3_Avviksanalyse løpende RNB15 (1)" xfId="17023" xr:uid="{00000000-0005-0000-0000-0000CD980000}"/>
    <cellStyle name="Prosent 2 2 2 5 7 4" xfId="2646" xr:uid="{00000000-0005-0000-0000-0000CE980000}"/>
    <cellStyle name="Prosent 2 2 2 5 7 4 2" xfId="2647" xr:uid="{00000000-0005-0000-0000-0000CF980000}"/>
    <cellStyle name="Prosent 2 2 2 5 7 4 2 2" xfId="18452" xr:uid="{00000000-0005-0000-0000-0000D0980000}"/>
    <cellStyle name="Prosent 2 2 2 5 7 4 2 3" xfId="15402" xr:uid="{00000000-0005-0000-0000-0000D1980000}"/>
    <cellStyle name="Prosent 2 2 2 5 7 4 2 3 2" xfId="26518" xr:uid="{00000000-0005-0000-0000-0000D2980000}"/>
    <cellStyle name="Prosent 2 2 2 5 7 4 2 3 2 2" xfId="41958" xr:uid="{00000000-0005-0000-0000-0000D3980000}"/>
    <cellStyle name="Prosent 2 2 2 5 7 4 2 3 3" xfId="45093" xr:uid="{00000000-0005-0000-0000-0000D4980000}"/>
    <cellStyle name="Prosent 2 2 2 5 7 4 2 4" xfId="13315" xr:uid="{00000000-0005-0000-0000-0000D5980000}"/>
    <cellStyle name="Prosent 2 2 2 5 7 4 2_Avviksanalyse løpende RNB15 (1)" xfId="17026" xr:uid="{00000000-0005-0000-0000-0000D6980000}"/>
    <cellStyle name="Prosent 2 2 2 5 7 4 3" xfId="18451" xr:uid="{00000000-0005-0000-0000-0000D7980000}"/>
    <cellStyle name="Prosent 2 2 2 5 7 4 4" xfId="15401" xr:uid="{00000000-0005-0000-0000-0000D8980000}"/>
    <cellStyle name="Prosent 2 2 2 5 7 4 4 2" xfId="26519" xr:uid="{00000000-0005-0000-0000-0000D9980000}"/>
    <cellStyle name="Prosent 2 2 2 5 7 4 4 2 2" xfId="41957" xr:uid="{00000000-0005-0000-0000-0000DA980000}"/>
    <cellStyle name="Prosent 2 2 2 5 7 4 4 3" xfId="45094" xr:uid="{00000000-0005-0000-0000-0000DB980000}"/>
    <cellStyle name="Prosent 2 2 2 5 7 4 5" xfId="13314" xr:uid="{00000000-0005-0000-0000-0000DC980000}"/>
    <cellStyle name="Prosent 2 2 2 5 7 4_Avviksanalyse løpende RNB15 (1)" xfId="17025" xr:uid="{00000000-0005-0000-0000-0000DD980000}"/>
    <cellStyle name="Prosent 2 2 2 5 7 5" xfId="18447" xr:uid="{00000000-0005-0000-0000-0000DE980000}"/>
    <cellStyle name="Prosent 2 2 2 5 7 6" xfId="15397" xr:uid="{00000000-0005-0000-0000-0000DF980000}"/>
    <cellStyle name="Prosent 2 2 2 5 7 6 2" xfId="26520" xr:uid="{00000000-0005-0000-0000-0000E0980000}"/>
    <cellStyle name="Prosent 2 2 2 5 7 6 2 2" xfId="41953" xr:uid="{00000000-0005-0000-0000-0000E1980000}"/>
    <cellStyle name="Prosent 2 2 2 5 7 6 3" xfId="45095" xr:uid="{00000000-0005-0000-0000-0000E2980000}"/>
    <cellStyle name="Prosent 2 2 2 5 7 7" xfId="13310" xr:uid="{00000000-0005-0000-0000-0000E3980000}"/>
    <cellStyle name="Prosent 2 2 2 5 7_Avviksanalyse løpende RNB15 (1)" xfId="17021" xr:uid="{00000000-0005-0000-0000-0000E4980000}"/>
    <cellStyle name="Prosent 2 2 2 5 8" xfId="2648" xr:uid="{00000000-0005-0000-0000-0000E5980000}"/>
    <cellStyle name="Prosent 2 2 2 5 8 2" xfId="2649" xr:uid="{00000000-0005-0000-0000-0000E6980000}"/>
    <cellStyle name="Prosent 2 2 2 5 8 2 2" xfId="18454" xr:uid="{00000000-0005-0000-0000-0000E7980000}"/>
    <cellStyle name="Prosent 2 2 2 5 8 2 3" xfId="15404" xr:uid="{00000000-0005-0000-0000-0000E8980000}"/>
    <cellStyle name="Prosent 2 2 2 5 8 2 3 2" xfId="26521" xr:uid="{00000000-0005-0000-0000-0000E9980000}"/>
    <cellStyle name="Prosent 2 2 2 5 8 2 3 2 2" xfId="41960" xr:uid="{00000000-0005-0000-0000-0000EA980000}"/>
    <cellStyle name="Prosent 2 2 2 5 8 2 3 3" xfId="45096" xr:uid="{00000000-0005-0000-0000-0000EB980000}"/>
    <cellStyle name="Prosent 2 2 2 5 8 2 4" xfId="13317" xr:uid="{00000000-0005-0000-0000-0000EC980000}"/>
    <cellStyle name="Prosent 2 2 2 5 8 2_Avviksanalyse løpende RNB15 (1)" xfId="17028" xr:uid="{00000000-0005-0000-0000-0000ED980000}"/>
    <cellStyle name="Prosent 2 2 2 5 8 3" xfId="18453" xr:uid="{00000000-0005-0000-0000-0000EE980000}"/>
    <cellStyle name="Prosent 2 2 2 5 8 4" xfId="15403" xr:uid="{00000000-0005-0000-0000-0000EF980000}"/>
    <cellStyle name="Prosent 2 2 2 5 8 4 2" xfId="26522" xr:uid="{00000000-0005-0000-0000-0000F0980000}"/>
    <cellStyle name="Prosent 2 2 2 5 8 4 2 2" xfId="41959" xr:uid="{00000000-0005-0000-0000-0000F1980000}"/>
    <cellStyle name="Prosent 2 2 2 5 8 4 3" xfId="45097" xr:uid="{00000000-0005-0000-0000-0000F2980000}"/>
    <cellStyle name="Prosent 2 2 2 5 8 5" xfId="13316" xr:uid="{00000000-0005-0000-0000-0000F3980000}"/>
    <cellStyle name="Prosent 2 2 2 5 8_Avviksanalyse løpende RNB15 (1)" xfId="17027" xr:uid="{00000000-0005-0000-0000-0000F4980000}"/>
    <cellStyle name="Prosent 2 2 2 5 9" xfId="2650" xr:uid="{00000000-0005-0000-0000-0000F5980000}"/>
    <cellStyle name="Prosent 2 2 2 5 9 2" xfId="2651" xr:uid="{00000000-0005-0000-0000-0000F6980000}"/>
    <cellStyle name="Prosent 2 2 2 5 9 2 2" xfId="18456" xr:uid="{00000000-0005-0000-0000-0000F7980000}"/>
    <cellStyle name="Prosent 2 2 2 5 9 2 3" xfId="15406" xr:uid="{00000000-0005-0000-0000-0000F8980000}"/>
    <cellStyle name="Prosent 2 2 2 5 9 2 3 2" xfId="26523" xr:uid="{00000000-0005-0000-0000-0000F9980000}"/>
    <cellStyle name="Prosent 2 2 2 5 9 2 3 2 2" xfId="41962" xr:uid="{00000000-0005-0000-0000-0000FA980000}"/>
    <cellStyle name="Prosent 2 2 2 5 9 2 3 3" xfId="45098" xr:uid="{00000000-0005-0000-0000-0000FB980000}"/>
    <cellStyle name="Prosent 2 2 2 5 9 2 4" xfId="13319" xr:uid="{00000000-0005-0000-0000-0000FC980000}"/>
    <cellStyle name="Prosent 2 2 2 5 9 2_Avviksanalyse løpende RNB15 (1)" xfId="17030" xr:uid="{00000000-0005-0000-0000-0000FD980000}"/>
    <cellStyle name="Prosent 2 2 2 5 9 3" xfId="18455" xr:uid="{00000000-0005-0000-0000-0000FE980000}"/>
    <cellStyle name="Prosent 2 2 2 5 9 4" xfId="15405" xr:uid="{00000000-0005-0000-0000-0000FF980000}"/>
    <cellStyle name="Prosent 2 2 2 5 9 4 2" xfId="26524" xr:uid="{00000000-0005-0000-0000-000000990000}"/>
    <cellStyle name="Prosent 2 2 2 5 9 4 2 2" xfId="41961" xr:uid="{00000000-0005-0000-0000-000001990000}"/>
    <cellStyle name="Prosent 2 2 2 5 9 4 3" xfId="45099" xr:uid="{00000000-0005-0000-0000-000002990000}"/>
    <cellStyle name="Prosent 2 2 2 5 9 5" xfId="13318" xr:uid="{00000000-0005-0000-0000-000003990000}"/>
    <cellStyle name="Prosent 2 2 2 5 9_Avviksanalyse løpende RNB15 (1)" xfId="17029" xr:uid="{00000000-0005-0000-0000-000004990000}"/>
    <cellStyle name="Prosent 2 2 2 5_Avviksanalyse løpende RNB15 (1)" xfId="16971" xr:uid="{00000000-0005-0000-0000-000005990000}"/>
    <cellStyle name="Prosent 2 2 2 6" xfId="2652" xr:uid="{00000000-0005-0000-0000-000006990000}"/>
    <cellStyle name="Prosent 2 2 2 6 2" xfId="2653" xr:uid="{00000000-0005-0000-0000-000007990000}"/>
    <cellStyle name="Prosent 2 2 2 6 2 2" xfId="18458" xr:uid="{00000000-0005-0000-0000-000008990000}"/>
    <cellStyle name="Prosent 2 2 2 6 2 3" xfId="15408" xr:uid="{00000000-0005-0000-0000-000009990000}"/>
    <cellStyle name="Prosent 2 2 2 6 2 3 2" xfId="26525" xr:uid="{00000000-0005-0000-0000-00000A990000}"/>
    <cellStyle name="Prosent 2 2 2 6 2 3 2 2" xfId="41964" xr:uid="{00000000-0005-0000-0000-00000B990000}"/>
    <cellStyle name="Prosent 2 2 2 6 2 3 3" xfId="45100" xr:uid="{00000000-0005-0000-0000-00000C990000}"/>
    <cellStyle name="Prosent 2 2 2 6 2 4" xfId="13321" xr:uid="{00000000-0005-0000-0000-00000D990000}"/>
    <cellStyle name="Prosent 2 2 2 6 2_Avviksanalyse løpende RNB15 (1)" xfId="17032" xr:uid="{00000000-0005-0000-0000-00000E990000}"/>
    <cellStyle name="Prosent 2 2 2 6 3" xfId="2654" xr:uid="{00000000-0005-0000-0000-00000F990000}"/>
    <cellStyle name="Prosent 2 2 2 6 3 2" xfId="18459" xr:uid="{00000000-0005-0000-0000-000010990000}"/>
    <cellStyle name="Prosent 2 2 2 6 3 3" xfId="15409" xr:uid="{00000000-0005-0000-0000-000011990000}"/>
    <cellStyle name="Prosent 2 2 2 6 3 3 2" xfId="26526" xr:uid="{00000000-0005-0000-0000-000012990000}"/>
    <cellStyle name="Prosent 2 2 2 6 3 3 2 2" xfId="41965" xr:uid="{00000000-0005-0000-0000-000013990000}"/>
    <cellStyle name="Prosent 2 2 2 6 3 3 3" xfId="45101" xr:uid="{00000000-0005-0000-0000-000014990000}"/>
    <cellStyle name="Prosent 2 2 2 6 3 4" xfId="13322" xr:uid="{00000000-0005-0000-0000-000015990000}"/>
    <cellStyle name="Prosent 2 2 2 6 3_Avviksanalyse løpende RNB15 (1)" xfId="17033" xr:uid="{00000000-0005-0000-0000-000016990000}"/>
    <cellStyle name="Prosent 2 2 2 6 4" xfId="2655" xr:uid="{00000000-0005-0000-0000-000017990000}"/>
    <cellStyle name="Prosent 2 2 2 6 4 2" xfId="2656" xr:uid="{00000000-0005-0000-0000-000018990000}"/>
    <cellStyle name="Prosent 2 2 2 6 4 2 2" xfId="2657" xr:uid="{00000000-0005-0000-0000-000019990000}"/>
    <cellStyle name="Prosent 2 2 2 6 4 2 2 2" xfId="18462" xr:uid="{00000000-0005-0000-0000-00001A990000}"/>
    <cellStyle name="Prosent 2 2 2 6 4 2 2 3" xfId="15412" xr:uid="{00000000-0005-0000-0000-00001B990000}"/>
    <cellStyle name="Prosent 2 2 2 6 4 2 2 3 2" xfId="26527" xr:uid="{00000000-0005-0000-0000-00001C990000}"/>
    <cellStyle name="Prosent 2 2 2 6 4 2 2 3 2 2" xfId="41968" xr:uid="{00000000-0005-0000-0000-00001D990000}"/>
    <cellStyle name="Prosent 2 2 2 6 4 2 2 3 3" xfId="45102" xr:uid="{00000000-0005-0000-0000-00001E990000}"/>
    <cellStyle name="Prosent 2 2 2 6 4 2 2 4" xfId="13325" xr:uid="{00000000-0005-0000-0000-00001F990000}"/>
    <cellStyle name="Prosent 2 2 2 6 4 2 2_Avviksanalyse løpende RNB15 (1)" xfId="17036" xr:uid="{00000000-0005-0000-0000-000020990000}"/>
    <cellStyle name="Prosent 2 2 2 6 4 2 3" xfId="2658" xr:uid="{00000000-0005-0000-0000-000021990000}"/>
    <cellStyle name="Prosent 2 2 2 6 4 2 3 2" xfId="2659" xr:uid="{00000000-0005-0000-0000-000022990000}"/>
    <cellStyle name="Prosent 2 2 2 6 4 2 3 2 2" xfId="18464" xr:uid="{00000000-0005-0000-0000-000023990000}"/>
    <cellStyle name="Prosent 2 2 2 6 4 2 3 2 3" xfId="15414" xr:uid="{00000000-0005-0000-0000-000024990000}"/>
    <cellStyle name="Prosent 2 2 2 6 4 2 3 2 3 2" xfId="26528" xr:uid="{00000000-0005-0000-0000-000025990000}"/>
    <cellStyle name="Prosent 2 2 2 6 4 2 3 2 3 2 2" xfId="41970" xr:uid="{00000000-0005-0000-0000-000026990000}"/>
    <cellStyle name="Prosent 2 2 2 6 4 2 3 2 3 3" xfId="45103" xr:uid="{00000000-0005-0000-0000-000027990000}"/>
    <cellStyle name="Prosent 2 2 2 6 4 2 3 2 4" xfId="13327" xr:uid="{00000000-0005-0000-0000-000028990000}"/>
    <cellStyle name="Prosent 2 2 2 6 4 2 3 2_Avviksanalyse løpende RNB15 (1)" xfId="17038" xr:uid="{00000000-0005-0000-0000-000029990000}"/>
    <cellStyle name="Prosent 2 2 2 6 4 2 3 3" xfId="18463" xr:uid="{00000000-0005-0000-0000-00002A990000}"/>
    <cellStyle name="Prosent 2 2 2 6 4 2 3 4" xfId="15413" xr:uid="{00000000-0005-0000-0000-00002B990000}"/>
    <cellStyle name="Prosent 2 2 2 6 4 2 3 4 2" xfId="26529" xr:uid="{00000000-0005-0000-0000-00002C990000}"/>
    <cellStyle name="Prosent 2 2 2 6 4 2 3 4 2 2" xfId="41969" xr:uid="{00000000-0005-0000-0000-00002D990000}"/>
    <cellStyle name="Prosent 2 2 2 6 4 2 3 4 3" xfId="45104" xr:uid="{00000000-0005-0000-0000-00002E990000}"/>
    <cellStyle name="Prosent 2 2 2 6 4 2 3 5" xfId="13326" xr:uid="{00000000-0005-0000-0000-00002F990000}"/>
    <cellStyle name="Prosent 2 2 2 6 4 2 3_Avviksanalyse løpende RNB15 (1)" xfId="17037" xr:uid="{00000000-0005-0000-0000-000030990000}"/>
    <cellStyle name="Prosent 2 2 2 6 4 2 4" xfId="2660" xr:uid="{00000000-0005-0000-0000-000031990000}"/>
    <cellStyle name="Prosent 2 2 2 6 4 2 4 2" xfId="2661" xr:uid="{00000000-0005-0000-0000-000032990000}"/>
    <cellStyle name="Prosent 2 2 2 6 4 2 4 2 2" xfId="18466" xr:uid="{00000000-0005-0000-0000-000033990000}"/>
    <cellStyle name="Prosent 2 2 2 6 4 2 4 2 3" xfId="15416" xr:uid="{00000000-0005-0000-0000-000034990000}"/>
    <cellStyle name="Prosent 2 2 2 6 4 2 4 2 3 2" xfId="26530" xr:uid="{00000000-0005-0000-0000-000035990000}"/>
    <cellStyle name="Prosent 2 2 2 6 4 2 4 2 3 2 2" xfId="41972" xr:uid="{00000000-0005-0000-0000-000036990000}"/>
    <cellStyle name="Prosent 2 2 2 6 4 2 4 2 3 3" xfId="45105" xr:uid="{00000000-0005-0000-0000-000037990000}"/>
    <cellStyle name="Prosent 2 2 2 6 4 2 4 2 4" xfId="13329" xr:uid="{00000000-0005-0000-0000-000038990000}"/>
    <cellStyle name="Prosent 2 2 2 6 4 2 4 2_Avviksanalyse løpende RNB15 (1)" xfId="17040" xr:uid="{00000000-0005-0000-0000-000039990000}"/>
    <cellStyle name="Prosent 2 2 2 6 4 2 4 3" xfId="18465" xr:uid="{00000000-0005-0000-0000-00003A990000}"/>
    <cellStyle name="Prosent 2 2 2 6 4 2 4 4" xfId="15415" xr:uid="{00000000-0005-0000-0000-00003B990000}"/>
    <cellStyle name="Prosent 2 2 2 6 4 2 4 4 2" xfId="26531" xr:uid="{00000000-0005-0000-0000-00003C990000}"/>
    <cellStyle name="Prosent 2 2 2 6 4 2 4 4 2 2" xfId="41971" xr:uid="{00000000-0005-0000-0000-00003D990000}"/>
    <cellStyle name="Prosent 2 2 2 6 4 2 4 4 3" xfId="45106" xr:uid="{00000000-0005-0000-0000-00003E990000}"/>
    <cellStyle name="Prosent 2 2 2 6 4 2 4 5" xfId="13328" xr:uid="{00000000-0005-0000-0000-00003F990000}"/>
    <cellStyle name="Prosent 2 2 2 6 4 2 4_Avviksanalyse løpende RNB15 (1)" xfId="17039" xr:uid="{00000000-0005-0000-0000-000040990000}"/>
    <cellStyle name="Prosent 2 2 2 6 4 2 5" xfId="18461" xr:uid="{00000000-0005-0000-0000-000041990000}"/>
    <cellStyle name="Prosent 2 2 2 6 4 2 6" xfId="15411" xr:uid="{00000000-0005-0000-0000-000042990000}"/>
    <cellStyle name="Prosent 2 2 2 6 4 2 6 2" xfId="26532" xr:uid="{00000000-0005-0000-0000-000043990000}"/>
    <cellStyle name="Prosent 2 2 2 6 4 2 6 2 2" xfId="41967" xr:uid="{00000000-0005-0000-0000-000044990000}"/>
    <cellStyle name="Prosent 2 2 2 6 4 2 6 3" xfId="45107" xr:uid="{00000000-0005-0000-0000-000045990000}"/>
    <cellStyle name="Prosent 2 2 2 6 4 2 7" xfId="13324" xr:uid="{00000000-0005-0000-0000-000046990000}"/>
    <cellStyle name="Prosent 2 2 2 6 4 2_Avviksanalyse løpende RNB15 (1)" xfId="17035" xr:uid="{00000000-0005-0000-0000-000047990000}"/>
    <cellStyle name="Prosent 2 2 2 6 4 3" xfId="2662" xr:uid="{00000000-0005-0000-0000-000048990000}"/>
    <cellStyle name="Prosent 2 2 2 6 4 3 2" xfId="18467" xr:uid="{00000000-0005-0000-0000-000049990000}"/>
    <cellStyle name="Prosent 2 2 2 6 4 3 3" xfId="15417" xr:uid="{00000000-0005-0000-0000-00004A990000}"/>
    <cellStyle name="Prosent 2 2 2 6 4 3 3 2" xfId="26533" xr:uid="{00000000-0005-0000-0000-00004B990000}"/>
    <cellStyle name="Prosent 2 2 2 6 4 3 3 2 2" xfId="41973" xr:uid="{00000000-0005-0000-0000-00004C990000}"/>
    <cellStyle name="Prosent 2 2 2 6 4 3 3 3" xfId="45108" xr:uid="{00000000-0005-0000-0000-00004D990000}"/>
    <cellStyle name="Prosent 2 2 2 6 4 3 4" xfId="13330" xr:uid="{00000000-0005-0000-0000-00004E990000}"/>
    <cellStyle name="Prosent 2 2 2 6 4 3_Avviksanalyse løpende RNB15 (1)" xfId="17041" xr:uid="{00000000-0005-0000-0000-00004F990000}"/>
    <cellStyle name="Prosent 2 2 2 6 4 4" xfId="2663" xr:uid="{00000000-0005-0000-0000-000050990000}"/>
    <cellStyle name="Prosent 2 2 2 6 4 4 2" xfId="2664" xr:uid="{00000000-0005-0000-0000-000051990000}"/>
    <cellStyle name="Prosent 2 2 2 6 4 4 2 2" xfId="18469" xr:uid="{00000000-0005-0000-0000-000052990000}"/>
    <cellStyle name="Prosent 2 2 2 6 4 4 2 3" xfId="15419" xr:uid="{00000000-0005-0000-0000-000053990000}"/>
    <cellStyle name="Prosent 2 2 2 6 4 4 2 3 2" xfId="26534" xr:uid="{00000000-0005-0000-0000-000054990000}"/>
    <cellStyle name="Prosent 2 2 2 6 4 4 2 3 2 2" xfId="41975" xr:uid="{00000000-0005-0000-0000-000055990000}"/>
    <cellStyle name="Prosent 2 2 2 6 4 4 2 3 3" xfId="45109" xr:uid="{00000000-0005-0000-0000-000056990000}"/>
    <cellStyle name="Prosent 2 2 2 6 4 4 2 4" xfId="13332" xr:uid="{00000000-0005-0000-0000-000057990000}"/>
    <cellStyle name="Prosent 2 2 2 6 4 4 2_Avviksanalyse løpende RNB15 (1)" xfId="17043" xr:uid="{00000000-0005-0000-0000-000058990000}"/>
    <cellStyle name="Prosent 2 2 2 6 4 4 3" xfId="18468" xr:uid="{00000000-0005-0000-0000-000059990000}"/>
    <cellStyle name="Prosent 2 2 2 6 4 4 4" xfId="15418" xr:uid="{00000000-0005-0000-0000-00005A990000}"/>
    <cellStyle name="Prosent 2 2 2 6 4 4 4 2" xfId="26535" xr:uid="{00000000-0005-0000-0000-00005B990000}"/>
    <cellStyle name="Prosent 2 2 2 6 4 4 4 2 2" xfId="41974" xr:uid="{00000000-0005-0000-0000-00005C990000}"/>
    <cellStyle name="Prosent 2 2 2 6 4 4 4 3" xfId="45110" xr:uid="{00000000-0005-0000-0000-00005D990000}"/>
    <cellStyle name="Prosent 2 2 2 6 4 4 5" xfId="13331" xr:uid="{00000000-0005-0000-0000-00005E990000}"/>
    <cellStyle name="Prosent 2 2 2 6 4 4_Avviksanalyse løpende RNB15 (1)" xfId="17042" xr:uid="{00000000-0005-0000-0000-00005F990000}"/>
    <cellStyle name="Prosent 2 2 2 6 4 5" xfId="2665" xr:uid="{00000000-0005-0000-0000-000060990000}"/>
    <cellStyle name="Prosent 2 2 2 6 4 5 2" xfId="2666" xr:uid="{00000000-0005-0000-0000-000061990000}"/>
    <cellStyle name="Prosent 2 2 2 6 4 5 2 2" xfId="18471" xr:uid="{00000000-0005-0000-0000-000062990000}"/>
    <cellStyle name="Prosent 2 2 2 6 4 5 2 3" xfId="15421" xr:uid="{00000000-0005-0000-0000-000063990000}"/>
    <cellStyle name="Prosent 2 2 2 6 4 5 2 3 2" xfId="26536" xr:uid="{00000000-0005-0000-0000-000064990000}"/>
    <cellStyle name="Prosent 2 2 2 6 4 5 2 3 2 2" xfId="41977" xr:uid="{00000000-0005-0000-0000-000065990000}"/>
    <cellStyle name="Prosent 2 2 2 6 4 5 2 3 3" xfId="45111" xr:uid="{00000000-0005-0000-0000-000066990000}"/>
    <cellStyle name="Prosent 2 2 2 6 4 5 2 4" xfId="13334" xr:uid="{00000000-0005-0000-0000-000067990000}"/>
    <cellStyle name="Prosent 2 2 2 6 4 5 2_Avviksanalyse løpende RNB15 (1)" xfId="17045" xr:uid="{00000000-0005-0000-0000-000068990000}"/>
    <cellStyle name="Prosent 2 2 2 6 4 5 3" xfId="18470" xr:uid="{00000000-0005-0000-0000-000069990000}"/>
    <cellStyle name="Prosent 2 2 2 6 4 5 4" xfId="15420" xr:uid="{00000000-0005-0000-0000-00006A990000}"/>
    <cellStyle name="Prosent 2 2 2 6 4 5 4 2" xfId="26537" xr:uid="{00000000-0005-0000-0000-00006B990000}"/>
    <cellStyle name="Prosent 2 2 2 6 4 5 4 2 2" xfId="41976" xr:uid="{00000000-0005-0000-0000-00006C990000}"/>
    <cellStyle name="Prosent 2 2 2 6 4 5 4 3" xfId="45112" xr:uid="{00000000-0005-0000-0000-00006D990000}"/>
    <cellStyle name="Prosent 2 2 2 6 4 5 5" xfId="13333" xr:uid="{00000000-0005-0000-0000-00006E990000}"/>
    <cellStyle name="Prosent 2 2 2 6 4 5_Avviksanalyse løpende RNB15 (1)" xfId="17044" xr:uid="{00000000-0005-0000-0000-00006F990000}"/>
    <cellStyle name="Prosent 2 2 2 6 4 6" xfId="18460" xr:uid="{00000000-0005-0000-0000-000070990000}"/>
    <cellStyle name="Prosent 2 2 2 6 4 7" xfId="15410" xr:uid="{00000000-0005-0000-0000-000071990000}"/>
    <cellStyle name="Prosent 2 2 2 6 4 7 2" xfId="26538" xr:uid="{00000000-0005-0000-0000-000072990000}"/>
    <cellStyle name="Prosent 2 2 2 6 4 7 2 2" xfId="41966" xr:uid="{00000000-0005-0000-0000-000073990000}"/>
    <cellStyle name="Prosent 2 2 2 6 4 7 3" xfId="45113" xr:uid="{00000000-0005-0000-0000-000074990000}"/>
    <cellStyle name="Prosent 2 2 2 6 4 8" xfId="13323" xr:uid="{00000000-0005-0000-0000-000075990000}"/>
    <cellStyle name="Prosent 2 2 2 6 4_Avviksanalyse løpende RNB15 (1)" xfId="17034" xr:uid="{00000000-0005-0000-0000-000076990000}"/>
    <cellStyle name="Prosent 2 2 2 6 5" xfId="18457" xr:uid="{00000000-0005-0000-0000-000077990000}"/>
    <cellStyle name="Prosent 2 2 2 6 6" xfId="15407" xr:uid="{00000000-0005-0000-0000-000078990000}"/>
    <cellStyle name="Prosent 2 2 2 6 6 2" xfId="26539" xr:uid="{00000000-0005-0000-0000-000079990000}"/>
    <cellStyle name="Prosent 2 2 2 6 6 2 2" xfId="41963" xr:uid="{00000000-0005-0000-0000-00007A990000}"/>
    <cellStyle name="Prosent 2 2 2 6 6 3" xfId="45114" xr:uid="{00000000-0005-0000-0000-00007B990000}"/>
    <cellStyle name="Prosent 2 2 2 6 7" xfId="13320" xr:uid="{00000000-0005-0000-0000-00007C990000}"/>
    <cellStyle name="Prosent 2 2 2 6_Avviksanalyse løpende RNB15 (1)" xfId="17031" xr:uid="{00000000-0005-0000-0000-00007D990000}"/>
    <cellStyle name="Prosent 2 2 2 7" xfId="2667" xr:uid="{00000000-0005-0000-0000-00007E990000}"/>
    <cellStyle name="Prosent 2 2 2 7 2" xfId="2668" xr:uid="{00000000-0005-0000-0000-00007F990000}"/>
    <cellStyle name="Prosent 2 2 2 7 2 2" xfId="2669" xr:uid="{00000000-0005-0000-0000-000080990000}"/>
    <cellStyle name="Prosent 2 2 2 7 2 2 2" xfId="18474" xr:uid="{00000000-0005-0000-0000-000081990000}"/>
    <cellStyle name="Prosent 2 2 2 7 2 2 3" xfId="15424" xr:uid="{00000000-0005-0000-0000-000082990000}"/>
    <cellStyle name="Prosent 2 2 2 7 2 2 3 2" xfId="26540" xr:uid="{00000000-0005-0000-0000-000083990000}"/>
    <cellStyle name="Prosent 2 2 2 7 2 2 3 2 2" xfId="41980" xr:uid="{00000000-0005-0000-0000-000084990000}"/>
    <cellStyle name="Prosent 2 2 2 7 2 2 3 3" xfId="45115" xr:uid="{00000000-0005-0000-0000-000085990000}"/>
    <cellStyle name="Prosent 2 2 2 7 2 2 4" xfId="13337" xr:uid="{00000000-0005-0000-0000-000086990000}"/>
    <cellStyle name="Prosent 2 2 2 7 2 2_Avviksanalyse løpende RNB15 (1)" xfId="17048" xr:uid="{00000000-0005-0000-0000-000087990000}"/>
    <cellStyle name="Prosent 2 2 2 7 2 3" xfId="2670" xr:uid="{00000000-0005-0000-0000-000088990000}"/>
    <cellStyle name="Prosent 2 2 2 7 2 3 2" xfId="2671" xr:uid="{00000000-0005-0000-0000-000089990000}"/>
    <cellStyle name="Prosent 2 2 2 7 2 3 2 2" xfId="18476" xr:uid="{00000000-0005-0000-0000-00008A990000}"/>
    <cellStyle name="Prosent 2 2 2 7 2 3 2 3" xfId="15426" xr:uid="{00000000-0005-0000-0000-00008B990000}"/>
    <cellStyle name="Prosent 2 2 2 7 2 3 2 3 2" xfId="26541" xr:uid="{00000000-0005-0000-0000-00008C990000}"/>
    <cellStyle name="Prosent 2 2 2 7 2 3 2 3 2 2" xfId="41982" xr:uid="{00000000-0005-0000-0000-00008D990000}"/>
    <cellStyle name="Prosent 2 2 2 7 2 3 2 3 3" xfId="45116" xr:uid="{00000000-0005-0000-0000-00008E990000}"/>
    <cellStyle name="Prosent 2 2 2 7 2 3 2 4" xfId="13339" xr:uid="{00000000-0005-0000-0000-00008F990000}"/>
    <cellStyle name="Prosent 2 2 2 7 2 3 2_Avviksanalyse løpende RNB15 (1)" xfId="17050" xr:uid="{00000000-0005-0000-0000-000090990000}"/>
    <cellStyle name="Prosent 2 2 2 7 2 3 3" xfId="18475" xr:uid="{00000000-0005-0000-0000-000091990000}"/>
    <cellStyle name="Prosent 2 2 2 7 2 3 4" xfId="15425" xr:uid="{00000000-0005-0000-0000-000092990000}"/>
    <cellStyle name="Prosent 2 2 2 7 2 3 4 2" xfId="26542" xr:uid="{00000000-0005-0000-0000-000093990000}"/>
    <cellStyle name="Prosent 2 2 2 7 2 3 4 2 2" xfId="41981" xr:uid="{00000000-0005-0000-0000-000094990000}"/>
    <cellStyle name="Prosent 2 2 2 7 2 3 4 3" xfId="45117" xr:uid="{00000000-0005-0000-0000-000095990000}"/>
    <cellStyle name="Prosent 2 2 2 7 2 3 5" xfId="13338" xr:uid="{00000000-0005-0000-0000-000096990000}"/>
    <cellStyle name="Prosent 2 2 2 7 2 3_Avviksanalyse løpende RNB15 (1)" xfId="17049" xr:uid="{00000000-0005-0000-0000-000097990000}"/>
    <cellStyle name="Prosent 2 2 2 7 2 4" xfId="2672" xr:uid="{00000000-0005-0000-0000-000098990000}"/>
    <cellStyle name="Prosent 2 2 2 7 2 4 2" xfId="2673" xr:uid="{00000000-0005-0000-0000-000099990000}"/>
    <cellStyle name="Prosent 2 2 2 7 2 4 2 2" xfId="18478" xr:uid="{00000000-0005-0000-0000-00009A990000}"/>
    <cellStyle name="Prosent 2 2 2 7 2 4 2 3" xfId="15428" xr:uid="{00000000-0005-0000-0000-00009B990000}"/>
    <cellStyle name="Prosent 2 2 2 7 2 4 2 3 2" xfId="26543" xr:uid="{00000000-0005-0000-0000-00009C990000}"/>
    <cellStyle name="Prosent 2 2 2 7 2 4 2 3 2 2" xfId="41984" xr:uid="{00000000-0005-0000-0000-00009D990000}"/>
    <cellStyle name="Prosent 2 2 2 7 2 4 2 3 3" xfId="45118" xr:uid="{00000000-0005-0000-0000-00009E990000}"/>
    <cellStyle name="Prosent 2 2 2 7 2 4 2 4" xfId="13341" xr:uid="{00000000-0005-0000-0000-00009F990000}"/>
    <cellStyle name="Prosent 2 2 2 7 2 4 2_Avviksanalyse løpende RNB15 (1)" xfId="17052" xr:uid="{00000000-0005-0000-0000-0000A0990000}"/>
    <cellStyle name="Prosent 2 2 2 7 2 4 3" xfId="18477" xr:uid="{00000000-0005-0000-0000-0000A1990000}"/>
    <cellStyle name="Prosent 2 2 2 7 2 4 4" xfId="15427" xr:uid="{00000000-0005-0000-0000-0000A2990000}"/>
    <cellStyle name="Prosent 2 2 2 7 2 4 4 2" xfId="26544" xr:uid="{00000000-0005-0000-0000-0000A3990000}"/>
    <cellStyle name="Prosent 2 2 2 7 2 4 4 2 2" xfId="41983" xr:uid="{00000000-0005-0000-0000-0000A4990000}"/>
    <cellStyle name="Prosent 2 2 2 7 2 4 4 3" xfId="45119" xr:uid="{00000000-0005-0000-0000-0000A5990000}"/>
    <cellStyle name="Prosent 2 2 2 7 2 4 5" xfId="13340" xr:uid="{00000000-0005-0000-0000-0000A6990000}"/>
    <cellStyle name="Prosent 2 2 2 7 2 4_Avviksanalyse løpende RNB15 (1)" xfId="17051" xr:uid="{00000000-0005-0000-0000-0000A7990000}"/>
    <cellStyle name="Prosent 2 2 2 7 2 5" xfId="18473" xr:uid="{00000000-0005-0000-0000-0000A8990000}"/>
    <cellStyle name="Prosent 2 2 2 7 2 6" xfId="15423" xr:uid="{00000000-0005-0000-0000-0000A9990000}"/>
    <cellStyle name="Prosent 2 2 2 7 2 6 2" xfId="26545" xr:uid="{00000000-0005-0000-0000-0000AA990000}"/>
    <cellStyle name="Prosent 2 2 2 7 2 6 2 2" xfId="41979" xr:uid="{00000000-0005-0000-0000-0000AB990000}"/>
    <cellStyle name="Prosent 2 2 2 7 2 6 3" xfId="45120" xr:uid="{00000000-0005-0000-0000-0000AC990000}"/>
    <cellStyle name="Prosent 2 2 2 7 2 7" xfId="13336" xr:uid="{00000000-0005-0000-0000-0000AD990000}"/>
    <cellStyle name="Prosent 2 2 2 7 2_Avviksanalyse løpende RNB15 (1)" xfId="17047" xr:uid="{00000000-0005-0000-0000-0000AE990000}"/>
    <cellStyle name="Prosent 2 2 2 7 3" xfId="2674" xr:uid="{00000000-0005-0000-0000-0000AF990000}"/>
    <cellStyle name="Prosent 2 2 2 7 3 2" xfId="13343" xr:uid="{00000000-0005-0000-0000-0000B0990000}"/>
    <cellStyle name="Prosent 2 2 2 7 3 2 2" xfId="18479" xr:uid="{00000000-0005-0000-0000-0000B1990000}"/>
    <cellStyle name="Prosent 2 2 2 7 3 2 3" xfId="15776" xr:uid="{00000000-0005-0000-0000-0000B2990000}"/>
    <cellStyle name="Prosent 2 2 2 7 3 2 3 2" xfId="26546" xr:uid="{00000000-0005-0000-0000-0000B3990000}"/>
    <cellStyle name="Prosent 2 2 2 7 3 2 3 2 2" xfId="42332" xr:uid="{00000000-0005-0000-0000-0000B4990000}"/>
    <cellStyle name="Prosent 2 2 2 7 3 2 3 3" xfId="45121" xr:uid="{00000000-0005-0000-0000-0000B5990000}"/>
    <cellStyle name="Prosent 2 2 2 7 3 2_Avviksanalyse løpende RNB15 (1)" xfId="17053" xr:uid="{00000000-0005-0000-0000-0000B6990000}"/>
    <cellStyle name="Prosent 2 2 2 7 3 3" xfId="13342" xr:uid="{00000000-0005-0000-0000-0000B7990000}"/>
    <cellStyle name="Prosent 2 2 2 7 4" xfId="2675" xr:uid="{00000000-0005-0000-0000-0000B8990000}"/>
    <cellStyle name="Prosent 2 2 2 7 4 2" xfId="2676" xr:uid="{00000000-0005-0000-0000-0000B9990000}"/>
    <cellStyle name="Prosent 2 2 2 7 4 2 2" xfId="13346" xr:uid="{00000000-0005-0000-0000-0000BA990000}"/>
    <cellStyle name="Prosent 2 2 2 7 4 2 2 2" xfId="18480" xr:uid="{00000000-0005-0000-0000-0000BB990000}"/>
    <cellStyle name="Prosent 2 2 2 7 4 2 2 3" xfId="15951" xr:uid="{00000000-0005-0000-0000-0000BC990000}"/>
    <cellStyle name="Prosent 2 2 2 7 4 2 2 3 2" xfId="26547" xr:uid="{00000000-0005-0000-0000-0000BD990000}"/>
    <cellStyle name="Prosent 2 2 2 7 4 2 2 3 2 2" xfId="42507" xr:uid="{00000000-0005-0000-0000-0000BE990000}"/>
    <cellStyle name="Prosent 2 2 2 7 4 2 2 3 3" xfId="45122" xr:uid="{00000000-0005-0000-0000-0000BF990000}"/>
    <cellStyle name="Prosent 2 2 2 7 4 2 2_Avviksanalyse løpende RNB15 (1)" xfId="17054" xr:uid="{00000000-0005-0000-0000-0000C0990000}"/>
    <cellStyle name="Prosent 2 2 2 7 4 2 3" xfId="13345" xr:uid="{00000000-0005-0000-0000-0000C1990000}"/>
    <cellStyle name="Prosent 2 2 2 7 4 3" xfId="13347" xr:uid="{00000000-0005-0000-0000-0000C2990000}"/>
    <cellStyle name="Prosent 2 2 2 7 4 3 2" xfId="18481" xr:uid="{00000000-0005-0000-0000-0000C3990000}"/>
    <cellStyle name="Prosent 2 2 2 7 4 3 3" xfId="15950" xr:uid="{00000000-0005-0000-0000-0000C4990000}"/>
    <cellStyle name="Prosent 2 2 2 7 4 3 3 2" xfId="26548" xr:uid="{00000000-0005-0000-0000-0000C5990000}"/>
    <cellStyle name="Prosent 2 2 2 7 4 3 3 2 2" xfId="42506" xr:uid="{00000000-0005-0000-0000-0000C6990000}"/>
    <cellStyle name="Prosent 2 2 2 7 4 3 3 3" xfId="45123" xr:uid="{00000000-0005-0000-0000-0000C7990000}"/>
    <cellStyle name="Prosent 2 2 2 7 4 3_Avviksanalyse løpende RNB15 (1)" xfId="17055" xr:uid="{00000000-0005-0000-0000-0000C8990000}"/>
    <cellStyle name="Prosent 2 2 2 7 4 4" xfId="13344" xr:uid="{00000000-0005-0000-0000-0000C9990000}"/>
    <cellStyle name="Prosent 2 2 2 7 5" xfId="2677" xr:uid="{00000000-0005-0000-0000-0000CA990000}"/>
    <cellStyle name="Prosent 2 2 2 7 5 2" xfId="2678" xr:uid="{00000000-0005-0000-0000-0000CB990000}"/>
    <cellStyle name="Prosent 2 2 2 7 5 2 2" xfId="13350" xr:uid="{00000000-0005-0000-0000-0000CC990000}"/>
    <cellStyle name="Prosent 2 2 2 7 5 2 2 2" xfId="18482" xr:uid="{00000000-0005-0000-0000-0000CD990000}"/>
    <cellStyle name="Prosent 2 2 2 7 5 2 2 3" xfId="15953" xr:uid="{00000000-0005-0000-0000-0000CE990000}"/>
    <cellStyle name="Prosent 2 2 2 7 5 2 2 3 2" xfId="26549" xr:uid="{00000000-0005-0000-0000-0000CF990000}"/>
    <cellStyle name="Prosent 2 2 2 7 5 2 2 3 2 2" xfId="42509" xr:uid="{00000000-0005-0000-0000-0000D0990000}"/>
    <cellStyle name="Prosent 2 2 2 7 5 2 2 3 3" xfId="45124" xr:uid="{00000000-0005-0000-0000-0000D1990000}"/>
    <cellStyle name="Prosent 2 2 2 7 5 2 2_Avviksanalyse løpende RNB15 (1)" xfId="17056" xr:uid="{00000000-0005-0000-0000-0000D2990000}"/>
    <cellStyle name="Prosent 2 2 2 7 5 2 3" xfId="13349" xr:uid="{00000000-0005-0000-0000-0000D3990000}"/>
    <cellStyle name="Prosent 2 2 2 7 5 3" xfId="13351" xr:uid="{00000000-0005-0000-0000-0000D4990000}"/>
    <cellStyle name="Prosent 2 2 2 7 5 3 2" xfId="18483" xr:uid="{00000000-0005-0000-0000-0000D5990000}"/>
    <cellStyle name="Prosent 2 2 2 7 5 3 3" xfId="15952" xr:uid="{00000000-0005-0000-0000-0000D6990000}"/>
    <cellStyle name="Prosent 2 2 2 7 5 3 3 2" xfId="26550" xr:uid="{00000000-0005-0000-0000-0000D7990000}"/>
    <cellStyle name="Prosent 2 2 2 7 5 3 3 2 2" xfId="42508" xr:uid="{00000000-0005-0000-0000-0000D8990000}"/>
    <cellStyle name="Prosent 2 2 2 7 5 3 3 3" xfId="45125" xr:uid="{00000000-0005-0000-0000-0000D9990000}"/>
    <cellStyle name="Prosent 2 2 2 7 5 3_Avviksanalyse løpende RNB15 (1)" xfId="17057" xr:uid="{00000000-0005-0000-0000-0000DA990000}"/>
    <cellStyle name="Prosent 2 2 2 7 5 4" xfId="13348" xr:uid="{00000000-0005-0000-0000-0000DB990000}"/>
    <cellStyle name="Prosent 2 2 2 7 6" xfId="18472" xr:uid="{00000000-0005-0000-0000-0000DC990000}"/>
    <cellStyle name="Prosent 2 2 2 7 7" xfId="15422" xr:uid="{00000000-0005-0000-0000-0000DD990000}"/>
    <cellStyle name="Prosent 2 2 2 7 7 2" xfId="26551" xr:uid="{00000000-0005-0000-0000-0000DE990000}"/>
    <cellStyle name="Prosent 2 2 2 7 7 2 2" xfId="41978" xr:uid="{00000000-0005-0000-0000-0000DF990000}"/>
    <cellStyle name="Prosent 2 2 2 7 7 3" xfId="45126" xr:uid="{00000000-0005-0000-0000-0000E0990000}"/>
    <cellStyle name="Prosent 2 2 2 7 8" xfId="13335" xr:uid="{00000000-0005-0000-0000-0000E1990000}"/>
    <cellStyle name="Prosent 2 2 2 7_Avviksanalyse løpende RNB15 (1)" xfId="17046" xr:uid="{00000000-0005-0000-0000-0000E2990000}"/>
    <cellStyle name="Prosent 2 2 2 8" xfId="41654" xr:uid="{00000000-0005-0000-0000-0000E3990000}"/>
    <cellStyle name="Prosent 2 2 20" xfId="13352" xr:uid="{00000000-0005-0000-0000-0000E4990000}"/>
    <cellStyle name="Prosent 2 2 20 2" xfId="13353" xr:uid="{00000000-0005-0000-0000-0000E5990000}"/>
    <cellStyle name="Prosent 2 2 20 2 2" xfId="18484" xr:uid="{00000000-0005-0000-0000-0000E6990000}"/>
    <cellStyle name="Prosent 2 2 20 2 3" xfId="15538" xr:uid="{00000000-0005-0000-0000-0000E7990000}"/>
    <cellStyle name="Prosent 2 2 20 2 3 2" xfId="26552" xr:uid="{00000000-0005-0000-0000-0000E8990000}"/>
    <cellStyle name="Prosent 2 2 20 2 3 2 2" xfId="42094" xr:uid="{00000000-0005-0000-0000-0000E9990000}"/>
    <cellStyle name="Prosent 2 2 20 2 3 3" xfId="45127" xr:uid="{00000000-0005-0000-0000-0000EA990000}"/>
    <cellStyle name="Prosent 2 2 20 2_Avviksanalyse løpende RNB15 (1)" xfId="17058" xr:uid="{00000000-0005-0000-0000-0000EB990000}"/>
    <cellStyle name="Prosent 2 2 21" xfId="13354" xr:uid="{00000000-0005-0000-0000-0000EC990000}"/>
    <cellStyle name="Prosent 2 2 21 2" xfId="13355" xr:uid="{00000000-0005-0000-0000-0000ED990000}"/>
    <cellStyle name="Prosent 2 2 21 2 2" xfId="18485" xr:uid="{00000000-0005-0000-0000-0000EE990000}"/>
    <cellStyle name="Prosent 2 2 21 2 3" xfId="15539" xr:uid="{00000000-0005-0000-0000-0000EF990000}"/>
    <cellStyle name="Prosent 2 2 21 2 3 2" xfId="26553" xr:uid="{00000000-0005-0000-0000-0000F0990000}"/>
    <cellStyle name="Prosent 2 2 21 2 3 2 2" xfId="42095" xr:uid="{00000000-0005-0000-0000-0000F1990000}"/>
    <cellStyle name="Prosent 2 2 21 2 3 3" xfId="45128" xr:uid="{00000000-0005-0000-0000-0000F2990000}"/>
    <cellStyle name="Prosent 2 2 21 2_Avviksanalyse løpende RNB15 (1)" xfId="17059" xr:uid="{00000000-0005-0000-0000-0000F3990000}"/>
    <cellStyle name="Prosent 2 2 22" xfId="13356" xr:uid="{00000000-0005-0000-0000-0000F4990000}"/>
    <cellStyle name="Prosent 2 2 22 2" xfId="13357" xr:uid="{00000000-0005-0000-0000-0000F5990000}"/>
    <cellStyle name="Prosent 2 2 22 2 2" xfId="18486" xr:uid="{00000000-0005-0000-0000-0000F6990000}"/>
    <cellStyle name="Prosent 2 2 22 2 3" xfId="15540" xr:uid="{00000000-0005-0000-0000-0000F7990000}"/>
    <cellStyle name="Prosent 2 2 22 2 3 2" xfId="26554" xr:uid="{00000000-0005-0000-0000-0000F8990000}"/>
    <cellStyle name="Prosent 2 2 22 2 3 2 2" xfId="42096" xr:uid="{00000000-0005-0000-0000-0000F9990000}"/>
    <cellStyle name="Prosent 2 2 22 2 3 3" xfId="45129" xr:uid="{00000000-0005-0000-0000-0000FA990000}"/>
    <cellStyle name="Prosent 2 2 22 2_Avviksanalyse løpende RNB15 (1)" xfId="17060" xr:uid="{00000000-0005-0000-0000-0000FB990000}"/>
    <cellStyle name="Prosent 2 2 23" xfId="13358" xr:uid="{00000000-0005-0000-0000-0000FC990000}"/>
    <cellStyle name="Prosent 2 2 23 2" xfId="13359" xr:uid="{00000000-0005-0000-0000-0000FD990000}"/>
    <cellStyle name="Prosent 2 2 23 2 2" xfId="18487" xr:uid="{00000000-0005-0000-0000-0000FE990000}"/>
    <cellStyle name="Prosent 2 2 23 2 3" xfId="15541" xr:uid="{00000000-0005-0000-0000-0000FF990000}"/>
    <cellStyle name="Prosent 2 2 23 2 3 2" xfId="26555" xr:uid="{00000000-0005-0000-0000-0000009A0000}"/>
    <cellStyle name="Prosent 2 2 23 2 3 2 2" xfId="42097" xr:uid="{00000000-0005-0000-0000-0000019A0000}"/>
    <cellStyle name="Prosent 2 2 23 2 3 3" xfId="45130" xr:uid="{00000000-0005-0000-0000-0000029A0000}"/>
    <cellStyle name="Prosent 2 2 23 2_Avviksanalyse løpende RNB15 (1)" xfId="17061" xr:uid="{00000000-0005-0000-0000-0000039A0000}"/>
    <cellStyle name="Prosent 2 2 24" xfId="13360" xr:uid="{00000000-0005-0000-0000-0000049A0000}"/>
    <cellStyle name="Prosent 2 2 24 2" xfId="13361" xr:uid="{00000000-0005-0000-0000-0000059A0000}"/>
    <cellStyle name="Prosent 2 2 24 2 2" xfId="18488" xr:uid="{00000000-0005-0000-0000-0000069A0000}"/>
    <cellStyle name="Prosent 2 2 24 2 3" xfId="15542" xr:uid="{00000000-0005-0000-0000-0000079A0000}"/>
    <cellStyle name="Prosent 2 2 24 2 3 2" xfId="26556" xr:uid="{00000000-0005-0000-0000-0000089A0000}"/>
    <cellStyle name="Prosent 2 2 24 2 3 2 2" xfId="42098" xr:uid="{00000000-0005-0000-0000-0000099A0000}"/>
    <cellStyle name="Prosent 2 2 24 2 3 3" xfId="45131" xr:uid="{00000000-0005-0000-0000-00000A9A0000}"/>
    <cellStyle name="Prosent 2 2 24 2_Avviksanalyse løpende RNB15 (1)" xfId="17062" xr:uid="{00000000-0005-0000-0000-00000B9A0000}"/>
    <cellStyle name="Prosent 2 2 25" xfId="13362" xr:uid="{00000000-0005-0000-0000-00000C9A0000}"/>
    <cellStyle name="Prosent 2 2 25 2" xfId="13363" xr:uid="{00000000-0005-0000-0000-00000D9A0000}"/>
    <cellStyle name="Prosent 2 2 25 2 2" xfId="18489" xr:uid="{00000000-0005-0000-0000-00000E9A0000}"/>
    <cellStyle name="Prosent 2 2 25 2 3" xfId="15543" xr:uid="{00000000-0005-0000-0000-00000F9A0000}"/>
    <cellStyle name="Prosent 2 2 25 2 3 2" xfId="26557" xr:uid="{00000000-0005-0000-0000-0000109A0000}"/>
    <cellStyle name="Prosent 2 2 25 2 3 2 2" xfId="42099" xr:uid="{00000000-0005-0000-0000-0000119A0000}"/>
    <cellStyle name="Prosent 2 2 25 2 3 3" xfId="45132" xr:uid="{00000000-0005-0000-0000-0000129A0000}"/>
    <cellStyle name="Prosent 2 2 25 2_Avviksanalyse løpende RNB15 (1)" xfId="17063" xr:uid="{00000000-0005-0000-0000-0000139A0000}"/>
    <cellStyle name="Prosent 2 2 26" xfId="13364" xr:uid="{00000000-0005-0000-0000-0000149A0000}"/>
    <cellStyle name="Prosent 2 2 26 2" xfId="13365" xr:uid="{00000000-0005-0000-0000-0000159A0000}"/>
    <cellStyle name="Prosent 2 2 26 2 2" xfId="18490" xr:uid="{00000000-0005-0000-0000-0000169A0000}"/>
    <cellStyle name="Prosent 2 2 26 2 3" xfId="15544" xr:uid="{00000000-0005-0000-0000-0000179A0000}"/>
    <cellStyle name="Prosent 2 2 26 2 3 2" xfId="26558" xr:uid="{00000000-0005-0000-0000-0000189A0000}"/>
    <cellStyle name="Prosent 2 2 26 2 3 2 2" xfId="42100" xr:uid="{00000000-0005-0000-0000-0000199A0000}"/>
    <cellStyle name="Prosent 2 2 26 2 3 3" xfId="45133" xr:uid="{00000000-0005-0000-0000-00001A9A0000}"/>
    <cellStyle name="Prosent 2 2 26 2_Avviksanalyse løpende RNB15 (1)" xfId="17064" xr:uid="{00000000-0005-0000-0000-00001B9A0000}"/>
    <cellStyle name="Prosent 2 2 27" xfId="13366" xr:uid="{00000000-0005-0000-0000-00001C9A0000}"/>
    <cellStyle name="Prosent 2 2 27 2" xfId="13367" xr:uid="{00000000-0005-0000-0000-00001D9A0000}"/>
    <cellStyle name="Prosent 2 2 27 2 2" xfId="18491" xr:uid="{00000000-0005-0000-0000-00001E9A0000}"/>
    <cellStyle name="Prosent 2 2 27 2 3" xfId="15545" xr:uid="{00000000-0005-0000-0000-00001F9A0000}"/>
    <cellStyle name="Prosent 2 2 27 2 3 2" xfId="26559" xr:uid="{00000000-0005-0000-0000-0000209A0000}"/>
    <cellStyle name="Prosent 2 2 27 2 3 2 2" xfId="42101" xr:uid="{00000000-0005-0000-0000-0000219A0000}"/>
    <cellStyle name="Prosent 2 2 27 2 3 3" xfId="45134" xr:uid="{00000000-0005-0000-0000-0000229A0000}"/>
    <cellStyle name="Prosent 2 2 27 2_Avviksanalyse løpende RNB15 (1)" xfId="17065" xr:uid="{00000000-0005-0000-0000-0000239A0000}"/>
    <cellStyle name="Prosent 2 2 28" xfId="13368" xr:uid="{00000000-0005-0000-0000-0000249A0000}"/>
    <cellStyle name="Prosent 2 2 28 2" xfId="13369" xr:uid="{00000000-0005-0000-0000-0000259A0000}"/>
    <cellStyle name="Prosent 2 2 28 2 2" xfId="18492" xr:uid="{00000000-0005-0000-0000-0000269A0000}"/>
    <cellStyle name="Prosent 2 2 28 2 3" xfId="15546" xr:uid="{00000000-0005-0000-0000-0000279A0000}"/>
    <cellStyle name="Prosent 2 2 28 2 3 2" xfId="26560" xr:uid="{00000000-0005-0000-0000-0000289A0000}"/>
    <cellStyle name="Prosent 2 2 28 2 3 2 2" xfId="42102" xr:uid="{00000000-0005-0000-0000-0000299A0000}"/>
    <cellStyle name="Prosent 2 2 28 2 3 3" xfId="45135" xr:uid="{00000000-0005-0000-0000-00002A9A0000}"/>
    <cellStyle name="Prosent 2 2 28 2_Avviksanalyse løpende RNB15 (1)" xfId="17066" xr:uid="{00000000-0005-0000-0000-00002B9A0000}"/>
    <cellStyle name="Prosent 2 2 29" xfId="13370" xr:uid="{00000000-0005-0000-0000-00002C9A0000}"/>
    <cellStyle name="Prosent 2 2 29 2" xfId="13371" xr:uid="{00000000-0005-0000-0000-00002D9A0000}"/>
    <cellStyle name="Prosent 2 2 29 2 2" xfId="18493" xr:uid="{00000000-0005-0000-0000-00002E9A0000}"/>
    <cellStyle name="Prosent 2 2 29 2 3" xfId="15547" xr:uid="{00000000-0005-0000-0000-00002F9A0000}"/>
    <cellStyle name="Prosent 2 2 29 2 3 2" xfId="26561" xr:uid="{00000000-0005-0000-0000-0000309A0000}"/>
    <cellStyle name="Prosent 2 2 29 2 3 2 2" xfId="42103" xr:uid="{00000000-0005-0000-0000-0000319A0000}"/>
    <cellStyle name="Prosent 2 2 29 2 3 3" xfId="45136" xr:uid="{00000000-0005-0000-0000-0000329A0000}"/>
    <cellStyle name="Prosent 2 2 29 2_Avviksanalyse løpende RNB15 (1)" xfId="17067" xr:uid="{00000000-0005-0000-0000-0000339A0000}"/>
    <cellStyle name="Prosent 2 2 3" xfId="2679" xr:uid="{00000000-0005-0000-0000-0000349A0000}"/>
    <cellStyle name="Prosent 2 2 3 2" xfId="13373" xr:uid="{00000000-0005-0000-0000-0000359A0000}"/>
    <cellStyle name="Prosent 2 2 3 2 2" xfId="13374" xr:uid="{00000000-0005-0000-0000-0000369A0000}"/>
    <cellStyle name="Prosent 2 2 3 2 2 2" xfId="18494" xr:uid="{00000000-0005-0000-0000-0000379A0000}"/>
    <cellStyle name="Prosent 2 2 3 2 2 3" xfId="16230" xr:uid="{00000000-0005-0000-0000-0000389A0000}"/>
    <cellStyle name="Prosent 2 2 3 2 2 3 2" xfId="26562" xr:uid="{00000000-0005-0000-0000-0000399A0000}"/>
    <cellStyle name="Prosent 2 2 3 2 2 3 2 2" xfId="42786" xr:uid="{00000000-0005-0000-0000-00003A9A0000}"/>
    <cellStyle name="Prosent 2 2 3 2 2 3 3" xfId="45137" xr:uid="{00000000-0005-0000-0000-00003B9A0000}"/>
    <cellStyle name="Prosent 2 2 3 2 2_Avviksanalyse løpende RNB15 (1)" xfId="17068" xr:uid="{00000000-0005-0000-0000-00003C9A0000}"/>
    <cellStyle name="Prosent 2 2 3 3" xfId="13375" xr:uid="{00000000-0005-0000-0000-00003D9A0000}"/>
    <cellStyle name="Prosent 2 2 3 3 2" xfId="18495" xr:uid="{00000000-0005-0000-0000-00003E9A0000}"/>
    <cellStyle name="Prosent 2 2 3 3 3" xfId="15462" xr:uid="{00000000-0005-0000-0000-00003F9A0000}"/>
    <cellStyle name="Prosent 2 2 3 3 3 2" xfId="26563" xr:uid="{00000000-0005-0000-0000-0000409A0000}"/>
    <cellStyle name="Prosent 2 2 3 3 3 2 2" xfId="42018" xr:uid="{00000000-0005-0000-0000-0000419A0000}"/>
    <cellStyle name="Prosent 2 2 3 3 3 3" xfId="45138" xr:uid="{00000000-0005-0000-0000-0000429A0000}"/>
    <cellStyle name="Prosent 2 2 3 3_Avviksanalyse løpende RNB15 (1)" xfId="17069" xr:uid="{00000000-0005-0000-0000-0000439A0000}"/>
    <cellStyle name="Prosent 2 2 3 4" xfId="13372" xr:uid="{00000000-0005-0000-0000-0000449A0000}"/>
    <cellStyle name="Prosent 2 2 30" xfId="13376" xr:uid="{00000000-0005-0000-0000-0000459A0000}"/>
    <cellStyle name="Prosent 2 2 30 2" xfId="13377" xr:uid="{00000000-0005-0000-0000-0000469A0000}"/>
    <cellStyle name="Prosent 2 2 30 2 2" xfId="18496" xr:uid="{00000000-0005-0000-0000-0000479A0000}"/>
    <cellStyle name="Prosent 2 2 30 2 3" xfId="15548" xr:uid="{00000000-0005-0000-0000-0000489A0000}"/>
    <cellStyle name="Prosent 2 2 30 2 3 2" xfId="26564" xr:uid="{00000000-0005-0000-0000-0000499A0000}"/>
    <cellStyle name="Prosent 2 2 30 2 3 2 2" xfId="42104" xr:uid="{00000000-0005-0000-0000-00004A9A0000}"/>
    <cellStyle name="Prosent 2 2 30 2 3 3" xfId="45139" xr:uid="{00000000-0005-0000-0000-00004B9A0000}"/>
    <cellStyle name="Prosent 2 2 30 2_Avviksanalyse løpende RNB15 (1)" xfId="17070" xr:uid="{00000000-0005-0000-0000-00004C9A0000}"/>
    <cellStyle name="Prosent 2 2 31" xfId="13378" xr:uid="{00000000-0005-0000-0000-00004D9A0000}"/>
    <cellStyle name="Prosent 2 2 31 2" xfId="13379" xr:uid="{00000000-0005-0000-0000-00004E9A0000}"/>
    <cellStyle name="Prosent 2 2 31 2 2" xfId="18497" xr:uid="{00000000-0005-0000-0000-00004F9A0000}"/>
    <cellStyle name="Prosent 2 2 31 2 3" xfId="15549" xr:uid="{00000000-0005-0000-0000-0000509A0000}"/>
    <cellStyle name="Prosent 2 2 31 2 3 2" xfId="26565" xr:uid="{00000000-0005-0000-0000-0000519A0000}"/>
    <cellStyle name="Prosent 2 2 31 2 3 2 2" xfId="42105" xr:uid="{00000000-0005-0000-0000-0000529A0000}"/>
    <cellStyle name="Prosent 2 2 31 2 3 3" xfId="45140" xr:uid="{00000000-0005-0000-0000-0000539A0000}"/>
    <cellStyle name="Prosent 2 2 31 2_Avviksanalyse løpende RNB15 (1)" xfId="17071" xr:uid="{00000000-0005-0000-0000-0000549A0000}"/>
    <cellStyle name="Prosent 2 2 32" xfId="13380" xr:uid="{00000000-0005-0000-0000-0000559A0000}"/>
    <cellStyle name="Prosent 2 2 32 2" xfId="13381" xr:uid="{00000000-0005-0000-0000-0000569A0000}"/>
    <cellStyle name="Prosent 2 2 32 2 2" xfId="18498" xr:uid="{00000000-0005-0000-0000-0000579A0000}"/>
    <cellStyle name="Prosent 2 2 32 2 3" xfId="15550" xr:uid="{00000000-0005-0000-0000-0000589A0000}"/>
    <cellStyle name="Prosent 2 2 32 2 3 2" xfId="26566" xr:uid="{00000000-0005-0000-0000-0000599A0000}"/>
    <cellStyle name="Prosent 2 2 32 2 3 2 2" xfId="42106" xr:uid="{00000000-0005-0000-0000-00005A9A0000}"/>
    <cellStyle name="Prosent 2 2 32 2 3 3" xfId="45141" xr:uid="{00000000-0005-0000-0000-00005B9A0000}"/>
    <cellStyle name="Prosent 2 2 32 2_Avviksanalyse løpende RNB15 (1)" xfId="17072" xr:uid="{00000000-0005-0000-0000-00005C9A0000}"/>
    <cellStyle name="Prosent 2 2 33" xfId="13382" xr:uid="{00000000-0005-0000-0000-00005D9A0000}"/>
    <cellStyle name="Prosent 2 2 33 2" xfId="13383" xr:uid="{00000000-0005-0000-0000-00005E9A0000}"/>
    <cellStyle name="Prosent 2 2 33 2 2" xfId="18499" xr:uid="{00000000-0005-0000-0000-00005F9A0000}"/>
    <cellStyle name="Prosent 2 2 33 2 3" xfId="15551" xr:uid="{00000000-0005-0000-0000-0000609A0000}"/>
    <cellStyle name="Prosent 2 2 33 2 3 2" xfId="26567" xr:uid="{00000000-0005-0000-0000-0000619A0000}"/>
    <cellStyle name="Prosent 2 2 33 2 3 2 2" xfId="42107" xr:uid="{00000000-0005-0000-0000-0000629A0000}"/>
    <cellStyle name="Prosent 2 2 33 2 3 3" xfId="45142" xr:uid="{00000000-0005-0000-0000-0000639A0000}"/>
    <cellStyle name="Prosent 2 2 33 2_Avviksanalyse løpende RNB15 (1)" xfId="17073" xr:uid="{00000000-0005-0000-0000-0000649A0000}"/>
    <cellStyle name="Prosent 2 2 34" xfId="13384" xr:uid="{00000000-0005-0000-0000-0000659A0000}"/>
    <cellStyle name="Prosent 2 2 34 2" xfId="13385" xr:uid="{00000000-0005-0000-0000-0000669A0000}"/>
    <cellStyle name="Prosent 2 2 34 2 2" xfId="18500" xr:uid="{00000000-0005-0000-0000-0000679A0000}"/>
    <cellStyle name="Prosent 2 2 34 2 3" xfId="15552" xr:uid="{00000000-0005-0000-0000-0000689A0000}"/>
    <cellStyle name="Prosent 2 2 34 2 3 2" xfId="26568" xr:uid="{00000000-0005-0000-0000-0000699A0000}"/>
    <cellStyle name="Prosent 2 2 34 2 3 2 2" xfId="42108" xr:uid="{00000000-0005-0000-0000-00006A9A0000}"/>
    <cellStyle name="Prosent 2 2 34 2 3 3" xfId="45143" xr:uid="{00000000-0005-0000-0000-00006B9A0000}"/>
    <cellStyle name="Prosent 2 2 34 2_Avviksanalyse løpende RNB15 (1)" xfId="17074" xr:uid="{00000000-0005-0000-0000-00006C9A0000}"/>
    <cellStyle name="Prosent 2 2 35" xfId="13386" xr:uid="{00000000-0005-0000-0000-00006D9A0000}"/>
    <cellStyle name="Prosent 2 2 35 2" xfId="13387" xr:uid="{00000000-0005-0000-0000-00006E9A0000}"/>
    <cellStyle name="Prosent 2 2 35 2 2" xfId="18501" xr:uid="{00000000-0005-0000-0000-00006F9A0000}"/>
    <cellStyle name="Prosent 2 2 35 2 3" xfId="15553" xr:uid="{00000000-0005-0000-0000-0000709A0000}"/>
    <cellStyle name="Prosent 2 2 35 2 3 2" xfId="26569" xr:uid="{00000000-0005-0000-0000-0000719A0000}"/>
    <cellStyle name="Prosent 2 2 35 2 3 2 2" xfId="42109" xr:uid="{00000000-0005-0000-0000-0000729A0000}"/>
    <cellStyle name="Prosent 2 2 35 2 3 3" xfId="45144" xr:uid="{00000000-0005-0000-0000-0000739A0000}"/>
    <cellStyle name="Prosent 2 2 35 2_Avviksanalyse løpende RNB15 (1)" xfId="17075" xr:uid="{00000000-0005-0000-0000-0000749A0000}"/>
    <cellStyle name="Prosent 2 2 36" xfId="13388" xr:uid="{00000000-0005-0000-0000-0000759A0000}"/>
    <cellStyle name="Prosent 2 2 36 2" xfId="13389" xr:uid="{00000000-0005-0000-0000-0000769A0000}"/>
    <cellStyle name="Prosent 2 2 36 2 2" xfId="18502" xr:uid="{00000000-0005-0000-0000-0000779A0000}"/>
    <cellStyle name="Prosent 2 2 36 2 3" xfId="16229" xr:uid="{00000000-0005-0000-0000-0000789A0000}"/>
    <cellStyle name="Prosent 2 2 36 2 3 2" xfId="26570" xr:uid="{00000000-0005-0000-0000-0000799A0000}"/>
    <cellStyle name="Prosent 2 2 36 2 3 2 2" xfId="42785" xr:uid="{00000000-0005-0000-0000-00007A9A0000}"/>
    <cellStyle name="Prosent 2 2 36 2 3 3" xfId="45146" xr:uid="{00000000-0005-0000-0000-00007B9A0000}"/>
    <cellStyle name="Prosent 2 2 36 2_Avviksanalyse løpende RNB15 (1)" xfId="17076" xr:uid="{00000000-0005-0000-0000-00007C9A0000}"/>
    <cellStyle name="Prosent 2 2 37" xfId="13390" xr:uid="{00000000-0005-0000-0000-00007D9A0000}"/>
    <cellStyle name="Prosent 2 2 37 2" xfId="13391" xr:uid="{00000000-0005-0000-0000-00007E9A0000}"/>
    <cellStyle name="Prosent 2 2 37 2 2" xfId="18503" xr:uid="{00000000-0005-0000-0000-00007F9A0000}"/>
    <cellStyle name="Prosent 2 2 37 2 3" xfId="15460" xr:uid="{00000000-0005-0000-0000-0000809A0000}"/>
    <cellStyle name="Prosent 2 2 37 2 3 2" xfId="26571" xr:uid="{00000000-0005-0000-0000-0000819A0000}"/>
    <cellStyle name="Prosent 2 2 37 2 3 2 2" xfId="42016" xr:uid="{00000000-0005-0000-0000-0000829A0000}"/>
    <cellStyle name="Prosent 2 2 37 2 3 3" xfId="45147" xr:uid="{00000000-0005-0000-0000-0000839A0000}"/>
    <cellStyle name="Prosent 2 2 37 2_Avviksanalyse løpende RNB15 (1)" xfId="17077" xr:uid="{00000000-0005-0000-0000-0000849A0000}"/>
    <cellStyle name="Prosent 2 2 38" xfId="19914" xr:uid="{00000000-0005-0000-0000-0000859A0000}"/>
    <cellStyle name="Prosent 2 2 39" xfId="20114" xr:uid="{00000000-0005-0000-0000-0000869A0000}"/>
    <cellStyle name="Prosent 2 2 4" xfId="2680" xr:uid="{00000000-0005-0000-0000-0000879A0000}"/>
    <cellStyle name="Prosent 2 2 4 2" xfId="2681" xr:uid="{00000000-0005-0000-0000-0000889A0000}"/>
    <cellStyle name="Prosent 2 2 4 2 2" xfId="13394" xr:uid="{00000000-0005-0000-0000-0000899A0000}"/>
    <cellStyle name="Prosent 2 2 4 2 2 2" xfId="18504" xr:uid="{00000000-0005-0000-0000-00008A9A0000}"/>
    <cellStyle name="Prosent 2 2 4 2 2 3" xfId="16399" xr:uid="{00000000-0005-0000-0000-00008B9A0000}"/>
    <cellStyle name="Prosent 2 2 4 2 2 3 2" xfId="26572" xr:uid="{00000000-0005-0000-0000-00008C9A0000}"/>
    <cellStyle name="Prosent 2 2 4 2 2 3 2 2" xfId="42954" xr:uid="{00000000-0005-0000-0000-00008D9A0000}"/>
    <cellStyle name="Prosent 2 2 4 2 2 3 3" xfId="45148" xr:uid="{00000000-0005-0000-0000-00008E9A0000}"/>
    <cellStyle name="Prosent 2 2 4 2 2_Avviksanalyse løpende RNB15 (1)" xfId="17078" xr:uid="{00000000-0005-0000-0000-00008F9A0000}"/>
    <cellStyle name="Prosent 2 2 4 2 3" xfId="13393" xr:uid="{00000000-0005-0000-0000-0000909A0000}"/>
    <cellStyle name="Prosent 2 2 4 3" xfId="13395" xr:uid="{00000000-0005-0000-0000-0000919A0000}"/>
    <cellStyle name="Prosent 2 2 4 3 2" xfId="13396" xr:uid="{00000000-0005-0000-0000-0000929A0000}"/>
    <cellStyle name="Prosent 2 2 4 3 2 2" xfId="18505" xr:uid="{00000000-0005-0000-0000-0000939A0000}"/>
    <cellStyle name="Prosent 2 2 4 3 2 3" xfId="16398" xr:uid="{00000000-0005-0000-0000-0000949A0000}"/>
    <cellStyle name="Prosent 2 2 4 3 2 3 2" xfId="26573" xr:uid="{00000000-0005-0000-0000-0000959A0000}"/>
    <cellStyle name="Prosent 2 2 4 3 2 3 2 2" xfId="42953" xr:uid="{00000000-0005-0000-0000-0000969A0000}"/>
    <cellStyle name="Prosent 2 2 4 3 2 3 3" xfId="45149" xr:uid="{00000000-0005-0000-0000-0000979A0000}"/>
    <cellStyle name="Prosent 2 2 4 3 2_Avviksanalyse løpende RNB15 (1)" xfId="17079" xr:uid="{00000000-0005-0000-0000-0000989A0000}"/>
    <cellStyle name="Prosent 2 2 4 4" xfId="13397" xr:uid="{00000000-0005-0000-0000-0000999A0000}"/>
    <cellStyle name="Prosent 2 2 4 4 2" xfId="18506" xr:uid="{00000000-0005-0000-0000-00009A9A0000}"/>
    <cellStyle name="Prosent 2 2 4 4 3" xfId="15554" xr:uid="{00000000-0005-0000-0000-00009B9A0000}"/>
    <cellStyle name="Prosent 2 2 4 4 3 2" xfId="26574" xr:uid="{00000000-0005-0000-0000-00009C9A0000}"/>
    <cellStyle name="Prosent 2 2 4 4 3 2 2" xfId="42110" xr:uid="{00000000-0005-0000-0000-00009D9A0000}"/>
    <cellStyle name="Prosent 2 2 4 4 3 3" xfId="45150" xr:uid="{00000000-0005-0000-0000-00009E9A0000}"/>
    <cellStyle name="Prosent 2 2 4 4_Avviksanalyse løpende RNB15 (1)" xfId="17080" xr:uid="{00000000-0005-0000-0000-00009F9A0000}"/>
    <cellStyle name="Prosent 2 2 4 5" xfId="13392" xr:uid="{00000000-0005-0000-0000-0000A09A0000}"/>
    <cellStyle name="Prosent 2 2 40" xfId="24877" xr:uid="{00000000-0005-0000-0000-0000A19A0000}"/>
    <cellStyle name="Prosent 2 2 41" xfId="24891" xr:uid="{00000000-0005-0000-0000-0000A29A0000}"/>
    <cellStyle name="Prosent 2 2 42" xfId="24884" xr:uid="{00000000-0005-0000-0000-0000A39A0000}"/>
    <cellStyle name="Prosent 2 2 43" xfId="24885" xr:uid="{00000000-0005-0000-0000-0000A49A0000}"/>
    <cellStyle name="Prosent 2 2 44" xfId="24755" xr:uid="{00000000-0005-0000-0000-0000A59A0000}"/>
    <cellStyle name="Prosent 2 2 45" xfId="25165" xr:uid="{00000000-0005-0000-0000-0000A69A0000}"/>
    <cellStyle name="Prosent 2 2 46" xfId="25206" xr:uid="{00000000-0005-0000-0000-0000A79A0000}"/>
    <cellStyle name="Prosent 2 2 47" xfId="24864" xr:uid="{00000000-0005-0000-0000-0000A89A0000}"/>
    <cellStyle name="Prosent 2 2 48" xfId="24842" xr:uid="{00000000-0005-0000-0000-0000A99A0000}"/>
    <cellStyle name="Prosent 2 2 49" xfId="25007" xr:uid="{00000000-0005-0000-0000-0000AA9A0000}"/>
    <cellStyle name="Prosent 2 2 5" xfId="13398" xr:uid="{00000000-0005-0000-0000-0000AB9A0000}"/>
    <cellStyle name="Prosent 2 2 5 2" xfId="13399" xr:uid="{00000000-0005-0000-0000-0000AC9A0000}"/>
    <cellStyle name="Prosent 2 2 5 2 2" xfId="18507" xr:uid="{00000000-0005-0000-0000-0000AD9A0000}"/>
    <cellStyle name="Prosent 2 2 5 2 3" xfId="15555" xr:uid="{00000000-0005-0000-0000-0000AE9A0000}"/>
    <cellStyle name="Prosent 2 2 5 2 3 2" xfId="26575" xr:uid="{00000000-0005-0000-0000-0000AF9A0000}"/>
    <cellStyle name="Prosent 2 2 5 2 3 2 2" xfId="42111" xr:uid="{00000000-0005-0000-0000-0000B09A0000}"/>
    <cellStyle name="Prosent 2 2 5 2 3 3" xfId="45151" xr:uid="{00000000-0005-0000-0000-0000B19A0000}"/>
    <cellStyle name="Prosent 2 2 5 2_Avviksanalyse løpende RNB15 (1)" xfId="17081" xr:uid="{00000000-0005-0000-0000-0000B29A0000}"/>
    <cellStyle name="Prosent 2 2 50" xfId="25210" xr:uid="{00000000-0005-0000-0000-0000B39A0000}"/>
    <cellStyle name="Prosent 2 2 51" xfId="25172" xr:uid="{00000000-0005-0000-0000-0000B49A0000}"/>
    <cellStyle name="Prosent 2 2 52" xfId="25229" xr:uid="{00000000-0005-0000-0000-0000B59A0000}"/>
    <cellStyle name="Prosent 2 2 53" xfId="25173" xr:uid="{00000000-0005-0000-0000-0000B69A0000}"/>
    <cellStyle name="Prosent 2 2 54" xfId="25199" xr:uid="{00000000-0005-0000-0000-0000B79A0000}"/>
    <cellStyle name="Prosent 2 2 55" xfId="25006" xr:uid="{00000000-0005-0000-0000-0000B89A0000}"/>
    <cellStyle name="Prosent 2 2 56" xfId="43448" xr:uid="{00000000-0005-0000-0000-0000B99A0000}"/>
    <cellStyle name="Prosent 2 2 57" xfId="43709" xr:uid="{00000000-0005-0000-0000-0000BA9A0000}"/>
    <cellStyle name="Prosent 2 2 58" xfId="43472" xr:uid="{00000000-0005-0000-0000-0000BB9A0000}"/>
    <cellStyle name="Prosent 2 2 59" xfId="43486" xr:uid="{00000000-0005-0000-0000-0000BC9A0000}"/>
    <cellStyle name="Prosent 2 2 6" xfId="13400" xr:uid="{00000000-0005-0000-0000-0000BD9A0000}"/>
    <cellStyle name="Prosent 2 2 6 2" xfId="13401" xr:uid="{00000000-0005-0000-0000-0000BE9A0000}"/>
    <cellStyle name="Prosent 2 2 6 2 2" xfId="18508" xr:uid="{00000000-0005-0000-0000-0000BF9A0000}"/>
    <cellStyle name="Prosent 2 2 6 2 3" xfId="15556" xr:uid="{00000000-0005-0000-0000-0000C09A0000}"/>
    <cellStyle name="Prosent 2 2 6 2 3 2" xfId="26576" xr:uid="{00000000-0005-0000-0000-0000C19A0000}"/>
    <cellStyle name="Prosent 2 2 6 2 3 2 2" xfId="42112" xr:uid="{00000000-0005-0000-0000-0000C29A0000}"/>
    <cellStyle name="Prosent 2 2 6 2 3 3" xfId="45152" xr:uid="{00000000-0005-0000-0000-0000C39A0000}"/>
    <cellStyle name="Prosent 2 2 6 2_Avviksanalyse løpende RNB15 (1)" xfId="17082" xr:uid="{00000000-0005-0000-0000-0000C49A0000}"/>
    <cellStyle name="Prosent 2 2 60" xfId="46332" xr:uid="{00000000-0005-0000-0000-0000C59A0000}"/>
    <cellStyle name="Prosent 2 2 61" xfId="46626" xr:uid="{00000000-0005-0000-0000-0000C69A0000}"/>
    <cellStyle name="Prosent 2 2 62" xfId="46373" xr:uid="{00000000-0005-0000-0000-0000C79A0000}"/>
    <cellStyle name="Prosent 2 2 63" xfId="46571" xr:uid="{00000000-0005-0000-0000-0000C89A0000}"/>
    <cellStyle name="Prosent 2 2 64" xfId="46607" xr:uid="{00000000-0005-0000-0000-0000C99A0000}"/>
    <cellStyle name="Prosent 2 2 65" xfId="46806" xr:uid="{00000000-0005-0000-0000-0000CA9A0000}"/>
    <cellStyle name="Prosent 2 2 66" xfId="47045" xr:uid="{00000000-0005-0000-0000-0000CB9A0000}"/>
    <cellStyle name="Prosent 2 2 67" xfId="47222" xr:uid="{00000000-0005-0000-0000-0000CC9A0000}"/>
    <cellStyle name="Prosent 2 2 68" xfId="47052" xr:uid="{00000000-0005-0000-0000-0000CD9A0000}"/>
    <cellStyle name="Prosent 2 2 7" xfId="13402" xr:uid="{00000000-0005-0000-0000-0000CE9A0000}"/>
    <cellStyle name="Prosent 2 2 7 2" xfId="13403" xr:uid="{00000000-0005-0000-0000-0000CF9A0000}"/>
    <cellStyle name="Prosent 2 2 7 2 2" xfId="18509" xr:uid="{00000000-0005-0000-0000-0000D09A0000}"/>
    <cellStyle name="Prosent 2 2 7 2 3" xfId="15557" xr:uid="{00000000-0005-0000-0000-0000D19A0000}"/>
    <cellStyle name="Prosent 2 2 7 2 3 2" xfId="26577" xr:uid="{00000000-0005-0000-0000-0000D29A0000}"/>
    <cellStyle name="Prosent 2 2 7 2 3 2 2" xfId="42113" xr:uid="{00000000-0005-0000-0000-0000D39A0000}"/>
    <cellStyle name="Prosent 2 2 7 2 3 3" xfId="45153" xr:uid="{00000000-0005-0000-0000-0000D49A0000}"/>
    <cellStyle name="Prosent 2 2 7 2_Avviksanalyse løpende RNB15 (1)" xfId="17083" xr:uid="{00000000-0005-0000-0000-0000D59A0000}"/>
    <cellStyle name="Prosent 2 2 8" xfId="13404" xr:uid="{00000000-0005-0000-0000-0000D69A0000}"/>
    <cellStyle name="Prosent 2 2 8 2" xfId="13405" xr:uid="{00000000-0005-0000-0000-0000D79A0000}"/>
    <cellStyle name="Prosent 2 2 8 2 2" xfId="18510" xr:uid="{00000000-0005-0000-0000-0000D89A0000}"/>
    <cellStyle name="Prosent 2 2 8 2 3" xfId="15558" xr:uid="{00000000-0005-0000-0000-0000D99A0000}"/>
    <cellStyle name="Prosent 2 2 8 2 3 2" xfId="26578" xr:uid="{00000000-0005-0000-0000-0000DA9A0000}"/>
    <cellStyle name="Prosent 2 2 8 2 3 2 2" xfId="42114" xr:uid="{00000000-0005-0000-0000-0000DB9A0000}"/>
    <cellStyle name="Prosent 2 2 8 2 3 3" xfId="45154" xr:uid="{00000000-0005-0000-0000-0000DC9A0000}"/>
    <cellStyle name="Prosent 2 2 8 2_Avviksanalyse løpende RNB15 (1)" xfId="17084" xr:uid="{00000000-0005-0000-0000-0000DD9A0000}"/>
    <cellStyle name="Prosent 2 2 9" xfId="13406" xr:uid="{00000000-0005-0000-0000-0000DE9A0000}"/>
    <cellStyle name="Prosent 2 2 9 2" xfId="13407" xr:uid="{00000000-0005-0000-0000-0000DF9A0000}"/>
    <cellStyle name="Prosent 2 2 9 2 2" xfId="18511" xr:uid="{00000000-0005-0000-0000-0000E09A0000}"/>
    <cellStyle name="Prosent 2 2 9 2 3" xfId="15559" xr:uid="{00000000-0005-0000-0000-0000E19A0000}"/>
    <cellStyle name="Prosent 2 2 9 2 3 2" xfId="26579" xr:uid="{00000000-0005-0000-0000-0000E29A0000}"/>
    <cellStyle name="Prosent 2 2 9 2 3 2 2" xfId="42115" xr:uid="{00000000-0005-0000-0000-0000E39A0000}"/>
    <cellStyle name="Prosent 2 2 9 2 3 3" xfId="45155" xr:uid="{00000000-0005-0000-0000-0000E49A0000}"/>
    <cellStyle name="Prosent 2 2 9 2_Avviksanalyse løpende RNB15 (1)" xfId="17085" xr:uid="{00000000-0005-0000-0000-0000E59A0000}"/>
    <cellStyle name="Prosent 2 2_NGL-pris" xfId="2682" xr:uid="{00000000-0005-0000-0000-0000E69A0000}"/>
    <cellStyle name="Prosent 2 20" xfId="13408" xr:uid="{00000000-0005-0000-0000-0000E79A0000}"/>
    <cellStyle name="Prosent 2 20 2" xfId="13409" xr:uid="{00000000-0005-0000-0000-0000E89A0000}"/>
    <cellStyle name="Prosent 2 20 2 2" xfId="18512" xr:uid="{00000000-0005-0000-0000-0000E99A0000}"/>
    <cellStyle name="Prosent 2 20 2 3" xfId="15560" xr:uid="{00000000-0005-0000-0000-0000EA9A0000}"/>
    <cellStyle name="Prosent 2 20 2 3 2" xfId="26580" xr:uid="{00000000-0005-0000-0000-0000EB9A0000}"/>
    <cellStyle name="Prosent 2 20 2 3 2 2" xfId="42116" xr:uid="{00000000-0005-0000-0000-0000EC9A0000}"/>
    <cellStyle name="Prosent 2 20 2 3 3" xfId="45156" xr:uid="{00000000-0005-0000-0000-0000ED9A0000}"/>
    <cellStyle name="Prosent 2 20 2_Avviksanalyse løpende RNB15 (1)" xfId="17086" xr:uid="{00000000-0005-0000-0000-0000EE9A0000}"/>
    <cellStyle name="Prosent 2 21" xfId="13410" xr:uid="{00000000-0005-0000-0000-0000EF9A0000}"/>
    <cellStyle name="Prosent 2 21 2" xfId="13411" xr:uid="{00000000-0005-0000-0000-0000F09A0000}"/>
    <cellStyle name="Prosent 2 21 2 2" xfId="18513" xr:uid="{00000000-0005-0000-0000-0000F19A0000}"/>
    <cellStyle name="Prosent 2 21 2 3" xfId="15561" xr:uid="{00000000-0005-0000-0000-0000F29A0000}"/>
    <cellStyle name="Prosent 2 21 2 3 2" xfId="26581" xr:uid="{00000000-0005-0000-0000-0000F39A0000}"/>
    <cellStyle name="Prosent 2 21 2 3 2 2" xfId="42117" xr:uid="{00000000-0005-0000-0000-0000F49A0000}"/>
    <cellStyle name="Prosent 2 21 2 3 3" xfId="45157" xr:uid="{00000000-0005-0000-0000-0000F59A0000}"/>
    <cellStyle name="Prosent 2 21 2_Avviksanalyse løpende RNB15 (1)" xfId="17087" xr:uid="{00000000-0005-0000-0000-0000F69A0000}"/>
    <cellStyle name="Prosent 2 22" xfId="13412" xr:uid="{00000000-0005-0000-0000-0000F79A0000}"/>
    <cellStyle name="Prosent 2 22 2" xfId="13413" xr:uid="{00000000-0005-0000-0000-0000F89A0000}"/>
    <cellStyle name="Prosent 2 22 2 2" xfId="18514" xr:uid="{00000000-0005-0000-0000-0000F99A0000}"/>
    <cellStyle name="Prosent 2 22 2 3" xfId="15562" xr:uid="{00000000-0005-0000-0000-0000FA9A0000}"/>
    <cellStyle name="Prosent 2 22 2 3 2" xfId="26582" xr:uid="{00000000-0005-0000-0000-0000FB9A0000}"/>
    <cellStyle name="Prosent 2 22 2 3 2 2" xfId="42118" xr:uid="{00000000-0005-0000-0000-0000FC9A0000}"/>
    <cellStyle name="Prosent 2 22 2 3 3" xfId="45158" xr:uid="{00000000-0005-0000-0000-0000FD9A0000}"/>
    <cellStyle name="Prosent 2 22 2_Avviksanalyse løpende RNB15 (1)" xfId="17088" xr:uid="{00000000-0005-0000-0000-0000FE9A0000}"/>
    <cellStyle name="Prosent 2 23" xfId="13414" xr:uid="{00000000-0005-0000-0000-0000FF9A0000}"/>
    <cellStyle name="Prosent 2 23 2" xfId="13415" xr:uid="{00000000-0005-0000-0000-0000009B0000}"/>
    <cellStyle name="Prosent 2 23 2 2" xfId="18515" xr:uid="{00000000-0005-0000-0000-0000019B0000}"/>
    <cellStyle name="Prosent 2 23 2 3" xfId="15563" xr:uid="{00000000-0005-0000-0000-0000029B0000}"/>
    <cellStyle name="Prosent 2 23 2 3 2" xfId="26583" xr:uid="{00000000-0005-0000-0000-0000039B0000}"/>
    <cellStyle name="Prosent 2 23 2 3 2 2" xfId="42119" xr:uid="{00000000-0005-0000-0000-0000049B0000}"/>
    <cellStyle name="Prosent 2 23 2 3 3" xfId="45159" xr:uid="{00000000-0005-0000-0000-0000059B0000}"/>
    <cellStyle name="Prosent 2 23 2_Avviksanalyse løpende RNB15 (1)" xfId="17089" xr:uid="{00000000-0005-0000-0000-0000069B0000}"/>
    <cellStyle name="Prosent 2 24" xfId="13416" xr:uid="{00000000-0005-0000-0000-0000079B0000}"/>
    <cellStyle name="Prosent 2 24 2" xfId="13417" xr:uid="{00000000-0005-0000-0000-0000089B0000}"/>
    <cellStyle name="Prosent 2 24 2 2" xfId="18516" xr:uid="{00000000-0005-0000-0000-0000099B0000}"/>
    <cellStyle name="Prosent 2 24 2 3" xfId="15564" xr:uid="{00000000-0005-0000-0000-00000A9B0000}"/>
    <cellStyle name="Prosent 2 24 2 3 2" xfId="26584" xr:uid="{00000000-0005-0000-0000-00000B9B0000}"/>
    <cellStyle name="Prosent 2 24 2 3 2 2" xfId="42120" xr:uid="{00000000-0005-0000-0000-00000C9B0000}"/>
    <cellStyle name="Prosent 2 24 2 3 3" xfId="45160" xr:uid="{00000000-0005-0000-0000-00000D9B0000}"/>
    <cellStyle name="Prosent 2 24 2_Avviksanalyse løpende RNB15 (1)" xfId="17090" xr:uid="{00000000-0005-0000-0000-00000E9B0000}"/>
    <cellStyle name="Prosent 2 25" xfId="13418" xr:uid="{00000000-0005-0000-0000-00000F9B0000}"/>
    <cellStyle name="Prosent 2 25 2" xfId="13419" xr:uid="{00000000-0005-0000-0000-0000109B0000}"/>
    <cellStyle name="Prosent 2 25 2 2" xfId="18517" xr:uid="{00000000-0005-0000-0000-0000119B0000}"/>
    <cellStyle name="Prosent 2 25 2 3" xfId="15565" xr:uid="{00000000-0005-0000-0000-0000129B0000}"/>
    <cellStyle name="Prosent 2 25 2 3 2" xfId="26585" xr:uid="{00000000-0005-0000-0000-0000139B0000}"/>
    <cellStyle name="Prosent 2 25 2 3 2 2" xfId="42121" xr:uid="{00000000-0005-0000-0000-0000149B0000}"/>
    <cellStyle name="Prosent 2 25 2 3 3" xfId="45161" xr:uid="{00000000-0005-0000-0000-0000159B0000}"/>
    <cellStyle name="Prosent 2 25 2_Avviksanalyse løpende RNB15 (1)" xfId="17091" xr:uid="{00000000-0005-0000-0000-0000169B0000}"/>
    <cellStyle name="Prosent 2 26" xfId="13420" xr:uid="{00000000-0005-0000-0000-0000179B0000}"/>
    <cellStyle name="Prosent 2 26 2" xfId="13421" xr:uid="{00000000-0005-0000-0000-0000189B0000}"/>
    <cellStyle name="Prosent 2 26 2 2" xfId="18518" xr:uid="{00000000-0005-0000-0000-0000199B0000}"/>
    <cellStyle name="Prosent 2 26 2 3" xfId="15566" xr:uid="{00000000-0005-0000-0000-00001A9B0000}"/>
    <cellStyle name="Prosent 2 26 2 3 2" xfId="26586" xr:uid="{00000000-0005-0000-0000-00001B9B0000}"/>
    <cellStyle name="Prosent 2 26 2 3 2 2" xfId="42122" xr:uid="{00000000-0005-0000-0000-00001C9B0000}"/>
    <cellStyle name="Prosent 2 26 2 3 3" xfId="45162" xr:uid="{00000000-0005-0000-0000-00001D9B0000}"/>
    <cellStyle name="Prosent 2 26 2_Avviksanalyse løpende RNB15 (1)" xfId="17092" xr:uid="{00000000-0005-0000-0000-00001E9B0000}"/>
    <cellStyle name="Prosent 2 27" xfId="13422" xr:uid="{00000000-0005-0000-0000-00001F9B0000}"/>
    <cellStyle name="Prosent 2 27 2" xfId="13423" xr:uid="{00000000-0005-0000-0000-0000209B0000}"/>
    <cellStyle name="Prosent 2 27 2 2" xfId="18519" xr:uid="{00000000-0005-0000-0000-0000219B0000}"/>
    <cellStyle name="Prosent 2 27 2 3" xfId="15567" xr:uid="{00000000-0005-0000-0000-0000229B0000}"/>
    <cellStyle name="Prosent 2 27 2 3 2" xfId="26587" xr:uid="{00000000-0005-0000-0000-0000239B0000}"/>
    <cellStyle name="Prosent 2 27 2 3 2 2" xfId="42123" xr:uid="{00000000-0005-0000-0000-0000249B0000}"/>
    <cellStyle name="Prosent 2 27 2 3 3" xfId="45163" xr:uid="{00000000-0005-0000-0000-0000259B0000}"/>
    <cellStyle name="Prosent 2 27 2_Avviksanalyse løpende RNB15 (1)" xfId="17093" xr:uid="{00000000-0005-0000-0000-0000269B0000}"/>
    <cellStyle name="Prosent 2 28" xfId="13424" xr:uid="{00000000-0005-0000-0000-0000279B0000}"/>
    <cellStyle name="Prosent 2 28 2" xfId="13425" xr:uid="{00000000-0005-0000-0000-0000289B0000}"/>
    <cellStyle name="Prosent 2 28 2 2" xfId="18520" xr:uid="{00000000-0005-0000-0000-0000299B0000}"/>
    <cellStyle name="Prosent 2 28 2 3" xfId="15568" xr:uid="{00000000-0005-0000-0000-00002A9B0000}"/>
    <cellStyle name="Prosent 2 28 2 3 2" xfId="26588" xr:uid="{00000000-0005-0000-0000-00002B9B0000}"/>
    <cellStyle name="Prosent 2 28 2 3 2 2" xfId="42124" xr:uid="{00000000-0005-0000-0000-00002C9B0000}"/>
    <cellStyle name="Prosent 2 28 2 3 3" xfId="45164" xr:uid="{00000000-0005-0000-0000-00002D9B0000}"/>
    <cellStyle name="Prosent 2 28 2_Avviksanalyse løpende RNB15 (1)" xfId="17094" xr:uid="{00000000-0005-0000-0000-00002E9B0000}"/>
    <cellStyle name="Prosent 2 29" xfId="13426" xr:uid="{00000000-0005-0000-0000-00002F9B0000}"/>
    <cellStyle name="Prosent 2 29 2" xfId="13427" xr:uid="{00000000-0005-0000-0000-0000309B0000}"/>
    <cellStyle name="Prosent 2 29 2 2" xfId="18521" xr:uid="{00000000-0005-0000-0000-0000319B0000}"/>
    <cellStyle name="Prosent 2 29 2 3" xfId="15569" xr:uid="{00000000-0005-0000-0000-0000329B0000}"/>
    <cellStyle name="Prosent 2 29 2 3 2" xfId="26589" xr:uid="{00000000-0005-0000-0000-0000339B0000}"/>
    <cellStyle name="Prosent 2 29 2 3 2 2" xfId="42125" xr:uid="{00000000-0005-0000-0000-0000349B0000}"/>
    <cellStyle name="Prosent 2 29 2 3 3" xfId="45165" xr:uid="{00000000-0005-0000-0000-0000359B0000}"/>
    <cellStyle name="Prosent 2 29 2_Avviksanalyse løpende RNB15 (1)" xfId="17095" xr:uid="{00000000-0005-0000-0000-0000369B0000}"/>
    <cellStyle name="Prosent 2 3" xfId="2683" xr:uid="{00000000-0005-0000-0000-0000379B0000}"/>
    <cellStyle name="Prosent 2 3 10" xfId="15141" xr:uid="{00000000-0005-0000-0000-0000389B0000}"/>
    <cellStyle name="Prosent 2 3 10 2" xfId="26590" xr:uid="{00000000-0005-0000-0000-0000399B0000}"/>
    <cellStyle name="Prosent 2 3 10 2 2" xfId="41697" xr:uid="{00000000-0005-0000-0000-00003A9B0000}"/>
    <cellStyle name="Prosent 2 3 10 3" xfId="45166" xr:uid="{00000000-0005-0000-0000-00003B9B0000}"/>
    <cellStyle name="Prosent 2 3 11" xfId="13428" xr:uid="{00000000-0005-0000-0000-00003C9B0000}"/>
    <cellStyle name="Prosent 2 3 2" xfId="2684" xr:uid="{00000000-0005-0000-0000-00003D9B0000}"/>
    <cellStyle name="Prosent 2 3 2 2" xfId="2685" xr:uid="{00000000-0005-0000-0000-00003E9B0000}"/>
    <cellStyle name="Prosent 2 3 2 2 2" xfId="13431" xr:uid="{00000000-0005-0000-0000-00003F9B0000}"/>
    <cellStyle name="Prosent 2 3 2 2 2 2" xfId="18522" xr:uid="{00000000-0005-0000-0000-0000409B0000}"/>
    <cellStyle name="Prosent 2 3 2 2 2 3" xfId="15465" xr:uid="{00000000-0005-0000-0000-0000419B0000}"/>
    <cellStyle name="Prosent 2 3 2 2 2 3 2" xfId="26591" xr:uid="{00000000-0005-0000-0000-0000429B0000}"/>
    <cellStyle name="Prosent 2 3 2 2 2 3 2 2" xfId="42021" xr:uid="{00000000-0005-0000-0000-0000439B0000}"/>
    <cellStyle name="Prosent 2 3 2 2 2 3 3" xfId="45167" xr:uid="{00000000-0005-0000-0000-0000449B0000}"/>
    <cellStyle name="Prosent 2 3 2 2 2_Avviksanalyse løpende RNB15 (1)" xfId="17096" xr:uid="{00000000-0005-0000-0000-0000459B0000}"/>
    <cellStyle name="Prosent 2 3 2 2 3" xfId="13430" xr:uid="{00000000-0005-0000-0000-0000469B0000}"/>
    <cellStyle name="Prosent 2 3 2 3" xfId="2686" xr:uid="{00000000-0005-0000-0000-0000479B0000}"/>
    <cellStyle name="Prosent 2 3 2 3 10" xfId="2687" xr:uid="{00000000-0005-0000-0000-0000489B0000}"/>
    <cellStyle name="Prosent 2 3 2 3 10 2" xfId="2688" xr:uid="{00000000-0005-0000-0000-0000499B0000}"/>
    <cellStyle name="Prosent 2 3 2 3 10 2 2" xfId="13435" xr:uid="{00000000-0005-0000-0000-00004A9B0000}"/>
    <cellStyle name="Prosent 2 3 2 3 10 2 2 2" xfId="18523" xr:uid="{00000000-0005-0000-0000-00004B9B0000}"/>
    <cellStyle name="Prosent 2 3 2 3 10 2 2 3" xfId="15955" xr:uid="{00000000-0005-0000-0000-00004C9B0000}"/>
    <cellStyle name="Prosent 2 3 2 3 10 2 2 3 2" xfId="26592" xr:uid="{00000000-0005-0000-0000-00004D9B0000}"/>
    <cellStyle name="Prosent 2 3 2 3 10 2 2 3 2 2" xfId="42511" xr:uid="{00000000-0005-0000-0000-00004E9B0000}"/>
    <cellStyle name="Prosent 2 3 2 3 10 2 2 3 3" xfId="45168" xr:uid="{00000000-0005-0000-0000-00004F9B0000}"/>
    <cellStyle name="Prosent 2 3 2 3 10 2 2_Avviksanalyse løpende RNB15 (1)" xfId="17097" xr:uid="{00000000-0005-0000-0000-0000509B0000}"/>
    <cellStyle name="Prosent 2 3 2 3 10 2 3" xfId="13434" xr:uid="{00000000-0005-0000-0000-0000519B0000}"/>
    <cellStyle name="Prosent 2 3 2 3 10 3" xfId="13436" xr:uid="{00000000-0005-0000-0000-0000529B0000}"/>
    <cellStyle name="Prosent 2 3 2 3 10 3 2" xfId="18524" xr:uid="{00000000-0005-0000-0000-0000539B0000}"/>
    <cellStyle name="Prosent 2 3 2 3 10 3 3" xfId="15954" xr:uid="{00000000-0005-0000-0000-0000549B0000}"/>
    <cellStyle name="Prosent 2 3 2 3 10 3 3 2" xfId="26593" xr:uid="{00000000-0005-0000-0000-0000559B0000}"/>
    <cellStyle name="Prosent 2 3 2 3 10 3 3 2 2" xfId="42510" xr:uid="{00000000-0005-0000-0000-0000569B0000}"/>
    <cellStyle name="Prosent 2 3 2 3 10 3 3 3" xfId="45169" xr:uid="{00000000-0005-0000-0000-0000579B0000}"/>
    <cellStyle name="Prosent 2 3 2 3 10 3_Avviksanalyse løpende RNB15 (1)" xfId="17098" xr:uid="{00000000-0005-0000-0000-0000589B0000}"/>
    <cellStyle name="Prosent 2 3 2 3 10 4" xfId="13433" xr:uid="{00000000-0005-0000-0000-0000599B0000}"/>
    <cellStyle name="Prosent 2 3 2 3 11" xfId="13437" xr:uid="{00000000-0005-0000-0000-00005A9B0000}"/>
    <cellStyle name="Prosent 2 3 2 3 11 2" xfId="18525" xr:uid="{00000000-0005-0000-0000-00005B9B0000}"/>
    <cellStyle name="Prosent 2 3 2 3 11 3" xfId="15466" xr:uid="{00000000-0005-0000-0000-00005C9B0000}"/>
    <cellStyle name="Prosent 2 3 2 3 11 3 2" xfId="24985" xr:uid="{00000000-0005-0000-0000-00005D9B0000}"/>
    <cellStyle name="Prosent 2 3 2 3 11 3 2 2" xfId="42022" xr:uid="{00000000-0005-0000-0000-00005E9B0000}"/>
    <cellStyle name="Prosent 2 3 2 3 11 3 2 3" xfId="43249" xr:uid="{00000000-0005-0000-0000-00005F9B0000}"/>
    <cellStyle name="Prosent 2 3 2 3 11 3 2 4" xfId="46095" xr:uid="{00000000-0005-0000-0000-0000609B0000}"/>
    <cellStyle name="Prosent 2 3 2 3 11 3 2 5" xfId="46862" xr:uid="{00000000-0005-0000-0000-0000619B0000}"/>
    <cellStyle name="Prosent 2 3 2 3 11 3 2 6" xfId="47449" xr:uid="{00000000-0005-0000-0000-0000629B0000}"/>
    <cellStyle name="Prosent 2 3 2 3 11 3 3" xfId="26594" xr:uid="{00000000-0005-0000-0000-0000639B0000}"/>
    <cellStyle name="Prosent 2 3 2 3 11 3 4" xfId="35344" xr:uid="{00000000-0005-0000-0000-0000649B0000}"/>
    <cellStyle name="Prosent 2 3 2 3 11 3 5" xfId="43705" xr:uid="{00000000-0005-0000-0000-0000659B0000}"/>
    <cellStyle name="Prosent 2 3 2 3 11 3 6" xfId="46623" xr:uid="{00000000-0005-0000-0000-0000669B0000}"/>
    <cellStyle name="Prosent 2 3 2 3 11 3 7" xfId="47253" xr:uid="{00000000-0005-0000-0000-0000679B0000}"/>
    <cellStyle name="Prosent 2 3 2 3 11 4" xfId="43499" xr:uid="{00000000-0005-0000-0000-0000689B0000}"/>
    <cellStyle name="Prosent 2 3 2 3 11 5" xfId="46398" xr:uid="{00000000-0005-0000-0000-0000699B0000}"/>
    <cellStyle name="Prosent 2 3 2 3 11 6" xfId="47063" xr:uid="{00000000-0005-0000-0000-00006A9B0000}"/>
    <cellStyle name="Prosent 2 3 2 3 11_Avviksanalyse løpende RNB15 (1)" xfId="17099" xr:uid="{00000000-0005-0000-0000-00006B9B0000}"/>
    <cellStyle name="Prosent 2 3 2 3 12" xfId="13432" xr:uid="{00000000-0005-0000-0000-00006C9B0000}"/>
    <cellStyle name="Prosent 2 3 2 3 2" xfId="2689" xr:uid="{00000000-0005-0000-0000-00006D9B0000}"/>
    <cellStyle name="Prosent 2 3 2 3 2 2" xfId="2690" xr:uid="{00000000-0005-0000-0000-00006E9B0000}"/>
    <cellStyle name="Prosent 2 3 2 3 2 2 10" xfId="13440" xr:uid="{00000000-0005-0000-0000-00006F9B0000}"/>
    <cellStyle name="Prosent 2 3 2 3 2 2 10 2" xfId="18526" xr:uid="{00000000-0005-0000-0000-0000709B0000}"/>
    <cellStyle name="Prosent 2 3 2 3 2 2 10 3" xfId="15762" xr:uid="{00000000-0005-0000-0000-0000719B0000}"/>
    <cellStyle name="Prosent 2 3 2 3 2 2 10 3 2" xfId="26595" xr:uid="{00000000-0005-0000-0000-0000729B0000}"/>
    <cellStyle name="Prosent 2 3 2 3 2 2 10 3 2 2" xfId="42318" xr:uid="{00000000-0005-0000-0000-0000739B0000}"/>
    <cellStyle name="Prosent 2 3 2 3 2 2 10 3 3" xfId="45170" xr:uid="{00000000-0005-0000-0000-0000749B0000}"/>
    <cellStyle name="Prosent 2 3 2 3 2 2 10_Avviksanalyse løpende RNB15 (1)" xfId="17100" xr:uid="{00000000-0005-0000-0000-0000759B0000}"/>
    <cellStyle name="Prosent 2 3 2 3 2 2 11" xfId="13439" xr:uid="{00000000-0005-0000-0000-0000769B0000}"/>
    <cellStyle name="Prosent 2 3 2 3 2 2 2" xfId="2691" xr:uid="{00000000-0005-0000-0000-0000779B0000}"/>
    <cellStyle name="Prosent 2 3 2 3 2 2 2 2" xfId="13442" xr:uid="{00000000-0005-0000-0000-0000789B0000}"/>
    <cellStyle name="Prosent 2 3 2 3 2 2 2 2 2" xfId="18527" xr:uid="{00000000-0005-0000-0000-0000799B0000}"/>
    <cellStyle name="Prosent 2 3 2 3 2 2 2 2 3" xfId="15777" xr:uid="{00000000-0005-0000-0000-00007A9B0000}"/>
    <cellStyle name="Prosent 2 3 2 3 2 2 2 2 3 2" xfId="26596" xr:uid="{00000000-0005-0000-0000-00007B9B0000}"/>
    <cellStyle name="Prosent 2 3 2 3 2 2 2 2 3 2 2" xfId="42333" xr:uid="{00000000-0005-0000-0000-00007C9B0000}"/>
    <cellStyle name="Prosent 2 3 2 3 2 2 2 2 3 3" xfId="45171" xr:uid="{00000000-0005-0000-0000-00007D9B0000}"/>
    <cellStyle name="Prosent 2 3 2 3 2 2 2 2_Avviksanalyse løpende RNB15 (1)" xfId="17101" xr:uid="{00000000-0005-0000-0000-00007E9B0000}"/>
    <cellStyle name="Prosent 2 3 2 3 2 2 2 3" xfId="13441" xr:uid="{00000000-0005-0000-0000-00007F9B0000}"/>
    <cellStyle name="Prosent 2 3 2 3 2 2 3" xfId="2692" xr:uid="{00000000-0005-0000-0000-0000809B0000}"/>
    <cellStyle name="Prosent 2 3 2 3 2 2 3 10" xfId="13443" xr:uid="{00000000-0005-0000-0000-0000819B0000}"/>
    <cellStyle name="Prosent 2 3 2 3 2 2 3 2" xfId="2693" xr:uid="{00000000-0005-0000-0000-0000829B0000}"/>
    <cellStyle name="Prosent 2 3 2 3 2 2 3 2 2" xfId="13445" xr:uid="{00000000-0005-0000-0000-0000839B0000}"/>
    <cellStyle name="Prosent 2 3 2 3 2 2 3 2 2 2" xfId="18528" xr:uid="{00000000-0005-0000-0000-0000849B0000}"/>
    <cellStyle name="Prosent 2 3 2 3 2 2 3 2 2 3" xfId="15779" xr:uid="{00000000-0005-0000-0000-0000859B0000}"/>
    <cellStyle name="Prosent 2 3 2 3 2 2 3 2 2 3 2" xfId="26597" xr:uid="{00000000-0005-0000-0000-0000869B0000}"/>
    <cellStyle name="Prosent 2 3 2 3 2 2 3 2 2 3 2 2" xfId="42335" xr:uid="{00000000-0005-0000-0000-0000879B0000}"/>
    <cellStyle name="Prosent 2 3 2 3 2 2 3 2 2 3 3" xfId="45172" xr:uid="{00000000-0005-0000-0000-0000889B0000}"/>
    <cellStyle name="Prosent 2 3 2 3 2 2 3 2 2_Avviksanalyse løpende RNB15 (1)" xfId="17102" xr:uid="{00000000-0005-0000-0000-0000899B0000}"/>
    <cellStyle name="Prosent 2 3 2 3 2 2 3 2 3" xfId="13444" xr:uid="{00000000-0005-0000-0000-00008A9B0000}"/>
    <cellStyle name="Prosent 2 3 2 3 2 2 3 3" xfId="2694" xr:uid="{00000000-0005-0000-0000-00008B9B0000}"/>
    <cellStyle name="Prosent 2 3 2 3 2 2 3 3 2" xfId="2695" xr:uid="{00000000-0005-0000-0000-00008C9B0000}"/>
    <cellStyle name="Prosent 2 3 2 3 2 2 3 3 2 2" xfId="13448" xr:uid="{00000000-0005-0000-0000-00008D9B0000}"/>
    <cellStyle name="Prosent 2 3 2 3 2 2 3 3 2 2 2" xfId="18529" xr:uid="{00000000-0005-0000-0000-00008E9B0000}"/>
    <cellStyle name="Prosent 2 3 2 3 2 2 3 3 2 2 3" xfId="15781" xr:uid="{00000000-0005-0000-0000-00008F9B0000}"/>
    <cellStyle name="Prosent 2 3 2 3 2 2 3 3 2 2 3 2" xfId="26598" xr:uid="{00000000-0005-0000-0000-0000909B0000}"/>
    <cellStyle name="Prosent 2 3 2 3 2 2 3 3 2 2 3 2 2" xfId="42337" xr:uid="{00000000-0005-0000-0000-0000919B0000}"/>
    <cellStyle name="Prosent 2 3 2 3 2 2 3 3 2 2 3 3" xfId="45173" xr:uid="{00000000-0005-0000-0000-0000929B0000}"/>
    <cellStyle name="Prosent 2 3 2 3 2 2 3 3 2 2_Avviksanalyse løpende RNB15 (1)" xfId="17103" xr:uid="{00000000-0005-0000-0000-0000939B0000}"/>
    <cellStyle name="Prosent 2 3 2 3 2 2 3 3 2 3" xfId="13447" xr:uid="{00000000-0005-0000-0000-0000949B0000}"/>
    <cellStyle name="Prosent 2 3 2 3 2 2 3 3 3" xfId="13449" xr:uid="{00000000-0005-0000-0000-0000959B0000}"/>
    <cellStyle name="Prosent 2 3 2 3 2 2 3 3 3 2" xfId="18530" xr:uid="{00000000-0005-0000-0000-0000969B0000}"/>
    <cellStyle name="Prosent 2 3 2 3 2 2 3 3 3 3" xfId="15780" xr:uid="{00000000-0005-0000-0000-0000979B0000}"/>
    <cellStyle name="Prosent 2 3 2 3 2 2 3 3 3 3 2" xfId="26599" xr:uid="{00000000-0005-0000-0000-0000989B0000}"/>
    <cellStyle name="Prosent 2 3 2 3 2 2 3 3 3 3 2 2" xfId="42336" xr:uid="{00000000-0005-0000-0000-0000999B0000}"/>
    <cellStyle name="Prosent 2 3 2 3 2 2 3 3 3 3 3" xfId="45174" xr:uid="{00000000-0005-0000-0000-00009A9B0000}"/>
    <cellStyle name="Prosent 2 3 2 3 2 2 3 3 3_Avviksanalyse løpende RNB15 (1)" xfId="17104" xr:uid="{00000000-0005-0000-0000-00009B9B0000}"/>
    <cellStyle name="Prosent 2 3 2 3 2 2 3 3 4" xfId="13446" xr:uid="{00000000-0005-0000-0000-00009C9B0000}"/>
    <cellStyle name="Prosent 2 3 2 3 2 2 3 4" xfId="2696" xr:uid="{00000000-0005-0000-0000-00009D9B0000}"/>
    <cellStyle name="Prosent 2 3 2 3 2 2 3 4 2" xfId="2697" xr:uid="{00000000-0005-0000-0000-00009E9B0000}"/>
    <cellStyle name="Prosent 2 3 2 3 2 2 3 4 2 2" xfId="13452" xr:uid="{00000000-0005-0000-0000-00009F9B0000}"/>
    <cellStyle name="Prosent 2 3 2 3 2 2 3 4 2 2 2" xfId="18531" xr:uid="{00000000-0005-0000-0000-0000A09B0000}"/>
    <cellStyle name="Prosent 2 3 2 3 2 2 3 4 2 2 3" xfId="15783" xr:uid="{00000000-0005-0000-0000-0000A19B0000}"/>
    <cellStyle name="Prosent 2 3 2 3 2 2 3 4 2 2 3 2" xfId="26600" xr:uid="{00000000-0005-0000-0000-0000A29B0000}"/>
    <cellStyle name="Prosent 2 3 2 3 2 2 3 4 2 2 3 2 2" xfId="42339" xr:uid="{00000000-0005-0000-0000-0000A39B0000}"/>
    <cellStyle name="Prosent 2 3 2 3 2 2 3 4 2 2 3 3" xfId="45175" xr:uid="{00000000-0005-0000-0000-0000A49B0000}"/>
    <cellStyle name="Prosent 2 3 2 3 2 2 3 4 2 2_Avviksanalyse løpende RNB15 (1)" xfId="17105" xr:uid="{00000000-0005-0000-0000-0000A59B0000}"/>
    <cellStyle name="Prosent 2 3 2 3 2 2 3 4 2 3" xfId="13451" xr:uid="{00000000-0005-0000-0000-0000A69B0000}"/>
    <cellStyle name="Prosent 2 3 2 3 2 2 3 4 3" xfId="2698" xr:uid="{00000000-0005-0000-0000-0000A79B0000}"/>
    <cellStyle name="Prosent 2 3 2 3 2 2 3 4 3 2" xfId="13454" xr:uid="{00000000-0005-0000-0000-0000A89B0000}"/>
    <cellStyle name="Prosent 2 3 2 3 2 2 3 4 3 2 2" xfId="18532" xr:uid="{00000000-0005-0000-0000-0000A99B0000}"/>
    <cellStyle name="Prosent 2 3 2 3 2 2 3 4 3 2 3" xfId="15784" xr:uid="{00000000-0005-0000-0000-0000AA9B0000}"/>
    <cellStyle name="Prosent 2 3 2 3 2 2 3 4 3 2 3 2" xfId="26601" xr:uid="{00000000-0005-0000-0000-0000AB9B0000}"/>
    <cellStyle name="Prosent 2 3 2 3 2 2 3 4 3 2 3 2 2" xfId="42340" xr:uid="{00000000-0005-0000-0000-0000AC9B0000}"/>
    <cellStyle name="Prosent 2 3 2 3 2 2 3 4 3 2 3 3" xfId="45176" xr:uid="{00000000-0005-0000-0000-0000AD9B0000}"/>
    <cellStyle name="Prosent 2 3 2 3 2 2 3 4 3 2_Avviksanalyse løpende RNB15 (1)" xfId="17106" xr:uid="{00000000-0005-0000-0000-0000AE9B0000}"/>
    <cellStyle name="Prosent 2 3 2 3 2 2 3 4 3 3" xfId="13453" xr:uid="{00000000-0005-0000-0000-0000AF9B0000}"/>
    <cellStyle name="Prosent 2 3 2 3 2 2 3 4 4" xfId="2699" xr:uid="{00000000-0005-0000-0000-0000B09B0000}"/>
    <cellStyle name="Prosent 2 3 2 3 2 2 3 4 4 2" xfId="2700" xr:uid="{00000000-0005-0000-0000-0000B19B0000}"/>
    <cellStyle name="Prosent 2 3 2 3 2 2 3 4 4 2 2" xfId="13457" xr:uid="{00000000-0005-0000-0000-0000B29B0000}"/>
    <cellStyle name="Prosent 2 3 2 3 2 2 3 4 4 2 2 2" xfId="18533" xr:uid="{00000000-0005-0000-0000-0000B39B0000}"/>
    <cellStyle name="Prosent 2 3 2 3 2 2 3 4 4 2 2 3" xfId="15786" xr:uid="{00000000-0005-0000-0000-0000B49B0000}"/>
    <cellStyle name="Prosent 2 3 2 3 2 2 3 4 4 2 2 3 2" xfId="26602" xr:uid="{00000000-0005-0000-0000-0000B59B0000}"/>
    <cellStyle name="Prosent 2 3 2 3 2 2 3 4 4 2 2 3 2 2" xfId="42342" xr:uid="{00000000-0005-0000-0000-0000B69B0000}"/>
    <cellStyle name="Prosent 2 3 2 3 2 2 3 4 4 2 2 3 3" xfId="45177" xr:uid="{00000000-0005-0000-0000-0000B79B0000}"/>
    <cellStyle name="Prosent 2 3 2 3 2 2 3 4 4 2 2_Avviksanalyse løpende RNB15 (1)" xfId="17107" xr:uid="{00000000-0005-0000-0000-0000B89B0000}"/>
    <cellStyle name="Prosent 2 3 2 3 2 2 3 4 4 2 3" xfId="13456" xr:uid="{00000000-0005-0000-0000-0000B99B0000}"/>
    <cellStyle name="Prosent 2 3 2 3 2 2 3 4 4 3" xfId="2701" xr:uid="{00000000-0005-0000-0000-0000BA9B0000}"/>
    <cellStyle name="Prosent 2 3 2 3 2 2 3 4 4 3 2" xfId="2702" xr:uid="{00000000-0005-0000-0000-0000BB9B0000}"/>
    <cellStyle name="Prosent 2 3 2 3 2 2 3 4 4 3 2 2" xfId="13460" xr:uid="{00000000-0005-0000-0000-0000BC9B0000}"/>
    <cellStyle name="Prosent 2 3 2 3 2 2 3 4 4 3 2 2 2" xfId="18534" xr:uid="{00000000-0005-0000-0000-0000BD9B0000}"/>
    <cellStyle name="Prosent 2 3 2 3 2 2 3 4 4 3 2 2 3" xfId="15957" xr:uid="{00000000-0005-0000-0000-0000BE9B0000}"/>
    <cellStyle name="Prosent 2 3 2 3 2 2 3 4 4 3 2 2 3 2" xfId="26603" xr:uid="{00000000-0005-0000-0000-0000BF9B0000}"/>
    <cellStyle name="Prosent 2 3 2 3 2 2 3 4 4 3 2 2 3 2 2" xfId="42513" xr:uid="{00000000-0005-0000-0000-0000C09B0000}"/>
    <cellStyle name="Prosent 2 3 2 3 2 2 3 4 4 3 2 2 3 3" xfId="45178" xr:uid="{00000000-0005-0000-0000-0000C19B0000}"/>
    <cellStyle name="Prosent 2 3 2 3 2 2 3 4 4 3 2 2_Avviksanalyse løpende RNB15 (1)" xfId="17108" xr:uid="{00000000-0005-0000-0000-0000C29B0000}"/>
    <cellStyle name="Prosent 2 3 2 3 2 2 3 4 4 3 2 3" xfId="13459" xr:uid="{00000000-0005-0000-0000-0000C39B0000}"/>
    <cellStyle name="Prosent 2 3 2 3 2 2 3 4 4 3 3" xfId="13461" xr:uid="{00000000-0005-0000-0000-0000C49B0000}"/>
    <cellStyle name="Prosent 2 3 2 3 2 2 3 4 4 3 3 2" xfId="18535" xr:uid="{00000000-0005-0000-0000-0000C59B0000}"/>
    <cellStyle name="Prosent 2 3 2 3 2 2 3 4 4 3 3 3" xfId="15956" xr:uid="{00000000-0005-0000-0000-0000C69B0000}"/>
    <cellStyle name="Prosent 2 3 2 3 2 2 3 4 4 3 3 3 2" xfId="26604" xr:uid="{00000000-0005-0000-0000-0000C79B0000}"/>
    <cellStyle name="Prosent 2 3 2 3 2 2 3 4 4 3 3 3 2 2" xfId="42512" xr:uid="{00000000-0005-0000-0000-0000C89B0000}"/>
    <cellStyle name="Prosent 2 3 2 3 2 2 3 4 4 3 3 3 3" xfId="45179" xr:uid="{00000000-0005-0000-0000-0000C99B0000}"/>
    <cellStyle name="Prosent 2 3 2 3 2 2 3 4 4 3 3_Avviksanalyse løpende RNB15 (1)" xfId="17109" xr:uid="{00000000-0005-0000-0000-0000CA9B0000}"/>
    <cellStyle name="Prosent 2 3 2 3 2 2 3 4 4 3 4" xfId="13458" xr:uid="{00000000-0005-0000-0000-0000CB9B0000}"/>
    <cellStyle name="Prosent 2 3 2 3 2 2 3 4 4 4" xfId="2703" xr:uid="{00000000-0005-0000-0000-0000CC9B0000}"/>
    <cellStyle name="Prosent 2 3 2 3 2 2 3 4 4 4 2" xfId="2704" xr:uid="{00000000-0005-0000-0000-0000CD9B0000}"/>
    <cellStyle name="Prosent 2 3 2 3 2 2 3 4 4 4 2 2" xfId="13464" xr:uid="{00000000-0005-0000-0000-0000CE9B0000}"/>
    <cellStyle name="Prosent 2 3 2 3 2 2 3 4 4 4 2 2 2" xfId="18536" xr:uid="{00000000-0005-0000-0000-0000CF9B0000}"/>
    <cellStyle name="Prosent 2 3 2 3 2 2 3 4 4 4 2 2 3" xfId="15959" xr:uid="{00000000-0005-0000-0000-0000D09B0000}"/>
    <cellStyle name="Prosent 2 3 2 3 2 2 3 4 4 4 2 2 3 2" xfId="26605" xr:uid="{00000000-0005-0000-0000-0000D19B0000}"/>
    <cellStyle name="Prosent 2 3 2 3 2 2 3 4 4 4 2 2 3 2 2" xfId="42515" xr:uid="{00000000-0005-0000-0000-0000D29B0000}"/>
    <cellStyle name="Prosent 2 3 2 3 2 2 3 4 4 4 2 2 3 3" xfId="45180" xr:uid="{00000000-0005-0000-0000-0000D39B0000}"/>
    <cellStyle name="Prosent 2 3 2 3 2 2 3 4 4 4 2 2_Avviksanalyse løpende RNB15 (1)" xfId="17110" xr:uid="{00000000-0005-0000-0000-0000D49B0000}"/>
    <cellStyle name="Prosent 2 3 2 3 2 2 3 4 4 4 2 3" xfId="13463" xr:uid="{00000000-0005-0000-0000-0000D59B0000}"/>
    <cellStyle name="Prosent 2 3 2 3 2 2 3 4 4 4 3" xfId="13465" xr:uid="{00000000-0005-0000-0000-0000D69B0000}"/>
    <cellStyle name="Prosent 2 3 2 3 2 2 3 4 4 4 3 2" xfId="18537" xr:uid="{00000000-0005-0000-0000-0000D79B0000}"/>
    <cellStyle name="Prosent 2 3 2 3 2 2 3 4 4 4 3 3" xfId="15958" xr:uid="{00000000-0005-0000-0000-0000D89B0000}"/>
    <cellStyle name="Prosent 2 3 2 3 2 2 3 4 4 4 3 3 2" xfId="26606" xr:uid="{00000000-0005-0000-0000-0000D99B0000}"/>
    <cellStyle name="Prosent 2 3 2 3 2 2 3 4 4 4 3 3 2 2" xfId="42514" xr:uid="{00000000-0005-0000-0000-0000DA9B0000}"/>
    <cellStyle name="Prosent 2 3 2 3 2 2 3 4 4 4 3 3 3" xfId="45181" xr:uid="{00000000-0005-0000-0000-0000DB9B0000}"/>
    <cellStyle name="Prosent 2 3 2 3 2 2 3 4 4 4 3_Avviksanalyse løpende RNB15 (1)" xfId="17111" xr:uid="{00000000-0005-0000-0000-0000DC9B0000}"/>
    <cellStyle name="Prosent 2 3 2 3 2 2 3 4 4 4 4" xfId="13462" xr:uid="{00000000-0005-0000-0000-0000DD9B0000}"/>
    <cellStyle name="Prosent 2 3 2 3 2 2 3 4 4 5" xfId="13466" xr:uid="{00000000-0005-0000-0000-0000DE9B0000}"/>
    <cellStyle name="Prosent 2 3 2 3 2 2 3 4 4 5 2" xfId="18538" xr:uid="{00000000-0005-0000-0000-0000DF9B0000}"/>
    <cellStyle name="Prosent 2 3 2 3 2 2 3 4 4 5 3" xfId="15785" xr:uid="{00000000-0005-0000-0000-0000E09B0000}"/>
    <cellStyle name="Prosent 2 3 2 3 2 2 3 4 4 5 3 2" xfId="26607" xr:uid="{00000000-0005-0000-0000-0000E19B0000}"/>
    <cellStyle name="Prosent 2 3 2 3 2 2 3 4 4 5 3 2 2" xfId="42341" xr:uid="{00000000-0005-0000-0000-0000E29B0000}"/>
    <cellStyle name="Prosent 2 3 2 3 2 2 3 4 4 5 3 3" xfId="45182" xr:uid="{00000000-0005-0000-0000-0000E39B0000}"/>
    <cellStyle name="Prosent 2 3 2 3 2 2 3 4 4 5_Avviksanalyse løpende RNB15 (1)" xfId="17112" xr:uid="{00000000-0005-0000-0000-0000E49B0000}"/>
    <cellStyle name="Prosent 2 3 2 3 2 2 3 4 4 6" xfId="13455" xr:uid="{00000000-0005-0000-0000-0000E59B0000}"/>
    <cellStyle name="Prosent 2 3 2 3 2 2 3 4 5" xfId="2705" xr:uid="{00000000-0005-0000-0000-0000E69B0000}"/>
    <cellStyle name="Prosent 2 3 2 3 2 2 3 4 5 2" xfId="2706" xr:uid="{00000000-0005-0000-0000-0000E79B0000}"/>
    <cellStyle name="Prosent 2 3 2 3 2 2 3 4 5 2 2" xfId="13469" xr:uid="{00000000-0005-0000-0000-0000E89B0000}"/>
    <cellStyle name="Prosent 2 3 2 3 2 2 3 4 5 2 2 2" xfId="18539" xr:uid="{00000000-0005-0000-0000-0000E99B0000}"/>
    <cellStyle name="Prosent 2 3 2 3 2 2 3 4 5 2 2 3" xfId="15788" xr:uid="{00000000-0005-0000-0000-0000EA9B0000}"/>
    <cellStyle name="Prosent 2 3 2 3 2 2 3 4 5 2 2 3 2" xfId="26608" xr:uid="{00000000-0005-0000-0000-0000EB9B0000}"/>
    <cellStyle name="Prosent 2 3 2 3 2 2 3 4 5 2 2 3 2 2" xfId="42344" xr:uid="{00000000-0005-0000-0000-0000EC9B0000}"/>
    <cellStyle name="Prosent 2 3 2 3 2 2 3 4 5 2 2 3 3" xfId="45183" xr:uid="{00000000-0005-0000-0000-0000ED9B0000}"/>
    <cellStyle name="Prosent 2 3 2 3 2 2 3 4 5 2 2_Avviksanalyse løpende RNB15 (1)" xfId="17113" xr:uid="{00000000-0005-0000-0000-0000EE9B0000}"/>
    <cellStyle name="Prosent 2 3 2 3 2 2 3 4 5 2 3" xfId="13468" xr:uid="{00000000-0005-0000-0000-0000EF9B0000}"/>
    <cellStyle name="Prosent 2 3 2 3 2 2 3 4 5 3" xfId="2707" xr:uid="{00000000-0005-0000-0000-0000F09B0000}"/>
    <cellStyle name="Prosent 2 3 2 3 2 2 3 4 5 3 2" xfId="2708" xr:uid="{00000000-0005-0000-0000-0000F19B0000}"/>
    <cellStyle name="Prosent 2 3 2 3 2 2 3 4 5 3 2 2" xfId="13472" xr:uid="{00000000-0005-0000-0000-0000F29B0000}"/>
    <cellStyle name="Prosent 2 3 2 3 2 2 3 4 5 3 2 2 2" xfId="18540" xr:uid="{00000000-0005-0000-0000-0000F39B0000}"/>
    <cellStyle name="Prosent 2 3 2 3 2 2 3 4 5 3 2 2 3" xfId="15961" xr:uid="{00000000-0005-0000-0000-0000F49B0000}"/>
    <cellStyle name="Prosent 2 3 2 3 2 2 3 4 5 3 2 2 3 2" xfId="26609" xr:uid="{00000000-0005-0000-0000-0000F59B0000}"/>
    <cellStyle name="Prosent 2 3 2 3 2 2 3 4 5 3 2 2 3 2 2" xfId="42517" xr:uid="{00000000-0005-0000-0000-0000F69B0000}"/>
    <cellStyle name="Prosent 2 3 2 3 2 2 3 4 5 3 2 2 3 3" xfId="45184" xr:uid="{00000000-0005-0000-0000-0000F79B0000}"/>
    <cellStyle name="Prosent 2 3 2 3 2 2 3 4 5 3 2 2_Avviksanalyse løpende RNB15 (1)" xfId="17114" xr:uid="{00000000-0005-0000-0000-0000F89B0000}"/>
    <cellStyle name="Prosent 2 3 2 3 2 2 3 4 5 3 2 3" xfId="13471" xr:uid="{00000000-0005-0000-0000-0000F99B0000}"/>
    <cellStyle name="Prosent 2 3 2 3 2 2 3 4 5 3 3" xfId="13473" xr:uid="{00000000-0005-0000-0000-0000FA9B0000}"/>
    <cellStyle name="Prosent 2 3 2 3 2 2 3 4 5 3 3 2" xfId="18541" xr:uid="{00000000-0005-0000-0000-0000FB9B0000}"/>
    <cellStyle name="Prosent 2 3 2 3 2 2 3 4 5 3 3 3" xfId="15960" xr:uid="{00000000-0005-0000-0000-0000FC9B0000}"/>
    <cellStyle name="Prosent 2 3 2 3 2 2 3 4 5 3 3 3 2" xfId="26610" xr:uid="{00000000-0005-0000-0000-0000FD9B0000}"/>
    <cellStyle name="Prosent 2 3 2 3 2 2 3 4 5 3 3 3 2 2" xfId="42516" xr:uid="{00000000-0005-0000-0000-0000FE9B0000}"/>
    <cellStyle name="Prosent 2 3 2 3 2 2 3 4 5 3 3 3 3" xfId="45185" xr:uid="{00000000-0005-0000-0000-0000FF9B0000}"/>
    <cellStyle name="Prosent 2 3 2 3 2 2 3 4 5 3 3_Avviksanalyse løpende RNB15 (1)" xfId="17115" xr:uid="{00000000-0005-0000-0000-0000009C0000}"/>
    <cellStyle name="Prosent 2 3 2 3 2 2 3 4 5 3 4" xfId="13470" xr:uid="{00000000-0005-0000-0000-0000019C0000}"/>
    <cellStyle name="Prosent 2 3 2 3 2 2 3 4 5 4" xfId="2709" xr:uid="{00000000-0005-0000-0000-0000029C0000}"/>
    <cellStyle name="Prosent 2 3 2 3 2 2 3 4 5 4 2" xfId="2710" xr:uid="{00000000-0005-0000-0000-0000039C0000}"/>
    <cellStyle name="Prosent 2 3 2 3 2 2 3 4 5 4 2 2" xfId="13476" xr:uid="{00000000-0005-0000-0000-0000049C0000}"/>
    <cellStyle name="Prosent 2 3 2 3 2 2 3 4 5 4 2 2 2" xfId="18542" xr:uid="{00000000-0005-0000-0000-0000059C0000}"/>
    <cellStyle name="Prosent 2 3 2 3 2 2 3 4 5 4 2 2 3" xfId="15963" xr:uid="{00000000-0005-0000-0000-0000069C0000}"/>
    <cellStyle name="Prosent 2 3 2 3 2 2 3 4 5 4 2 2 3 2" xfId="26611" xr:uid="{00000000-0005-0000-0000-0000079C0000}"/>
    <cellStyle name="Prosent 2 3 2 3 2 2 3 4 5 4 2 2 3 2 2" xfId="42519" xr:uid="{00000000-0005-0000-0000-0000089C0000}"/>
    <cellStyle name="Prosent 2 3 2 3 2 2 3 4 5 4 2 2 3 3" xfId="45186" xr:uid="{00000000-0005-0000-0000-0000099C0000}"/>
    <cellStyle name="Prosent 2 3 2 3 2 2 3 4 5 4 2 2_Avviksanalyse løpende RNB15 (1)" xfId="17116" xr:uid="{00000000-0005-0000-0000-00000A9C0000}"/>
    <cellStyle name="Prosent 2 3 2 3 2 2 3 4 5 4 2 3" xfId="13475" xr:uid="{00000000-0005-0000-0000-00000B9C0000}"/>
    <cellStyle name="Prosent 2 3 2 3 2 2 3 4 5 4 3" xfId="13477" xr:uid="{00000000-0005-0000-0000-00000C9C0000}"/>
    <cellStyle name="Prosent 2 3 2 3 2 2 3 4 5 4 3 2" xfId="18543" xr:uid="{00000000-0005-0000-0000-00000D9C0000}"/>
    <cellStyle name="Prosent 2 3 2 3 2 2 3 4 5 4 3 3" xfId="15962" xr:uid="{00000000-0005-0000-0000-00000E9C0000}"/>
    <cellStyle name="Prosent 2 3 2 3 2 2 3 4 5 4 3 3 2" xfId="26612" xr:uid="{00000000-0005-0000-0000-00000F9C0000}"/>
    <cellStyle name="Prosent 2 3 2 3 2 2 3 4 5 4 3 3 2 2" xfId="42518" xr:uid="{00000000-0005-0000-0000-0000109C0000}"/>
    <cellStyle name="Prosent 2 3 2 3 2 2 3 4 5 4 3 3 3" xfId="45187" xr:uid="{00000000-0005-0000-0000-0000119C0000}"/>
    <cellStyle name="Prosent 2 3 2 3 2 2 3 4 5 4 3_Avviksanalyse løpende RNB15 (1)" xfId="17117" xr:uid="{00000000-0005-0000-0000-0000129C0000}"/>
    <cellStyle name="Prosent 2 3 2 3 2 2 3 4 5 4 4" xfId="13474" xr:uid="{00000000-0005-0000-0000-0000139C0000}"/>
    <cellStyle name="Prosent 2 3 2 3 2 2 3 4 5 5" xfId="13478" xr:uid="{00000000-0005-0000-0000-0000149C0000}"/>
    <cellStyle name="Prosent 2 3 2 3 2 2 3 4 5 5 2" xfId="18544" xr:uid="{00000000-0005-0000-0000-0000159C0000}"/>
    <cellStyle name="Prosent 2 3 2 3 2 2 3 4 5 5 3" xfId="15787" xr:uid="{00000000-0005-0000-0000-0000169C0000}"/>
    <cellStyle name="Prosent 2 3 2 3 2 2 3 4 5 5 3 2" xfId="26613" xr:uid="{00000000-0005-0000-0000-0000179C0000}"/>
    <cellStyle name="Prosent 2 3 2 3 2 2 3 4 5 5 3 2 2" xfId="42343" xr:uid="{00000000-0005-0000-0000-0000189C0000}"/>
    <cellStyle name="Prosent 2 3 2 3 2 2 3 4 5 5 3 3" xfId="45188" xr:uid="{00000000-0005-0000-0000-0000199C0000}"/>
    <cellStyle name="Prosent 2 3 2 3 2 2 3 4 5 5_Avviksanalyse løpende RNB15 (1)" xfId="17118" xr:uid="{00000000-0005-0000-0000-00001A9C0000}"/>
    <cellStyle name="Prosent 2 3 2 3 2 2 3 4 5 6" xfId="13467" xr:uid="{00000000-0005-0000-0000-00001B9C0000}"/>
    <cellStyle name="Prosent 2 3 2 3 2 2 3 4 6" xfId="2711" xr:uid="{00000000-0005-0000-0000-00001C9C0000}"/>
    <cellStyle name="Prosent 2 3 2 3 2 2 3 4 6 2" xfId="2712" xr:uid="{00000000-0005-0000-0000-00001D9C0000}"/>
    <cellStyle name="Prosent 2 3 2 3 2 2 3 4 6 2 2" xfId="13481" xr:uid="{00000000-0005-0000-0000-00001E9C0000}"/>
    <cellStyle name="Prosent 2 3 2 3 2 2 3 4 6 2 2 2" xfId="18545" xr:uid="{00000000-0005-0000-0000-00001F9C0000}"/>
    <cellStyle name="Prosent 2 3 2 3 2 2 3 4 6 2 2 3" xfId="15965" xr:uid="{00000000-0005-0000-0000-0000209C0000}"/>
    <cellStyle name="Prosent 2 3 2 3 2 2 3 4 6 2 2 3 2" xfId="26614" xr:uid="{00000000-0005-0000-0000-0000219C0000}"/>
    <cellStyle name="Prosent 2 3 2 3 2 2 3 4 6 2 2 3 2 2" xfId="42521" xr:uid="{00000000-0005-0000-0000-0000229C0000}"/>
    <cellStyle name="Prosent 2 3 2 3 2 2 3 4 6 2 2 3 3" xfId="45189" xr:uid="{00000000-0005-0000-0000-0000239C0000}"/>
    <cellStyle name="Prosent 2 3 2 3 2 2 3 4 6 2 2_Avviksanalyse løpende RNB15 (1)" xfId="17119" xr:uid="{00000000-0005-0000-0000-0000249C0000}"/>
    <cellStyle name="Prosent 2 3 2 3 2 2 3 4 6 2 3" xfId="13480" xr:uid="{00000000-0005-0000-0000-0000259C0000}"/>
    <cellStyle name="Prosent 2 3 2 3 2 2 3 4 6 3" xfId="13482" xr:uid="{00000000-0005-0000-0000-0000269C0000}"/>
    <cellStyle name="Prosent 2 3 2 3 2 2 3 4 6 3 2" xfId="18546" xr:uid="{00000000-0005-0000-0000-0000279C0000}"/>
    <cellStyle name="Prosent 2 3 2 3 2 2 3 4 6 3 3" xfId="15964" xr:uid="{00000000-0005-0000-0000-0000289C0000}"/>
    <cellStyle name="Prosent 2 3 2 3 2 2 3 4 6 3 3 2" xfId="26615" xr:uid="{00000000-0005-0000-0000-0000299C0000}"/>
    <cellStyle name="Prosent 2 3 2 3 2 2 3 4 6 3 3 2 2" xfId="42520" xr:uid="{00000000-0005-0000-0000-00002A9C0000}"/>
    <cellStyle name="Prosent 2 3 2 3 2 2 3 4 6 3 3 3" xfId="45190" xr:uid="{00000000-0005-0000-0000-00002B9C0000}"/>
    <cellStyle name="Prosent 2 3 2 3 2 2 3 4 6 3_Avviksanalyse løpende RNB15 (1)" xfId="17120" xr:uid="{00000000-0005-0000-0000-00002C9C0000}"/>
    <cellStyle name="Prosent 2 3 2 3 2 2 3 4 6 4" xfId="13479" xr:uid="{00000000-0005-0000-0000-00002D9C0000}"/>
    <cellStyle name="Prosent 2 3 2 3 2 2 3 4 7" xfId="2713" xr:uid="{00000000-0005-0000-0000-00002E9C0000}"/>
    <cellStyle name="Prosent 2 3 2 3 2 2 3 4 7 2" xfId="2714" xr:uid="{00000000-0005-0000-0000-00002F9C0000}"/>
    <cellStyle name="Prosent 2 3 2 3 2 2 3 4 7 2 2" xfId="13485" xr:uid="{00000000-0005-0000-0000-0000309C0000}"/>
    <cellStyle name="Prosent 2 3 2 3 2 2 3 4 7 2 2 2" xfId="18547" xr:uid="{00000000-0005-0000-0000-0000319C0000}"/>
    <cellStyle name="Prosent 2 3 2 3 2 2 3 4 7 2 2 3" xfId="15967" xr:uid="{00000000-0005-0000-0000-0000329C0000}"/>
    <cellStyle name="Prosent 2 3 2 3 2 2 3 4 7 2 2 3 2" xfId="26616" xr:uid="{00000000-0005-0000-0000-0000339C0000}"/>
    <cellStyle name="Prosent 2 3 2 3 2 2 3 4 7 2 2 3 2 2" xfId="42523" xr:uid="{00000000-0005-0000-0000-0000349C0000}"/>
    <cellStyle name="Prosent 2 3 2 3 2 2 3 4 7 2 2 3 3" xfId="45191" xr:uid="{00000000-0005-0000-0000-0000359C0000}"/>
    <cellStyle name="Prosent 2 3 2 3 2 2 3 4 7 2 2_Avviksanalyse løpende RNB15 (1)" xfId="17121" xr:uid="{00000000-0005-0000-0000-0000369C0000}"/>
    <cellStyle name="Prosent 2 3 2 3 2 2 3 4 7 2 3" xfId="13484" xr:uid="{00000000-0005-0000-0000-0000379C0000}"/>
    <cellStyle name="Prosent 2 3 2 3 2 2 3 4 7 3" xfId="13486" xr:uid="{00000000-0005-0000-0000-0000389C0000}"/>
    <cellStyle name="Prosent 2 3 2 3 2 2 3 4 7 3 2" xfId="18548" xr:uid="{00000000-0005-0000-0000-0000399C0000}"/>
    <cellStyle name="Prosent 2 3 2 3 2 2 3 4 7 3 3" xfId="15966" xr:uid="{00000000-0005-0000-0000-00003A9C0000}"/>
    <cellStyle name="Prosent 2 3 2 3 2 2 3 4 7 3 3 2" xfId="26617" xr:uid="{00000000-0005-0000-0000-00003B9C0000}"/>
    <cellStyle name="Prosent 2 3 2 3 2 2 3 4 7 3 3 2 2" xfId="42522" xr:uid="{00000000-0005-0000-0000-00003C9C0000}"/>
    <cellStyle name="Prosent 2 3 2 3 2 2 3 4 7 3 3 3" xfId="45192" xr:uid="{00000000-0005-0000-0000-00003D9C0000}"/>
    <cellStyle name="Prosent 2 3 2 3 2 2 3 4 7 3_Avviksanalyse løpende RNB15 (1)" xfId="17122" xr:uid="{00000000-0005-0000-0000-00003E9C0000}"/>
    <cellStyle name="Prosent 2 3 2 3 2 2 3 4 7 4" xfId="13483" xr:uid="{00000000-0005-0000-0000-00003F9C0000}"/>
    <cellStyle name="Prosent 2 3 2 3 2 2 3 4 8" xfId="13487" xr:uid="{00000000-0005-0000-0000-0000409C0000}"/>
    <cellStyle name="Prosent 2 3 2 3 2 2 3 4 8 2" xfId="18549" xr:uid="{00000000-0005-0000-0000-0000419C0000}"/>
    <cellStyle name="Prosent 2 3 2 3 2 2 3 4 8 3" xfId="15782" xr:uid="{00000000-0005-0000-0000-0000429C0000}"/>
    <cellStyle name="Prosent 2 3 2 3 2 2 3 4 8 3 2" xfId="26618" xr:uid="{00000000-0005-0000-0000-0000439C0000}"/>
    <cellStyle name="Prosent 2 3 2 3 2 2 3 4 8 3 2 2" xfId="42338" xr:uid="{00000000-0005-0000-0000-0000449C0000}"/>
    <cellStyle name="Prosent 2 3 2 3 2 2 3 4 8 3 3" xfId="45193" xr:uid="{00000000-0005-0000-0000-0000459C0000}"/>
    <cellStyle name="Prosent 2 3 2 3 2 2 3 4 8_Avviksanalyse løpende RNB15 (1)" xfId="17123" xr:uid="{00000000-0005-0000-0000-0000469C0000}"/>
    <cellStyle name="Prosent 2 3 2 3 2 2 3 4 9" xfId="13450" xr:uid="{00000000-0005-0000-0000-0000479C0000}"/>
    <cellStyle name="Prosent 2 3 2 3 2 2 3 5" xfId="2715" xr:uid="{00000000-0005-0000-0000-0000489C0000}"/>
    <cellStyle name="Prosent 2 3 2 3 2 2 3 5 2" xfId="2716" xr:uid="{00000000-0005-0000-0000-0000499C0000}"/>
    <cellStyle name="Prosent 2 3 2 3 2 2 3 5 2 2" xfId="13490" xr:uid="{00000000-0005-0000-0000-00004A9C0000}"/>
    <cellStyle name="Prosent 2 3 2 3 2 2 3 5 2 2 2" xfId="18550" xr:uid="{00000000-0005-0000-0000-00004B9C0000}"/>
    <cellStyle name="Prosent 2 3 2 3 2 2 3 5 2 2 3" xfId="15790" xr:uid="{00000000-0005-0000-0000-00004C9C0000}"/>
    <cellStyle name="Prosent 2 3 2 3 2 2 3 5 2 2 3 2" xfId="26619" xr:uid="{00000000-0005-0000-0000-00004D9C0000}"/>
    <cellStyle name="Prosent 2 3 2 3 2 2 3 5 2 2 3 2 2" xfId="42346" xr:uid="{00000000-0005-0000-0000-00004E9C0000}"/>
    <cellStyle name="Prosent 2 3 2 3 2 2 3 5 2 2 3 3" xfId="45194" xr:uid="{00000000-0005-0000-0000-00004F9C0000}"/>
    <cellStyle name="Prosent 2 3 2 3 2 2 3 5 2 2_Avviksanalyse løpende RNB15 (1)" xfId="17124" xr:uid="{00000000-0005-0000-0000-0000509C0000}"/>
    <cellStyle name="Prosent 2 3 2 3 2 2 3 5 2 3" xfId="13489" xr:uid="{00000000-0005-0000-0000-0000519C0000}"/>
    <cellStyle name="Prosent 2 3 2 3 2 2 3 5 3" xfId="2717" xr:uid="{00000000-0005-0000-0000-0000529C0000}"/>
    <cellStyle name="Prosent 2 3 2 3 2 2 3 5 3 2" xfId="2718" xr:uid="{00000000-0005-0000-0000-0000539C0000}"/>
    <cellStyle name="Prosent 2 3 2 3 2 2 3 5 3 2 2" xfId="13493" xr:uid="{00000000-0005-0000-0000-0000549C0000}"/>
    <cellStyle name="Prosent 2 3 2 3 2 2 3 5 3 2 2 2" xfId="18551" xr:uid="{00000000-0005-0000-0000-0000559C0000}"/>
    <cellStyle name="Prosent 2 3 2 3 2 2 3 5 3 2 2 3" xfId="15969" xr:uid="{00000000-0005-0000-0000-0000569C0000}"/>
    <cellStyle name="Prosent 2 3 2 3 2 2 3 5 3 2 2 3 2" xfId="26620" xr:uid="{00000000-0005-0000-0000-0000579C0000}"/>
    <cellStyle name="Prosent 2 3 2 3 2 2 3 5 3 2 2 3 2 2" xfId="42525" xr:uid="{00000000-0005-0000-0000-0000589C0000}"/>
    <cellStyle name="Prosent 2 3 2 3 2 2 3 5 3 2 2 3 3" xfId="45196" xr:uid="{00000000-0005-0000-0000-0000599C0000}"/>
    <cellStyle name="Prosent 2 3 2 3 2 2 3 5 3 2 2_Avviksanalyse løpende RNB15 (1)" xfId="17125" xr:uid="{00000000-0005-0000-0000-00005A9C0000}"/>
    <cellStyle name="Prosent 2 3 2 3 2 2 3 5 3 2 3" xfId="13492" xr:uid="{00000000-0005-0000-0000-00005B9C0000}"/>
    <cellStyle name="Prosent 2 3 2 3 2 2 3 5 3 3" xfId="13494" xr:uid="{00000000-0005-0000-0000-00005C9C0000}"/>
    <cellStyle name="Prosent 2 3 2 3 2 2 3 5 3 3 2" xfId="18552" xr:uid="{00000000-0005-0000-0000-00005D9C0000}"/>
    <cellStyle name="Prosent 2 3 2 3 2 2 3 5 3 3 3" xfId="15968" xr:uid="{00000000-0005-0000-0000-00005E9C0000}"/>
    <cellStyle name="Prosent 2 3 2 3 2 2 3 5 3 3 3 2" xfId="26621" xr:uid="{00000000-0005-0000-0000-00005F9C0000}"/>
    <cellStyle name="Prosent 2 3 2 3 2 2 3 5 3 3 3 2 2" xfId="42524" xr:uid="{00000000-0005-0000-0000-0000609C0000}"/>
    <cellStyle name="Prosent 2 3 2 3 2 2 3 5 3 3 3 3" xfId="45197" xr:uid="{00000000-0005-0000-0000-0000619C0000}"/>
    <cellStyle name="Prosent 2 3 2 3 2 2 3 5 3 3_Avviksanalyse løpende RNB15 (1)" xfId="17126" xr:uid="{00000000-0005-0000-0000-0000629C0000}"/>
    <cellStyle name="Prosent 2 3 2 3 2 2 3 5 3 4" xfId="13491" xr:uid="{00000000-0005-0000-0000-0000639C0000}"/>
    <cellStyle name="Prosent 2 3 2 3 2 2 3 5 4" xfId="2719" xr:uid="{00000000-0005-0000-0000-0000649C0000}"/>
    <cellStyle name="Prosent 2 3 2 3 2 2 3 5 4 2" xfId="2720" xr:uid="{00000000-0005-0000-0000-0000659C0000}"/>
    <cellStyle name="Prosent 2 3 2 3 2 2 3 5 4 2 2" xfId="13497" xr:uid="{00000000-0005-0000-0000-0000669C0000}"/>
    <cellStyle name="Prosent 2 3 2 3 2 2 3 5 4 2 2 2" xfId="18553" xr:uid="{00000000-0005-0000-0000-0000679C0000}"/>
    <cellStyle name="Prosent 2 3 2 3 2 2 3 5 4 2 2 3" xfId="15971" xr:uid="{00000000-0005-0000-0000-0000689C0000}"/>
    <cellStyle name="Prosent 2 3 2 3 2 2 3 5 4 2 2 3 2" xfId="26622" xr:uid="{00000000-0005-0000-0000-0000699C0000}"/>
    <cellStyle name="Prosent 2 3 2 3 2 2 3 5 4 2 2 3 2 2" xfId="42527" xr:uid="{00000000-0005-0000-0000-00006A9C0000}"/>
    <cellStyle name="Prosent 2 3 2 3 2 2 3 5 4 2 2 3 3" xfId="45198" xr:uid="{00000000-0005-0000-0000-00006B9C0000}"/>
    <cellStyle name="Prosent 2 3 2 3 2 2 3 5 4 2 2_Avviksanalyse løpende RNB15 (1)" xfId="17127" xr:uid="{00000000-0005-0000-0000-00006C9C0000}"/>
    <cellStyle name="Prosent 2 3 2 3 2 2 3 5 4 2 3" xfId="13496" xr:uid="{00000000-0005-0000-0000-00006D9C0000}"/>
    <cellStyle name="Prosent 2 3 2 3 2 2 3 5 4 3" xfId="13498" xr:uid="{00000000-0005-0000-0000-00006E9C0000}"/>
    <cellStyle name="Prosent 2 3 2 3 2 2 3 5 4 3 2" xfId="18554" xr:uid="{00000000-0005-0000-0000-00006F9C0000}"/>
    <cellStyle name="Prosent 2 3 2 3 2 2 3 5 4 3 3" xfId="15970" xr:uid="{00000000-0005-0000-0000-0000709C0000}"/>
    <cellStyle name="Prosent 2 3 2 3 2 2 3 5 4 3 3 2" xfId="26623" xr:uid="{00000000-0005-0000-0000-0000719C0000}"/>
    <cellStyle name="Prosent 2 3 2 3 2 2 3 5 4 3 3 2 2" xfId="42526" xr:uid="{00000000-0005-0000-0000-0000729C0000}"/>
    <cellStyle name="Prosent 2 3 2 3 2 2 3 5 4 3 3 3" xfId="45199" xr:uid="{00000000-0005-0000-0000-0000739C0000}"/>
    <cellStyle name="Prosent 2 3 2 3 2 2 3 5 4 3_Avviksanalyse løpende RNB15 (1)" xfId="17128" xr:uid="{00000000-0005-0000-0000-0000749C0000}"/>
    <cellStyle name="Prosent 2 3 2 3 2 2 3 5 4 4" xfId="13495" xr:uid="{00000000-0005-0000-0000-0000759C0000}"/>
    <cellStyle name="Prosent 2 3 2 3 2 2 3 5 5" xfId="13499" xr:uid="{00000000-0005-0000-0000-0000769C0000}"/>
    <cellStyle name="Prosent 2 3 2 3 2 2 3 5 5 2" xfId="18555" xr:uid="{00000000-0005-0000-0000-0000779C0000}"/>
    <cellStyle name="Prosent 2 3 2 3 2 2 3 5 5 3" xfId="15789" xr:uid="{00000000-0005-0000-0000-0000789C0000}"/>
    <cellStyle name="Prosent 2 3 2 3 2 2 3 5 5 3 2" xfId="26624" xr:uid="{00000000-0005-0000-0000-0000799C0000}"/>
    <cellStyle name="Prosent 2 3 2 3 2 2 3 5 5 3 2 2" xfId="42345" xr:uid="{00000000-0005-0000-0000-00007A9C0000}"/>
    <cellStyle name="Prosent 2 3 2 3 2 2 3 5 5 3 3" xfId="45200" xr:uid="{00000000-0005-0000-0000-00007B9C0000}"/>
    <cellStyle name="Prosent 2 3 2 3 2 2 3 5 5_Avviksanalyse løpende RNB15 (1)" xfId="17129" xr:uid="{00000000-0005-0000-0000-00007C9C0000}"/>
    <cellStyle name="Prosent 2 3 2 3 2 2 3 5 6" xfId="13488" xr:uid="{00000000-0005-0000-0000-00007D9C0000}"/>
    <cellStyle name="Prosent 2 3 2 3 2 2 3 6" xfId="2721" xr:uid="{00000000-0005-0000-0000-00007E9C0000}"/>
    <cellStyle name="Prosent 2 3 2 3 2 2 3 6 2" xfId="2722" xr:uid="{00000000-0005-0000-0000-00007F9C0000}"/>
    <cellStyle name="Prosent 2 3 2 3 2 2 3 6 2 2" xfId="13502" xr:uid="{00000000-0005-0000-0000-0000809C0000}"/>
    <cellStyle name="Prosent 2 3 2 3 2 2 3 6 2 2 2" xfId="18556" xr:uid="{00000000-0005-0000-0000-0000819C0000}"/>
    <cellStyle name="Prosent 2 3 2 3 2 2 3 6 2 2 3" xfId="15792" xr:uid="{00000000-0005-0000-0000-0000829C0000}"/>
    <cellStyle name="Prosent 2 3 2 3 2 2 3 6 2 2 3 2" xfId="26625" xr:uid="{00000000-0005-0000-0000-0000839C0000}"/>
    <cellStyle name="Prosent 2 3 2 3 2 2 3 6 2 2 3 2 2" xfId="42348" xr:uid="{00000000-0005-0000-0000-0000849C0000}"/>
    <cellStyle name="Prosent 2 3 2 3 2 2 3 6 2 2 3 3" xfId="45201" xr:uid="{00000000-0005-0000-0000-0000859C0000}"/>
    <cellStyle name="Prosent 2 3 2 3 2 2 3 6 2 2_Avviksanalyse løpende RNB15 (1)" xfId="17130" xr:uid="{00000000-0005-0000-0000-0000869C0000}"/>
    <cellStyle name="Prosent 2 3 2 3 2 2 3 6 2 3" xfId="13501" xr:uid="{00000000-0005-0000-0000-0000879C0000}"/>
    <cellStyle name="Prosent 2 3 2 3 2 2 3 6 3" xfId="2723" xr:uid="{00000000-0005-0000-0000-0000889C0000}"/>
    <cellStyle name="Prosent 2 3 2 3 2 2 3 6 3 2" xfId="2724" xr:uid="{00000000-0005-0000-0000-0000899C0000}"/>
    <cellStyle name="Prosent 2 3 2 3 2 2 3 6 3 2 2" xfId="13505" xr:uid="{00000000-0005-0000-0000-00008A9C0000}"/>
    <cellStyle name="Prosent 2 3 2 3 2 2 3 6 3 2 2 2" xfId="18557" xr:uid="{00000000-0005-0000-0000-00008B9C0000}"/>
    <cellStyle name="Prosent 2 3 2 3 2 2 3 6 3 2 2 3" xfId="15973" xr:uid="{00000000-0005-0000-0000-00008C9C0000}"/>
    <cellStyle name="Prosent 2 3 2 3 2 2 3 6 3 2 2 3 2" xfId="26626" xr:uid="{00000000-0005-0000-0000-00008D9C0000}"/>
    <cellStyle name="Prosent 2 3 2 3 2 2 3 6 3 2 2 3 2 2" xfId="42529" xr:uid="{00000000-0005-0000-0000-00008E9C0000}"/>
    <cellStyle name="Prosent 2 3 2 3 2 2 3 6 3 2 2 3 3" xfId="45202" xr:uid="{00000000-0005-0000-0000-00008F9C0000}"/>
    <cellStyle name="Prosent 2 3 2 3 2 2 3 6 3 2 2_Avviksanalyse løpende RNB15 (1)" xfId="17131" xr:uid="{00000000-0005-0000-0000-0000909C0000}"/>
    <cellStyle name="Prosent 2 3 2 3 2 2 3 6 3 2 3" xfId="13504" xr:uid="{00000000-0005-0000-0000-0000919C0000}"/>
    <cellStyle name="Prosent 2 3 2 3 2 2 3 6 3 3" xfId="13506" xr:uid="{00000000-0005-0000-0000-0000929C0000}"/>
    <cellStyle name="Prosent 2 3 2 3 2 2 3 6 3 3 2" xfId="18558" xr:uid="{00000000-0005-0000-0000-0000939C0000}"/>
    <cellStyle name="Prosent 2 3 2 3 2 2 3 6 3 3 3" xfId="15972" xr:uid="{00000000-0005-0000-0000-0000949C0000}"/>
    <cellStyle name="Prosent 2 3 2 3 2 2 3 6 3 3 3 2" xfId="26627" xr:uid="{00000000-0005-0000-0000-0000959C0000}"/>
    <cellStyle name="Prosent 2 3 2 3 2 2 3 6 3 3 3 2 2" xfId="42528" xr:uid="{00000000-0005-0000-0000-0000969C0000}"/>
    <cellStyle name="Prosent 2 3 2 3 2 2 3 6 3 3 3 3" xfId="45203" xr:uid="{00000000-0005-0000-0000-0000979C0000}"/>
    <cellStyle name="Prosent 2 3 2 3 2 2 3 6 3 3_Avviksanalyse løpende RNB15 (1)" xfId="17132" xr:uid="{00000000-0005-0000-0000-0000989C0000}"/>
    <cellStyle name="Prosent 2 3 2 3 2 2 3 6 3 4" xfId="13503" xr:uid="{00000000-0005-0000-0000-0000999C0000}"/>
    <cellStyle name="Prosent 2 3 2 3 2 2 3 6 4" xfId="2725" xr:uid="{00000000-0005-0000-0000-00009A9C0000}"/>
    <cellStyle name="Prosent 2 3 2 3 2 2 3 6 4 2" xfId="2726" xr:uid="{00000000-0005-0000-0000-00009B9C0000}"/>
    <cellStyle name="Prosent 2 3 2 3 2 2 3 6 4 2 2" xfId="13509" xr:uid="{00000000-0005-0000-0000-00009C9C0000}"/>
    <cellStyle name="Prosent 2 3 2 3 2 2 3 6 4 2 2 2" xfId="18559" xr:uid="{00000000-0005-0000-0000-00009D9C0000}"/>
    <cellStyle name="Prosent 2 3 2 3 2 2 3 6 4 2 2 3" xfId="15975" xr:uid="{00000000-0005-0000-0000-00009E9C0000}"/>
    <cellStyle name="Prosent 2 3 2 3 2 2 3 6 4 2 2 3 2" xfId="26628" xr:uid="{00000000-0005-0000-0000-00009F9C0000}"/>
    <cellStyle name="Prosent 2 3 2 3 2 2 3 6 4 2 2 3 2 2" xfId="42531" xr:uid="{00000000-0005-0000-0000-0000A09C0000}"/>
    <cellStyle name="Prosent 2 3 2 3 2 2 3 6 4 2 2 3 3" xfId="45204" xr:uid="{00000000-0005-0000-0000-0000A19C0000}"/>
    <cellStyle name="Prosent 2 3 2 3 2 2 3 6 4 2 2_Avviksanalyse løpende RNB15 (1)" xfId="17133" xr:uid="{00000000-0005-0000-0000-0000A29C0000}"/>
    <cellStyle name="Prosent 2 3 2 3 2 2 3 6 4 2 3" xfId="13508" xr:uid="{00000000-0005-0000-0000-0000A39C0000}"/>
    <cellStyle name="Prosent 2 3 2 3 2 2 3 6 4 3" xfId="13510" xr:uid="{00000000-0005-0000-0000-0000A49C0000}"/>
    <cellStyle name="Prosent 2 3 2 3 2 2 3 6 4 3 2" xfId="18560" xr:uid="{00000000-0005-0000-0000-0000A59C0000}"/>
    <cellStyle name="Prosent 2 3 2 3 2 2 3 6 4 3 3" xfId="15974" xr:uid="{00000000-0005-0000-0000-0000A69C0000}"/>
    <cellStyle name="Prosent 2 3 2 3 2 2 3 6 4 3 3 2" xfId="26629" xr:uid="{00000000-0005-0000-0000-0000A79C0000}"/>
    <cellStyle name="Prosent 2 3 2 3 2 2 3 6 4 3 3 2 2" xfId="42530" xr:uid="{00000000-0005-0000-0000-0000A89C0000}"/>
    <cellStyle name="Prosent 2 3 2 3 2 2 3 6 4 3 3 3" xfId="45205" xr:uid="{00000000-0005-0000-0000-0000A99C0000}"/>
    <cellStyle name="Prosent 2 3 2 3 2 2 3 6 4 3_Avviksanalyse løpende RNB15 (1)" xfId="17134" xr:uid="{00000000-0005-0000-0000-0000AA9C0000}"/>
    <cellStyle name="Prosent 2 3 2 3 2 2 3 6 4 4" xfId="13507" xr:uid="{00000000-0005-0000-0000-0000AB9C0000}"/>
    <cellStyle name="Prosent 2 3 2 3 2 2 3 6 5" xfId="13511" xr:uid="{00000000-0005-0000-0000-0000AC9C0000}"/>
    <cellStyle name="Prosent 2 3 2 3 2 2 3 6 5 2" xfId="18561" xr:uid="{00000000-0005-0000-0000-0000AD9C0000}"/>
    <cellStyle name="Prosent 2 3 2 3 2 2 3 6 5 3" xfId="15791" xr:uid="{00000000-0005-0000-0000-0000AE9C0000}"/>
    <cellStyle name="Prosent 2 3 2 3 2 2 3 6 5 3 2" xfId="26630" xr:uid="{00000000-0005-0000-0000-0000AF9C0000}"/>
    <cellStyle name="Prosent 2 3 2 3 2 2 3 6 5 3 2 2" xfId="42347" xr:uid="{00000000-0005-0000-0000-0000B09C0000}"/>
    <cellStyle name="Prosent 2 3 2 3 2 2 3 6 5 3 3" xfId="45206" xr:uid="{00000000-0005-0000-0000-0000B19C0000}"/>
    <cellStyle name="Prosent 2 3 2 3 2 2 3 6 5_Avviksanalyse løpende RNB15 (1)" xfId="17135" xr:uid="{00000000-0005-0000-0000-0000B29C0000}"/>
    <cellStyle name="Prosent 2 3 2 3 2 2 3 6 6" xfId="13500" xr:uid="{00000000-0005-0000-0000-0000B39C0000}"/>
    <cellStyle name="Prosent 2 3 2 3 2 2 3 7" xfId="2727" xr:uid="{00000000-0005-0000-0000-0000B49C0000}"/>
    <cellStyle name="Prosent 2 3 2 3 2 2 3 7 2" xfId="2728" xr:uid="{00000000-0005-0000-0000-0000B59C0000}"/>
    <cellStyle name="Prosent 2 3 2 3 2 2 3 7 2 2" xfId="13514" xr:uid="{00000000-0005-0000-0000-0000B69C0000}"/>
    <cellStyle name="Prosent 2 3 2 3 2 2 3 7 2 2 2" xfId="18562" xr:uid="{00000000-0005-0000-0000-0000B79C0000}"/>
    <cellStyle name="Prosent 2 3 2 3 2 2 3 7 2 2 3" xfId="15977" xr:uid="{00000000-0005-0000-0000-0000B89C0000}"/>
    <cellStyle name="Prosent 2 3 2 3 2 2 3 7 2 2 3 2" xfId="26631" xr:uid="{00000000-0005-0000-0000-0000B99C0000}"/>
    <cellStyle name="Prosent 2 3 2 3 2 2 3 7 2 2 3 2 2" xfId="42533" xr:uid="{00000000-0005-0000-0000-0000BA9C0000}"/>
    <cellStyle name="Prosent 2 3 2 3 2 2 3 7 2 2 3 3" xfId="45207" xr:uid="{00000000-0005-0000-0000-0000BB9C0000}"/>
    <cellStyle name="Prosent 2 3 2 3 2 2 3 7 2 2_Avviksanalyse løpende RNB15 (1)" xfId="17136" xr:uid="{00000000-0005-0000-0000-0000BC9C0000}"/>
    <cellStyle name="Prosent 2 3 2 3 2 2 3 7 2 3" xfId="13513" xr:uid="{00000000-0005-0000-0000-0000BD9C0000}"/>
    <cellStyle name="Prosent 2 3 2 3 2 2 3 7 3" xfId="13515" xr:uid="{00000000-0005-0000-0000-0000BE9C0000}"/>
    <cellStyle name="Prosent 2 3 2 3 2 2 3 7 3 2" xfId="18563" xr:uid="{00000000-0005-0000-0000-0000BF9C0000}"/>
    <cellStyle name="Prosent 2 3 2 3 2 2 3 7 3 3" xfId="15976" xr:uid="{00000000-0005-0000-0000-0000C09C0000}"/>
    <cellStyle name="Prosent 2 3 2 3 2 2 3 7 3 3 2" xfId="26632" xr:uid="{00000000-0005-0000-0000-0000C19C0000}"/>
    <cellStyle name="Prosent 2 3 2 3 2 2 3 7 3 3 2 2" xfId="42532" xr:uid="{00000000-0005-0000-0000-0000C29C0000}"/>
    <cellStyle name="Prosent 2 3 2 3 2 2 3 7 3 3 3" xfId="45208" xr:uid="{00000000-0005-0000-0000-0000C39C0000}"/>
    <cellStyle name="Prosent 2 3 2 3 2 2 3 7 3_Avviksanalyse løpende RNB15 (1)" xfId="17137" xr:uid="{00000000-0005-0000-0000-0000C49C0000}"/>
    <cellStyle name="Prosent 2 3 2 3 2 2 3 7 4" xfId="13512" xr:uid="{00000000-0005-0000-0000-0000C59C0000}"/>
    <cellStyle name="Prosent 2 3 2 3 2 2 3 8" xfId="2729" xr:uid="{00000000-0005-0000-0000-0000C69C0000}"/>
    <cellStyle name="Prosent 2 3 2 3 2 2 3 8 2" xfId="2730" xr:uid="{00000000-0005-0000-0000-0000C79C0000}"/>
    <cellStyle name="Prosent 2 3 2 3 2 2 3 8 2 2" xfId="13518" xr:uid="{00000000-0005-0000-0000-0000C89C0000}"/>
    <cellStyle name="Prosent 2 3 2 3 2 2 3 8 2 2 2" xfId="18564" xr:uid="{00000000-0005-0000-0000-0000C99C0000}"/>
    <cellStyle name="Prosent 2 3 2 3 2 2 3 8 2 2 3" xfId="15979" xr:uid="{00000000-0005-0000-0000-0000CA9C0000}"/>
    <cellStyle name="Prosent 2 3 2 3 2 2 3 8 2 2 3 2" xfId="26633" xr:uid="{00000000-0005-0000-0000-0000CB9C0000}"/>
    <cellStyle name="Prosent 2 3 2 3 2 2 3 8 2 2 3 2 2" xfId="42535" xr:uid="{00000000-0005-0000-0000-0000CC9C0000}"/>
    <cellStyle name="Prosent 2 3 2 3 2 2 3 8 2 2 3 3" xfId="45209" xr:uid="{00000000-0005-0000-0000-0000CD9C0000}"/>
    <cellStyle name="Prosent 2 3 2 3 2 2 3 8 2 2_Avviksanalyse løpende RNB15 (1)" xfId="17138" xr:uid="{00000000-0005-0000-0000-0000CE9C0000}"/>
    <cellStyle name="Prosent 2 3 2 3 2 2 3 8 2 3" xfId="13517" xr:uid="{00000000-0005-0000-0000-0000CF9C0000}"/>
    <cellStyle name="Prosent 2 3 2 3 2 2 3 8 3" xfId="13519" xr:uid="{00000000-0005-0000-0000-0000D09C0000}"/>
    <cellStyle name="Prosent 2 3 2 3 2 2 3 8 3 2" xfId="18565" xr:uid="{00000000-0005-0000-0000-0000D19C0000}"/>
    <cellStyle name="Prosent 2 3 2 3 2 2 3 8 3 3" xfId="15978" xr:uid="{00000000-0005-0000-0000-0000D29C0000}"/>
    <cellStyle name="Prosent 2 3 2 3 2 2 3 8 3 3 2" xfId="26634" xr:uid="{00000000-0005-0000-0000-0000D39C0000}"/>
    <cellStyle name="Prosent 2 3 2 3 2 2 3 8 3 3 2 2" xfId="42534" xr:uid="{00000000-0005-0000-0000-0000D49C0000}"/>
    <cellStyle name="Prosent 2 3 2 3 2 2 3 8 3 3 3" xfId="45210" xr:uid="{00000000-0005-0000-0000-0000D59C0000}"/>
    <cellStyle name="Prosent 2 3 2 3 2 2 3 8 3_Avviksanalyse løpende RNB15 (1)" xfId="17139" xr:uid="{00000000-0005-0000-0000-0000D69C0000}"/>
    <cellStyle name="Prosent 2 3 2 3 2 2 3 8 4" xfId="13516" xr:uid="{00000000-0005-0000-0000-0000D79C0000}"/>
    <cellStyle name="Prosent 2 3 2 3 2 2 3 9" xfId="13520" xr:uid="{00000000-0005-0000-0000-0000D89C0000}"/>
    <cellStyle name="Prosent 2 3 2 3 2 2 3 9 2" xfId="18566" xr:uid="{00000000-0005-0000-0000-0000D99C0000}"/>
    <cellStyle name="Prosent 2 3 2 3 2 2 3 9 3" xfId="15778" xr:uid="{00000000-0005-0000-0000-0000DA9C0000}"/>
    <cellStyle name="Prosent 2 3 2 3 2 2 3 9 3 2" xfId="26635" xr:uid="{00000000-0005-0000-0000-0000DB9C0000}"/>
    <cellStyle name="Prosent 2 3 2 3 2 2 3 9 3 2 2" xfId="42334" xr:uid="{00000000-0005-0000-0000-0000DC9C0000}"/>
    <cellStyle name="Prosent 2 3 2 3 2 2 3 9 3 3" xfId="45211" xr:uid="{00000000-0005-0000-0000-0000DD9C0000}"/>
    <cellStyle name="Prosent 2 3 2 3 2 2 3 9_Avviksanalyse løpende RNB15 (1)" xfId="17140" xr:uid="{00000000-0005-0000-0000-0000DE9C0000}"/>
    <cellStyle name="Prosent 2 3 2 3 2 2 4" xfId="2731" xr:uid="{00000000-0005-0000-0000-0000DF9C0000}"/>
    <cellStyle name="Prosent 2 3 2 3 2 2 4 2" xfId="2732" xr:uid="{00000000-0005-0000-0000-0000E09C0000}"/>
    <cellStyle name="Prosent 2 3 2 3 2 2 4 2 2" xfId="13523" xr:uid="{00000000-0005-0000-0000-0000E19C0000}"/>
    <cellStyle name="Prosent 2 3 2 3 2 2 4 2 2 2" xfId="18567" xr:uid="{00000000-0005-0000-0000-0000E29C0000}"/>
    <cellStyle name="Prosent 2 3 2 3 2 2 4 2 2 3" xfId="15794" xr:uid="{00000000-0005-0000-0000-0000E39C0000}"/>
    <cellStyle name="Prosent 2 3 2 3 2 2 4 2 2 3 2" xfId="26636" xr:uid="{00000000-0005-0000-0000-0000E49C0000}"/>
    <cellStyle name="Prosent 2 3 2 3 2 2 4 2 2 3 2 2" xfId="42350" xr:uid="{00000000-0005-0000-0000-0000E59C0000}"/>
    <cellStyle name="Prosent 2 3 2 3 2 2 4 2 2 3 3" xfId="45212" xr:uid="{00000000-0005-0000-0000-0000E69C0000}"/>
    <cellStyle name="Prosent 2 3 2 3 2 2 4 2 2_Avviksanalyse løpende RNB15 (1)" xfId="17141" xr:uid="{00000000-0005-0000-0000-0000E79C0000}"/>
    <cellStyle name="Prosent 2 3 2 3 2 2 4 2 3" xfId="13522" xr:uid="{00000000-0005-0000-0000-0000E89C0000}"/>
    <cellStyle name="Prosent 2 3 2 3 2 2 4 3" xfId="13524" xr:uid="{00000000-0005-0000-0000-0000E99C0000}"/>
    <cellStyle name="Prosent 2 3 2 3 2 2 4 3 2" xfId="18568" xr:uid="{00000000-0005-0000-0000-0000EA9C0000}"/>
    <cellStyle name="Prosent 2 3 2 3 2 2 4 3 3" xfId="15793" xr:uid="{00000000-0005-0000-0000-0000EB9C0000}"/>
    <cellStyle name="Prosent 2 3 2 3 2 2 4 3 3 2" xfId="26637" xr:uid="{00000000-0005-0000-0000-0000EC9C0000}"/>
    <cellStyle name="Prosent 2 3 2 3 2 2 4 3 3 2 2" xfId="42349" xr:uid="{00000000-0005-0000-0000-0000ED9C0000}"/>
    <cellStyle name="Prosent 2 3 2 3 2 2 4 3 3 3" xfId="45213" xr:uid="{00000000-0005-0000-0000-0000EE9C0000}"/>
    <cellStyle name="Prosent 2 3 2 3 2 2 4 3_Avviksanalyse løpende RNB15 (1)" xfId="17142" xr:uid="{00000000-0005-0000-0000-0000EF9C0000}"/>
    <cellStyle name="Prosent 2 3 2 3 2 2 4 4" xfId="13521" xr:uid="{00000000-0005-0000-0000-0000F09C0000}"/>
    <cellStyle name="Prosent 2 3 2 3 2 2 5" xfId="2733" xr:uid="{00000000-0005-0000-0000-0000F19C0000}"/>
    <cellStyle name="Prosent 2 3 2 3 2 2 5 2" xfId="2734" xr:uid="{00000000-0005-0000-0000-0000F29C0000}"/>
    <cellStyle name="Prosent 2 3 2 3 2 2 5 2 2" xfId="13527" xr:uid="{00000000-0005-0000-0000-0000F39C0000}"/>
    <cellStyle name="Prosent 2 3 2 3 2 2 5 2 2 2" xfId="18569" xr:uid="{00000000-0005-0000-0000-0000F49C0000}"/>
    <cellStyle name="Prosent 2 3 2 3 2 2 5 2 2 3" xfId="15796" xr:uid="{00000000-0005-0000-0000-0000F59C0000}"/>
    <cellStyle name="Prosent 2 3 2 3 2 2 5 2 2 3 2" xfId="26638" xr:uid="{00000000-0005-0000-0000-0000F69C0000}"/>
    <cellStyle name="Prosent 2 3 2 3 2 2 5 2 2 3 2 2" xfId="42352" xr:uid="{00000000-0005-0000-0000-0000F79C0000}"/>
    <cellStyle name="Prosent 2 3 2 3 2 2 5 2 2 3 3" xfId="45214" xr:uid="{00000000-0005-0000-0000-0000F89C0000}"/>
    <cellStyle name="Prosent 2 3 2 3 2 2 5 2 2_Avviksanalyse løpende RNB15 (1)" xfId="17143" xr:uid="{00000000-0005-0000-0000-0000F99C0000}"/>
    <cellStyle name="Prosent 2 3 2 3 2 2 5 2 3" xfId="13526" xr:uid="{00000000-0005-0000-0000-0000FA9C0000}"/>
    <cellStyle name="Prosent 2 3 2 3 2 2 5 3" xfId="2735" xr:uid="{00000000-0005-0000-0000-0000FB9C0000}"/>
    <cellStyle name="Prosent 2 3 2 3 2 2 5 3 2" xfId="13529" xr:uid="{00000000-0005-0000-0000-0000FC9C0000}"/>
    <cellStyle name="Prosent 2 3 2 3 2 2 5 3 2 2" xfId="18570" xr:uid="{00000000-0005-0000-0000-0000FD9C0000}"/>
    <cellStyle name="Prosent 2 3 2 3 2 2 5 3 2 3" xfId="15797" xr:uid="{00000000-0005-0000-0000-0000FE9C0000}"/>
    <cellStyle name="Prosent 2 3 2 3 2 2 5 3 2 3 2" xfId="26639" xr:uid="{00000000-0005-0000-0000-0000FF9C0000}"/>
    <cellStyle name="Prosent 2 3 2 3 2 2 5 3 2 3 2 2" xfId="42353" xr:uid="{00000000-0005-0000-0000-0000009D0000}"/>
    <cellStyle name="Prosent 2 3 2 3 2 2 5 3 2 3 3" xfId="45215" xr:uid="{00000000-0005-0000-0000-0000019D0000}"/>
    <cellStyle name="Prosent 2 3 2 3 2 2 5 3 2_Avviksanalyse løpende RNB15 (1)" xfId="17144" xr:uid="{00000000-0005-0000-0000-0000029D0000}"/>
    <cellStyle name="Prosent 2 3 2 3 2 2 5 3 3" xfId="13528" xr:uid="{00000000-0005-0000-0000-0000039D0000}"/>
    <cellStyle name="Prosent 2 3 2 3 2 2 5 4" xfId="2736" xr:uid="{00000000-0005-0000-0000-0000049D0000}"/>
    <cellStyle name="Prosent 2 3 2 3 2 2 5 4 2" xfId="2737" xr:uid="{00000000-0005-0000-0000-0000059D0000}"/>
    <cellStyle name="Prosent 2 3 2 3 2 2 5 4 2 2" xfId="13532" xr:uid="{00000000-0005-0000-0000-0000069D0000}"/>
    <cellStyle name="Prosent 2 3 2 3 2 2 5 4 2 2 2" xfId="18571" xr:uid="{00000000-0005-0000-0000-0000079D0000}"/>
    <cellStyle name="Prosent 2 3 2 3 2 2 5 4 2 2 3" xfId="15799" xr:uid="{00000000-0005-0000-0000-0000089D0000}"/>
    <cellStyle name="Prosent 2 3 2 3 2 2 5 4 2 2 3 2" xfId="26640" xr:uid="{00000000-0005-0000-0000-0000099D0000}"/>
    <cellStyle name="Prosent 2 3 2 3 2 2 5 4 2 2 3 2 2" xfId="42355" xr:uid="{00000000-0005-0000-0000-00000A9D0000}"/>
    <cellStyle name="Prosent 2 3 2 3 2 2 5 4 2 2 3 3" xfId="45216" xr:uid="{00000000-0005-0000-0000-00000B9D0000}"/>
    <cellStyle name="Prosent 2 3 2 3 2 2 5 4 2 2_Avviksanalyse løpende RNB15 (1)" xfId="17145" xr:uid="{00000000-0005-0000-0000-00000C9D0000}"/>
    <cellStyle name="Prosent 2 3 2 3 2 2 5 4 2 3" xfId="13531" xr:uid="{00000000-0005-0000-0000-00000D9D0000}"/>
    <cellStyle name="Prosent 2 3 2 3 2 2 5 4 3" xfId="2738" xr:uid="{00000000-0005-0000-0000-00000E9D0000}"/>
    <cellStyle name="Prosent 2 3 2 3 2 2 5 4 3 2" xfId="2739" xr:uid="{00000000-0005-0000-0000-00000F9D0000}"/>
    <cellStyle name="Prosent 2 3 2 3 2 2 5 4 3 2 2" xfId="13535" xr:uid="{00000000-0005-0000-0000-0000109D0000}"/>
    <cellStyle name="Prosent 2 3 2 3 2 2 5 4 3 2 2 2" xfId="18572" xr:uid="{00000000-0005-0000-0000-0000119D0000}"/>
    <cellStyle name="Prosent 2 3 2 3 2 2 5 4 3 2 2 3" xfId="15981" xr:uid="{00000000-0005-0000-0000-0000129D0000}"/>
    <cellStyle name="Prosent 2 3 2 3 2 2 5 4 3 2 2 3 2" xfId="26641" xr:uid="{00000000-0005-0000-0000-0000139D0000}"/>
    <cellStyle name="Prosent 2 3 2 3 2 2 5 4 3 2 2 3 2 2" xfId="42537" xr:uid="{00000000-0005-0000-0000-0000149D0000}"/>
    <cellStyle name="Prosent 2 3 2 3 2 2 5 4 3 2 2 3 3" xfId="45217" xr:uid="{00000000-0005-0000-0000-0000159D0000}"/>
    <cellStyle name="Prosent 2 3 2 3 2 2 5 4 3 2 2_Avviksanalyse løpende RNB15 (1)" xfId="17146" xr:uid="{00000000-0005-0000-0000-0000169D0000}"/>
    <cellStyle name="Prosent 2 3 2 3 2 2 5 4 3 2 3" xfId="13534" xr:uid="{00000000-0005-0000-0000-0000179D0000}"/>
    <cellStyle name="Prosent 2 3 2 3 2 2 5 4 3 3" xfId="13536" xr:uid="{00000000-0005-0000-0000-0000189D0000}"/>
    <cellStyle name="Prosent 2 3 2 3 2 2 5 4 3 3 2" xfId="18573" xr:uid="{00000000-0005-0000-0000-0000199D0000}"/>
    <cellStyle name="Prosent 2 3 2 3 2 2 5 4 3 3 3" xfId="15980" xr:uid="{00000000-0005-0000-0000-00001A9D0000}"/>
    <cellStyle name="Prosent 2 3 2 3 2 2 5 4 3 3 3 2" xfId="26642" xr:uid="{00000000-0005-0000-0000-00001B9D0000}"/>
    <cellStyle name="Prosent 2 3 2 3 2 2 5 4 3 3 3 2 2" xfId="42536" xr:uid="{00000000-0005-0000-0000-00001C9D0000}"/>
    <cellStyle name="Prosent 2 3 2 3 2 2 5 4 3 3 3 3" xfId="45218" xr:uid="{00000000-0005-0000-0000-00001D9D0000}"/>
    <cellStyle name="Prosent 2 3 2 3 2 2 5 4 3 3_Avviksanalyse løpende RNB15 (1)" xfId="17147" xr:uid="{00000000-0005-0000-0000-00001E9D0000}"/>
    <cellStyle name="Prosent 2 3 2 3 2 2 5 4 3 4" xfId="13533" xr:uid="{00000000-0005-0000-0000-00001F9D0000}"/>
    <cellStyle name="Prosent 2 3 2 3 2 2 5 4 4" xfId="2740" xr:uid="{00000000-0005-0000-0000-0000209D0000}"/>
    <cellStyle name="Prosent 2 3 2 3 2 2 5 4 4 2" xfId="2741" xr:uid="{00000000-0005-0000-0000-0000219D0000}"/>
    <cellStyle name="Prosent 2 3 2 3 2 2 5 4 4 2 2" xfId="13539" xr:uid="{00000000-0005-0000-0000-0000229D0000}"/>
    <cellStyle name="Prosent 2 3 2 3 2 2 5 4 4 2 2 2" xfId="18574" xr:uid="{00000000-0005-0000-0000-0000239D0000}"/>
    <cellStyle name="Prosent 2 3 2 3 2 2 5 4 4 2 2 3" xfId="15983" xr:uid="{00000000-0005-0000-0000-0000249D0000}"/>
    <cellStyle name="Prosent 2 3 2 3 2 2 5 4 4 2 2 3 2" xfId="26643" xr:uid="{00000000-0005-0000-0000-0000259D0000}"/>
    <cellStyle name="Prosent 2 3 2 3 2 2 5 4 4 2 2 3 2 2" xfId="42539" xr:uid="{00000000-0005-0000-0000-0000269D0000}"/>
    <cellStyle name="Prosent 2 3 2 3 2 2 5 4 4 2 2 3 3" xfId="45219" xr:uid="{00000000-0005-0000-0000-0000279D0000}"/>
    <cellStyle name="Prosent 2 3 2 3 2 2 5 4 4 2 2_Avviksanalyse løpende RNB15 (1)" xfId="17148" xr:uid="{00000000-0005-0000-0000-0000289D0000}"/>
    <cellStyle name="Prosent 2 3 2 3 2 2 5 4 4 2 3" xfId="13538" xr:uid="{00000000-0005-0000-0000-0000299D0000}"/>
    <cellStyle name="Prosent 2 3 2 3 2 2 5 4 4 3" xfId="13540" xr:uid="{00000000-0005-0000-0000-00002A9D0000}"/>
    <cellStyle name="Prosent 2 3 2 3 2 2 5 4 4 3 2" xfId="18575" xr:uid="{00000000-0005-0000-0000-00002B9D0000}"/>
    <cellStyle name="Prosent 2 3 2 3 2 2 5 4 4 3 3" xfId="15982" xr:uid="{00000000-0005-0000-0000-00002C9D0000}"/>
    <cellStyle name="Prosent 2 3 2 3 2 2 5 4 4 3 3 2" xfId="26644" xr:uid="{00000000-0005-0000-0000-00002D9D0000}"/>
    <cellStyle name="Prosent 2 3 2 3 2 2 5 4 4 3 3 2 2" xfId="42538" xr:uid="{00000000-0005-0000-0000-00002E9D0000}"/>
    <cellStyle name="Prosent 2 3 2 3 2 2 5 4 4 3 3 3" xfId="45220" xr:uid="{00000000-0005-0000-0000-00002F9D0000}"/>
    <cellStyle name="Prosent 2 3 2 3 2 2 5 4 4 3_Avviksanalyse løpende RNB15 (1)" xfId="17149" xr:uid="{00000000-0005-0000-0000-0000309D0000}"/>
    <cellStyle name="Prosent 2 3 2 3 2 2 5 4 4 4" xfId="13537" xr:uid="{00000000-0005-0000-0000-0000319D0000}"/>
    <cellStyle name="Prosent 2 3 2 3 2 2 5 4 5" xfId="13541" xr:uid="{00000000-0005-0000-0000-0000329D0000}"/>
    <cellStyle name="Prosent 2 3 2 3 2 2 5 4 5 2" xfId="18576" xr:uid="{00000000-0005-0000-0000-0000339D0000}"/>
    <cellStyle name="Prosent 2 3 2 3 2 2 5 4 5 3" xfId="15798" xr:uid="{00000000-0005-0000-0000-0000349D0000}"/>
    <cellStyle name="Prosent 2 3 2 3 2 2 5 4 5 3 2" xfId="26645" xr:uid="{00000000-0005-0000-0000-0000359D0000}"/>
    <cellStyle name="Prosent 2 3 2 3 2 2 5 4 5 3 2 2" xfId="42354" xr:uid="{00000000-0005-0000-0000-0000369D0000}"/>
    <cellStyle name="Prosent 2 3 2 3 2 2 5 4 5 3 3" xfId="45221" xr:uid="{00000000-0005-0000-0000-0000379D0000}"/>
    <cellStyle name="Prosent 2 3 2 3 2 2 5 4 5_Avviksanalyse løpende RNB15 (1)" xfId="17150" xr:uid="{00000000-0005-0000-0000-0000389D0000}"/>
    <cellStyle name="Prosent 2 3 2 3 2 2 5 4 6" xfId="13530" xr:uid="{00000000-0005-0000-0000-0000399D0000}"/>
    <cellStyle name="Prosent 2 3 2 3 2 2 5 5" xfId="2742" xr:uid="{00000000-0005-0000-0000-00003A9D0000}"/>
    <cellStyle name="Prosent 2 3 2 3 2 2 5 5 2" xfId="2743" xr:uid="{00000000-0005-0000-0000-00003B9D0000}"/>
    <cellStyle name="Prosent 2 3 2 3 2 2 5 5 2 2" xfId="13544" xr:uid="{00000000-0005-0000-0000-00003C9D0000}"/>
    <cellStyle name="Prosent 2 3 2 3 2 2 5 5 2 2 2" xfId="18577" xr:uid="{00000000-0005-0000-0000-00003D9D0000}"/>
    <cellStyle name="Prosent 2 3 2 3 2 2 5 5 2 2 3" xfId="15801" xr:uid="{00000000-0005-0000-0000-00003E9D0000}"/>
    <cellStyle name="Prosent 2 3 2 3 2 2 5 5 2 2 3 2" xfId="26646" xr:uid="{00000000-0005-0000-0000-00003F9D0000}"/>
    <cellStyle name="Prosent 2 3 2 3 2 2 5 5 2 2 3 2 2" xfId="42357" xr:uid="{00000000-0005-0000-0000-0000409D0000}"/>
    <cellStyle name="Prosent 2 3 2 3 2 2 5 5 2 2 3 3" xfId="45222" xr:uid="{00000000-0005-0000-0000-0000419D0000}"/>
    <cellStyle name="Prosent 2 3 2 3 2 2 5 5 2 2_Avviksanalyse løpende RNB15 (1)" xfId="17151" xr:uid="{00000000-0005-0000-0000-0000429D0000}"/>
    <cellStyle name="Prosent 2 3 2 3 2 2 5 5 2 3" xfId="13543" xr:uid="{00000000-0005-0000-0000-0000439D0000}"/>
    <cellStyle name="Prosent 2 3 2 3 2 2 5 5 3" xfId="2744" xr:uid="{00000000-0005-0000-0000-0000449D0000}"/>
    <cellStyle name="Prosent 2 3 2 3 2 2 5 5 3 2" xfId="2745" xr:uid="{00000000-0005-0000-0000-0000459D0000}"/>
    <cellStyle name="Prosent 2 3 2 3 2 2 5 5 3 2 2" xfId="13547" xr:uid="{00000000-0005-0000-0000-0000469D0000}"/>
    <cellStyle name="Prosent 2 3 2 3 2 2 5 5 3 2 2 2" xfId="18578" xr:uid="{00000000-0005-0000-0000-0000479D0000}"/>
    <cellStyle name="Prosent 2 3 2 3 2 2 5 5 3 2 2 3" xfId="15985" xr:uid="{00000000-0005-0000-0000-0000489D0000}"/>
    <cellStyle name="Prosent 2 3 2 3 2 2 5 5 3 2 2 3 2" xfId="26647" xr:uid="{00000000-0005-0000-0000-0000499D0000}"/>
    <cellStyle name="Prosent 2 3 2 3 2 2 5 5 3 2 2 3 2 2" xfId="42541" xr:uid="{00000000-0005-0000-0000-00004A9D0000}"/>
    <cellStyle name="Prosent 2 3 2 3 2 2 5 5 3 2 2 3 3" xfId="45223" xr:uid="{00000000-0005-0000-0000-00004B9D0000}"/>
    <cellStyle name="Prosent 2 3 2 3 2 2 5 5 3 2 2_Avviksanalyse løpende RNB15 (1)" xfId="17152" xr:uid="{00000000-0005-0000-0000-00004C9D0000}"/>
    <cellStyle name="Prosent 2 3 2 3 2 2 5 5 3 2 3" xfId="13546" xr:uid="{00000000-0005-0000-0000-00004D9D0000}"/>
    <cellStyle name="Prosent 2 3 2 3 2 2 5 5 3 3" xfId="13548" xr:uid="{00000000-0005-0000-0000-00004E9D0000}"/>
    <cellStyle name="Prosent 2 3 2 3 2 2 5 5 3 3 2" xfId="18579" xr:uid="{00000000-0005-0000-0000-00004F9D0000}"/>
    <cellStyle name="Prosent 2 3 2 3 2 2 5 5 3 3 3" xfId="15984" xr:uid="{00000000-0005-0000-0000-0000509D0000}"/>
    <cellStyle name="Prosent 2 3 2 3 2 2 5 5 3 3 3 2" xfId="26648" xr:uid="{00000000-0005-0000-0000-0000519D0000}"/>
    <cellStyle name="Prosent 2 3 2 3 2 2 5 5 3 3 3 2 2" xfId="42540" xr:uid="{00000000-0005-0000-0000-0000529D0000}"/>
    <cellStyle name="Prosent 2 3 2 3 2 2 5 5 3 3 3 3" xfId="45224" xr:uid="{00000000-0005-0000-0000-0000539D0000}"/>
    <cellStyle name="Prosent 2 3 2 3 2 2 5 5 3 3_Avviksanalyse løpende RNB15 (1)" xfId="17153" xr:uid="{00000000-0005-0000-0000-0000549D0000}"/>
    <cellStyle name="Prosent 2 3 2 3 2 2 5 5 3 4" xfId="13545" xr:uid="{00000000-0005-0000-0000-0000559D0000}"/>
    <cellStyle name="Prosent 2 3 2 3 2 2 5 5 4" xfId="2746" xr:uid="{00000000-0005-0000-0000-0000569D0000}"/>
    <cellStyle name="Prosent 2 3 2 3 2 2 5 5 4 2" xfId="2747" xr:uid="{00000000-0005-0000-0000-0000579D0000}"/>
    <cellStyle name="Prosent 2 3 2 3 2 2 5 5 4 2 2" xfId="13551" xr:uid="{00000000-0005-0000-0000-0000589D0000}"/>
    <cellStyle name="Prosent 2 3 2 3 2 2 5 5 4 2 2 2" xfId="18580" xr:uid="{00000000-0005-0000-0000-0000599D0000}"/>
    <cellStyle name="Prosent 2 3 2 3 2 2 5 5 4 2 2 3" xfId="15987" xr:uid="{00000000-0005-0000-0000-00005A9D0000}"/>
    <cellStyle name="Prosent 2 3 2 3 2 2 5 5 4 2 2 3 2" xfId="26649" xr:uid="{00000000-0005-0000-0000-00005B9D0000}"/>
    <cellStyle name="Prosent 2 3 2 3 2 2 5 5 4 2 2 3 2 2" xfId="42543" xr:uid="{00000000-0005-0000-0000-00005C9D0000}"/>
    <cellStyle name="Prosent 2 3 2 3 2 2 5 5 4 2 2 3 3" xfId="45225" xr:uid="{00000000-0005-0000-0000-00005D9D0000}"/>
    <cellStyle name="Prosent 2 3 2 3 2 2 5 5 4 2 2_Avviksanalyse løpende RNB15 (1)" xfId="17154" xr:uid="{00000000-0005-0000-0000-00005E9D0000}"/>
    <cellStyle name="Prosent 2 3 2 3 2 2 5 5 4 2 3" xfId="13550" xr:uid="{00000000-0005-0000-0000-00005F9D0000}"/>
    <cellStyle name="Prosent 2 3 2 3 2 2 5 5 4 3" xfId="13552" xr:uid="{00000000-0005-0000-0000-0000609D0000}"/>
    <cellStyle name="Prosent 2 3 2 3 2 2 5 5 4 3 2" xfId="18581" xr:uid="{00000000-0005-0000-0000-0000619D0000}"/>
    <cellStyle name="Prosent 2 3 2 3 2 2 5 5 4 3 3" xfId="15986" xr:uid="{00000000-0005-0000-0000-0000629D0000}"/>
    <cellStyle name="Prosent 2 3 2 3 2 2 5 5 4 3 3 2" xfId="26650" xr:uid="{00000000-0005-0000-0000-0000639D0000}"/>
    <cellStyle name="Prosent 2 3 2 3 2 2 5 5 4 3 3 2 2" xfId="42542" xr:uid="{00000000-0005-0000-0000-0000649D0000}"/>
    <cellStyle name="Prosent 2 3 2 3 2 2 5 5 4 3 3 3" xfId="45226" xr:uid="{00000000-0005-0000-0000-0000659D0000}"/>
    <cellStyle name="Prosent 2 3 2 3 2 2 5 5 4 3_Avviksanalyse løpende RNB15 (1)" xfId="17155" xr:uid="{00000000-0005-0000-0000-0000669D0000}"/>
    <cellStyle name="Prosent 2 3 2 3 2 2 5 5 4 4" xfId="13549" xr:uid="{00000000-0005-0000-0000-0000679D0000}"/>
    <cellStyle name="Prosent 2 3 2 3 2 2 5 5 5" xfId="13553" xr:uid="{00000000-0005-0000-0000-0000689D0000}"/>
    <cellStyle name="Prosent 2 3 2 3 2 2 5 5 5 2" xfId="18582" xr:uid="{00000000-0005-0000-0000-0000699D0000}"/>
    <cellStyle name="Prosent 2 3 2 3 2 2 5 5 5 3" xfId="15800" xr:uid="{00000000-0005-0000-0000-00006A9D0000}"/>
    <cellStyle name="Prosent 2 3 2 3 2 2 5 5 5 3 2" xfId="26651" xr:uid="{00000000-0005-0000-0000-00006B9D0000}"/>
    <cellStyle name="Prosent 2 3 2 3 2 2 5 5 5 3 2 2" xfId="42356" xr:uid="{00000000-0005-0000-0000-00006C9D0000}"/>
    <cellStyle name="Prosent 2 3 2 3 2 2 5 5 5 3 3" xfId="45227" xr:uid="{00000000-0005-0000-0000-00006D9D0000}"/>
    <cellStyle name="Prosent 2 3 2 3 2 2 5 5 5_Avviksanalyse løpende RNB15 (1)" xfId="17156" xr:uid="{00000000-0005-0000-0000-00006E9D0000}"/>
    <cellStyle name="Prosent 2 3 2 3 2 2 5 5 6" xfId="13542" xr:uid="{00000000-0005-0000-0000-00006F9D0000}"/>
    <cellStyle name="Prosent 2 3 2 3 2 2 5 6" xfId="2748" xr:uid="{00000000-0005-0000-0000-0000709D0000}"/>
    <cellStyle name="Prosent 2 3 2 3 2 2 5 6 2" xfId="2749" xr:uid="{00000000-0005-0000-0000-0000719D0000}"/>
    <cellStyle name="Prosent 2 3 2 3 2 2 5 6 2 2" xfId="13556" xr:uid="{00000000-0005-0000-0000-0000729D0000}"/>
    <cellStyle name="Prosent 2 3 2 3 2 2 5 6 2 2 2" xfId="18583" xr:uid="{00000000-0005-0000-0000-0000739D0000}"/>
    <cellStyle name="Prosent 2 3 2 3 2 2 5 6 2 2 3" xfId="15989" xr:uid="{00000000-0005-0000-0000-0000749D0000}"/>
    <cellStyle name="Prosent 2 3 2 3 2 2 5 6 2 2 3 2" xfId="26652" xr:uid="{00000000-0005-0000-0000-0000759D0000}"/>
    <cellStyle name="Prosent 2 3 2 3 2 2 5 6 2 2 3 2 2" xfId="42545" xr:uid="{00000000-0005-0000-0000-0000769D0000}"/>
    <cellStyle name="Prosent 2 3 2 3 2 2 5 6 2 2 3 3" xfId="45228" xr:uid="{00000000-0005-0000-0000-0000779D0000}"/>
    <cellStyle name="Prosent 2 3 2 3 2 2 5 6 2 2_Avviksanalyse løpende RNB15 (1)" xfId="17157" xr:uid="{00000000-0005-0000-0000-0000789D0000}"/>
    <cellStyle name="Prosent 2 3 2 3 2 2 5 6 2 3" xfId="13555" xr:uid="{00000000-0005-0000-0000-0000799D0000}"/>
    <cellStyle name="Prosent 2 3 2 3 2 2 5 6 3" xfId="13557" xr:uid="{00000000-0005-0000-0000-00007A9D0000}"/>
    <cellStyle name="Prosent 2 3 2 3 2 2 5 6 3 2" xfId="18584" xr:uid="{00000000-0005-0000-0000-00007B9D0000}"/>
    <cellStyle name="Prosent 2 3 2 3 2 2 5 6 3 3" xfId="15988" xr:uid="{00000000-0005-0000-0000-00007C9D0000}"/>
    <cellStyle name="Prosent 2 3 2 3 2 2 5 6 3 3 2" xfId="26653" xr:uid="{00000000-0005-0000-0000-00007D9D0000}"/>
    <cellStyle name="Prosent 2 3 2 3 2 2 5 6 3 3 2 2" xfId="42544" xr:uid="{00000000-0005-0000-0000-00007E9D0000}"/>
    <cellStyle name="Prosent 2 3 2 3 2 2 5 6 3 3 3" xfId="45229" xr:uid="{00000000-0005-0000-0000-00007F9D0000}"/>
    <cellStyle name="Prosent 2 3 2 3 2 2 5 6 3_Avviksanalyse løpende RNB15 (1)" xfId="17158" xr:uid="{00000000-0005-0000-0000-0000809D0000}"/>
    <cellStyle name="Prosent 2 3 2 3 2 2 5 6 4" xfId="13554" xr:uid="{00000000-0005-0000-0000-0000819D0000}"/>
    <cellStyle name="Prosent 2 3 2 3 2 2 5 7" xfId="2750" xr:uid="{00000000-0005-0000-0000-0000829D0000}"/>
    <cellStyle name="Prosent 2 3 2 3 2 2 5 7 2" xfId="2751" xr:uid="{00000000-0005-0000-0000-0000839D0000}"/>
    <cellStyle name="Prosent 2 3 2 3 2 2 5 7 2 2" xfId="13560" xr:uid="{00000000-0005-0000-0000-0000849D0000}"/>
    <cellStyle name="Prosent 2 3 2 3 2 2 5 7 2 2 2" xfId="18585" xr:uid="{00000000-0005-0000-0000-0000859D0000}"/>
    <cellStyle name="Prosent 2 3 2 3 2 2 5 7 2 2 3" xfId="15991" xr:uid="{00000000-0005-0000-0000-0000869D0000}"/>
    <cellStyle name="Prosent 2 3 2 3 2 2 5 7 2 2 3 2" xfId="26654" xr:uid="{00000000-0005-0000-0000-0000879D0000}"/>
    <cellStyle name="Prosent 2 3 2 3 2 2 5 7 2 2 3 2 2" xfId="42547" xr:uid="{00000000-0005-0000-0000-0000889D0000}"/>
    <cellStyle name="Prosent 2 3 2 3 2 2 5 7 2 2 3 3" xfId="45230" xr:uid="{00000000-0005-0000-0000-0000899D0000}"/>
    <cellStyle name="Prosent 2 3 2 3 2 2 5 7 2 2_Avviksanalyse løpende RNB15 (1)" xfId="17159" xr:uid="{00000000-0005-0000-0000-00008A9D0000}"/>
    <cellStyle name="Prosent 2 3 2 3 2 2 5 7 2 3" xfId="13559" xr:uid="{00000000-0005-0000-0000-00008B9D0000}"/>
    <cellStyle name="Prosent 2 3 2 3 2 2 5 7 3" xfId="13561" xr:uid="{00000000-0005-0000-0000-00008C9D0000}"/>
    <cellStyle name="Prosent 2 3 2 3 2 2 5 7 3 2" xfId="18586" xr:uid="{00000000-0005-0000-0000-00008D9D0000}"/>
    <cellStyle name="Prosent 2 3 2 3 2 2 5 7 3 3" xfId="15990" xr:uid="{00000000-0005-0000-0000-00008E9D0000}"/>
    <cellStyle name="Prosent 2 3 2 3 2 2 5 7 3 3 2" xfId="26655" xr:uid="{00000000-0005-0000-0000-00008F9D0000}"/>
    <cellStyle name="Prosent 2 3 2 3 2 2 5 7 3 3 2 2" xfId="42546" xr:uid="{00000000-0005-0000-0000-0000909D0000}"/>
    <cellStyle name="Prosent 2 3 2 3 2 2 5 7 3 3 3" xfId="45231" xr:uid="{00000000-0005-0000-0000-0000919D0000}"/>
    <cellStyle name="Prosent 2 3 2 3 2 2 5 7 3_Avviksanalyse løpende RNB15 (1)" xfId="17160" xr:uid="{00000000-0005-0000-0000-0000929D0000}"/>
    <cellStyle name="Prosent 2 3 2 3 2 2 5 7 4" xfId="13558" xr:uid="{00000000-0005-0000-0000-0000939D0000}"/>
    <cellStyle name="Prosent 2 3 2 3 2 2 5 8" xfId="13562" xr:uid="{00000000-0005-0000-0000-0000949D0000}"/>
    <cellStyle name="Prosent 2 3 2 3 2 2 5 8 2" xfId="18587" xr:uid="{00000000-0005-0000-0000-0000959D0000}"/>
    <cellStyle name="Prosent 2 3 2 3 2 2 5 8 3" xfId="15795" xr:uid="{00000000-0005-0000-0000-0000969D0000}"/>
    <cellStyle name="Prosent 2 3 2 3 2 2 5 8 3 2" xfId="26656" xr:uid="{00000000-0005-0000-0000-0000979D0000}"/>
    <cellStyle name="Prosent 2 3 2 3 2 2 5 8 3 2 2" xfId="42351" xr:uid="{00000000-0005-0000-0000-0000989D0000}"/>
    <cellStyle name="Prosent 2 3 2 3 2 2 5 8 3 3" xfId="45232" xr:uid="{00000000-0005-0000-0000-0000999D0000}"/>
    <cellStyle name="Prosent 2 3 2 3 2 2 5 8_Avviksanalyse løpende RNB15 (1)" xfId="17161" xr:uid="{00000000-0005-0000-0000-00009A9D0000}"/>
    <cellStyle name="Prosent 2 3 2 3 2 2 5 9" xfId="13525" xr:uid="{00000000-0005-0000-0000-00009B9D0000}"/>
    <cellStyle name="Prosent 2 3 2 3 2 2 6" xfId="2752" xr:uid="{00000000-0005-0000-0000-00009C9D0000}"/>
    <cellStyle name="Prosent 2 3 2 3 2 2 6 2" xfId="2753" xr:uid="{00000000-0005-0000-0000-00009D9D0000}"/>
    <cellStyle name="Prosent 2 3 2 3 2 2 6 2 2" xfId="13565" xr:uid="{00000000-0005-0000-0000-00009E9D0000}"/>
    <cellStyle name="Prosent 2 3 2 3 2 2 6 2 2 2" xfId="18588" xr:uid="{00000000-0005-0000-0000-00009F9D0000}"/>
    <cellStyle name="Prosent 2 3 2 3 2 2 6 2 2 3" xfId="15803" xr:uid="{00000000-0005-0000-0000-0000A09D0000}"/>
    <cellStyle name="Prosent 2 3 2 3 2 2 6 2 2 3 2" xfId="26657" xr:uid="{00000000-0005-0000-0000-0000A19D0000}"/>
    <cellStyle name="Prosent 2 3 2 3 2 2 6 2 2 3 2 2" xfId="42359" xr:uid="{00000000-0005-0000-0000-0000A29D0000}"/>
    <cellStyle name="Prosent 2 3 2 3 2 2 6 2 2 3 3" xfId="45233" xr:uid="{00000000-0005-0000-0000-0000A39D0000}"/>
    <cellStyle name="Prosent 2 3 2 3 2 2 6 2 2_Avviksanalyse løpende RNB15 (1)" xfId="17162" xr:uid="{00000000-0005-0000-0000-0000A49D0000}"/>
    <cellStyle name="Prosent 2 3 2 3 2 2 6 2 3" xfId="13564" xr:uid="{00000000-0005-0000-0000-0000A59D0000}"/>
    <cellStyle name="Prosent 2 3 2 3 2 2 6 3" xfId="2754" xr:uid="{00000000-0005-0000-0000-0000A69D0000}"/>
    <cellStyle name="Prosent 2 3 2 3 2 2 6 3 2" xfId="2755" xr:uid="{00000000-0005-0000-0000-0000A79D0000}"/>
    <cellStyle name="Prosent 2 3 2 3 2 2 6 3 2 2" xfId="13568" xr:uid="{00000000-0005-0000-0000-0000A89D0000}"/>
    <cellStyle name="Prosent 2 3 2 3 2 2 6 3 2 2 2" xfId="18589" xr:uid="{00000000-0005-0000-0000-0000A99D0000}"/>
    <cellStyle name="Prosent 2 3 2 3 2 2 6 3 2 2 3" xfId="15993" xr:uid="{00000000-0005-0000-0000-0000AA9D0000}"/>
    <cellStyle name="Prosent 2 3 2 3 2 2 6 3 2 2 3 2" xfId="26658" xr:uid="{00000000-0005-0000-0000-0000AB9D0000}"/>
    <cellStyle name="Prosent 2 3 2 3 2 2 6 3 2 2 3 2 2" xfId="42549" xr:uid="{00000000-0005-0000-0000-0000AC9D0000}"/>
    <cellStyle name="Prosent 2 3 2 3 2 2 6 3 2 2 3 3" xfId="45234" xr:uid="{00000000-0005-0000-0000-0000AD9D0000}"/>
    <cellStyle name="Prosent 2 3 2 3 2 2 6 3 2 2_Avviksanalyse løpende RNB15 (1)" xfId="17163" xr:uid="{00000000-0005-0000-0000-0000AE9D0000}"/>
    <cellStyle name="Prosent 2 3 2 3 2 2 6 3 2 3" xfId="13567" xr:uid="{00000000-0005-0000-0000-0000AF9D0000}"/>
    <cellStyle name="Prosent 2 3 2 3 2 2 6 3 3" xfId="13569" xr:uid="{00000000-0005-0000-0000-0000B09D0000}"/>
    <cellStyle name="Prosent 2 3 2 3 2 2 6 3 3 2" xfId="18590" xr:uid="{00000000-0005-0000-0000-0000B19D0000}"/>
    <cellStyle name="Prosent 2 3 2 3 2 2 6 3 3 3" xfId="15992" xr:uid="{00000000-0005-0000-0000-0000B29D0000}"/>
    <cellStyle name="Prosent 2 3 2 3 2 2 6 3 3 3 2" xfId="26659" xr:uid="{00000000-0005-0000-0000-0000B39D0000}"/>
    <cellStyle name="Prosent 2 3 2 3 2 2 6 3 3 3 2 2" xfId="42548" xr:uid="{00000000-0005-0000-0000-0000B49D0000}"/>
    <cellStyle name="Prosent 2 3 2 3 2 2 6 3 3 3 3" xfId="45235" xr:uid="{00000000-0005-0000-0000-0000B59D0000}"/>
    <cellStyle name="Prosent 2 3 2 3 2 2 6 3 3_Avviksanalyse løpende RNB15 (1)" xfId="17164" xr:uid="{00000000-0005-0000-0000-0000B69D0000}"/>
    <cellStyle name="Prosent 2 3 2 3 2 2 6 3 4" xfId="13566" xr:uid="{00000000-0005-0000-0000-0000B79D0000}"/>
    <cellStyle name="Prosent 2 3 2 3 2 2 6 4" xfId="2756" xr:uid="{00000000-0005-0000-0000-0000B89D0000}"/>
    <cellStyle name="Prosent 2 3 2 3 2 2 6 4 2" xfId="2757" xr:uid="{00000000-0005-0000-0000-0000B99D0000}"/>
    <cellStyle name="Prosent 2 3 2 3 2 2 6 4 2 2" xfId="13572" xr:uid="{00000000-0005-0000-0000-0000BA9D0000}"/>
    <cellStyle name="Prosent 2 3 2 3 2 2 6 4 2 2 2" xfId="18591" xr:uid="{00000000-0005-0000-0000-0000BB9D0000}"/>
    <cellStyle name="Prosent 2 3 2 3 2 2 6 4 2 2 3" xfId="15995" xr:uid="{00000000-0005-0000-0000-0000BC9D0000}"/>
    <cellStyle name="Prosent 2 3 2 3 2 2 6 4 2 2 3 2" xfId="26660" xr:uid="{00000000-0005-0000-0000-0000BD9D0000}"/>
    <cellStyle name="Prosent 2 3 2 3 2 2 6 4 2 2 3 2 2" xfId="42551" xr:uid="{00000000-0005-0000-0000-0000BE9D0000}"/>
    <cellStyle name="Prosent 2 3 2 3 2 2 6 4 2 2 3 3" xfId="45236" xr:uid="{00000000-0005-0000-0000-0000BF9D0000}"/>
    <cellStyle name="Prosent 2 3 2 3 2 2 6 4 2 2_Avviksanalyse løpende RNB15 (1)" xfId="17165" xr:uid="{00000000-0005-0000-0000-0000C09D0000}"/>
    <cellStyle name="Prosent 2 3 2 3 2 2 6 4 2 3" xfId="13571" xr:uid="{00000000-0005-0000-0000-0000C19D0000}"/>
    <cellStyle name="Prosent 2 3 2 3 2 2 6 4 3" xfId="13573" xr:uid="{00000000-0005-0000-0000-0000C29D0000}"/>
    <cellStyle name="Prosent 2 3 2 3 2 2 6 4 3 2" xfId="18592" xr:uid="{00000000-0005-0000-0000-0000C39D0000}"/>
    <cellStyle name="Prosent 2 3 2 3 2 2 6 4 3 3" xfId="15994" xr:uid="{00000000-0005-0000-0000-0000C49D0000}"/>
    <cellStyle name="Prosent 2 3 2 3 2 2 6 4 3 3 2" xfId="26661" xr:uid="{00000000-0005-0000-0000-0000C59D0000}"/>
    <cellStyle name="Prosent 2 3 2 3 2 2 6 4 3 3 2 2" xfId="42550" xr:uid="{00000000-0005-0000-0000-0000C69D0000}"/>
    <cellStyle name="Prosent 2 3 2 3 2 2 6 4 3 3 3" xfId="45237" xr:uid="{00000000-0005-0000-0000-0000C79D0000}"/>
    <cellStyle name="Prosent 2 3 2 3 2 2 6 4 3_Avviksanalyse løpende RNB15 (1)" xfId="17166" xr:uid="{00000000-0005-0000-0000-0000C89D0000}"/>
    <cellStyle name="Prosent 2 3 2 3 2 2 6 4 4" xfId="13570" xr:uid="{00000000-0005-0000-0000-0000C99D0000}"/>
    <cellStyle name="Prosent 2 3 2 3 2 2 6 5" xfId="13574" xr:uid="{00000000-0005-0000-0000-0000CA9D0000}"/>
    <cellStyle name="Prosent 2 3 2 3 2 2 6 5 2" xfId="18593" xr:uid="{00000000-0005-0000-0000-0000CB9D0000}"/>
    <cellStyle name="Prosent 2 3 2 3 2 2 6 5 3" xfId="15802" xr:uid="{00000000-0005-0000-0000-0000CC9D0000}"/>
    <cellStyle name="Prosent 2 3 2 3 2 2 6 5 3 2" xfId="26662" xr:uid="{00000000-0005-0000-0000-0000CD9D0000}"/>
    <cellStyle name="Prosent 2 3 2 3 2 2 6 5 3 2 2" xfId="42358" xr:uid="{00000000-0005-0000-0000-0000CE9D0000}"/>
    <cellStyle name="Prosent 2 3 2 3 2 2 6 5 3 3" xfId="45238" xr:uid="{00000000-0005-0000-0000-0000CF9D0000}"/>
    <cellStyle name="Prosent 2 3 2 3 2 2 6 5_Avviksanalyse løpende RNB15 (1)" xfId="17167" xr:uid="{00000000-0005-0000-0000-0000D09D0000}"/>
    <cellStyle name="Prosent 2 3 2 3 2 2 6 6" xfId="13563" xr:uid="{00000000-0005-0000-0000-0000D19D0000}"/>
    <cellStyle name="Prosent 2 3 2 3 2 2 7" xfId="2758" xr:uid="{00000000-0005-0000-0000-0000D29D0000}"/>
    <cellStyle name="Prosent 2 3 2 3 2 2 7 2" xfId="2759" xr:uid="{00000000-0005-0000-0000-0000D39D0000}"/>
    <cellStyle name="Prosent 2 3 2 3 2 2 7 2 2" xfId="13577" xr:uid="{00000000-0005-0000-0000-0000D49D0000}"/>
    <cellStyle name="Prosent 2 3 2 3 2 2 7 2 2 2" xfId="18594" xr:uid="{00000000-0005-0000-0000-0000D59D0000}"/>
    <cellStyle name="Prosent 2 3 2 3 2 2 7 2 2 3" xfId="15805" xr:uid="{00000000-0005-0000-0000-0000D69D0000}"/>
    <cellStyle name="Prosent 2 3 2 3 2 2 7 2 2 3 2" xfId="26663" xr:uid="{00000000-0005-0000-0000-0000D79D0000}"/>
    <cellStyle name="Prosent 2 3 2 3 2 2 7 2 2 3 2 2" xfId="42361" xr:uid="{00000000-0005-0000-0000-0000D89D0000}"/>
    <cellStyle name="Prosent 2 3 2 3 2 2 7 2 2 3 3" xfId="45239" xr:uid="{00000000-0005-0000-0000-0000D99D0000}"/>
    <cellStyle name="Prosent 2 3 2 3 2 2 7 2 2_Avviksanalyse løpende RNB15 (1)" xfId="17168" xr:uid="{00000000-0005-0000-0000-0000DA9D0000}"/>
    <cellStyle name="Prosent 2 3 2 3 2 2 7 2 3" xfId="13576" xr:uid="{00000000-0005-0000-0000-0000DB9D0000}"/>
    <cellStyle name="Prosent 2 3 2 3 2 2 7 3" xfId="2760" xr:uid="{00000000-0005-0000-0000-0000DC9D0000}"/>
    <cellStyle name="Prosent 2 3 2 3 2 2 7 3 2" xfId="2761" xr:uid="{00000000-0005-0000-0000-0000DD9D0000}"/>
    <cellStyle name="Prosent 2 3 2 3 2 2 7 3 2 2" xfId="13580" xr:uid="{00000000-0005-0000-0000-0000DE9D0000}"/>
    <cellStyle name="Prosent 2 3 2 3 2 2 7 3 2 2 2" xfId="18595" xr:uid="{00000000-0005-0000-0000-0000DF9D0000}"/>
    <cellStyle name="Prosent 2 3 2 3 2 2 7 3 2 2 3" xfId="15997" xr:uid="{00000000-0005-0000-0000-0000E09D0000}"/>
    <cellStyle name="Prosent 2 3 2 3 2 2 7 3 2 2 3 2" xfId="26664" xr:uid="{00000000-0005-0000-0000-0000E19D0000}"/>
    <cellStyle name="Prosent 2 3 2 3 2 2 7 3 2 2 3 2 2" xfId="42553" xr:uid="{00000000-0005-0000-0000-0000E29D0000}"/>
    <cellStyle name="Prosent 2 3 2 3 2 2 7 3 2 2 3 3" xfId="45240" xr:uid="{00000000-0005-0000-0000-0000E39D0000}"/>
    <cellStyle name="Prosent 2 3 2 3 2 2 7 3 2 2_Avviksanalyse løpende RNB15 (1)" xfId="17169" xr:uid="{00000000-0005-0000-0000-0000E49D0000}"/>
    <cellStyle name="Prosent 2 3 2 3 2 2 7 3 2 3" xfId="13579" xr:uid="{00000000-0005-0000-0000-0000E59D0000}"/>
    <cellStyle name="Prosent 2 3 2 3 2 2 7 3 3" xfId="13581" xr:uid="{00000000-0005-0000-0000-0000E69D0000}"/>
    <cellStyle name="Prosent 2 3 2 3 2 2 7 3 3 2" xfId="18596" xr:uid="{00000000-0005-0000-0000-0000E79D0000}"/>
    <cellStyle name="Prosent 2 3 2 3 2 2 7 3 3 3" xfId="15996" xr:uid="{00000000-0005-0000-0000-0000E89D0000}"/>
    <cellStyle name="Prosent 2 3 2 3 2 2 7 3 3 3 2" xfId="26665" xr:uid="{00000000-0005-0000-0000-0000E99D0000}"/>
    <cellStyle name="Prosent 2 3 2 3 2 2 7 3 3 3 2 2" xfId="42552" xr:uid="{00000000-0005-0000-0000-0000EA9D0000}"/>
    <cellStyle name="Prosent 2 3 2 3 2 2 7 3 3 3 3" xfId="45241" xr:uid="{00000000-0005-0000-0000-0000EB9D0000}"/>
    <cellStyle name="Prosent 2 3 2 3 2 2 7 3 3_Avviksanalyse løpende RNB15 (1)" xfId="17170" xr:uid="{00000000-0005-0000-0000-0000EC9D0000}"/>
    <cellStyle name="Prosent 2 3 2 3 2 2 7 3 4" xfId="13578" xr:uid="{00000000-0005-0000-0000-0000ED9D0000}"/>
    <cellStyle name="Prosent 2 3 2 3 2 2 7 4" xfId="2762" xr:uid="{00000000-0005-0000-0000-0000EE9D0000}"/>
    <cellStyle name="Prosent 2 3 2 3 2 2 7 4 2" xfId="2763" xr:uid="{00000000-0005-0000-0000-0000EF9D0000}"/>
    <cellStyle name="Prosent 2 3 2 3 2 2 7 4 2 2" xfId="13584" xr:uid="{00000000-0005-0000-0000-0000F09D0000}"/>
    <cellStyle name="Prosent 2 3 2 3 2 2 7 4 2 2 2" xfId="18597" xr:uid="{00000000-0005-0000-0000-0000F19D0000}"/>
    <cellStyle name="Prosent 2 3 2 3 2 2 7 4 2 2 3" xfId="15999" xr:uid="{00000000-0005-0000-0000-0000F29D0000}"/>
    <cellStyle name="Prosent 2 3 2 3 2 2 7 4 2 2 3 2" xfId="26666" xr:uid="{00000000-0005-0000-0000-0000F39D0000}"/>
    <cellStyle name="Prosent 2 3 2 3 2 2 7 4 2 2 3 2 2" xfId="42555" xr:uid="{00000000-0005-0000-0000-0000F49D0000}"/>
    <cellStyle name="Prosent 2 3 2 3 2 2 7 4 2 2 3 3" xfId="45242" xr:uid="{00000000-0005-0000-0000-0000F59D0000}"/>
    <cellStyle name="Prosent 2 3 2 3 2 2 7 4 2 2_Avviksanalyse løpende RNB15 (1)" xfId="17171" xr:uid="{00000000-0005-0000-0000-0000F69D0000}"/>
    <cellStyle name="Prosent 2 3 2 3 2 2 7 4 2 3" xfId="13583" xr:uid="{00000000-0005-0000-0000-0000F79D0000}"/>
    <cellStyle name="Prosent 2 3 2 3 2 2 7 4 3" xfId="13585" xr:uid="{00000000-0005-0000-0000-0000F89D0000}"/>
    <cellStyle name="Prosent 2 3 2 3 2 2 7 4 3 2" xfId="18598" xr:uid="{00000000-0005-0000-0000-0000F99D0000}"/>
    <cellStyle name="Prosent 2 3 2 3 2 2 7 4 3 3" xfId="15998" xr:uid="{00000000-0005-0000-0000-0000FA9D0000}"/>
    <cellStyle name="Prosent 2 3 2 3 2 2 7 4 3 3 2" xfId="26667" xr:uid="{00000000-0005-0000-0000-0000FB9D0000}"/>
    <cellStyle name="Prosent 2 3 2 3 2 2 7 4 3 3 2 2" xfId="42554" xr:uid="{00000000-0005-0000-0000-0000FC9D0000}"/>
    <cellStyle name="Prosent 2 3 2 3 2 2 7 4 3 3 3" xfId="45243" xr:uid="{00000000-0005-0000-0000-0000FD9D0000}"/>
    <cellStyle name="Prosent 2 3 2 3 2 2 7 4 3_Avviksanalyse løpende RNB15 (1)" xfId="17172" xr:uid="{00000000-0005-0000-0000-0000FE9D0000}"/>
    <cellStyle name="Prosent 2 3 2 3 2 2 7 4 4" xfId="13582" xr:uid="{00000000-0005-0000-0000-0000FF9D0000}"/>
    <cellStyle name="Prosent 2 3 2 3 2 2 7 5" xfId="13586" xr:uid="{00000000-0005-0000-0000-0000009E0000}"/>
    <cellStyle name="Prosent 2 3 2 3 2 2 7 5 2" xfId="18599" xr:uid="{00000000-0005-0000-0000-0000019E0000}"/>
    <cellStyle name="Prosent 2 3 2 3 2 2 7 5 3" xfId="15804" xr:uid="{00000000-0005-0000-0000-0000029E0000}"/>
    <cellStyle name="Prosent 2 3 2 3 2 2 7 5 3 2" xfId="26668" xr:uid="{00000000-0005-0000-0000-0000039E0000}"/>
    <cellStyle name="Prosent 2 3 2 3 2 2 7 5 3 2 2" xfId="42360" xr:uid="{00000000-0005-0000-0000-0000049E0000}"/>
    <cellStyle name="Prosent 2 3 2 3 2 2 7 5 3 3" xfId="45244" xr:uid="{00000000-0005-0000-0000-0000059E0000}"/>
    <cellStyle name="Prosent 2 3 2 3 2 2 7 5_Avviksanalyse løpende RNB15 (1)" xfId="17173" xr:uid="{00000000-0005-0000-0000-0000069E0000}"/>
    <cellStyle name="Prosent 2 3 2 3 2 2 7 6" xfId="13575" xr:uid="{00000000-0005-0000-0000-0000079E0000}"/>
    <cellStyle name="Prosent 2 3 2 3 2 2 8" xfId="2764" xr:uid="{00000000-0005-0000-0000-0000089E0000}"/>
    <cellStyle name="Prosent 2 3 2 3 2 2 8 2" xfId="2765" xr:uid="{00000000-0005-0000-0000-0000099E0000}"/>
    <cellStyle name="Prosent 2 3 2 3 2 2 8 2 2" xfId="13589" xr:uid="{00000000-0005-0000-0000-00000A9E0000}"/>
    <cellStyle name="Prosent 2 3 2 3 2 2 8 2 2 2" xfId="18600" xr:uid="{00000000-0005-0000-0000-00000B9E0000}"/>
    <cellStyle name="Prosent 2 3 2 3 2 2 8 2 2 3" xfId="16001" xr:uid="{00000000-0005-0000-0000-00000C9E0000}"/>
    <cellStyle name="Prosent 2 3 2 3 2 2 8 2 2 3 2" xfId="26669" xr:uid="{00000000-0005-0000-0000-00000D9E0000}"/>
    <cellStyle name="Prosent 2 3 2 3 2 2 8 2 2 3 2 2" xfId="42557" xr:uid="{00000000-0005-0000-0000-00000E9E0000}"/>
    <cellStyle name="Prosent 2 3 2 3 2 2 8 2 2 3 3" xfId="45245" xr:uid="{00000000-0005-0000-0000-00000F9E0000}"/>
    <cellStyle name="Prosent 2 3 2 3 2 2 8 2 2_Avviksanalyse løpende RNB15 (1)" xfId="17174" xr:uid="{00000000-0005-0000-0000-0000109E0000}"/>
    <cellStyle name="Prosent 2 3 2 3 2 2 8 2 3" xfId="13588" xr:uid="{00000000-0005-0000-0000-0000119E0000}"/>
    <cellStyle name="Prosent 2 3 2 3 2 2 8 3" xfId="13590" xr:uid="{00000000-0005-0000-0000-0000129E0000}"/>
    <cellStyle name="Prosent 2 3 2 3 2 2 8 3 2" xfId="18601" xr:uid="{00000000-0005-0000-0000-0000139E0000}"/>
    <cellStyle name="Prosent 2 3 2 3 2 2 8 3 3" xfId="16000" xr:uid="{00000000-0005-0000-0000-0000149E0000}"/>
    <cellStyle name="Prosent 2 3 2 3 2 2 8 3 3 2" xfId="26670" xr:uid="{00000000-0005-0000-0000-0000159E0000}"/>
    <cellStyle name="Prosent 2 3 2 3 2 2 8 3 3 2 2" xfId="42556" xr:uid="{00000000-0005-0000-0000-0000169E0000}"/>
    <cellStyle name="Prosent 2 3 2 3 2 2 8 3 3 3" xfId="45246" xr:uid="{00000000-0005-0000-0000-0000179E0000}"/>
    <cellStyle name="Prosent 2 3 2 3 2 2 8 3_Avviksanalyse løpende RNB15 (1)" xfId="17175" xr:uid="{00000000-0005-0000-0000-0000189E0000}"/>
    <cellStyle name="Prosent 2 3 2 3 2 2 8 4" xfId="13587" xr:uid="{00000000-0005-0000-0000-0000199E0000}"/>
    <cellStyle name="Prosent 2 3 2 3 2 2 9" xfId="2766" xr:uid="{00000000-0005-0000-0000-00001A9E0000}"/>
    <cellStyle name="Prosent 2 3 2 3 2 2 9 2" xfId="2767" xr:uid="{00000000-0005-0000-0000-00001B9E0000}"/>
    <cellStyle name="Prosent 2 3 2 3 2 2 9 2 2" xfId="13593" xr:uid="{00000000-0005-0000-0000-00001C9E0000}"/>
    <cellStyle name="Prosent 2 3 2 3 2 2 9 2 2 2" xfId="18602" xr:uid="{00000000-0005-0000-0000-00001D9E0000}"/>
    <cellStyle name="Prosent 2 3 2 3 2 2 9 2 2 3" xfId="16003" xr:uid="{00000000-0005-0000-0000-00001E9E0000}"/>
    <cellStyle name="Prosent 2 3 2 3 2 2 9 2 2 3 2" xfId="26671" xr:uid="{00000000-0005-0000-0000-00001F9E0000}"/>
    <cellStyle name="Prosent 2 3 2 3 2 2 9 2 2 3 2 2" xfId="42559" xr:uid="{00000000-0005-0000-0000-0000209E0000}"/>
    <cellStyle name="Prosent 2 3 2 3 2 2 9 2 2 3 3" xfId="45247" xr:uid="{00000000-0005-0000-0000-0000219E0000}"/>
    <cellStyle name="Prosent 2 3 2 3 2 2 9 2 2_Avviksanalyse løpende RNB15 (1)" xfId="17176" xr:uid="{00000000-0005-0000-0000-0000229E0000}"/>
    <cellStyle name="Prosent 2 3 2 3 2 2 9 2 3" xfId="13592" xr:uid="{00000000-0005-0000-0000-0000239E0000}"/>
    <cellStyle name="Prosent 2 3 2 3 2 2 9 3" xfId="13594" xr:uid="{00000000-0005-0000-0000-0000249E0000}"/>
    <cellStyle name="Prosent 2 3 2 3 2 2 9 3 2" xfId="18603" xr:uid="{00000000-0005-0000-0000-0000259E0000}"/>
    <cellStyle name="Prosent 2 3 2 3 2 2 9 3 3" xfId="16002" xr:uid="{00000000-0005-0000-0000-0000269E0000}"/>
    <cellStyle name="Prosent 2 3 2 3 2 2 9 3 3 2" xfId="26672" xr:uid="{00000000-0005-0000-0000-0000279E0000}"/>
    <cellStyle name="Prosent 2 3 2 3 2 2 9 3 3 2 2" xfId="42558" xr:uid="{00000000-0005-0000-0000-0000289E0000}"/>
    <cellStyle name="Prosent 2 3 2 3 2 2 9 3 3 3" xfId="45248" xr:uid="{00000000-0005-0000-0000-0000299E0000}"/>
    <cellStyle name="Prosent 2 3 2 3 2 2 9 3_Avviksanalyse løpende RNB15 (1)" xfId="17177" xr:uid="{00000000-0005-0000-0000-00002A9E0000}"/>
    <cellStyle name="Prosent 2 3 2 3 2 2 9 4" xfId="13591" xr:uid="{00000000-0005-0000-0000-00002B9E0000}"/>
    <cellStyle name="Prosent 2 3 2 3 2 3" xfId="13595" xr:uid="{00000000-0005-0000-0000-00002C9E0000}"/>
    <cellStyle name="Prosent 2 3 2 3 2 3 2" xfId="18604" xr:uid="{00000000-0005-0000-0000-00002D9E0000}"/>
    <cellStyle name="Prosent 2 3 2 3 2 3 3" xfId="15761" xr:uid="{00000000-0005-0000-0000-00002E9E0000}"/>
    <cellStyle name="Prosent 2 3 2 3 2 3 3 2" xfId="26673" xr:uid="{00000000-0005-0000-0000-00002F9E0000}"/>
    <cellStyle name="Prosent 2 3 2 3 2 3 3 2 2" xfId="42317" xr:uid="{00000000-0005-0000-0000-0000309E0000}"/>
    <cellStyle name="Prosent 2 3 2 3 2 3 3 3" xfId="45249" xr:uid="{00000000-0005-0000-0000-0000319E0000}"/>
    <cellStyle name="Prosent 2 3 2 3 2 3_Avviksanalyse løpende RNB15 (1)" xfId="17178" xr:uid="{00000000-0005-0000-0000-0000329E0000}"/>
    <cellStyle name="Prosent 2 3 2 3 2 4" xfId="13438" xr:uid="{00000000-0005-0000-0000-0000339E0000}"/>
    <cellStyle name="Prosent 2 3 2 3 3" xfId="2768" xr:uid="{00000000-0005-0000-0000-0000349E0000}"/>
    <cellStyle name="Prosent 2 3 2 3 3 2" xfId="13597" xr:uid="{00000000-0005-0000-0000-0000359E0000}"/>
    <cellStyle name="Prosent 2 3 2 3 3 2 2" xfId="18605" xr:uid="{00000000-0005-0000-0000-0000369E0000}"/>
    <cellStyle name="Prosent 2 3 2 3 3 2 3" xfId="15763" xr:uid="{00000000-0005-0000-0000-0000379E0000}"/>
    <cellStyle name="Prosent 2 3 2 3 3 2 3 2" xfId="26674" xr:uid="{00000000-0005-0000-0000-0000389E0000}"/>
    <cellStyle name="Prosent 2 3 2 3 3 2 3 2 2" xfId="42319" xr:uid="{00000000-0005-0000-0000-0000399E0000}"/>
    <cellStyle name="Prosent 2 3 2 3 3 2 3 3" xfId="45250" xr:uid="{00000000-0005-0000-0000-00003A9E0000}"/>
    <cellStyle name="Prosent 2 3 2 3 3 2_Avviksanalyse løpende RNB15 (1)" xfId="17179" xr:uid="{00000000-0005-0000-0000-00003B9E0000}"/>
    <cellStyle name="Prosent 2 3 2 3 3 3" xfId="13596" xr:uid="{00000000-0005-0000-0000-00003C9E0000}"/>
    <cellStyle name="Prosent 2 3 2 3 4" xfId="2769" xr:uid="{00000000-0005-0000-0000-00003D9E0000}"/>
    <cellStyle name="Prosent 2 3 2 3 4 10" xfId="13598" xr:uid="{00000000-0005-0000-0000-00003E9E0000}"/>
    <cellStyle name="Prosent 2 3 2 3 4 2" xfId="2770" xr:uid="{00000000-0005-0000-0000-00003F9E0000}"/>
    <cellStyle name="Prosent 2 3 2 3 4 2 2" xfId="13600" xr:uid="{00000000-0005-0000-0000-0000409E0000}"/>
    <cellStyle name="Prosent 2 3 2 3 4 2 2 2" xfId="18606" xr:uid="{00000000-0005-0000-0000-0000419E0000}"/>
    <cellStyle name="Prosent 2 3 2 3 4 2 2 3" xfId="15806" xr:uid="{00000000-0005-0000-0000-0000429E0000}"/>
    <cellStyle name="Prosent 2 3 2 3 4 2 2 3 2" xfId="26675" xr:uid="{00000000-0005-0000-0000-0000439E0000}"/>
    <cellStyle name="Prosent 2 3 2 3 4 2 2 3 2 2" xfId="42362" xr:uid="{00000000-0005-0000-0000-0000449E0000}"/>
    <cellStyle name="Prosent 2 3 2 3 4 2 2 3 3" xfId="45251" xr:uid="{00000000-0005-0000-0000-0000459E0000}"/>
    <cellStyle name="Prosent 2 3 2 3 4 2 2_Avviksanalyse løpende RNB15 (1)" xfId="17180" xr:uid="{00000000-0005-0000-0000-0000469E0000}"/>
    <cellStyle name="Prosent 2 3 2 3 4 2 3" xfId="13599" xr:uid="{00000000-0005-0000-0000-0000479E0000}"/>
    <cellStyle name="Prosent 2 3 2 3 4 3" xfId="2771" xr:uid="{00000000-0005-0000-0000-0000489E0000}"/>
    <cellStyle name="Prosent 2 3 2 3 4 3 2" xfId="2772" xr:uid="{00000000-0005-0000-0000-0000499E0000}"/>
    <cellStyle name="Prosent 2 3 2 3 4 3 2 2" xfId="13603" xr:uid="{00000000-0005-0000-0000-00004A9E0000}"/>
    <cellStyle name="Prosent 2 3 2 3 4 3 2 2 2" xfId="18607" xr:uid="{00000000-0005-0000-0000-00004B9E0000}"/>
    <cellStyle name="Prosent 2 3 2 3 4 3 2 2 3" xfId="15808" xr:uid="{00000000-0005-0000-0000-00004C9E0000}"/>
    <cellStyle name="Prosent 2 3 2 3 4 3 2 2 3 2" xfId="26676" xr:uid="{00000000-0005-0000-0000-00004D9E0000}"/>
    <cellStyle name="Prosent 2 3 2 3 4 3 2 2 3 2 2" xfId="42364" xr:uid="{00000000-0005-0000-0000-00004E9E0000}"/>
    <cellStyle name="Prosent 2 3 2 3 4 3 2 2 3 3" xfId="45252" xr:uid="{00000000-0005-0000-0000-00004F9E0000}"/>
    <cellStyle name="Prosent 2 3 2 3 4 3 2 2_Avviksanalyse løpende RNB15 (1)" xfId="17181" xr:uid="{00000000-0005-0000-0000-0000509E0000}"/>
    <cellStyle name="Prosent 2 3 2 3 4 3 2 3" xfId="13602" xr:uid="{00000000-0005-0000-0000-0000519E0000}"/>
    <cellStyle name="Prosent 2 3 2 3 4 3 3" xfId="13604" xr:uid="{00000000-0005-0000-0000-0000529E0000}"/>
    <cellStyle name="Prosent 2 3 2 3 4 3 3 2" xfId="18608" xr:uid="{00000000-0005-0000-0000-0000539E0000}"/>
    <cellStyle name="Prosent 2 3 2 3 4 3 3 3" xfId="15807" xr:uid="{00000000-0005-0000-0000-0000549E0000}"/>
    <cellStyle name="Prosent 2 3 2 3 4 3 3 3 2" xfId="26677" xr:uid="{00000000-0005-0000-0000-0000559E0000}"/>
    <cellStyle name="Prosent 2 3 2 3 4 3 3 3 2 2" xfId="42363" xr:uid="{00000000-0005-0000-0000-0000569E0000}"/>
    <cellStyle name="Prosent 2 3 2 3 4 3 3 3 3" xfId="45253" xr:uid="{00000000-0005-0000-0000-0000579E0000}"/>
    <cellStyle name="Prosent 2 3 2 3 4 3 3_Avviksanalyse løpende RNB15 (1)" xfId="17182" xr:uid="{00000000-0005-0000-0000-0000589E0000}"/>
    <cellStyle name="Prosent 2 3 2 3 4 3 4" xfId="13601" xr:uid="{00000000-0005-0000-0000-0000599E0000}"/>
    <cellStyle name="Prosent 2 3 2 3 4 4" xfId="2773" xr:uid="{00000000-0005-0000-0000-00005A9E0000}"/>
    <cellStyle name="Prosent 2 3 2 3 4 4 2" xfId="2774" xr:uid="{00000000-0005-0000-0000-00005B9E0000}"/>
    <cellStyle name="Prosent 2 3 2 3 4 4 2 2" xfId="13607" xr:uid="{00000000-0005-0000-0000-00005C9E0000}"/>
    <cellStyle name="Prosent 2 3 2 3 4 4 2 2 2" xfId="18609" xr:uid="{00000000-0005-0000-0000-00005D9E0000}"/>
    <cellStyle name="Prosent 2 3 2 3 4 4 2 2 3" xfId="15810" xr:uid="{00000000-0005-0000-0000-00005E9E0000}"/>
    <cellStyle name="Prosent 2 3 2 3 4 4 2 2 3 2" xfId="26678" xr:uid="{00000000-0005-0000-0000-00005F9E0000}"/>
    <cellStyle name="Prosent 2 3 2 3 4 4 2 2 3 2 2" xfId="42366" xr:uid="{00000000-0005-0000-0000-0000609E0000}"/>
    <cellStyle name="Prosent 2 3 2 3 4 4 2 2 3 3" xfId="45254" xr:uid="{00000000-0005-0000-0000-0000619E0000}"/>
    <cellStyle name="Prosent 2 3 2 3 4 4 2 2_Avviksanalyse løpende RNB15 (1)" xfId="17183" xr:uid="{00000000-0005-0000-0000-0000629E0000}"/>
    <cellStyle name="Prosent 2 3 2 3 4 4 2 3" xfId="13606" xr:uid="{00000000-0005-0000-0000-0000639E0000}"/>
    <cellStyle name="Prosent 2 3 2 3 4 4 3" xfId="2775" xr:uid="{00000000-0005-0000-0000-0000649E0000}"/>
    <cellStyle name="Prosent 2 3 2 3 4 4 3 2" xfId="13609" xr:uid="{00000000-0005-0000-0000-0000659E0000}"/>
    <cellStyle name="Prosent 2 3 2 3 4 4 3 2 2" xfId="18610" xr:uid="{00000000-0005-0000-0000-0000669E0000}"/>
    <cellStyle name="Prosent 2 3 2 3 4 4 3 2 3" xfId="15811" xr:uid="{00000000-0005-0000-0000-0000679E0000}"/>
    <cellStyle name="Prosent 2 3 2 3 4 4 3 2 3 2" xfId="26679" xr:uid="{00000000-0005-0000-0000-0000689E0000}"/>
    <cellStyle name="Prosent 2 3 2 3 4 4 3 2 3 2 2" xfId="42367" xr:uid="{00000000-0005-0000-0000-0000699E0000}"/>
    <cellStyle name="Prosent 2 3 2 3 4 4 3 2 3 3" xfId="45255" xr:uid="{00000000-0005-0000-0000-00006A9E0000}"/>
    <cellStyle name="Prosent 2 3 2 3 4 4 3 2_Avviksanalyse løpende RNB15 (1)" xfId="17184" xr:uid="{00000000-0005-0000-0000-00006B9E0000}"/>
    <cellStyle name="Prosent 2 3 2 3 4 4 3 3" xfId="13608" xr:uid="{00000000-0005-0000-0000-00006C9E0000}"/>
    <cellStyle name="Prosent 2 3 2 3 4 4 4" xfId="2776" xr:uid="{00000000-0005-0000-0000-00006D9E0000}"/>
    <cellStyle name="Prosent 2 3 2 3 4 4 4 2" xfId="2777" xr:uid="{00000000-0005-0000-0000-00006E9E0000}"/>
    <cellStyle name="Prosent 2 3 2 3 4 4 4 2 2" xfId="13612" xr:uid="{00000000-0005-0000-0000-00006F9E0000}"/>
    <cellStyle name="Prosent 2 3 2 3 4 4 4 2 2 2" xfId="18611" xr:uid="{00000000-0005-0000-0000-0000709E0000}"/>
    <cellStyle name="Prosent 2 3 2 3 4 4 4 2 2 3" xfId="15813" xr:uid="{00000000-0005-0000-0000-0000719E0000}"/>
    <cellStyle name="Prosent 2 3 2 3 4 4 4 2 2 3 2" xfId="26680" xr:uid="{00000000-0005-0000-0000-0000729E0000}"/>
    <cellStyle name="Prosent 2 3 2 3 4 4 4 2 2 3 2 2" xfId="42369" xr:uid="{00000000-0005-0000-0000-0000739E0000}"/>
    <cellStyle name="Prosent 2 3 2 3 4 4 4 2 2 3 3" xfId="45256" xr:uid="{00000000-0005-0000-0000-0000749E0000}"/>
    <cellStyle name="Prosent 2 3 2 3 4 4 4 2 2_Avviksanalyse løpende RNB15 (1)" xfId="17185" xr:uid="{00000000-0005-0000-0000-0000759E0000}"/>
    <cellStyle name="Prosent 2 3 2 3 4 4 4 2 3" xfId="13611" xr:uid="{00000000-0005-0000-0000-0000769E0000}"/>
    <cellStyle name="Prosent 2 3 2 3 4 4 4 3" xfId="2778" xr:uid="{00000000-0005-0000-0000-0000779E0000}"/>
    <cellStyle name="Prosent 2 3 2 3 4 4 4 3 2" xfId="2779" xr:uid="{00000000-0005-0000-0000-0000789E0000}"/>
    <cellStyle name="Prosent 2 3 2 3 4 4 4 3 2 2" xfId="13615" xr:uid="{00000000-0005-0000-0000-0000799E0000}"/>
    <cellStyle name="Prosent 2 3 2 3 4 4 4 3 2 2 2" xfId="18612" xr:uid="{00000000-0005-0000-0000-00007A9E0000}"/>
    <cellStyle name="Prosent 2 3 2 3 4 4 4 3 2 2 3" xfId="16005" xr:uid="{00000000-0005-0000-0000-00007B9E0000}"/>
    <cellStyle name="Prosent 2 3 2 3 4 4 4 3 2 2 3 2" xfId="26681" xr:uid="{00000000-0005-0000-0000-00007C9E0000}"/>
    <cellStyle name="Prosent 2 3 2 3 4 4 4 3 2 2 3 2 2" xfId="42561" xr:uid="{00000000-0005-0000-0000-00007D9E0000}"/>
    <cellStyle name="Prosent 2 3 2 3 4 4 4 3 2 2 3 3" xfId="45257" xr:uid="{00000000-0005-0000-0000-00007E9E0000}"/>
    <cellStyle name="Prosent 2 3 2 3 4 4 4 3 2 2_Avviksanalyse løpende RNB15 (1)" xfId="17186" xr:uid="{00000000-0005-0000-0000-00007F9E0000}"/>
    <cellStyle name="Prosent 2 3 2 3 4 4 4 3 2 3" xfId="13614" xr:uid="{00000000-0005-0000-0000-0000809E0000}"/>
    <cellStyle name="Prosent 2 3 2 3 4 4 4 3 3" xfId="13616" xr:uid="{00000000-0005-0000-0000-0000819E0000}"/>
    <cellStyle name="Prosent 2 3 2 3 4 4 4 3 3 2" xfId="18613" xr:uid="{00000000-0005-0000-0000-0000829E0000}"/>
    <cellStyle name="Prosent 2 3 2 3 4 4 4 3 3 3" xfId="16004" xr:uid="{00000000-0005-0000-0000-0000839E0000}"/>
    <cellStyle name="Prosent 2 3 2 3 4 4 4 3 3 3 2" xfId="26682" xr:uid="{00000000-0005-0000-0000-0000849E0000}"/>
    <cellStyle name="Prosent 2 3 2 3 4 4 4 3 3 3 2 2" xfId="42560" xr:uid="{00000000-0005-0000-0000-0000859E0000}"/>
    <cellStyle name="Prosent 2 3 2 3 4 4 4 3 3 3 3" xfId="45258" xr:uid="{00000000-0005-0000-0000-0000869E0000}"/>
    <cellStyle name="Prosent 2 3 2 3 4 4 4 3 3_Avviksanalyse løpende RNB15 (1)" xfId="17187" xr:uid="{00000000-0005-0000-0000-0000879E0000}"/>
    <cellStyle name="Prosent 2 3 2 3 4 4 4 3 4" xfId="13613" xr:uid="{00000000-0005-0000-0000-0000889E0000}"/>
    <cellStyle name="Prosent 2 3 2 3 4 4 4 4" xfId="2780" xr:uid="{00000000-0005-0000-0000-0000899E0000}"/>
    <cellStyle name="Prosent 2 3 2 3 4 4 4 4 2" xfId="2781" xr:uid="{00000000-0005-0000-0000-00008A9E0000}"/>
    <cellStyle name="Prosent 2 3 2 3 4 4 4 4 2 2" xfId="13619" xr:uid="{00000000-0005-0000-0000-00008B9E0000}"/>
    <cellStyle name="Prosent 2 3 2 3 4 4 4 4 2 2 2" xfId="18614" xr:uid="{00000000-0005-0000-0000-00008C9E0000}"/>
    <cellStyle name="Prosent 2 3 2 3 4 4 4 4 2 2 3" xfId="16007" xr:uid="{00000000-0005-0000-0000-00008D9E0000}"/>
    <cellStyle name="Prosent 2 3 2 3 4 4 4 4 2 2 3 2" xfId="26683" xr:uid="{00000000-0005-0000-0000-00008E9E0000}"/>
    <cellStyle name="Prosent 2 3 2 3 4 4 4 4 2 2 3 2 2" xfId="42563" xr:uid="{00000000-0005-0000-0000-00008F9E0000}"/>
    <cellStyle name="Prosent 2 3 2 3 4 4 4 4 2 2 3 3" xfId="45259" xr:uid="{00000000-0005-0000-0000-0000909E0000}"/>
    <cellStyle name="Prosent 2 3 2 3 4 4 4 4 2 2_Avviksanalyse løpende RNB15 (1)" xfId="17188" xr:uid="{00000000-0005-0000-0000-0000919E0000}"/>
    <cellStyle name="Prosent 2 3 2 3 4 4 4 4 2 3" xfId="13618" xr:uid="{00000000-0005-0000-0000-0000929E0000}"/>
    <cellStyle name="Prosent 2 3 2 3 4 4 4 4 3" xfId="13620" xr:uid="{00000000-0005-0000-0000-0000939E0000}"/>
    <cellStyle name="Prosent 2 3 2 3 4 4 4 4 3 2" xfId="18615" xr:uid="{00000000-0005-0000-0000-0000949E0000}"/>
    <cellStyle name="Prosent 2 3 2 3 4 4 4 4 3 3" xfId="16006" xr:uid="{00000000-0005-0000-0000-0000959E0000}"/>
    <cellStyle name="Prosent 2 3 2 3 4 4 4 4 3 3 2" xfId="26684" xr:uid="{00000000-0005-0000-0000-0000969E0000}"/>
    <cellStyle name="Prosent 2 3 2 3 4 4 4 4 3 3 2 2" xfId="42562" xr:uid="{00000000-0005-0000-0000-0000979E0000}"/>
    <cellStyle name="Prosent 2 3 2 3 4 4 4 4 3 3 3" xfId="45260" xr:uid="{00000000-0005-0000-0000-0000989E0000}"/>
    <cellStyle name="Prosent 2 3 2 3 4 4 4 4 3_Avviksanalyse løpende RNB15 (1)" xfId="17189" xr:uid="{00000000-0005-0000-0000-0000999E0000}"/>
    <cellStyle name="Prosent 2 3 2 3 4 4 4 4 4" xfId="13617" xr:uid="{00000000-0005-0000-0000-00009A9E0000}"/>
    <cellStyle name="Prosent 2 3 2 3 4 4 4 5" xfId="13621" xr:uid="{00000000-0005-0000-0000-00009B9E0000}"/>
    <cellStyle name="Prosent 2 3 2 3 4 4 4 5 2" xfId="18616" xr:uid="{00000000-0005-0000-0000-00009C9E0000}"/>
    <cellStyle name="Prosent 2 3 2 3 4 4 4 5 3" xfId="15812" xr:uid="{00000000-0005-0000-0000-00009D9E0000}"/>
    <cellStyle name="Prosent 2 3 2 3 4 4 4 5 3 2" xfId="26685" xr:uid="{00000000-0005-0000-0000-00009E9E0000}"/>
    <cellStyle name="Prosent 2 3 2 3 4 4 4 5 3 2 2" xfId="42368" xr:uid="{00000000-0005-0000-0000-00009F9E0000}"/>
    <cellStyle name="Prosent 2 3 2 3 4 4 4 5 3 3" xfId="45261" xr:uid="{00000000-0005-0000-0000-0000A09E0000}"/>
    <cellStyle name="Prosent 2 3 2 3 4 4 4 5_Avviksanalyse løpende RNB15 (1)" xfId="17190" xr:uid="{00000000-0005-0000-0000-0000A19E0000}"/>
    <cellStyle name="Prosent 2 3 2 3 4 4 4 6" xfId="13610" xr:uid="{00000000-0005-0000-0000-0000A29E0000}"/>
    <cellStyle name="Prosent 2 3 2 3 4 4 5" xfId="2782" xr:uid="{00000000-0005-0000-0000-0000A39E0000}"/>
    <cellStyle name="Prosent 2 3 2 3 4 4 5 2" xfId="2783" xr:uid="{00000000-0005-0000-0000-0000A49E0000}"/>
    <cellStyle name="Prosent 2 3 2 3 4 4 5 2 2" xfId="13624" xr:uid="{00000000-0005-0000-0000-0000A59E0000}"/>
    <cellStyle name="Prosent 2 3 2 3 4 4 5 2 2 2" xfId="18617" xr:uid="{00000000-0005-0000-0000-0000A69E0000}"/>
    <cellStyle name="Prosent 2 3 2 3 4 4 5 2 2 3" xfId="15815" xr:uid="{00000000-0005-0000-0000-0000A79E0000}"/>
    <cellStyle name="Prosent 2 3 2 3 4 4 5 2 2 3 2" xfId="26686" xr:uid="{00000000-0005-0000-0000-0000A89E0000}"/>
    <cellStyle name="Prosent 2 3 2 3 4 4 5 2 2 3 2 2" xfId="42371" xr:uid="{00000000-0005-0000-0000-0000A99E0000}"/>
    <cellStyle name="Prosent 2 3 2 3 4 4 5 2 2 3 3" xfId="45262" xr:uid="{00000000-0005-0000-0000-0000AA9E0000}"/>
    <cellStyle name="Prosent 2 3 2 3 4 4 5 2 2_Avviksanalyse løpende RNB15 (1)" xfId="17191" xr:uid="{00000000-0005-0000-0000-0000AB9E0000}"/>
    <cellStyle name="Prosent 2 3 2 3 4 4 5 2 3" xfId="13623" xr:uid="{00000000-0005-0000-0000-0000AC9E0000}"/>
    <cellStyle name="Prosent 2 3 2 3 4 4 5 3" xfId="2784" xr:uid="{00000000-0005-0000-0000-0000AD9E0000}"/>
    <cellStyle name="Prosent 2 3 2 3 4 4 5 3 2" xfId="2785" xr:uid="{00000000-0005-0000-0000-0000AE9E0000}"/>
    <cellStyle name="Prosent 2 3 2 3 4 4 5 3 2 2" xfId="13627" xr:uid="{00000000-0005-0000-0000-0000AF9E0000}"/>
    <cellStyle name="Prosent 2 3 2 3 4 4 5 3 2 2 2" xfId="18618" xr:uid="{00000000-0005-0000-0000-0000B09E0000}"/>
    <cellStyle name="Prosent 2 3 2 3 4 4 5 3 2 2 3" xfId="16009" xr:uid="{00000000-0005-0000-0000-0000B19E0000}"/>
    <cellStyle name="Prosent 2 3 2 3 4 4 5 3 2 2 3 2" xfId="26687" xr:uid="{00000000-0005-0000-0000-0000B29E0000}"/>
    <cellStyle name="Prosent 2 3 2 3 4 4 5 3 2 2 3 2 2" xfId="42565" xr:uid="{00000000-0005-0000-0000-0000B39E0000}"/>
    <cellStyle name="Prosent 2 3 2 3 4 4 5 3 2 2 3 3" xfId="45263" xr:uid="{00000000-0005-0000-0000-0000B49E0000}"/>
    <cellStyle name="Prosent 2 3 2 3 4 4 5 3 2 2_Avviksanalyse løpende RNB15 (1)" xfId="17192" xr:uid="{00000000-0005-0000-0000-0000B59E0000}"/>
    <cellStyle name="Prosent 2 3 2 3 4 4 5 3 2 3" xfId="13626" xr:uid="{00000000-0005-0000-0000-0000B69E0000}"/>
    <cellStyle name="Prosent 2 3 2 3 4 4 5 3 3" xfId="13628" xr:uid="{00000000-0005-0000-0000-0000B79E0000}"/>
    <cellStyle name="Prosent 2 3 2 3 4 4 5 3 3 2" xfId="18619" xr:uid="{00000000-0005-0000-0000-0000B89E0000}"/>
    <cellStyle name="Prosent 2 3 2 3 4 4 5 3 3 3" xfId="16008" xr:uid="{00000000-0005-0000-0000-0000B99E0000}"/>
    <cellStyle name="Prosent 2 3 2 3 4 4 5 3 3 3 2" xfId="26688" xr:uid="{00000000-0005-0000-0000-0000BA9E0000}"/>
    <cellStyle name="Prosent 2 3 2 3 4 4 5 3 3 3 2 2" xfId="42564" xr:uid="{00000000-0005-0000-0000-0000BB9E0000}"/>
    <cellStyle name="Prosent 2 3 2 3 4 4 5 3 3 3 3" xfId="45264" xr:uid="{00000000-0005-0000-0000-0000BC9E0000}"/>
    <cellStyle name="Prosent 2 3 2 3 4 4 5 3 3_Avviksanalyse løpende RNB15 (1)" xfId="17193" xr:uid="{00000000-0005-0000-0000-0000BD9E0000}"/>
    <cellStyle name="Prosent 2 3 2 3 4 4 5 3 4" xfId="13625" xr:uid="{00000000-0005-0000-0000-0000BE9E0000}"/>
    <cellStyle name="Prosent 2 3 2 3 4 4 5 4" xfId="2786" xr:uid="{00000000-0005-0000-0000-0000BF9E0000}"/>
    <cellStyle name="Prosent 2 3 2 3 4 4 5 4 2" xfId="2787" xr:uid="{00000000-0005-0000-0000-0000C09E0000}"/>
    <cellStyle name="Prosent 2 3 2 3 4 4 5 4 2 2" xfId="13631" xr:uid="{00000000-0005-0000-0000-0000C19E0000}"/>
    <cellStyle name="Prosent 2 3 2 3 4 4 5 4 2 2 2" xfId="18620" xr:uid="{00000000-0005-0000-0000-0000C29E0000}"/>
    <cellStyle name="Prosent 2 3 2 3 4 4 5 4 2 2 3" xfId="16011" xr:uid="{00000000-0005-0000-0000-0000C39E0000}"/>
    <cellStyle name="Prosent 2 3 2 3 4 4 5 4 2 2 3 2" xfId="26689" xr:uid="{00000000-0005-0000-0000-0000C49E0000}"/>
    <cellStyle name="Prosent 2 3 2 3 4 4 5 4 2 2 3 2 2" xfId="42567" xr:uid="{00000000-0005-0000-0000-0000C59E0000}"/>
    <cellStyle name="Prosent 2 3 2 3 4 4 5 4 2 2 3 3" xfId="45265" xr:uid="{00000000-0005-0000-0000-0000C69E0000}"/>
    <cellStyle name="Prosent 2 3 2 3 4 4 5 4 2 2_Avviksanalyse løpende RNB15 (1)" xfId="17194" xr:uid="{00000000-0005-0000-0000-0000C79E0000}"/>
    <cellStyle name="Prosent 2 3 2 3 4 4 5 4 2 3" xfId="13630" xr:uid="{00000000-0005-0000-0000-0000C89E0000}"/>
    <cellStyle name="Prosent 2 3 2 3 4 4 5 4 3" xfId="13632" xr:uid="{00000000-0005-0000-0000-0000C99E0000}"/>
    <cellStyle name="Prosent 2 3 2 3 4 4 5 4 3 2" xfId="18621" xr:uid="{00000000-0005-0000-0000-0000CA9E0000}"/>
    <cellStyle name="Prosent 2 3 2 3 4 4 5 4 3 3" xfId="16010" xr:uid="{00000000-0005-0000-0000-0000CB9E0000}"/>
    <cellStyle name="Prosent 2 3 2 3 4 4 5 4 3 3 2" xfId="26690" xr:uid="{00000000-0005-0000-0000-0000CC9E0000}"/>
    <cellStyle name="Prosent 2 3 2 3 4 4 5 4 3 3 2 2" xfId="42566" xr:uid="{00000000-0005-0000-0000-0000CD9E0000}"/>
    <cellStyle name="Prosent 2 3 2 3 4 4 5 4 3 3 3" xfId="45266" xr:uid="{00000000-0005-0000-0000-0000CE9E0000}"/>
    <cellStyle name="Prosent 2 3 2 3 4 4 5 4 3_Avviksanalyse løpende RNB15 (1)" xfId="17195" xr:uid="{00000000-0005-0000-0000-0000CF9E0000}"/>
    <cellStyle name="Prosent 2 3 2 3 4 4 5 4 4" xfId="13629" xr:uid="{00000000-0005-0000-0000-0000D09E0000}"/>
    <cellStyle name="Prosent 2 3 2 3 4 4 5 5" xfId="13633" xr:uid="{00000000-0005-0000-0000-0000D19E0000}"/>
    <cellStyle name="Prosent 2 3 2 3 4 4 5 5 2" xfId="18622" xr:uid="{00000000-0005-0000-0000-0000D29E0000}"/>
    <cellStyle name="Prosent 2 3 2 3 4 4 5 5 3" xfId="15814" xr:uid="{00000000-0005-0000-0000-0000D39E0000}"/>
    <cellStyle name="Prosent 2 3 2 3 4 4 5 5 3 2" xfId="26691" xr:uid="{00000000-0005-0000-0000-0000D49E0000}"/>
    <cellStyle name="Prosent 2 3 2 3 4 4 5 5 3 2 2" xfId="42370" xr:uid="{00000000-0005-0000-0000-0000D59E0000}"/>
    <cellStyle name="Prosent 2 3 2 3 4 4 5 5 3 3" xfId="45267" xr:uid="{00000000-0005-0000-0000-0000D69E0000}"/>
    <cellStyle name="Prosent 2 3 2 3 4 4 5 5_Avviksanalyse løpende RNB15 (1)" xfId="17196" xr:uid="{00000000-0005-0000-0000-0000D79E0000}"/>
    <cellStyle name="Prosent 2 3 2 3 4 4 5 6" xfId="13622" xr:uid="{00000000-0005-0000-0000-0000D89E0000}"/>
    <cellStyle name="Prosent 2 3 2 3 4 4 6" xfId="2788" xr:uid="{00000000-0005-0000-0000-0000D99E0000}"/>
    <cellStyle name="Prosent 2 3 2 3 4 4 6 2" xfId="2789" xr:uid="{00000000-0005-0000-0000-0000DA9E0000}"/>
    <cellStyle name="Prosent 2 3 2 3 4 4 6 2 2" xfId="13636" xr:uid="{00000000-0005-0000-0000-0000DB9E0000}"/>
    <cellStyle name="Prosent 2 3 2 3 4 4 6 2 2 2" xfId="18623" xr:uid="{00000000-0005-0000-0000-0000DC9E0000}"/>
    <cellStyle name="Prosent 2 3 2 3 4 4 6 2 2 3" xfId="16013" xr:uid="{00000000-0005-0000-0000-0000DD9E0000}"/>
    <cellStyle name="Prosent 2 3 2 3 4 4 6 2 2 3 2" xfId="26692" xr:uid="{00000000-0005-0000-0000-0000DE9E0000}"/>
    <cellStyle name="Prosent 2 3 2 3 4 4 6 2 2 3 2 2" xfId="42569" xr:uid="{00000000-0005-0000-0000-0000DF9E0000}"/>
    <cellStyle name="Prosent 2 3 2 3 4 4 6 2 2 3 3" xfId="45268" xr:uid="{00000000-0005-0000-0000-0000E09E0000}"/>
    <cellStyle name="Prosent 2 3 2 3 4 4 6 2 2_Avviksanalyse løpende RNB15 (1)" xfId="17197" xr:uid="{00000000-0005-0000-0000-0000E19E0000}"/>
    <cellStyle name="Prosent 2 3 2 3 4 4 6 2 3" xfId="13635" xr:uid="{00000000-0005-0000-0000-0000E29E0000}"/>
    <cellStyle name="Prosent 2 3 2 3 4 4 6 3" xfId="13637" xr:uid="{00000000-0005-0000-0000-0000E39E0000}"/>
    <cellStyle name="Prosent 2 3 2 3 4 4 6 3 2" xfId="18624" xr:uid="{00000000-0005-0000-0000-0000E49E0000}"/>
    <cellStyle name="Prosent 2 3 2 3 4 4 6 3 3" xfId="16012" xr:uid="{00000000-0005-0000-0000-0000E59E0000}"/>
    <cellStyle name="Prosent 2 3 2 3 4 4 6 3 3 2" xfId="26693" xr:uid="{00000000-0005-0000-0000-0000E69E0000}"/>
    <cellStyle name="Prosent 2 3 2 3 4 4 6 3 3 2 2" xfId="42568" xr:uid="{00000000-0005-0000-0000-0000E79E0000}"/>
    <cellStyle name="Prosent 2 3 2 3 4 4 6 3 3 3" xfId="45269" xr:uid="{00000000-0005-0000-0000-0000E89E0000}"/>
    <cellStyle name="Prosent 2 3 2 3 4 4 6 3_Avviksanalyse løpende RNB15 (1)" xfId="17198" xr:uid="{00000000-0005-0000-0000-0000E99E0000}"/>
    <cellStyle name="Prosent 2 3 2 3 4 4 6 4" xfId="13634" xr:uid="{00000000-0005-0000-0000-0000EA9E0000}"/>
    <cellStyle name="Prosent 2 3 2 3 4 4 7" xfId="2790" xr:uid="{00000000-0005-0000-0000-0000EB9E0000}"/>
    <cellStyle name="Prosent 2 3 2 3 4 4 7 2" xfId="2791" xr:uid="{00000000-0005-0000-0000-0000EC9E0000}"/>
    <cellStyle name="Prosent 2 3 2 3 4 4 7 2 2" xfId="13640" xr:uid="{00000000-0005-0000-0000-0000ED9E0000}"/>
    <cellStyle name="Prosent 2 3 2 3 4 4 7 2 2 2" xfId="18625" xr:uid="{00000000-0005-0000-0000-0000EE9E0000}"/>
    <cellStyle name="Prosent 2 3 2 3 4 4 7 2 2 3" xfId="16015" xr:uid="{00000000-0005-0000-0000-0000EF9E0000}"/>
    <cellStyle name="Prosent 2 3 2 3 4 4 7 2 2 3 2" xfId="26694" xr:uid="{00000000-0005-0000-0000-0000F09E0000}"/>
    <cellStyle name="Prosent 2 3 2 3 4 4 7 2 2 3 2 2" xfId="42571" xr:uid="{00000000-0005-0000-0000-0000F19E0000}"/>
    <cellStyle name="Prosent 2 3 2 3 4 4 7 2 2 3 3" xfId="45270" xr:uid="{00000000-0005-0000-0000-0000F29E0000}"/>
    <cellStyle name="Prosent 2 3 2 3 4 4 7 2 2_Avviksanalyse løpende RNB15 (1)" xfId="17199" xr:uid="{00000000-0005-0000-0000-0000F39E0000}"/>
    <cellStyle name="Prosent 2 3 2 3 4 4 7 2 3" xfId="13639" xr:uid="{00000000-0005-0000-0000-0000F49E0000}"/>
    <cellStyle name="Prosent 2 3 2 3 4 4 7 3" xfId="13641" xr:uid="{00000000-0005-0000-0000-0000F59E0000}"/>
    <cellStyle name="Prosent 2 3 2 3 4 4 7 3 2" xfId="18626" xr:uid="{00000000-0005-0000-0000-0000F69E0000}"/>
    <cellStyle name="Prosent 2 3 2 3 4 4 7 3 3" xfId="16014" xr:uid="{00000000-0005-0000-0000-0000F79E0000}"/>
    <cellStyle name="Prosent 2 3 2 3 4 4 7 3 3 2" xfId="26695" xr:uid="{00000000-0005-0000-0000-0000F89E0000}"/>
    <cellStyle name="Prosent 2 3 2 3 4 4 7 3 3 2 2" xfId="42570" xr:uid="{00000000-0005-0000-0000-0000F99E0000}"/>
    <cellStyle name="Prosent 2 3 2 3 4 4 7 3 3 3" xfId="45271" xr:uid="{00000000-0005-0000-0000-0000FA9E0000}"/>
    <cellStyle name="Prosent 2 3 2 3 4 4 7 3_Avviksanalyse løpende RNB15 (1)" xfId="17200" xr:uid="{00000000-0005-0000-0000-0000FB9E0000}"/>
    <cellStyle name="Prosent 2 3 2 3 4 4 7 4" xfId="13638" xr:uid="{00000000-0005-0000-0000-0000FC9E0000}"/>
    <cellStyle name="Prosent 2 3 2 3 4 4 8" xfId="13642" xr:uid="{00000000-0005-0000-0000-0000FD9E0000}"/>
    <cellStyle name="Prosent 2 3 2 3 4 4 8 2" xfId="18627" xr:uid="{00000000-0005-0000-0000-0000FE9E0000}"/>
    <cellStyle name="Prosent 2 3 2 3 4 4 8 3" xfId="15809" xr:uid="{00000000-0005-0000-0000-0000FF9E0000}"/>
    <cellStyle name="Prosent 2 3 2 3 4 4 8 3 2" xfId="26696" xr:uid="{00000000-0005-0000-0000-0000009F0000}"/>
    <cellStyle name="Prosent 2 3 2 3 4 4 8 3 2 2" xfId="42365" xr:uid="{00000000-0005-0000-0000-0000019F0000}"/>
    <cellStyle name="Prosent 2 3 2 3 4 4 8 3 3" xfId="45272" xr:uid="{00000000-0005-0000-0000-0000029F0000}"/>
    <cellStyle name="Prosent 2 3 2 3 4 4 8_Avviksanalyse løpende RNB15 (1)" xfId="17201" xr:uid="{00000000-0005-0000-0000-0000039F0000}"/>
    <cellStyle name="Prosent 2 3 2 3 4 4 9" xfId="13605" xr:uid="{00000000-0005-0000-0000-0000049F0000}"/>
    <cellStyle name="Prosent 2 3 2 3 4 5" xfId="2792" xr:uid="{00000000-0005-0000-0000-0000059F0000}"/>
    <cellStyle name="Prosent 2 3 2 3 4 5 2" xfId="2793" xr:uid="{00000000-0005-0000-0000-0000069F0000}"/>
    <cellStyle name="Prosent 2 3 2 3 4 5 2 2" xfId="13645" xr:uid="{00000000-0005-0000-0000-0000079F0000}"/>
    <cellStyle name="Prosent 2 3 2 3 4 5 2 2 2" xfId="18628" xr:uid="{00000000-0005-0000-0000-0000089F0000}"/>
    <cellStyle name="Prosent 2 3 2 3 4 5 2 2 3" xfId="15817" xr:uid="{00000000-0005-0000-0000-0000099F0000}"/>
    <cellStyle name="Prosent 2 3 2 3 4 5 2 2 3 2" xfId="26697" xr:uid="{00000000-0005-0000-0000-00000A9F0000}"/>
    <cellStyle name="Prosent 2 3 2 3 4 5 2 2 3 2 2" xfId="42373" xr:uid="{00000000-0005-0000-0000-00000B9F0000}"/>
    <cellStyle name="Prosent 2 3 2 3 4 5 2 2 3 3" xfId="45273" xr:uid="{00000000-0005-0000-0000-00000C9F0000}"/>
    <cellStyle name="Prosent 2 3 2 3 4 5 2 2_Avviksanalyse løpende RNB15 (1)" xfId="17202" xr:uid="{00000000-0005-0000-0000-00000D9F0000}"/>
    <cellStyle name="Prosent 2 3 2 3 4 5 2 3" xfId="13644" xr:uid="{00000000-0005-0000-0000-00000E9F0000}"/>
    <cellStyle name="Prosent 2 3 2 3 4 5 3" xfId="2794" xr:uid="{00000000-0005-0000-0000-00000F9F0000}"/>
    <cellStyle name="Prosent 2 3 2 3 4 5 3 2" xfId="2795" xr:uid="{00000000-0005-0000-0000-0000109F0000}"/>
    <cellStyle name="Prosent 2 3 2 3 4 5 3 2 2" xfId="13648" xr:uid="{00000000-0005-0000-0000-0000119F0000}"/>
    <cellStyle name="Prosent 2 3 2 3 4 5 3 2 2 2" xfId="18629" xr:uid="{00000000-0005-0000-0000-0000129F0000}"/>
    <cellStyle name="Prosent 2 3 2 3 4 5 3 2 2 3" xfId="16017" xr:uid="{00000000-0005-0000-0000-0000139F0000}"/>
    <cellStyle name="Prosent 2 3 2 3 4 5 3 2 2 3 2" xfId="26698" xr:uid="{00000000-0005-0000-0000-0000149F0000}"/>
    <cellStyle name="Prosent 2 3 2 3 4 5 3 2 2 3 2 2" xfId="42573" xr:uid="{00000000-0005-0000-0000-0000159F0000}"/>
    <cellStyle name="Prosent 2 3 2 3 4 5 3 2 2 3 3" xfId="45274" xr:uid="{00000000-0005-0000-0000-0000169F0000}"/>
    <cellStyle name="Prosent 2 3 2 3 4 5 3 2 2_Avviksanalyse løpende RNB15 (1)" xfId="17203" xr:uid="{00000000-0005-0000-0000-0000179F0000}"/>
    <cellStyle name="Prosent 2 3 2 3 4 5 3 2 3" xfId="13647" xr:uid="{00000000-0005-0000-0000-0000189F0000}"/>
    <cellStyle name="Prosent 2 3 2 3 4 5 3 3" xfId="13649" xr:uid="{00000000-0005-0000-0000-0000199F0000}"/>
    <cellStyle name="Prosent 2 3 2 3 4 5 3 3 2" xfId="18630" xr:uid="{00000000-0005-0000-0000-00001A9F0000}"/>
    <cellStyle name="Prosent 2 3 2 3 4 5 3 3 3" xfId="16016" xr:uid="{00000000-0005-0000-0000-00001B9F0000}"/>
    <cellStyle name="Prosent 2 3 2 3 4 5 3 3 3 2" xfId="26699" xr:uid="{00000000-0005-0000-0000-00001C9F0000}"/>
    <cellStyle name="Prosent 2 3 2 3 4 5 3 3 3 2 2" xfId="42572" xr:uid="{00000000-0005-0000-0000-00001D9F0000}"/>
    <cellStyle name="Prosent 2 3 2 3 4 5 3 3 3 3" xfId="45275" xr:uid="{00000000-0005-0000-0000-00001E9F0000}"/>
    <cellStyle name="Prosent 2 3 2 3 4 5 3 3_Avviksanalyse løpende RNB15 (1)" xfId="17204" xr:uid="{00000000-0005-0000-0000-00001F9F0000}"/>
    <cellStyle name="Prosent 2 3 2 3 4 5 3 4" xfId="13646" xr:uid="{00000000-0005-0000-0000-0000209F0000}"/>
    <cellStyle name="Prosent 2 3 2 3 4 5 4" xfId="2796" xr:uid="{00000000-0005-0000-0000-0000219F0000}"/>
    <cellStyle name="Prosent 2 3 2 3 4 5 4 2" xfId="2797" xr:uid="{00000000-0005-0000-0000-0000229F0000}"/>
    <cellStyle name="Prosent 2 3 2 3 4 5 4 2 2" xfId="13652" xr:uid="{00000000-0005-0000-0000-0000239F0000}"/>
    <cellStyle name="Prosent 2 3 2 3 4 5 4 2 2 2" xfId="18631" xr:uid="{00000000-0005-0000-0000-0000249F0000}"/>
    <cellStyle name="Prosent 2 3 2 3 4 5 4 2 2 3" xfId="16019" xr:uid="{00000000-0005-0000-0000-0000259F0000}"/>
    <cellStyle name="Prosent 2 3 2 3 4 5 4 2 2 3 2" xfId="26700" xr:uid="{00000000-0005-0000-0000-0000269F0000}"/>
    <cellStyle name="Prosent 2 3 2 3 4 5 4 2 2 3 2 2" xfId="42575" xr:uid="{00000000-0005-0000-0000-0000279F0000}"/>
    <cellStyle name="Prosent 2 3 2 3 4 5 4 2 2 3 3" xfId="45276" xr:uid="{00000000-0005-0000-0000-0000289F0000}"/>
    <cellStyle name="Prosent 2 3 2 3 4 5 4 2 2_Avviksanalyse løpende RNB15 (1)" xfId="17205" xr:uid="{00000000-0005-0000-0000-0000299F0000}"/>
    <cellStyle name="Prosent 2 3 2 3 4 5 4 2 3" xfId="13651" xr:uid="{00000000-0005-0000-0000-00002A9F0000}"/>
    <cellStyle name="Prosent 2 3 2 3 4 5 4 3" xfId="13653" xr:uid="{00000000-0005-0000-0000-00002B9F0000}"/>
    <cellStyle name="Prosent 2 3 2 3 4 5 4 3 2" xfId="18632" xr:uid="{00000000-0005-0000-0000-00002C9F0000}"/>
    <cellStyle name="Prosent 2 3 2 3 4 5 4 3 3" xfId="16018" xr:uid="{00000000-0005-0000-0000-00002D9F0000}"/>
    <cellStyle name="Prosent 2 3 2 3 4 5 4 3 3 2" xfId="26701" xr:uid="{00000000-0005-0000-0000-00002E9F0000}"/>
    <cellStyle name="Prosent 2 3 2 3 4 5 4 3 3 2 2" xfId="42574" xr:uid="{00000000-0005-0000-0000-00002F9F0000}"/>
    <cellStyle name="Prosent 2 3 2 3 4 5 4 3 3 3" xfId="45277" xr:uid="{00000000-0005-0000-0000-0000309F0000}"/>
    <cellStyle name="Prosent 2 3 2 3 4 5 4 3_Avviksanalyse løpende RNB15 (1)" xfId="17206" xr:uid="{00000000-0005-0000-0000-0000319F0000}"/>
    <cellStyle name="Prosent 2 3 2 3 4 5 4 4" xfId="13650" xr:uid="{00000000-0005-0000-0000-0000329F0000}"/>
    <cellStyle name="Prosent 2 3 2 3 4 5 5" xfId="13654" xr:uid="{00000000-0005-0000-0000-0000339F0000}"/>
    <cellStyle name="Prosent 2 3 2 3 4 5 5 2" xfId="18633" xr:uid="{00000000-0005-0000-0000-0000349F0000}"/>
    <cellStyle name="Prosent 2 3 2 3 4 5 5 3" xfId="15816" xr:uid="{00000000-0005-0000-0000-0000359F0000}"/>
    <cellStyle name="Prosent 2 3 2 3 4 5 5 3 2" xfId="26702" xr:uid="{00000000-0005-0000-0000-0000369F0000}"/>
    <cellStyle name="Prosent 2 3 2 3 4 5 5 3 2 2" xfId="42372" xr:uid="{00000000-0005-0000-0000-0000379F0000}"/>
    <cellStyle name="Prosent 2 3 2 3 4 5 5 3 3" xfId="45278" xr:uid="{00000000-0005-0000-0000-0000389F0000}"/>
    <cellStyle name="Prosent 2 3 2 3 4 5 5_Avviksanalyse løpende RNB15 (1)" xfId="17207" xr:uid="{00000000-0005-0000-0000-0000399F0000}"/>
    <cellStyle name="Prosent 2 3 2 3 4 5 6" xfId="13643" xr:uid="{00000000-0005-0000-0000-00003A9F0000}"/>
    <cellStyle name="Prosent 2 3 2 3 4 6" xfId="2798" xr:uid="{00000000-0005-0000-0000-00003B9F0000}"/>
    <cellStyle name="Prosent 2 3 2 3 4 6 2" xfId="2799" xr:uid="{00000000-0005-0000-0000-00003C9F0000}"/>
    <cellStyle name="Prosent 2 3 2 3 4 6 2 2" xfId="13657" xr:uid="{00000000-0005-0000-0000-00003D9F0000}"/>
    <cellStyle name="Prosent 2 3 2 3 4 6 2 2 2" xfId="18634" xr:uid="{00000000-0005-0000-0000-00003E9F0000}"/>
    <cellStyle name="Prosent 2 3 2 3 4 6 2 2 3" xfId="15819" xr:uid="{00000000-0005-0000-0000-00003F9F0000}"/>
    <cellStyle name="Prosent 2 3 2 3 4 6 2 2 3 2" xfId="26703" xr:uid="{00000000-0005-0000-0000-0000409F0000}"/>
    <cellStyle name="Prosent 2 3 2 3 4 6 2 2 3 2 2" xfId="42375" xr:uid="{00000000-0005-0000-0000-0000419F0000}"/>
    <cellStyle name="Prosent 2 3 2 3 4 6 2 2 3 3" xfId="45279" xr:uid="{00000000-0005-0000-0000-0000429F0000}"/>
    <cellStyle name="Prosent 2 3 2 3 4 6 2 2_Avviksanalyse løpende RNB15 (1)" xfId="17208" xr:uid="{00000000-0005-0000-0000-0000439F0000}"/>
    <cellStyle name="Prosent 2 3 2 3 4 6 2 3" xfId="13656" xr:uid="{00000000-0005-0000-0000-0000449F0000}"/>
    <cellStyle name="Prosent 2 3 2 3 4 6 3" xfId="2800" xr:uid="{00000000-0005-0000-0000-0000459F0000}"/>
    <cellStyle name="Prosent 2 3 2 3 4 6 3 2" xfId="2801" xr:uid="{00000000-0005-0000-0000-0000469F0000}"/>
    <cellStyle name="Prosent 2 3 2 3 4 6 3 2 2" xfId="13660" xr:uid="{00000000-0005-0000-0000-0000479F0000}"/>
    <cellStyle name="Prosent 2 3 2 3 4 6 3 2 2 2" xfId="18635" xr:uid="{00000000-0005-0000-0000-0000489F0000}"/>
    <cellStyle name="Prosent 2 3 2 3 4 6 3 2 2 3" xfId="16021" xr:uid="{00000000-0005-0000-0000-0000499F0000}"/>
    <cellStyle name="Prosent 2 3 2 3 4 6 3 2 2 3 2" xfId="26704" xr:uid="{00000000-0005-0000-0000-00004A9F0000}"/>
    <cellStyle name="Prosent 2 3 2 3 4 6 3 2 2 3 2 2" xfId="42577" xr:uid="{00000000-0005-0000-0000-00004B9F0000}"/>
    <cellStyle name="Prosent 2 3 2 3 4 6 3 2 2 3 3" xfId="45280" xr:uid="{00000000-0005-0000-0000-00004C9F0000}"/>
    <cellStyle name="Prosent 2 3 2 3 4 6 3 2 2_Avviksanalyse løpende RNB15 (1)" xfId="17209" xr:uid="{00000000-0005-0000-0000-00004D9F0000}"/>
    <cellStyle name="Prosent 2 3 2 3 4 6 3 2 3" xfId="13659" xr:uid="{00000000-0005-0000-0000-00004E9F0000}"/>
    <cellStyle name="Prosent 2 3 2 3 4 6 3 3" xfId="13661" xr:uid="{00000000-0005-0000-0000-00004F9F0000}"/>
    <cellStyle name="Prosent 2 3 2 3 4 6 3 3 2" xfId="18636" xr:uid="{00000000-0005-0000-0000-0000509F0000}"/>
    <cellStyle name="Prosent 2 3 2 3 4 6 3 3 3" xfId="16020" xr:uid="{00000000-0005-0000-0000-0000519F0000}"/>
    <cellStyle name="Prosent 2 3 2 3 4 6 3 3 3 2" xfId="26705" xr:uid="{00000000-0005-0000-0000-0000529F0000}"/>
    <cellStyle name="Prosent 2 3 2 3 4 6 3 3 3 2 2" xfId="42576" xr:uid="{00000000-0005-0000-0000-0000539F0000}"/>
    <cellStyle name="Prosent 2 3 2 3 4 6 3 3 3 3" xfId="45281" xr:uid="{00000000-0005-0000-0000-0000549F0000}"/>
    <cellStyle name="Prosent 2 3 2 3 4 6 3 3_Avviksanalyse løpende RNB15 (1)" xfId="17210" xr:uid="{00000000-0005-0000-0000-0000559F0000}"/>
    <cellStyle name="Prosent 2 3 2 3 4 6 3 4" xfId="13658" xr:uid="{00000000-0005-0000-0000-0000569F0000}"/>
    <cellStyle name="Prosent 2 3 2 3 4 6 4" xfId="2802" xr:uid="{00000000-0005-0000-0000-0000579F0000}"/>
    <cellStyle name="Prosent 2 3 2 3 4 6 4 2" xfId="2803" xr:uid="{00000000-0005-0000-0000-0000589F0000}"/>
    <cellStyle name="Prosent 2 3 2 3 4 6 4 2 2" xfId="13664" xr:uid="{00000000-0005-0000-0000-0000599F0000}"/>
    <cellStyle name="Prosent 2 3 2 3 4 6 4 2 2 2" xfId="18637" xr:uid="{00000000-0005-0000-0000-00005A9F0000}"/>
    <cellStyle name="Prosent 2 3 2 3 4 6 4 2 2 3" xfId="16023" xr:uid="{00000000-0005-0000-0000-00005B9F0000}"/>
    <cellStyle name="Prosent 2 3 2 3 4 6 4 2 2 3 2" xfId="26706" xr:uid="{00000000-0005-0000-0000-00005C9F0000}"/>
    <cellStyle name="Prosent 2 3 2 3 4 6 4 2 2 3 2 2" xfId="42579" xr:uid="{00000000-0005-0000-0000-00005D9F0000}"/>
    <cellStyle name="Prosent 2 3 2 3 4 6 4 2 2 3 3" xfId="45282" xr:uid="{00000000-0005-0000-0000-00005E9F0000}"/>
    <cellStyle name="Prosent 2 3 2 3 4 6 4 2 2_Avviksanalyse løpende RNB15 (1)" xfId="17211" xr:uid="{00000000-0005-0000-0000-00005F9F0000}"/>
    <cellStyle name="Prosent 2 3 2 3 4 6 4 2 3" xfId="13663" xr:uid="{00000000-0005-0000-0000-0000609F0000}"/>
    <cellStyle name="Prosent 2 3 2 3 4 6 4 3" xfId="13665" xr:uid="{00000000-0005-0000-0000-0000619F0000}"/>
    <cellStyle name="Prosent 2 3 2 3 4 6 4 3 2" xfId="18638" xr:uid="{00000000-0005-0000-0000-0000629F0000}"/>
    <cellStyle name="Prosent 2 3 2 3 4 6 4 3 3" xfId="16022" xr:uid="{00000000-0005-0000-0000-0000639F0000}"/>
    <cellStyle name="Prosent 2 3 2 3 4 6 4 3 3 2" xfId="26707" xr:uid="{00000000-0005-0000-0000-0000649F0000}"/>
    <cellStyle name="Prosent 2 3 2 3 4 6 4 3 3 2 2" xfId="42578" xr:uid="{00000000-0005-0000-0000-0000659F0000}"/>
    <cellStyle name="Prosent 2 3 2 3 4 6 4 3 3 3" xfId="45283" xr:uid="{00000000-0005-0000-0000-0000669F0000}"/>
    <cellStyle name="Prosent 2 3 2 3 4 6 4 3_Avviksanalyse løpende RNB15 (1)" xfId="17212" xr:uid="{00000000-0005-0000-0000-0000679F0000}"/>
    <cellStyle name="Prosent 2 3 2 3 4 6 4 4" xfId="13662" xr:uid="{00000000-0005-0000-0000-0000689F0000}"/>
    <cellStyle name="Prosent 2 3 2 3 4 6 5" xfId="13666" xr:uid="{00000000-0005-0000-0000-0000699F0000}"/>
    <cellStyle name="Prosent 2 3 2 3 4 6 5 2" xfId="18639" xr:uid="{00000000-0005-0000-0000-00006A9F0000}"/>
    <cellStyle name="Prosent 2 3 2 3 4 6 5 3" xfId="15818" xr:uid="{00000000-0005-0000-0000-00006B9F0000}"/>
    <cellStyle name="Prosent 2 3 2 3 4 6 5 3 2" xfId="26708" xr:uid="{00000000-0005-0000-0000-00006C9F0000}"/>
    <cellStyle name="Prosent 2 3 2 3 4 6 5 3 2 2" xfId="42374" xr:uid="{00000000-0005-0000-0000-00006D9F0000}"/>
    <cellStyle name="Prosent 2 3 2 3 4 6 5 3 3" xfId="45284" xr:uid="{00000000-0005-0000-0000-00006E9F0000}"/>
    <cellStyle name="Prosent 2 3 2 3 4 6 5_Avviksanalyse løpende RNB15 (1)" xfId="17213" xr:uid="{00000000-0005-0000-0000-00006F9F0000}"/>
    <cellStyle name="Prosent 2 3 2 3 4 6 6" xfId="13655" xr:uid="{00000000-0005-0000-0000-0000709F0000}"/>
    <cellStyle name="Prosent 2 3 2 3 4 7" xfId="2804" xr:uid="{00000000-0005-0000-0000-0000719F0000}"/>
    <cellStyle name="Prosent 2 3 2 3 4 7 2" xfId="2805" xr:uid="{00000000-0005-0000-0000-0000729F0000}"/>
    <cellStyle name="Prosent 2 3 2 3 4 7 2 2" xfId="13669" xr:uid="{00000000-0005-0000-0000-0000739F0000}"/>
    <cellStyle name="Prosent 2 3 2 3 4 7 2 2 2" xfId="18640" xr:uid="{00000000-0005-0000-0000-0000749F0000}"/>
    <cellStyle name="Prosent 2 3 2 3 4 7 2 2 3" xfId="16025" xr:uid="{00000000-0005-0000-0000-0000759F0000}"/>
    <cellStyle name="Prosent 2 3 2 3 4 7 2 2 3 2" xfId="26709" xr:uid="{00000000-0005-0000-0000-0000769F0000}"/>
    <cellStyle name="Prosent 2 3 2 3 4 7 2 2 3 2 2" xfId="42581" xr:uid="{00000000-0005-0000-0000-0000779F0000}"/>
    <cellStyle name="Prosent 2 3 2 3 4 7 2 2 3 3" xfId="45285" xr:uid="{00000000-0005-0000-0000-0000789F0000}"/>
    <cellStyle name="Prosent 2 3 2 3 4 7 2 2_Avviksanalyse løpende RNB15 (1)" xfId="17214" xr:uid="{00000000-0005-0000-0000-0000799F0000}"/>
    <cellStyle name="Prosent 2 3 2 3 4 7 2 3" xfId="13668" xr:uid="{00000000-0005-0000-0000-00007A9F0000}"/>
    <cellStyle name="Prosent 2 3 2 3 4 7 3" xfId="13670" xr:uid="{00000000-0005-0000-0000-00007B9F0000}"/>
    <cellStyle name="Prosent 2 3 2 3 4 7 3 2" xfId="18641" xr:uid="{00000000-0005-0000-0000-00007C9F0000}"/>
    <cellStyle name="Prosent 2 3 2 3 4 7 3 3" xfId="16024" xr:uid="{00000000-0005-0000-0000-00007D9F0000}"/>
    <cellStyle name="Prosent 2 3 2 3 4 7 3 3 2" xfId="26710" xr:uid="{00000000-0005-0000-0000-00007E9F0000}"/>
    <cellStyle name="Prosent 2 3 2 3 4 7 3 3 2 2" xfId="42580" xr:uid="{00000000-0005-0000-0000-00007F9F0000}"/>
    <cellStyle name="Prosent 2 3 2 3 4 7 3 3 3" xfId="45286" xr:uid="{00000000-0005-0000-0000-0000809F0000}"/>
    <cellStyle name="Prosent 2 3 2 3 4 7 3_Avviksanalyse løpende RNB15 (1)" xfId="17215" xr:uid="{00000000-0005-0000-0000-0000819F0000}"/>
    <cellStyle name="Prosent 2 3 2 3 4 7 4" xfId="13667" xr:uid="{00000000-0005-0000-0000-0000829F0000}"/>
    <cellStyle name="Prosent 2 3 2 3 4 8" xfId="2806" xr:uid="{00000000-0005-0000-0000-0000839F0000}"/>
    <cellStyle name="Prosent 2 3 2 3 4 8 2" xfId="2807" xr:uid="{00000000-0005-0000-0000-0000849F0000}"/>
    <cellStyle name="Prosent 2 3 2 3 4 8 2 2" xfId="13673" xr:uid="{00000000-0005-0000-0000-0000859F0000}"/>
    <cellStyle name="Prosent 2 3 2 3 4 8 2 2 2" xfId="18642" xr:uid="{00000000-0005-0000-0000-0000869F0000}"/>
    <cellStyle name="Prosent 2 3 2 3 4 8 2 2 3" xfId="16027" xr:uid="{00000000-0005-0000-0000-0000879F0000}"/>
    <cellStyle name="Prosent 2 3 2 3 4 8 2 2 3 2" xfId="26711" xr:uid="{00000000-0005-0000-0000-0000889F0000}"/>
    <cellStyle name="Prosent 2 3 2 3 4 8 2 2 3 2 2" xfId="42583" xr:uid="{00000000-0005-0000-0000-0000899F0000}"/>
    <cellStyle name="Prosent 2 3 2 3 4 8 2 2 3 3" xfId="45287" xr:uid="{00000000-0005-0000-0000-00008A9F0000}"/>
    <cellStyle name="Prosent 2 3 2 3 4 8 2 2_Avviksanalyse løpende RNB15 (1)" xfId="17216" xr:uid="{00000000-0005-0000-0000-00008B9F0000}"/>
    <cellStyle name="Prosent 2 3 2 3 4 8 2 3" xfId="13672" xr:uid="{00000000-0005-0000-0000-00008C9F0000}"/>
    <cellStyle name="Prosent 2 3 2 3 4 8 3" xfId="13674" xr:uid="{00000000-0005-0000-0000-00008D9F0000}"/>
    <cellStyle name="Prosent 2 3 2 3 4 8 3 2" xfId="18643" xr:uid="{00000000-0005-0000-0000-00008E9F0000}"/>
    <cellStyle name="Prosent 2 3 2 3 4 8 3 3" xfId="16026" xr:uid="{00000000-0005-0000-0000-00008F9F0000}"/>
    <cellStyle name="Prosent 2 3 2 3 4 8 3 3 2" xfId="26712" xr:uid="{00000000-0005-0000-0000-0000909F0000}"/>
    <cellStyle name="Prosent 2 3 2 3 4 8 3 3 2 2" xfId="42582" xr:uid="{00000000-0005-0000-0000-0000919F0000}"/>
    <cellStyle name="Prosent 2 3 2 3 4 8 3 3 3" xfId="45288" xr:uid="{00000000-0005-0000-0000-0000929F0000}"/>
    <cellStyle name="Prosent 2 3 2 3 4 8 3_Avviksanalyse løpende RNB15 (1)" xfId="17217" xr:uid="{00000000-0005-0000-0000-0000939F0000}"/>
    <cellStyle name="Prosent 2 3 2 3 4 8 4" xfId="13671" xr:uid="{00000000-0005-0000-0000-0000949F0000}"/>
    <cellStyle name="Prosent 2 3 2 3 4 9" xfId="13675" xr:uid="{00000000-0005-0000-0000-0000959F0000}"/>
    <cellStyle name="Prosent 2 3 2 3 4 9 2" xfId="18644" xr:uid="{00000000-0005-0000-0000-0000969F0000}"/>
    <cellStyle name="Prosent 2 3 2 3 4 9 3" xfId="15760" xr:uid="{00000000-0005-0000-0000-0000979F0000}"/>
    <cellStyle name="Prosent 2 3 2 3 4 9 3 2" xfId="26713" xr:uid="{00000000-0005-0000-0000-0000989F0000}"/>
    <cellStyle name="Prosent 2 3 2 3 4 9 3 2 2" xfId="42316" xr:uid="{00000000-0005-0000-0000-0000999F0000}"/>
    <cellStyle name="Prosent 2 3 2 3 4 9 3 3" xfId="45289" xr:uid="{00000000-0005-0000-0000-00009A9F0000}"/>
    <cellStyle name="Prosent 2 3 2 3 4 9_Avviksanalyse løpende RNB15 (1)" xfId="17218" xr:uid="{00000000-0005-0000-0000-00009B9F0000}"/>
    <cellStyle name="Prosent 2 3 2 3 5" xfId="2808" xr:uid="{00000000-0005-0000-0000-00009C9F0000}"/>
    <cellStyle name="Prosent 2 3 2 3 5 2" xfId="2809" xr:uid="{00000000-0005-0000-0000-00009D9F0000}"/>
    <cellStyle name="Prosent 2 3 2 3 5 2 2" xfId="13678" xr:uid="{00000000-0005-0000-0000-00009E9F0000}"/>
    <cellStyle name="Prosent 2 3 2 3 5 2 2 2" xfId="18645" xr:uid="{00000000-0005-0000-0000-00009F9F0000}"/>
    <cellStyle name="Prosent 2 3 2 3 5 2 2 3" xfId="15821" xr:uid="{00000000-0005-0000-0000-0000A09F0000}"/>
    <cellStyle name="Prosent 2 3 2 3 5 2 2 3 2" xfId="26714" xr:uid="{00000000-0005-0000-0000-0000A19F0000}"/>
    <cellStyle name="Prosent 2 3 2 3 5 2 2 3 2 2" xfId="42377" xr:uid="{00000000-0005-0000-0000-0000A29F0000}"/>
    <cellStyle name="Prosent 2 3 2 3 5 2 2 3 3" xfId="45291" xr:uid="{00000000-0005-0000-0000-0000A39F0000}"/>
    <cellStyle name="Prosent 2 3 2 3 5 2 2_Avviksanalyse løpende RNB15 (1)" xfId="17219" xr:uid="{00000000-0005-0000-0000-0000A49F0000}"/>
    <cellStyle name="Prosent 2 3 2 3 5 2 3" xfId="13677" xr:uid="{00000000-0005-0000-0000-0000A59F0000}"/>
    <cellStyle name="Prosent 2 3 2 3 5 3" xfId="13679" xr:uid="{00000000-0005-0000-0000-0000A69F0000}"/>
    <cellStyle name="Prosent 2 3 2 3 5 3 2" xfId="18646" xr:uid="{00000000-0005-0000-0000-0000A79F0000}"/>
    <cellStyle name="Prosent 2 3 2 3 5 3 3" xfId="15820" xr:uid="{00000000-0005-0000-0000-0000A89F0000}"/>
    <cellStyle name="Prosent 2 3 2 3 5 3 3 2" xfId="26715" xr:uid="{00000000-0005-0000-0000-0000A99F0000}"/>
    <cellStyle name="Prosent 2 3 2 3 5 3 3 2 2" xfId="42376" xr:uid="{00000000-0005-0000-0000-0000AA9F0000}"/>
    <cellStyle name="Prosent 2 3 2 3 5 3 3 3" xfId="45292" xr:uid="{00000000-0005-0000-0000-0000AB9F0000}"/>
    <cellStyle name="Prosent 2 3 2 3 5 3_Avviksanalyse løpende RNB15 (1)" xfId="17220" xr:uid="{00000000-0005-0000-0000-0000AC9F0000}"/>
    <cellStyle name="Prosent 2 3 2 3 5 4" xfId="13676" xr:uid="{00000000-0005-0000-0000-0000AD9F0000}"/>
    <cellStyle name="Prosent 2 3 2 3 6" xfId="2810" xr:uid="{00000000-0005-0000-0000-0000AE9F0000}"/>
    <cellStyle name="Prosent 2 3 2 3 6 2" xfId="2811" xr:uid="{00000000-0005-0000-0000-0000AF9F0000}"/>
    <cellStyle name="Prosent 2 3 2 3 6 2 2" xfId="13682" xr:uid="{00000000-0005-0000-0000-0000B09F0000}"/>
    <cellStyle name="Prosent 2 3 2 3 6 2 2 2" xfId="18647" xr:uid="{00000000-0005-0000-0000-0000B19F0000}"/>
    <cellStyle name="Prosent 2 3 2 3 6 2 2 3" xfId="15823" xr:uid="{00000000-0005-0000-0000-0000B29F0000}"/>
    <cellStyle name="Prosent 2 3 2 3 6 2 2 3 2" xfId="26716" xr:uid="{00000000-0005-0000-0000-0000B39F0000}"/>
    <cellStyle name="Prosent 2 3 2 3 6 2 2 3 2 2" xfId="42379" xr:uid="{00000000-0005-0000-0000-0000B49F0000}"/>
    <cellStyle name="Prosent 2 3 2 3 6 2 2 3 3" xfId="45293" xr:uid="{00000000-0005-0000-0000-0000B59F0000}"/>
    <cellStyle name="Prosent 2 3 2 3 6 2 2_Avviksanalyse løpende RNB15 (1)" xfId="17221" xr:uid="{00000000-0005-0000-0000-0000B69F0000}"/>
    <cellStyle name="Prosent 2 3 2 3 6 2 3" xfId="13681" xr:uid="{00000000-0005-0000-0000-0000B79F0000}"/>
    <cellStyle name="Prosent 2 3 2 3 6 3" xfId="2812" xr:uid="{00000000-0005-0000-0000-0000B89F0000}"/>
    <cellStyle name="Prosent 2 3 2 3 6 3 2" xfId="13684" xr:uid="{00000000-0005-0000-0000-0000B99F0000}"/>
    <cellStyle name="Prosent 2 3 2 3 6 3 2 2" xfId="18648" xr:uid="{00000000-0005-0000-0000-0000BA9F0000}"/>
    <cellStyle name="Prosent 2 3 2 3 6 3 2 3" xfId="15824" xr:uid="{00000000-0005-0000-0000-0000BB9F0000}"/>
    <cellStyle name="Prosent 2 3 2 3 6 3 2 3 2" xfId="26717" xr:uid="{00000000-0005-0000-0000-0000BC9F0000}"/>
    <cellStyle name="Prosent 2 3 2 3 6 3 2 3 2 2" xfId="42380" xr:uid="{00000000-0005-0000-0000-0000BD9F0000}"/>
    <cellStyle name="Prosent 2 3 2 3 6 3 2 3 3" xfId="45294" xr:uid="{00000000-0005-0000-0000-0000BE9F0000}"/>
    <cellStyle name="Prosent 2 3 2 3 6 3 2_Avviksanalyse løpende RNB15 (1)" xfId="17222" xr:uid="{00000000-0005-0000-0000-0000BF9F0000}"/>
    <cellStyle name="Prosent 2 3 2 3 6 3 3" xfId="13683" xr:uid="{00000000-0005-0000-0000-0000C09F0000}"/>
    <cellStyle name="Prosent 2 3 2 3 6 4" xfId="2813" xr:uid="{00000000-0005-0000-0000-0000C19F0000}"/>
    <cellStyle name="Prosent 2 3 2 3 6 4 2" xfId="2814" xr:uid="{00000000-0005-0000-0000-0000C29F0000}"/>
    <cellStyle name="Prosent 2 3 2 3 6 4 2 2" xfId="13687" xr:uid="{00000000-0005-0000-0000-0000C39F0000}"/>
    <cellStyle name="Prosent 2 3 2 3 6 4 2 2 2" xfId="18649" xr:uid="{00000000-0005-0000-0000-0000C49F0000}"/>
    <cellStyle name="Prosent 2 3 2 3 6 4 2 2 3" xfId="15826" xr:uid="{00000000-0005-0000-0000-0000C59F0000}"/>
    <cellStyle name="Prosent 2 3 2 3 6 4 2 2 3 2" xfId="26718" xr:uid="{00000000-0005-0000-0000-0000C69F0000}"/>
    <cellStyle name="Prosent 2 3 2 3 6 4 2 2 3 2 2" xfId="42382" xr:uid="{00000000-0005-0000-0000-0000C79F0000}"/>
    <cellStyle name="Prosent 2 3 2 3 6 4 2 2 3 3" xfId="45296" xr:uid="{00000000-0005-0000-0000-0000C89F0000}"/>
    <cellStyle name="Prosent 2 3 2 3 6 4 2 2_Avviksanalyse løpende RNB15 (1)" xfId="17223" xr:uid="{00000000-0005-0000-0000-0000C99F0000}"/>
    <cellStyle name="Prosent 2 3 2 3 6 4 2 3" xfId="13686" xr:uid="{00000000-0005-0000-0000-0000CA9F0000}"/>
    <cellStyle name="Prosent 2 3 2 3 6 4 3" xfId="2815" xr:uid="{00000000-0005-0000-0000-0000CB9F0000}"/>
    <cellStyle name="Prosent 2 3 2 3 6 4 3 2" xfId="2816" xr:uid="{00000000-0005-0000-0000-0000CC9F0000}"/>
    <cellStyle name="Prosent 2 3 2 3 6 4 3 2 2" xfId="13690" xr:uid="{00000000-0005-0000-0000-0000CD9F0000}"/>
    <cellStyle name="Prosent 2 3 2 3 6 4 3 2 2 2" xfId="18650" xr:uid="{00000000-0005-0000-0000-0000CE9F0000}"/>
    <cellStyle name="Prosent 2 3 2 3 6 4 3 2 2 3" xfId="16029" xr:uid="{00000000-0005-0000-0000-0000CF9F0000}"/>
    <cellStyle name="Prosent 2 3 2 3 6 4 3 2 2 3 2" xfId="26719" xr:uid="{00000000-0005-0000-0000-0000D09F0000}"/>
    <cellStyle name="Prosent 2 3 2 3 6 4 3 2 2 3 2 2" xfId="42585" xr:uid="{00000000-0005-0000-0000-0000D19F0000}"/>
    <cellStyle name="Prosent 2 3 2 3 6 4 3 2 2 3 3" xfId="45297" xr:uid="{00000000-0005-0000-0000-0000D29F0000}"/>
    <cellStyle name="Prosent 2 3 2 3 6 4 3 2 2_Avviksanalyse løpende RNB15 (1)" xfId="17224" xr:uid="{00000000-0005-0000-0000-0000D39F0000}"/>
    <cellStyle name="Prosent 2 3 2 3 6 4 3 2 3" xfId="13689" xr:uid="{00000000-0005-0000-0000-0000D49F0000}"/>
    <cellStyle name="Prosent 2 3 2 3 6 4 3 3" xfId="13691" xr:uid="{00000000-0005-0000-0000-0000D59F0000}"/>
    <cellStyle name="Prosent 2 3 2 3 6 4 3 3 2" xfId="18651" xr:uid="{00000000-0005-0000-0000-0000D69F0000}"/>
    <cellStyle name="Prosent 2 3 2 3 6 4 3 3 3" xfId="16028" xr:uid="{00000000-0005-0000-0000-0000D79F0000}"/>
    <cellStyle name="Prosent 2 3 2 3 6 4 3 3 3 2" xfId="26720" xr:uid="{00000000-0005-0000-0000-0000D89F0000}"/>
    <cellStyle name="Prosent 2 3 2 3 6 4 3 3 3 2 2" xfId="42584" xr:uid="{00000000-0005-0000-0000-0000D99F0000}"/>
    <cellStyle name="Prosent 2 3 2 3 6 4 3 3 3 3" xfId="45298" xr:uid="{00000000-0005-0000-0000-0000DA9F0000}"/>
    <cellStyle name="Prosent 2 3 2 3 6 4 3 3_Avviksanalyse løpende RNB15 (1)" xfId="17225" xr:uid="{00000000-0005-0000-0000-0000DB9F0000}"/>
    <cellStyle name="Prosent 2 3 2 3 6 4 3 4" xfId="13688" xr:uid="{00000000-0005-0000-0000-0000DC9F0000}"/>
    <cellStyle name="Prosent 2 3 2 3 6 4 4" xfId="2817" xr:uid="{00000000-0005-0000-0000-0000DD9F0000}"/>
    <cellStyle name="Prosent 2 3 2 3 6 4 4 2" xfId="2818" xr:uid="{00000000-0005-0000-0000-0000DE9F0000}"/>
    <cellStyle name="Prosent 2 3 2 3 6 4 4 2 2" xfId="13694" xr:uid="{00000000-0005-0000-0000-0000DF9F0000}"/>
    <cellStyle name="Prosent 2 3 2 3 6 4 4 2 2 2" xfId="18652" xr:uid="{00000000-0005-0000-0000-0000E09F0000}"/>
    <cellStyle name="Prosent 2 3 2 3 6 4 4 2 2 3" xfId="16031" xr:uid="{00000000-0005-0000-0000-0000E19F0000}"/>
    <cellStyle name="Prosent 2 3 2 3 6 4 4 2 2 3 2" xfId="26721" xr:uid="{00000000-0005-0000-0000-0000E29F0000}"/>
    <cellStyle name="Prosent 2 3 2 3 6 4 4 2 2 3 2 2" xfId="42587" xr:uid="{00000000-0005-0000-0000-0000E39F0000}"/>
    <cellStyle name="Prosent 2 3 2 3 6 4 4 2 2 3 3" xfId="45299" xr:uid="{00000000-0005-0000-0000-0000E49F0000}"/>
    <cellStyle name="Prosent 2 3 2 3 6 4 4 2 2_Avviksanalyse løpende RNB15 (1)" xfId="17226" xr:uid="{00000000-0005-0000-0000-0000E59F0000}"/>
    <cellStyle name="Prosent 2 3 2 3 6 4 4 2 3" xfId="13693" xr:uid="{00000000-0005-0000-0000-0000E69F0000}"/>
    <cellStyle name="Prosent 2 3 2 3 6 4 4 3" xfId="13695" xr:uid="{00000000-0005-0000-0000-0000E79F0000}"/>
    <cellStyle name="Prosent 2 3 2 3 6 4 4 3 2" xfId="18653" xr:uid="{00000000-0005-0000-0000-0000E89F0000}"/>
    <cellStyle name="Prosent 2 3 2 3 6 4 4 3 3" xfId="16030" xr:uid="{00000000-0005-0000-0000-0000E99F0000}"/>
    <cellStyle name="Prosent 2 3 2 3 6 4 4 3 3 2" xfId="26722" xr:uid="{00000000-0005-0000-0000-0000EA9F0000}"/>
    <cellStyle name="Prosent 2 3 2 3 6 4 4 3 3 2 2" xfId="42586" xr:uid="{00000000-0005-0000-0000-0000EB9F0000}"/>
    <cellStyle name="Prosent 2 3 2 3 6 4 4 3 3 3" xfId="45300" xr:uid="{00000000-0005-0000-0000-0000EC9F0000}"/>
    <cellStyle name="Prosent 2 3 2 3 6 4 4 3_Avviksanalyse løpende RNB15 (1)" xfId="17227" xr:uid="{00000000-0005-0000-0000-0000ED9F0000}"/>
    <cellStyle name="Prosent 2 3 2 3 6 4 4 4" xfId="13692" xr:uid="{00000000-0005-0000-0000-0000EE9F0000}"/>
    <cellStyle name="Prosent 2 3 2 3 6 4 5" xfId="13696" xr:uid="{00000000-0005-0000-0000-0000EF9F0000}"/>
    <cellStyle name="Prosent 2 3 2 3 6 4 5 2" xfId="18654" xr:uid="{00000000-0005-0000-0000-0000F09F0000}"/>
    <cellStyle name="Prosent 2 3 2 3 6 4 5 3" xfId="15825" xr:uid="{00000000-0005-0000-0000-0000F19F0000}"/>
    <cellStyle name="Prosent 2 3 2 3 6 4 5 3 2" xfId="26723" xr:uid="{00000000-0005-0000-0000-0000F29F0000}"/>
    <cellStyle name="Prosent 2 3 2 3 6 4 5 3 2 2" xfId="42381" xr:uid="{00000000-0005-0000-0000-0000F39F0000}"/>
    <cellStyle name="Prosent 2 3 2 3 6 4 5 3 3" xfId="45301" xr:uid="{00000000-0005-0000-0000-0000F49F0000}"/>
    <cellStyle name="Prosent 2 3 2 3 6 4 5_Avviksanalyse løpende RNB15 (1)" xfId="17228" xr:uid="{00000000-0005-0000-0000-0000F59F0000}"/>
    <cellStyle name="Prosent 2 3 2 3 6 4 6" xfId="13685" xr:uid="{00000000-0005-0000-0000-0000F69F0000}"/>
    <cellStyle name="Prosent 2 3 2 3 6 5" xfId="2819" xr:uid="{00000000-0005-0000-0000-0000F79F0000}"/>
    <cellStyle name="Prosent 2 3 2 3 6 5 2" xfId="2820" xr:uid="{00000000-0005-0000-0000-0000F89F0000}"/>
    <cellStyle name="Prosent 2 3 2 3 6 5 2 2" xfId="13699" xr:uid="{00000000-0005-0000-0000-0000F99F0000}"/>
    <cellStyle name="Prosent 2 3 2 3 6 5 2 2 2" xfId="18655" xr:uid="{00000000-0005-0000-0000-0000FA9F0000}"/>
    <cellStyle name="Prosent 2 3 2 3 6 5 2 2 3" xfId="15828" xr:uid="{00000000-0005-0000-0000-0000FB9F0000}"/>
    <cellStyle name="Prosent 2 3 2 3 6 5 2 2 3 2" xfId="26724" xr:uid="{00000000-0005-0000-0000-0000FC9F0000}"/>
    <cellStyle name="Prosent 2 3 2 3 6 5 2 2 3 2 2" xfId="42384" xr:uid="{00000000-0005-0000-0000-0000FD9F0000}"/>
    <cellStyle name="Prosent 2 3 2 3 6 5 2 2 3 3" xfId="45302" xr:uid="{00000000-0005-0000-0000-0000FE9F0000}"/>
    <cellStyle name="Prosent 2 3 2 3 6 5 2 2_Avviksanalyse løpende RNB15 (1)" xfId="17229" xr:uid="{00000000-0005-0000-0000-0000FF9F0000}"/>
    <cellStyle name="Prosent 2 3 2 3 6 5 2 3" xfId="13698" xr:uid="{00000000-0005-0000-0000-000000A00000}"/>
    <cellStyle name="Prosent 2 3 2 3 6 5 3" xfId="2821" xr:uid="{00000000-0005-0000-0000-000001A00000}"/>
    <cellStyle name="Prosent 2 3 2 3 6 5 3 2" xfId="2822" xr:uid="{00000000-0005-0000-0000-000002A00000}"/>
    <cellStyle name="Prosent 2 3 2 3 6 5 3 2 2" xfId="13702" xr:uid="{00000000-0005-0000-0000-000003A00000}"/>
    <cellStyle name="Prosent 2 3 2 3 6 5 3 2 2 2" xfId="18656" xr:uid="{00000000-0005-0000-0000-000004A00000}"/>
    <cellStyle name="Prosent 2 3 2 3 6 5 3 2 2 3" xfId="16033" xr:uid="{00000000-0005-0000-0000-000005A00000}"/>
    <cellStyle name="Prosent 2 3 2 3 6 5 3 2 2 3 2" xfId="26725" xr:uid="{00000000-0005-0000-0000-000006A00000}"/>
    <cellStyle name="Prosent 2 3 2 3 6 5 3 2 2 3 2 2" xfId="42589" xr:uid="{00000000-0005-0000-0000-000007A00000}"/>
    <cellStyle name="Prosent 2 3 2 3 6 5 3 2 2 3 3" xfId="45303" xr:uid="{00000000-0005-0000-0000-000008A00000}"/>
    <cellStyle name="Prosent 2 3 2 3 6 5 3 2 2_Avviksanalyse løpende RNB15 (1)" xfId="17230" xr:uid="{00000000-0005-0000-0000-000009A00000}"/>
    <cellStyle name="Prosent 2 3 2 3 6 5 3 2 3" xfId="13701" xr:uid="{00000000-0005-0000-0000-00000AA00000}"/>
    <cellStyle name="Prosent 2 3 2 3 6 5 3 3" xfId="13703" xr:uid="{00000000-0005-0000-0000-00000BA00000}"/>
    <cellStyle name="Prosent 2 3 2 3 6 5 3 3 2" xfId="18657" xr:uid="{00000000-0005-0000-0000-00000CA00000}"/>
    <cellStyle name="Prosent 2 3 2 3 6 5 3 3 3" xfId="16032" xr:uid="{00000000-0005-0000-0000-00000DA00000}"/>
    <cellStyle name="Prosent 2 3 2 3 6 5 3 3 3 2" xfId="26726" xr:uid="{00000000-0005-0000-0000-00000EA00000}"/>
    <cellStyle name="Prosent 2 3 2 3 6 5 3 3 3 2 2" xfId="42588" xr:uid="{00000000-0005-0000-0000-00000FA00000}"/>
    <cellStyle name="Prosent 2 3 2 3 6 5 3 3 3 3" xfId="45304" xr:uid="{00000000-0005-0000-0000-000010A00000}"/>
    <cellStyle name="Prosent 2 3 2 3 6 5 3 3_Avviksanalyse løpende RNB15 (1)" xfId="17231" xr:uid="{00000000-0005-0000-0000-000011A00000}"/>
    <cellStyle name="Prosent 2 3 2 3 6 5 3 4" xfId="13700" xr:uid="{00000000-0005-0000-0000-000012A00000}"/>
    <cellStyle name="Prosent 2 3 2 3 6 5 4" xfId="2823" xr:uid="{00000000-0005-0000-0000-000013A00000}"/>
    <cellStyle name="Prosent 2 3 2 3 6 5 4 2" xfId="2824" xr:uid="{00000000-0005-0000-0000-000014A00000}"/>
    <cellStyle name="Prosent 2 3 2 3 6 5 4 2 2" xfId="13706" xr:uid="{00000000-0005-0000-0000-000015A00000}"/>
    <cellStyle name="Prosent 2 3 2 3 6 5 4 2 2 2" xfId="18658" xr:uid="{00000000-0005-0000-0000-000016A00000}"/>
    <cellStyle name="Prosent 2 3 2 3 6 5 4 2 2 3" xfId="16035" xr:uid="{00000000-0005-0000-0000-000017A00000}"/>
    <cellStyle name="Prosent 2 3 2 3 6 5 4 2 2 3 2" xfId="26727" xr:uid="{00000000-0005-0000-0000-000018A00000}"/>
    <cellStyle name="Prosent 2 3 2 3 6 5 4 2 2 3 2 2" xfId="42591" xr:uid="{00000000-0005-0000-0000-000019A00000}"/>
    <cellStyle name="Prosent 2 3 2 3 6 5 4 2 2 3 3" xfId="45305" xr:uid="{00000000-0005-0000-0000-00001AA00000}"/>
    <cellStyle name="Prosent 2 3 2 3 6 5 4 2 2_Avviksanalyse løpende RNB15 (1)" xfId="17232" xr:uid="{00000000-0005-0000-0000-00001BA00000}"/>
    <cellStyle name="Prosent 2 3 2 3 6 5 4 2 3" xfId="13705" xr:uid="{00000000-0005-0000-0000-00001CA00000}"/>
    <cellStyle name="Prosent 2 3 2 3 6 5 4 3" xfId="13707" xr:uid="{00000000-0005-0000-0000-00001DA00000}"/>
    <cellStyle name="Prosent 2 3 2 3 6 5 4 3 2" xfId="18659" xr:uid="{00000000-0005-0000-0000-00001EA00000}"/>
    <cellStyle name="Prosent 2 3 2 3 6 5 4 3 3" xfId="16034" xr:uid="{00000000-0005-0000-0000-00001FA00000}"/>
    <cellStyle name="Prosent 2 3 2 3 6 5 4 3 3 2" xfId="26728" xr:uid="{00000000-0005-0000-0000-000020A00000}"/>
    <cellStyle name="Prosent 2 3 2 3 6 5 4 3 3 2 2" xfId="42590" xr:uid="{00000000-0005-0000-0000-000021A00000}"/>
    <cellStyle name="Prosent 2 3 2 3 6 5 4 3 3 3" xfId="45306" xr:uid="{00000000-0005-0000-0000-000022A00000}"/>
    <cellStyle name="Prosent 2 3 2 3 6 5 4 3_Avviksanalyse løpende RNB15 (1)" xfId="17233" xr:uid="{00000000-0005-0000-0000-000023A00000}"/>
    <cellStyle name="Prosent 2 3 2 3 6 5 4 4" xfId="13704" xr:uid="{00000000-0005-0000-0000-000024A00000}"/>
    <cellStyle name="Prosent 2 3 2 3 6 5 5" xfId="13708" xr:uid="{00000000-0005-0000-0000-000025A00000}"/>
    <cellStyle name="Prosent 2 3 2 3 6 5 5 2" xfId="18660" xr:uid="{00000000-0005-0000-0000-000026A00000}"/>
    <cellStyle name="Prosent 2 3 2 3 6 5 5 3" xfId="15827" xr:uid="{00000000-0005-0000-0000-000027A00000}"/>
    <cellStyle name="Prosent 2 3 2 3 6 5 5 3 2" xfId="26729" xr:uid="{00000000-0005-0000-0000-000028A00000}"/>
    <cellStyle name="Prosent 2 3 2 3 6 5 5 3 2 2" xfId="42383" xr:uid="{00000000-0005-0000-0000-000029A00000}"/>
    <cellStyle name="Prosent 2 3 2 3 6 5 5 3 3" xfId="45307" xr:uid="{00000000-0005-0000-0000-00002AA00000}"/>
    <cellStyle name="Prosent 2 3 2 3 6 5 5_Avviksanalyse løpende RNB15 (1)" xfId="17234" xr:uid="{00000000-0005-0000-0000-00002BA00000}"/>
    <cellStyle name="Prosent 2 3 2 3 6 5 6" xfId="13697" xr:uid="{00000000-0005-0000-0000-00002CA00000}"/>
    <cellStyle name="Prosent 2 3 2 3 6 6" xfId="2825" xr:uid="{00000000-0005-0000-0000-00002DA00000}"/>
    <cellStyle name="Prosent 2 3 2 3 6 6 2" xfId="2826" xr:uid="{00000000-0005-0000-0000-00002EA00000}"/>
    <cellStyle name="Prosent 2 3 2 3 6 6 2 2" xfId="13711" xr:uid="{00000000-0005-0000-0000-00002FA00000}"/>
    <cellStyle name="Prosent 2 3 2 3 6 6 2 2 2" xfId="18661" xr:uid="{00000000-0005-0000-0000-000030A00000}"/>
    <cellStyle name="Prosent 2 3 2 3 6 6 2 2 3" xfId="16037" xr:uid="{00000000-0005-0000-0000-000031A00000}"/>
    <cellStyle name="Prosent 2 3 2 3 6 6 2 2 3 2" xfId="26730" xr:uid="{00000000-0005-0000-0000-000032A00000}"/>
    <cellStyle name="Prosent 2 3 2 3 6 6 2 2 3 2 2" xfId="42593" xr:uid="{00000000-0005-0000-0000-000033A00000}"/>
    <cellStyle name="Prosent 2 3 2 3 6 6 2 2 3 3" xfId="45308" xr:uid="{00000000-0005-0000-0000-000034A00000}"/>
    <cellStyle name="Prosent 2 3 2 3 6 6 2 2_Avviksanalyse løpende RNB15 (1)" xfId="17235" xr:uid="{00000000-0005-0000-0000-000035A00000}"/>
    <cellStyle name="Prosent 2 3 2 3 6 6 2 3" xfId="13710" xr:uid="{00000000-0005-0000-0000-000036A00000}"/>
    <cellStyle name="Prosent 2 3 2 3 6 6 3" xfId="13712" xr:uid="{00000000-0005-0000-0000-000037A00000}"/>
    <cellStyle name="Prosent 2 3 2 3 6 6 3 2" xfId="18662" xr:uid="{00000000-0005-0000-0000-000038A00000}"/>
    <cellStyle name="Prosent 2 3 2 3 6 6 3 3" xfId="16036" xr:uid="{00000000-0005-0000-0000-000039A00000}"/>
    <cellStyle name="Prosent 2 3 2 3 6 6 3 3 2" xfId="26731" xr:uid="{00000000-0005-0000-0000-00003AA00000}"/>
    <cellStyle name="Prosent 2 3 2 3 6 6 3 3 2 2" xfId="42592" xr:uid="{00000000-0005-0000-0000-00003BA00000}"/>
    <cellStyle name="Prosent 2 3 2 3 6 6 3 3 3" xfId="45309" xr:uid="{00000000-0005-0000-0000-00003CA00000}"/>
    <cellStyle name="Prosent 2 3 2 3 6 6 3_Avviksanalyse løpende RNB15 (1)" xfId="17236" xr:uid="{00000000-0005-0000-0000-00003DA00000}"/>
    <cellStyle name="Prosent 2 3 2 3 6 6 4" xfId="13709" xr:uid="{00000000-0005-0000-0000-00003EA00000}"/>
    <cellStyle name="Prosent 2 3 2 3 6 7" xfId="2827" xr:uid="{00000000-0005-0000-0000-00003FA00000}"/>
    <cellStyle name="Prosent 2 3 2 3 6 7 2" xfId="2828" xr:uid="{00000000-0005-0000-0000-000040A00000}"/>
    <cellStyle name="Prosent 2 3 2 3 6 7 2 2" xfId="13715" xr:uid="{00000000-0005-0000-0000-000041A00000}"/>
    <cellStyle name="Prosent 2 3 2 3 6 7 2 2 2" xfId="18663" xr:uid="{00000000-0005-0000-0000-000042A00000}"/>
    <cellStyle name="Prosent 2 3 2 3 6 7 2 2 3" xfId="16039" xr:uid="{00000000-0005-0000-0000-000043A00000}"/>
    <cellStyle name="Prosent 2 3 2 3 6 7 2 2 3 2" xfId="26732" xr:uid="{00000000-0005-0000-0000-000044A00000}"/>
    <cellStyle name="Prosent 2 3 2 3 6 7 2 2 3 2 2" xfId="42595" xr:uid="{00000000-0005-0000-0000-000045A00000}"/>
    <cellStyle name="Prosent 2 3 2 3 6 7 2 2 3 3" xfId="45310" xr:uid="{00000000-0005-0000-0000-000046A00000}"/>
    <cellStyle name="Prosent 2 3 2 3 6 7 2 2_Avviksanalyse løpende RNB15 (1)" xfId="17237" xr:uid="{00000000-0005-0000-0000-000047A00000}"/>
    <cellStyle name="Prosent 2 3 2 3 6 7 2 3" xfId="13714" xr:uid="{00000000-0005-0000-0000-000048A00000}"/>
    <cellStyle name="Prosent 2 3 2 3 6 7 3" xfId="13716" xr:uid="{00000000-0005-0000-0000-000049A00000}"/>
    <cellStyle name="Prosent 2 3 2 3 6 7 3 2" xfId="18664" xr:uid="{00000000-0005-0000-0000-00004AA00000}"/>
    <cellStyle name="Prosent 2 3 2 3 6 7 3 3" xfId="16038" xr:uid="{00000000-0005-0000-0000-00004BA00000}"/>
    <cellStyle name="Prosent 2 3 2 3 6 7 3 3 2" xfId="26733" xr:uid="{00000000-0005-0000-0000-00004CA00000}"/>
    <cellStyle name="Prosent 2 3 2 3 6 7 3 3 2 2" xfId="42594" xr:uid="{00000000-0005-0000-0000-00004DA00000}"/>
    <cellStyle name="Prosent 2 3 2 3 6 7 3 3 3" xfId="45311" xr:uid="{00000000-0005-0000-0000-00004EA00000}"/>
    <cellStyle name="Prosent 2 3 2 3 6 7 3_Avviksanalyse løpende RNB15 (1)" xfId="17238" xr:uid="{00000000-0005-0000-0000-00004FA00000}"/>
    <cellStyle name="Prosent 2 3 2 3 6 7 4" xfId="13713" xr:uid="{00000000-0005-0000-0000-000050A00000}"/>
    <cellStyle name="Prosent 2 3 2 3 6 8" xfId="13717" xr:uid="{00000000-0005-0000-0000-000051A00000}"/>
    <cellStyle name="Prosent 2 3 2 3 6 8 2" xfId="18665" xr:uid="{00000000-0005-0000-0000-000052A00000}"/>
    <cellStyle name="Prosent 2 3 2 3 6 8 3" xfId="15822" xr:uid="{00000000-0005-0000-0000-000053A00000}"/>
    <cellStyle name="Prosent 2 3 2 3 6 8 3 2" xfId="26734" xr:uid="{00000000-0005-0000-0000-000054A00000}"/>
    <cellStyle name="Prosent 2 3 2 3 6 8 3 2 2" xfId="42378" xr:uid="{00000000-0005-0000-0000-000055A00000}"/>
    <cellStyle name="Prosent 2 3 2 3 6 8 3 3" xfId="45312" xr:uid="{00000000-0005-0000-0000-000056A00000}"/>
    <cellStyle name="Prosent 2 3 2 3 6 8_Avviksanalyse løpende RNB15 (1)" xfId="17239" xr:uid="{00000000-0005-0000-0000-000057A00000}"/>
    <cellStyle name="Prosent 2 3 2 3 6 9" xfId="13680" xr:uid="{00000000-0005-0000-0000-000058A00000}"/>
    <cellStyle name="Prosent 2 3 2 3 7" xfId="2829" xr:uid="{00000000-0005-0000-0000-000059A00000}"/>
    <cellStyle name="Prosent 2 3 2 3 7 2" xfId="2830" xr:uid="{00000000-0005-0000-0000-00005AA00000}"/>
    <cellStyle name="Prosent 2 3 2 3 7 2 2" xfId="13720" xr:uid="{00000000-0005-0000-0000-00005BA00000}"/>
    <cellStyle name="Prosent 2 3 2 3 7 2 2 2" xfId="18666" xr:uid="{00000000-0005-0000-0000-00005CA00000}"/>
    <cellStyle name="Prosent 2 3 2 3 7 2 2 3" xfId="15830" xr:uid="{00000000-0005-0000-0000-00005DA00000}"/>
    <cellStyle name="Prosent 2 3 2 3 7 2 2 3 2" xfId="26735" xr:uid="{00000000-0005-0000-0000-00005EA00000}"/>
    <cellStyle name="Prosent 2 3 2 3 7 2 2 3 2 2" xfId="42386" xr:uid="{00000000-0005-0000-0000-00005FA00000}"/>
    <cellStyle name="Prosent 2 3 2 3 7 2 2 3 3" xfId="45313" xr:uid="{00000000-0005-0000-0000-000060A00000}"/>
    <cellStyle name="Prosent 2 3 2 3 7 2 2_Avviksanalyse løpende RNB15 (1)" xfId="17240" xr:uid="{00000000-0005-0000-0000-000061A00000}"/>
    <cellStyle name="Prosent 2 3 2 3 7 2 3" xfId="13719" xr:uid="{00000000-0005-0000-0000-000062A00000}"/>
    <cellStyle name="Prosent 2 3 2 3 7 3" xfId="2831" xr:uid="{00000000-0005-0000-0000-000063A00000}"/>
    <cellStyle name="Prosent 2 3 2 3 7 3 2" xfId="2832" xr:uid="{00000000-0005-0000-0000-000064A00000}"/>
    <cellStyle name="Prosent 2 3 2 3 7 3 2 2" xfId="13723" xr:uid="{00000000-0005-0000-0000-000065A00000}"/>
    <cellStyle name="Prosent 2 3 2 3 7 3 2 2 2" xfId="18667" xr:uid="{00000000-0005-0000-0000-000066A00000}"/>
    <cellStyle name="Prosent 2 3 2 3 7 3 2 2 3" xfId="16041" xr:uid="{00000000-0005-0000-0000-000067A00000}"/>
    <cellStyle name="Prosent 2 3 2 3 7 3 2 2 3 2" xfId="26736" xr:uid="{00000000-0005-0000-0000-000068A00000}"/>
    <cellStyle name="Prosent 2 3 2 3 7 3 2 2 3 2 2" xfId="42597" xr:uid="{00000000-0005-0000-0000-000069A00000}"/>
    <cellStyle name="Prosent 2 3 2 3 7 3 2 2 3 3" xfId="45314" xr:uid="{00000000-0005-0000-0000-00006AA00000}"/>
    <cellStyle name="Prosent 2 3 2 3 7 3 2 2_Avviksanalyse løpende RNB15 (1)" xfId="17241" xr:uid="{00000000-0005-0000-0000-00006BA00000}"/>
    <cellStyle name="Prosent 2 3 2 3 7 3 2 3" xfId="13722" xr:uid="{00000000-0005-0000-0000-00006CA00000}"/>
    <cellStyle name="Prosent 2 3 2 3 7 3 3" xfId="13724" xr:uid="{00000000-0005-0000-0000-00006DA00000}"/>
    <cellStyle name="Prosent 2 3 2 3 7 3 3 2" xfId="18668" xr:uid="{00000000-0005-0000-0000-00006EA00000}"/>
    <cellStyle name="Prosent 2 3 2 3 7 3 3 3" xfId="16040" xr:uid="{00000000-0005-0000-0000-00006FA00000}"/>
    <cellStyle name="Prosent 2 3 2 3 7 3 3 3 2" xfId="26737" xr:uid="{00000000-0005-0000-0000-000070A00000}"/>
    <cellStyle name="Prosent 2 3 2 3 7 3 3 3 2 2" xfId="42596" xr:uid="{00000000-0005-0000-0000-000071A00000}"/>
    <cellStyle name="Prosent 2 3 2 3 7 3 3 3 3" xfId="45315" xr:uid="{00000000-0005-0000-0000-000072A00000}"/>
    <cellStyle name="Prosent 2 3 2 3 7 3 3_Avviksanalyse løpende RNB15 (1)" xfId="17242" xr:uid="{00000000-0005-0000-0000-000073A00000}"/>
    <cellStyle name="Prosent 2 3 2 3 7 3 4" xfId="13721" xr:uid="{00000000-0005-0000-0000-000074A00000}"/>
    <cellStyle name="Prosent 2 3 2 3 7 4" xfId="2833" xr:uid="{00000000-0005-0000-0000-000075A00000}"/>
    <cellStyle name="Prosent 2 3 2 3 7 4 2" xfId="2834" xr:uid="{00000000-0005-0000-0000-000076A00000}"/>
    <cellStyle name="Prosent 2 3 2 3 7 4 2 2" xfId="13727" xr:uid="{00000000-0005-0000-0000-000077A00000}"/>
    <cellStyle name="Prosent 2 3 2 3 7 4 2 2 2" xfId="18669" xr:uid="{00000000-0005-0000-0000-000078A00000}"/>
    <cellStyle name="Prosent 2 3 2 3 7 4 2 2 3" xfId="16043" xr:uid="{00000000-0005-0000-0000-000079A00000}"/>
    <cellStyle name="Prosent 2 3 2 3 7 4 2 2 3 2" xfId="26738" xr:uid="{00000000-0005-0000-0000-00007AA00000}"/>
    <cellStyle name="Prosent 2 3 2 3 7 4 2 2 3 2 2" xfId="42599" xr:uid="{00000000-0005-0000-0000-00007BA00000}"/>
    <cellStyle name="Prosent 2 3 2 3 7 4 2 2 3 3" xfId="45316" xr:uid="{00000000-0005-0000-0000-00007CA00000}"/>
    <cellStyle name="Prosent 2 3 2 3 7 4 2 2_Avviksanalyse løpende RNB15 (1)" xfId="17243" xr:uid="{00000000-0005-0000-0000-00007DA00000}"/>
    <cellStyle name="Prosent 2 3 2 3 7 4 2 3" xfId="13726" xr:uid="{00000000-0005-0000-0000-00007EA00000}"/>
    <cellStyle name="Prosent 2 3 2 3 7 4 3" xfId="13728" xr:uid="{00000000-0005-0000-0000-00007FA00000}"/>
    <cellStyle name="Prosent 2 3 2 3 7 4 3 2" xfId="18670" xr:uid="{00000000-0005-0000-0000-000080A00000}"/>
    <cellStyle name="Prosent 2 3 2 3 7 4 3 3" xfId="16042" xr:uid="{00000000-0005-0000-0000-000081A00000}"/>
    <cellStyle name="Prosent 2 3 2 3 7 4 3 3 2" xfId="26739" xr:uid="{00000000-0005-0000-0000-000082A00000}"/>
    <cellStyle name="Prosent 2 3 2 3 7 4 3 3 2 2" xfId="42598" xr:uid="{00000000-0005-0000-0000-000083A00000}"/>
    <cellStyle name="Prosent 2 3 2 3 7 4 3 3 3" xfId="45317" xr:uid="{00000000-0005-0000-0000-000084A00000}"/>
    <cellStyle name="Prosent 2 3 2 3 7 4 3_Avviksanalyse løpende RNB15 (1)" xfId="17244" xr:uid="{00000000-0005-0000-0000-000085A00000}"/>
    <cellStyle name="Prosent 2 3 2 3 7 4 4" xfId="13725" xr:uid="{00000000-0005-0000-0000-000086A00000}"/>
    <cellStyle name="Prosent 2 3 2 3 7 5" xfId="13729" xr:uid="{00000000-0005-0000-0000-000087A00000}"/>
    <cellStyle name="Prosent 2 3 2 3 7 5 2" xfId="18671" xr:uid="{00000000-0005-0000-0000-000088A00000}"/>
    <cellStyle name="Prosent 2 3 2 3 7 5 3" xfId="15829" xr:uid="{00000000-0005-0000-0000-000089A00000}"/>
    <cellStyle name="Prosent 2 3 2 3 7 5 3 2" xfId="26740" xr:uid="{00000000-0005-0000-0000-00008AA00000}"/>
    <cellStyle name="Prosent 2 3 2 3 7 5 3 2 2" xfId="42385" xr:uid="{00000000-0005-0000-0000-00008BA00000}"/>
    <cellStyle name="Prosent 2 3 2 3 7 5 3 3" xfId="45318" xr:uid="{00000000-0005-0000-0000-00008CA00000}"/>
    <cellStyle name="Prosent 2 3 2 3 7 5_Avviksanalyse løpende RNB15 (1)" xfId="17245" xr:uid="{00000000-0005-0000-0000-00008DA00000}"/>
    <cellStyle name="Prosent 2 3 2 3 7 6" xfId="13718" xr:uid="{00000000-0005-0000-0000-00008EA00000}"/>
    <cellStyle name="Prosent 2 3 2 3 8" xfId="2835" xr:uid="{00000000-0005-0000-0000-00008FA00000}"/>
    <cellStyle name="Prosent 2 3 2 3 8 2" xfId="2836" xr:uid="{00000000-0005-0000-0000-000090A00000}"/>
    <cellStyle name="Prosent 2 3 2 3 8 2 2" xfId="13732" xr:uid="{00000000-0005-0000-0000-000091A00000}"/>
    <cellStyle name="Prosent 2 3 2 3 8 2 2 2" xfId="18672" xr:uid="{00000000-0005-0000-0000-000092A00000}"/>
    <cellStyle name="Prosent 2 3 2 3 8 2 2 3" xfId="15832" xr:uid="{00000000-0005-0000-0000-000093A00000}"/>
    <cellStyle name="Prosent 2 3 2 3 8 2 2 3 2" xfId="26741" xr:uid="{00000000-0005-0000-0000-000094A00000}"/>
    <cellStyle name="Prosent 2 3 2 3 8 2 2 3 2 2" xfId="42388" xr:uid="{00000000-0005-0000-0000-000095A00000}"/>
    <cellStyle name="Prosent 2 3 2 3 8 2 2 3 3" xfId="45319" xr:uid="{00000000-0005-0000-0000-000096A00000}"/>
    <cellStyle name="Prosent 2 3 2 3 8 2 2_Avviksanalyse løpende RNB15 (1)" xfId="17246" xr:uid="{00000000-0005-0000-0000-000097A00000}"/>
    <cellStyle name="Prosent 2 3 2 3 8 2 3" xfId="13731" xr:uid="{00000000-0005-0000-0000-000098A00000}"/>
    <cellStyle name="Prosent 2 3 2 3 8 3" xfId="2837" xr:uid="{00000000-0005-0000-0000-000099A00000}"/>
    <cellStyle name="Prosent 2 3 2 3 8 3 2" xfId="2838" xr:uid="{00000000-0005-0000-0000-00009AA00000}"/>
    <cellStyle name="Prosent 2 3 2 3 8 3 2 2" xfId="13735" xr:uid="{00000000-0005-0000-0000-00009BA00000}"/>
    <cellStyle name="Prosent 2 3 2 3 8 3 2 2 2" xfId="18673" xr:uid="{00000000-0005-0000-0000-00009CA00000}"/>
    <cellStyle name="Prosent 2 3 2 3 8 3 2 2 3" xfId="16045" xr:uid="{00000000-0005-0000-0000-00009DA00000}"/>
    <cellStyle name="Prosent 2 3 2 3 8 3 2 2 3 2" xfId="26742" xr:uid="{00000000-0005-0000-0000-00009EA00000}"/>
    <cellStyle name="Prosent 2 3 2 3 8 3 2 2 3 2 2" xfId="42601" xr:uid="{00000000-0005-0000-0000-00009FA00000}"/>
    <cellStyle name="Prosent 2 3 2 3 8 3 2 2 3 3" xfId="45320" xr:uid="{00000000-0005-0000-0000-0000A0A00000}"/>
    <cellStyle name="Prosent 2 3 2 3 8 3 2 2_Avviksanalyse løpende RNB15 (1)" xfId="17247" xr:uid="{00000000-0005-0000-0000-0000A1A00000}"/>
    <cellStyle name="Prosent 2 3 2 3 8 3 2 3" xfId="13734" xr:uid="{00000000-0005-0000-0000-0000A2A00000}"/>
    <cellStyle name="Prosent 2 3 2 3 8 3 3" xfId="13736" xr:uid="{00000000-0005-0000-0000-0000A3A00000}"/>
    <cellStyle name="Prosent 2 3 2 3 8 3 3 2" xfId="18674" xr:uid="{00000000-0005-0000-0000-0000A4A00000}"/>
    <cellStyle name="Prosent 2 3 2 3 8 3 3 3" xfId="16044" xr:uid="{00000000-0005-0000-0000-0000A5A00000}"/>
    <cellStyle name="Prosent 2 3 2 3 8 3 3 3 2" xfId="26743" xr:uid="{00000000-0005-0000-0000-0000A6A00000}"/>
    <cellStyle name="Prosent 2 3 2 3 8 3 3 3 2 2" xfId="42600" xr:uid="{00000000-0005-0000-0000-0000A7A00000}"/>
    <cellStyle name="Prosent 2 3 2 3 8 3 3 3 3" xfId="45321" xr:uid="{00000000-0005-0000-0000-0000A8A00000}"/>
    <cellStyle name="Prosent 2 3 2 3 8 3 3_Avviksanalyse løpende RNB15 (1)" xfId="17248" xr:uid="{00000000-0005-0000-0000-0000A9A00000}"/>
    <cellStyle name="Prosent 2 3 2 3 8 3 4" xfId="13733" xr:uid="{00000000-0005-0000-0000-0000AAA00000}"/>
    <cellStyle name="Prosent 2 3 2 3 8 4" xfId="2839" xr:uid="{00000000-0005-0000-0000-0000ABA00000}"/>
    <cellStyle name="Prosent 2 3 2 3 8 4 2" xfId="2840" xr:uid="{00000000-0005-0000-0000-0000ACA00000}"/>
    <cellStyle name="Prosent 2 3 2 3 8 4 2 2" xfId="13739" xr:uid="{00000000-0005-0000-0000-0000ADA00000}"/>
    <cellStyle name="Prosent 2 3 2 3 8 4 2 2 2" xfId="18675" xr:uid="{00000000-0005-0000-0000-0000AEA00000}"/>
    <cellStyle name="Prosent 2 3 2 3 8 4 2 2 3" xfId="16047" xr:uid="{00000000-0005-0000-0000-0000AFA00000}"/>
    <cellStyle name="Prosent 2 3 2 3 8 4 2 2 3 2" xfId="26744" xr:uid="{00000000-0005-0000-0000-0000B0A00000}"/>
    <cellStyle name="Prosent 2 3 2 3 8 4 2 2 3 2 2" xfId="42603" xr:uid="{00000000-0005-0000-0000-0000B1A00000}"/>
    <cellStyle name="Prosent 2 3 2 3 8 4 2 2 3 3" xfId="45322" xr:uid="{00000000-0005-0000-0000-0000B2A00000}"/>
    <cellStyle name="Prosent 2 3 2 3 8 4 2 2_Avviksanalyse løpende RNB15 (1)" xfId="17249" xr:uid="{00000000-0005-0000-0000-0000B3A00000}"/>
    <cellStyle name="Prosent 2 3 2 3 8 4 2 3" xfId="13738" xr:uid="{00000000-0005-0000-0000-0000B4A00000}"/>
    <cellStyle name="Prosent 2 3 2 3 8 4 3" xfId="13740" xr:uid="{00000000-0005-0000-0000-0000B5A00000}"/>
    <cellStyle name="Prosent 2 3 2 3 8 4 3 2" xfId="18676" xr:uid="{00000000-0005-0000-0000-0000B6A00000}"/>
    <cellStyle name="Prosent 2 3 2 3 8 4 3 3" xfId="16046" xr:uid="{00000000-0005-0000-0000-0000B7A00000}"/>
    <cellStyle name="Prosent 2 3 2 3 8 4 3 3 2" xfId="26745" xr:uid="{00000000-0005-0000-0000-0000B8A00000}"/>
    <cellStyle name="Prosent 2 3 2 3 8 4 3 3 2 2" xfId="42602" xr:uid="{00000000-0005-0000-0000-0000B9A00000}"/>
    <cellStyle name="Prosent 2 3 2 3 8 4 3 3 3" xfId="45323" xr:uid="{00000000-0005-0000-0000-0000BAA00000}"/>
    <cellStyle name="Prosent 2 3 2 3 8 4 3_Avviksanalyse løpende RNB15 (1)" xfId="17250" xr:uid="{00000000-0005-0000-0000-0000BBA00000}"/>
    <cellStyle name="Prosent 2 3 2 3 8 4 4" xfId="13737" xr:uid="{00000000-0005-0000-0000-0000BCA00000}"/>
    <cellStyle name="Prosent 2 3 2 3 8 5" xfId="13741" xr:uid="{00000000-0005-0000-0000-0000BDA00000}"/>
    <cellStyle name="Prosent 2 3 2 3 8 5 2" xfId="18677" xr:uid="{00000000-0005-0000-0000-0000BEA00000}"/>
    <cellStyle name="Prosent 2 3 2 3 8 5 3" xfId="15831" xr:uid="{00000000-0005-0000-0000-0000BFA00000}"/>
    <cellStyle name="Prosent 2 3 2 3 8 5 3 2" xfId="26746" xr:uid="{00000000-0005-0000-0000-0000C0A00000}"/>
    <cellStyle name="Prosent 2 3 2 3 8 5 3 2 2" xfId="42387" xr:uid="{00000000-0005-0000-0000-0000C1A00000}"/>
    <cellStyle name="Prosent 2 3 2 3 8 5 3 3" xfId="45324" xr:uid="{00000000-0005-0000-0000-0000C2A00000}"/>
    <cellStyle name="Prosent 2 3 2 3 8 5_Avviksanalyse løpende RNB15 (1)" xfId="17251" xr:uid="{00000000-0005-0000-0000-0000C3A00000}"/>
    <cellStyle name="Prosent 2 3 2 3 8 6" xfId="13730" xr:uid="{00000000-0005-0000-0000-0000C4A00000}"/>
    <cellStyle name="Prosent 2 3 2 3 9" xfId="2841" xr:uid="{00000000-0005-0000-0000-0000C5A00000}"/>
    <cellStyle name="Prosent 2 3 2 3 9 2" xfId="2842" xr:uid="{00000000-0005-0000-0000-0000C6A00000}"/>
    <cellStyle name="Prosent 2 3 2 3 9 2 2" xfId="13744" xr:uid="{00000000-0005-0000-0000-0000C7A00000}"/>
    <cellStyle name="Prosent 2 3 2 3 9 2 2 2" xfId="18678" xr:uid="{00000000-0005-0000-0000-0000C8A00000}"/>
    <cellStyle name="Prosent 2 3 2 3 9 2 2 3" xfId="16049" xr:uid="{00000000-0005-0000-0000-0000C9A00000}"/>
    <cellStyle name="Prosent 2 3 2 3 9 2 2 3 2" xfId="26747" xr:uid="{00000000-0005-0000-0000-0000CAA00000}"/>
    <cellStyle name="Prosent 2 3 2 3 9 2 2 3 2 2" xfId="42605" xr:uid="{00000000-0005-0000-0000-0000CBA00000}"/>
    <cellStyle name="Prosent 2 3 2 3 9 2 2 3 3" xfId="45325" xr:uid="{00000000-0005-0000-0000-0000CCA00000}"/>
    <cellStyle name="Prosent 2 3 2 3 9 2 2_Avviksanalyse løpende RNB15 (1)" xfId="17252" xr:uid="{00000000-0005-0000-0000-0000CDA00000}"/>
    <cellStyle name="Prosent 2 3 2 3 9 2 3" xfId="13743" xr:uid="{00000000-0005-0000-0000-0000CEA00000}"/>
    <cellStyle name="Prosent 2 3 2 3 9 3" xfId="13745" xr:uid="{00000000-0005-0000-0000-0000CFA00000}"/>
    <cellStyle name="Prosent 2 3 2 3 9 3 2" xfId="18679" xr:uid="{00000000-0005-0000-0000-0000D0A00000}"/>
    <cellStyle name="Prosent 2 3 2 3 9 3 3" xfId="16048" xr:uid="{00000000-0005-0000-0000-0000D1A00000}"/>
    <cellStyle name="Prosent 2 3 2 3 9 3 3 2" xfId="26748" xr:uid="{00000000-0005-0000-0000-0000D2A00000}"/>
    <cellStyle name="Prosent 2 3 2 3 9 3 3 2 2" xfId="42604" xr:uid="{00000000-0005-0000-0000-0000D3A00000}"/>
    <cellStyle name="Prosent 2 3 2 3 9 3 3 3" xfId="45326" xr:uid="{00000000-0005-0000-0000-0000D4A00000}"/>
    <cellStyle name="Prosent 2 3 2 3 9 3_Avviksanalyse løpende RNB15 (1)" xfId="17253" xr:uid="{00000000-0005-0000-0000-0000D5A00000}"/>
    <cellStyle name="Prosent 2 3 2 3 9 4" xfId="13742" xr:uid="{00000000-0005-0000-0000-0000D6A00000}"/>
    <cellStyle name="Prosent 2 3 2 4" xfId="13746" xr:uid="{00000000-0005-0000-0000-0000D7A00000}"/>
    <cellStyle name="Prosent 2 3 2 4 2" xfId="18680" xr:uid="{00000000-0005-0000-0000-0000D8A00000}"/>
    <cellStyle name="Prosent 2 3 2 4 3" xfId="15464" xr:uid="{00000000-0005-0000-0000-0000D9A00000}"/>
    <cellStyle name="Prosent 2 3 2 4 3 2" xfId="26749" xr:uid="{00000000-0005-0000-0000-0000DAA00000}"/>
    <cellStyle name="Prosent 2 3 2 4 3 2 2" xfId="42020" xr:uid="{00000000-0005-0000-0000-0000DBA00000}"/>
    <cellStyle name="Prosent 2 3 2 4 3 3" xfId="45327" xr:uid="{00000000-0005-0000-0000-0000DCA00000}"/>
    <cellStyle name="Prosent 2 3 2 4_Avviksanalyse løpende RNB15 (1)" xfId="17254" xr:uid="{00000000-0005-0000-0000-0000DDA00000}"/>
    <cellStyle name="Prosent 2 3 2 5" xfId="13429" xr:uid="{00000000-0005-0000-0000-0000DEA00000}"/>
    <cellStyle name="Prosent 2 3 3" xfId="2843" xr:uid="{00000000-0005-0000-0000-0000DFA00000}"/>
    <cellStyle name="Prosent 2 3 3 2" xfId="13748" xr:uid="{00000000-0005-0000-0000-0000E0A00000}"/>
    <cellStyle name="Prosent 2 3 3 2 2" xfId="18681" xr:uid="{00000000-0005-0000-0000-0000E1A00000}"/>
    <cellStyle name="Prosent 2 3 3 2 3" xfId="15467" xr:uid="{00000000-0005-0000-0000-0000E2A00000}"/>
    <cellStyle name="Prosent 2 3 3 2 3 2" xfId="26750" xr:uid="{00000000-0005-0000-0000-0000E3A00000}"/>
    <cellStyle name="Prosent 2 3 3 2 3 2 2" xfId="42023" xr:uid="{00000000-0005-0000-0000-0000E4A00000}"/>
    <cellStyle name="Prosent 2 3 3 2 3 3" xfId="45328" xr:uid="{00000000-0005-0000-0000-0000E5A00000}"/>
    <cellStyle name="Prosent 2 3 3 2_Avviksanalyse løpende RNB15 (1)" xfId="17255" xr:uid="{00000000-0005-0000-0000-0000E6A00000}"/>
    <cellStyle name="Prosent 2 3 3 3" xfId="13747" xr:uid="{00000000-0005-0000-0000-0000E7A00000}"/>
    <cellStyle name="Prosent 2 3 4" xfId="2844" xr:uid="{00000000-0005-0000-0000-0000E8A00000}"/>
    <cellStyle name="Prosent 2 3 4 10" xfId="2845" xr:uid="{00000000-0005-0000-0000-0000E9A00000}"/>
    <cellStyle name="Prosent 2 3 4 10 2" xfId="2846" xr:uid="{00000000-0005-0000-0000-0000EAA00000}"/>
    <cellStyle name="Prosent 2 3 4 10 2 2" xfId="13752" xr:uid="{00000000-0005-0000-0000-0000EBA00000}"/>
    <cellStyle name="Prosent 2 3 4 10 2 2 2" xfId="18682" xr:uid="{00000000-0005-0000-0000-0000ECA00000}"/>
    <cellStyle name="Prosent 2 3 4 10 2 2 3" xfId="16051" xr:uid="{00000000-0005-0000-0000-0000EDA00000}"/>
    <cellStyle name="Prosent 2 3 4 10 2 2 3 2" xfId="26751" xr:uid="{00000000-0005-0000-0000-0000EEA00000}"/>
    <cellStyle name="Prosent 2 3 4 10 2 2 3 2 2" xfId="42607" xr:uid="{00000000-0005-0000-0000-0000EFA00000}"/>
    <cellStyle name="Prosent 2 3 4 10 2 2 3 3" xfId="45329" xr:uid="{00000000-0005-0000-0000-0000F0A00000}"/>
    <cellStyle name="Prosent 2 3 4 10 2 2_Avviksanalyse løpende RNB15 (1)" xfId="17256" xr:uid="{00000000-0005-0000-0000-0000F1A00000}"/>
    <cellStyle name="Prosent 2 3 4 10 2 3" xfId="13751" xr:uid="{00000000-0005-0000-0000-0000F2A00000}"/>
    <cellStyle name="Prosent 2 3 4 10 3" xfId="13753" xr:uid="{00000000-0005-0000-0000-0000F3A00000}"/>
    <cellStyle name="Prosent 2 3 4 10 3 2" xfId="18683" xr:uid="{00000000-0005-0000-0000-0000F4A00000}"/>
    <cellStyle name="Prosent 2 3 4 10 3 3" xfId="16050" xr:uid="{00000000-0005-0000-0000-0000F5A00000}"/>
    <cellStyle name="Prosent 2 3 4 10 3 3 2" xfId="26752" xr:uid="{00000000-0005-0000-0000-0000F6A00000}"/>
    <cellStyle name="Prosent 2 3 4 10 3 3 2 2" xfId="42606" xr:uid="{00000000-0005-0000-0000-0000F7A00000}"/>
    <cellStyle name="Prosent 2 3 4 10 3 3 3" xfId="45330" xr:uid="{00000000-0005-0000-0000-0000F8A00000}"/>
    <cellStyle name="Prosent 2 3 4 10 3_Avviksanalyse løpende RNB15 (1)" xfId="17257" xr:uid="{00000000-0005-0000-0000-0000F9A00000}"/>
    <cellStyle name="Prosent 2 3 4 10 4" xfId="13750" xr:uid="{00000000-0005-0000-0000-0000FAA00000}"/>
    <cellStyle name="Prosent 2 3 4 11" xfId="2847" xr:uid="{00000000-0005-0000-0000-0000FBA00000}"/>
    <cellStyle name="Prosent 2 3 4 11 2" xfId="2848" xr:uid="{00000000-0005-0000-0000-0000FCA00000}"/>
    <cellStyle name="Prosent 2 3 4 11 2 2" xfId="13756" xr:uid="{00000000-0005-0000-0000-0000FDA00000}"/>
    <cellStyle name="Prosent 2 3 4 11 2 2 2" xfId="18684" xr:uid="{00000000-0005-0000-0000-0000FEA00000}"/>
    <cellStyle name="Prosent 2 3 4 11 2 2 3" xfId="16053" xr:uid="{00000000-0005-0000-0000-0000FFA00000}"/>
    <cellStyle name="Prosent 2 3 4 11 2 2 3 2" xfId="26753" xr:uid="{00000000-0005-0000-0000-000000A10000}"/>
    <cellStyle name="Prosent 2 3 4 11 2 2 3 2 2" xfId="42609" xr:uid="{00000000-0005-0000-0000-000001A10000}"/>
    <cellStyle name="Prosent 2 3 4 11 2 2 3 3" xfId="45331" xr:uid="{00000000-0005-0000-0000-000002A10000}"/>
    <cellStyle name="Prosent 2 3 4 11 2 2_Avviksanalyse løpende RNB15 (1)" xfId="17258" xr:uid="{00000000-0005-0000-0000-000003A10000}"/>
    <cellStyle name="Prosent 2 3 4 11 2 3" xfId="13755" xr:uid="{00000000-0005-0000-0000-000004A10000}"/>
    <cellStyle name="Prosent 2 3 4 11 3" xfId="13757" xr:uid="{00000000-0005-0000-0000-000005A10000}"/>
    <cellStyle name="Prosent 2 3 4 11 3 2" xfId="18685" xr:uid="{00000000-0005-0000-0000-000006A10000}"/>
    <cellStyle name="Prosent 2 3 4 11 3 3" xfId="16052" xr:uid="{00000000-0005-0000-0000-000007A10000}"/>
    <cellStyle name="Prosent 2 3 4 11 3 3 2" xfId="26754" xr:uid="{00000000-0005-0000-0000-000008A10000}"/>
    <cellStyle name="Prosent 2 3 4 11 3 3 2 2" xfId="42608" xr:uid="{00000000-0005-0000-0000-000009A10000}"/>
    <cellStyle name="Prosent 2 3 4 11 3 3 3" xfId="45332" xr:uid="{00000000-0005-0000-0000-00000AA10000}"/>
    <cellStyle name="Prosent 2 3 4 11 3_Avviksanalyse løpende RNB15 (1)" xfId="17259" xr:uid="{00000000-0005-0000-0000-00000BA10000}"/>
    <cellStyle name="Prosent 2 3 4 11 4" xfId="13754" xr:uid="{00000000-0005-0000-0000-00000CA10000}"/>
    <cellStyle name="Prosent 2 3 4 12" xfId="13758" xr:uid="{00000000-0005-0000-0000-00000DA10000}"/>
    <cellStyle name="Prosent 2 3 4 12 2" xfId="18686" xr:uid="{00000000-0005-0000-0000-00000EA10000}"/>
    <cellStyle name="Prosent 2 3 4 12 3" xfId="15468" xr:uid="{00000000-0005-0000-0000-00000FA10000}"/>
    <cellStyle name="Prosent 2 3 4 12 3 2" xfId="24986" xr:uid="{00000000-0005-0000-0000-000010A10000}"/>
    <cellStyle name="Prosent 2 3 4 12 3 2 2" xfId="42024" xr:uid="{00000000-0005-0000-0000-000011A10000}"/>
    <cellStyle name="Prosent 2 3 4 12 3 2 3" xfId="43250" xr:uid="{00000000-0005-0000-0000-000012A10000}"/>
    <cellStyle name="Prosent 2 3 4 12 3 2 4" xfId="46096" xr:uid="{00000000-0005-0000-0000-000013A10000}"/>
    <cellStyle name="Prosent 2 3 4 12 3 2 5" xfId="46863" xr:uid="{00000000-0005-0000-0000-000014A10000}"/>
    <cellStyle name="Prosent 2 3 4 12 3 2 6" xfId="47450" xr:uid="{00000000-0005-0000-0000-000015A10000}"/>
    <cellStyle name="Prosent 2 3 4 12 3 3" xfId="26755" xr:uid="{00000000-0005-0000-0000-000016A10000}"/>
    <cellStyle name="Prosent 2 3 4 12 3 4" xfId="35345" xr:uid="{00000000-0005-0000-0000-000017A10000}"/>
    <cellStyle name="Prosent 2 3 4 12 3 5" xfId="43706" xr:uid="{00000000-0005-0000-0000-000018A10000}"/>
    <cellStyle name="Prosent 2 3 4 12 3 6" xfId="46624" xr:uid="{00000000-0005-0000-0000-000019A10000}"/>
    <cellStyle name="Prosent 2 3 4 12 3 7" xfId="47254" xr:uid="{00000000-0005-0000-0000-00001AA10000}"/>
    <cellStyle name="Prosent 2 3 4 12 4" xfId="43500" xr:uid="{00000000-0005-0000-0000-00001BA10000}"/>
    <cellStyle name="Prosent 2 3 4 12 5" xfId="46399" xr:uid="{00000000-0005-0000-0000-00001CA10000}"/>
    <cellStyle name="Prosent 2 3 4 12 6" xfId="47064" xr:uid="{00000000-0005-0000-0000-00001DA10000}"/>
    <cellStyle name="Prosent 2 3 4 12_Avviksanalyse løpende RNB15 (1)" xfId="17260" xr:uid="{00000000-0005-0000-0000-00001EA10000}"/>
    <cellStyle name="Prosent 2 3 4 13" xfId="13749" xr:uid="{00000000-0005-0000-0000-00001FA10000}"/>
    <cellStyle name="Prosent 2 3 4 2" xfId="2849" xr:uid="{00000000-0005-0000-0000-000020A10000}"/>
    <cellStyle name="Prosent 2 3 4 2 2" xfId="2850" xr:uid="{00000000-0005-0000-0000-000021A10000}"/>
    <cellStyle name="Prosent 2 3 4 2 2 10" xfId="13761" xr:uid="{00000000-0005-0000-0000-000022A10000}"/>
    <cellStyle name="Prosent 2 3 4 2 2 10 2" xfId="18687" xr:uid="{00000000-0005-0000-0000-000023A10000}"/>
    <cellStyle name="Prosent 2 3 4 2 2 10 3" xfId="15766" xr:uid="{00000000-0005-0000-0000-000024A10000}"/>
    <cellStyle name="Prosent 2 3 4 2 2 10 3 2" xfId="26756" xr:uid="{00000000-0005-0000-0000-000025A10000}"/>
    <cellStyle name="Prosent 2 3 4 2 2 10 3 2 2" xfId="42322" xr:uid="{00000000-0005-0000-0000-000026A10000}"/>
    <cellStyle name="Prosent 2 3 4 2 2 10 3 3" xfId="45333" xr:uid="{00000000-0005-0000-0000-000027A10000}"/>
    <cellStyle name="Prosent 2 3 4 2 2 10_Avviksanalyse løpende RNB15 (1)" xfId="17261" xr:uid="{00000000-0005-0000-0000-000028A10000}"/>
    <cellStyle name="Prosent 2 3 4 2 2 11" xfId="13760" xr:uid="{00000000-0005-0000-0000-000029A10000}"/>
    <cellStyle name="Prosent 2 3 4 2 2 2" xfId="2851" xr:uid="{00000000-0005-0000-0000-00002AA10000}"/>
    <cellStyle name="Prosent 2 3 4 2 2 2 2" xfId="13763" xr:uid="{00000000-0005-0000-0000-00002BA10000}"/>
    <cellStyle name="Prosent 2 3 4 2 2 2 2 2" xfId="18688" xr:uid="{00000000-0005-0000-0000-00002CA10000}"/>
    <cellStyle name="Prosent 2 3 4 2 2 2 2 3" xfId="15833" xr:uid="{00000000-0005-0000-0000-00002DA10000}"/>
    <cellStyle name="Prosent 2 3 4 2 2 2 2 3 2" xfId="26757" xr:uid="{00000000-0005-0000-0000-00002EA10000}"/>
    <cellStyle name="Prosent 2 3 4 2 2 2 2 3 2 2" xfId="42389" xr:uid="{00000000-0005-0000-0000-00002FA10000}"/>
    <cellStyle name="Prosent 2 3 4 2 2 2 2 3 3" xfId="45334" xr:uid="{00000000-0005-0000-0000-000030A10000}"/>
    <cellStyle name="Prosent 2 3 4 2 2 2 2_Avviksanalyse løpende RNB15 (1)" xfId="17262" xr:uid="{00000000-0005-0000-0000-000031A10000}"/>
    <cellStyle name="Prosent 2 3 4 2 2 2 3" xfId="13762" xr:uid="{00000000-0005-0000-0000-000032A10000}"/>
    <cellStyle name="Prosent 2 3 4 2 2 3" xfId="2852" xr:uid="{00000000-0005-0000-0000-000033A10000}"/>
    <cellStyle name="Prosent 2 3 4 2 2 3 10" xfId="13764" xr:uid="{00000000-0005-0000-0000-000034A10000}"/>
    <cellStyle name="Prosent 2 3 4 2 2 3 2" xfId="2853" xr:uid="{00000000-0005-0000-0000-000035A10000}"/>
    <cellStyle name="Prosent 2 3 4 2 2 3 2 2" xfId="13766" xr:uid="{00000000-0005-0000-0000-000036A10000}"/>
    <cellStyle name="Prosent 2 3 4 2 2 3 2 2 2" xfId="18689" xr:uid="{00000000-0005-0000-0000-000037A10000}"/>
    <cellStyle name="Prosent 2 3 4 2 2 3 2 2 3" xfId="15835" xr:uid="{00000000-0005-0000-0000-000038A10000}"/>
    <cellStyle name="Prosent 2 3 4 2 2 3 2 2 3 2" xfId="26758" xr:uid="{00000000-0005-0000-0000-000039A10000}"/>
    <cellStyle name="Prosent 2 3 4 2 2 3 2 2 3 2 2" xfId="42391" xr:uid="{00000000-0005-0000-0000-00003AA10000}"/>
    <cellStyle name="Prosent 2 3 4 2 2 3 2 2 3 3" xfId="45335" xr:uid="{00000000-0005-0000-0000-00003BA10000}"/>
    <cellStyle name="Prosent 2 3 4 2 2 3 2 2_Avviksanalyse løpende RNB15 (1)" xfId="17263" xr:uid="{00000000-0005-0000-0000-00003CA10000}"/>
    <cellStyle name="Prosent 2 3 4 2 2 3 2 3" xfId="13765" xr:uid="{00000000-0005-0000-0000-00003DA10000}"/>
    <cellStyle name="Prosent 2 3 4 2 2 3 3" xfId="2854" xr:uid="{00000000-0005-0000-0000-00003EA10000}"/>
    <cellStyle name="Prosent 2 3 4 2 2 3 3 2" xfId="2855" xr:uid="{00000000-0005-0000-0000-00003FA10000}"/>
    <cellStyle name="Prosent 2 3 4 2 2 3 3 2 2" xfId="13769" xr:uid="{00000000-0005-0000-0000-000040A10000}"/>
    <cellStyle name="Prosent 2 3 4 2 2 3 3 2 2 2" xfId="18690" xr:uid="{00000000-0005-0000-0000-000041A10000}"/>
    <cellStyle name="Prosent 2 3 4 2 2 3 3 2 2 3" xfId="15837" xr:uid="{00000000-0005-0000-0000-000042A10000}"/>
    <cellStyle name="Prosent 2 3 4 2 2 3 3 2 2 3 2" xfId="26759" xr:uid="{00000000-0005-0000-0000-000043A10000}"/>
    <cellStyle name="Prosent 2 3 4 2 2 3 3 2 2 3 2 2" xfId="42393" xr:uid="{00000000-0005-0000-0000-000044A10000}"/>
    <cellStyle name="Prosent 2 3 4 2 2 3 3 2 2 3 3" xfId="45336" xr:uid="{00000000-0005-0000-0000-000045A10000}"/>
    <cellStyle name="Prosent 2 3 4 2 2 3 3 2 2_Avviksanalyse løpende RNB15 (1)" xfId="17264" xr:uid="{00000000-0005-0000-0000-000046A10000}"/>
    <cellStyle name="Prosent 2 3 4 2 2 3 3 2 3" xfId="13768" xr:uid="{00000000-0005-0000-0000-000047A10000}"/>
    <cellStyle name="Prosent 2 3 4 2 2 3 3 3" xfId="13770" xr:uid="{00000000-0005-0000-0000-000048A10000}"/>
    <cellStyle name="Prosent 2 3 4 2 2 3 3 3 2" xfId="18691" xr:uid="{00000000-0005-0000-0000-000049A10000}"/>
    <cellStyle name="Prosent 2 3 4 2 2 3 3 3 3" xfId="15836" xr:uid="{00000000-0005-0000-0000-00004AA10000}"/>
    <cellStyle name="Prosent 2 3 4 2 2 3 3 3 3 2" xfId="26760" xr:uid="{00000000-0005-0000-0000-00004BA10000}"/>
    <cellStyle name="Prosent 2 3 4 2 2 3 3 3 3 2 2" xfId="42392" xr:uid="{00000000-0005-0000-0000-00004CA10000}"/>
    <cellStyle name="Prosent 2 3 4 2 2 3 3 3 3 3" xfId="45337" xr:uid="{00000000-0005-0000-0000-00004DA10000}"/>
    <cellStyle name="Prosent 2 3 4 2 2 3 3 3_Avviksanalyse løpende RNB15 (1)" xfId="17265" xr:uid="{00000000-0005-0000-0000-00004EA10000}"/>
    <cellStyle name="Prosent 2 3 4 2 2 3 3 4" xfId="13767" xr:uid="{00000000-0005-0000-0000-00004FA10000}"/>
    <cellStyle name="Prosent 2 3 4 2 2 3 4" xfId="2856" xr:uid="{00000000-0005-0000-0000-000050A10000}"/>
    <cellStyle name="Prosent 2 3 4 2 2 3 4 2" xfId="2857" xr:uid="{00000000-0005-0000-0000-000051A10000}"/>
    <cellStyle name="Prosent 2 3 4 2 2 3 4 2 2" xfId="13773" xr:uid="{00000000-0005-0000-0000-000052A10000}"/>
    <cellStyle name="Prosent 2 3 4 2 2 3 4 2 2 2" xfId="18692" xr:uid="{00000000-0005-0000-0000-000053A10000}"/>
    <cellStyle name="Prosent 2 3 4 2 2 3 4 2 2 3" xfId="15839" xr:uid="{00000000-0005-0000-0000-000054A10000}"/>
    <cellStyle name="Prosent 2 3 4 2 2 3 4 2 2 3 2" xfId="26761" xr:uid="{00000000-0005-0000-0000-000055A10000}"/>
    <cellStyle name="Prosent 2 3 4 2 2 3 4 2 2 3 2 2" xfId="42395" xr:uid="{00000000-0005-0000-0000-000056A10000}"/>
    <cellStyle name="Prosent 2 3 4 2 2 3 4 2 2 3 3" xfId="45338" xr:uid="{00000000-0005-0000-0000-000057A10000}"/>
    <cellStyle name="Prosent 2 3 4 2 2 3 4 2 2_Avviksanalyse løpende RNB15 (1)" xfId="17266" xr:uid="{00000000-0005-0000-0000-000058A10000}"/>
    <cellStyle name="Prosent 2 3 4 2 2 3 4 2 3" xfId="13772" xr:uid="{00000000-0005-0000-0000-000059A10000}"/>
    <cellStyle name="Prosent 2 3 4 2 2 3 4 3" xfId="2858" xr:uid="{00000000-0005-0000-0000-00005AA10000}"/>
    <cellStyle name="Prosent 2 3 4 2 2 3 4 3 2" xfId="13775" xr:uid="{00000000-0005-0000-0000-00005BA10000}"/>
    <cellStyle name="Prosent 2 3 4 2 2 3 4 3 2 2" xfId="18693" xr:uid="{00000000-0005-0000-0000-00005CA10000}"/>
    <cellStyle name="Prosent 2 3 4 2 2 3 4 3 2 3" xfId="15840" xr:uid="{00000000-0005-0000-0000-00005DA10000}"/>
    <cellStyle name="Prosent 2 3 4 2 2 3 4 3 2 3 2" xfId="26762" xr:uid="{00000000-0005-0000-0000-00005EA10000}"/>
    <cellStyle name="Prosent 2 3 4 2 2 3 4 3 2 3 2 2" xfId="42396" xr:uid="{00000000-0005-0000-0000-00005FA10000}"/>
    <cellStyle name="Prosent 2 3 4 2 2 3 4 3 2 3 3" xfId="45339" xr:uid="{00000000-0005-0000-0000-000060A10000}"/>
    <cellStyle name="Prosent 2 3 4 2 2 3 4 3 2_Avviksanalyse løpende RNB15 (1)" xfId="17267" xr:uid="{00000000-0005-0000-0000-000061A10000}"/>
    <cellStyle name="Prosent 2 3 4 2 2 3 4 3 3" xfId="13774" xr:uid="{00000000-0005-0000-0000-000062A10000}"/>
    <cellStyle name="Prosent 2 3 4 2 2 3 4 4" xfId="2859" xr:uid="{00000000-0005-0000-0000-000063A10000}"/>
    <cellStyle name="Prosent 2 3 4 2 2 3 4 4 2" xfId="2860" xr:uid="{00000000-0005-0000-0000-000064A10000}"/>
    <cellStyle name="Prosent 2 3 4 2 2 3 4 4 2 2" xfId="13778" xr:uid="{00000000-0005-0000-0000-000065A10000}"/>
    <cellStyle name="Prosent 2 3 4 2 2 3 4 4 2 2 2" xfId="18694" xr:uid="{00000000-0005-0000-0000-000066A10000}"/>
    <cellStyle name="Prosent 2 3 4 2 2 3 4 4 2 2 3" xfId="15842" xr:uid="{00000000-0005-0000-0000-000067A10000}"/>
    <cellStyle name="Prosent 2 3 4 2 2 3 4 4 2 2 3 2" xfId="26763" xr:uid="{00000000-0005-0000-0000-000068A10000}"/>
    <cellStyle name="Prosent 2 3 4 2 2 3 4 4 2 2 3 2 2" xfId="42398" xr:uid="{00000000-0005-0000-0000-000069A10000}"/>
    <cellStyle name="Prosent 2 3 4 2 2 3 4 4 2 2 3 3" xfId="45340" xr:uid="{00000000-0005-0000-0000-00006AA10000}"/>
    <cellStyle name="Prosent 2 3 4 2 2 3 4 4 2 2_Avviksanalyse løpende RNB15 (1)" xfId="17268" xr:uid="{00000000-0005-0000-0000-00006BA10000}"/>
    <cellStyle name="Prosent 2 3 4 2 2 3 4 4 2 3" xfId="13777" xr:uid="{00000000-0005-0000-0000-00006CA10000}"/>
    <cellStyle name="Prosent 2 3 4 2 2 3 4 4 3" xfId="2861" xr:uid="{00000000-0005-0000-0000-00006DA10000}"/>
    <cellStyle name="Prosent 2 3 4 2 2 3 4 4 3 2" xfId="2862" xr:uid="{00000000-0005-0000-0000-00006EA10000}"/>
    <cellStyle name="Prosent 2 3 4 2 2 3 4 4 3 2 2" xfId="13781" xr:uid="{00000000-0005-0000-0000-00006FA10000}"/>
    <cellStyle name="Prosent 2 3 4 2 2 3 4 4 3 2 2 2" xfId="18695" xr:uid="{00000000-0005-0000-0000-000070A10000}"/>
    <cellStyle name="Prosent 2 3 4 2 2 3 4 4 3 2 2 3" xfId="16055" xr:uid="{00000000-0005-0000-0000-000071A10000}"/>
    <cellStyle name="Prosent 2 3 4 2 2 3 4 4 3 2 2 3 2" xfId="26764" xr:uid="{00000000-0005-0000-0000-000072A10000}"/>
    <cellStyle name="Prosent 2 3 4 2 2 3 4 4 3 2 2 3 2 2" xfId="42611" xr:uid="{00000000-0005-0000-0000-000073A10000}"/>
    <cellStyle name="Prosent 2 3 4 2 2 3 4 4 3 2 2 3 3" xfId="45341" xr:uid="{00000000-0005-0000-0000-000074A10000}"/>
    <cellStyle name="Prosent 2 3 4 2 2 3 4 4 3 2 2_Avviksanalyse løpende RNB15 (1)" xfId="17269" xr:uid="{00000000-0005-0000-0000-000075A10000}"/>
    <cellStyle name="Prosent 2 3 4 2 2 3 4 4 3 2 3" xfId="13780" xr:uid="{00000000-0005-0000-0000-000076A10000}"/>
    <cellStyle name="Prosent 2 3 4 2 2 3 4 4 3 3" xfId="13782" xr:uid="{00000000-0005-0000-0000-000077A10000}"/>
    <cellStyle name="Prosent 2 3 4 2 2 3 4 4 3 3 2" xfId="18696" xr:uid="{00000000-0005-0000-0000-000078A10000}"/>
    <cellStyle name="Prosent 2 3 4 2 2 3 4 4 3 3 3" xfId="16054" xr:uid="{00000000-0005-0000-0000-000079A10000}"/>
    <cellStyle name="Prosent 2 3 4 2 2 3 4 4 3 3 3 2" xfId="26765" xr:uid="{00000000-0005-0000-0000-00007AA10000}"/>
    <cellStyle name="Prosent 2 3 4 2 2 3 4 4 3 3 3 2 2" xfId="42610" xr:uid="{00000000-0005-0000-0000-00007BA10000}"/>
    <cellStyle name="Prosent 2 3 4 2 2 3 4 4 3 3 3 3" xfId="45342" xr:uid="{00000000-0005-0000-0000-00007CA10000}"/>
    <cellStyle name="Prosent 2 3 4 2 2 3 4 4 3 3_Avviksanalyse løpende RNB15 (1)" xfId="17270" xr:uid="{00000000-0005-0000-0000-00007DA10000}"/>
    <cellStyle name="Prosent 2 3 4 2 2 3 4 4 3 4" xfId="13779" xr:uid="{00000000-0005-0000-0000-00007EA10000}"/>
    <cellStyle name="Prosent 2 3 4 2 2 3 4 4 4" xfId="2863" xr:uid="{00000000-0005-0000-0000-00007FA10000}"/>
    <cellStyle name="Prosent 2 3 4 2 2 3 4 4 4 2" xfId="2864" xr:uid="{00000000-0005-0000-0000-000080A10000}"/>
    <cellStyle name="Prosent 2 3 4 2 2 3 4 4 4 2 2" xfId="13785" xr:uid="{00000000-0005-0000-0000-000081A10000}"/>
    <cellStyle name="Prosent 2 3 4 2 2 3 4 4 4 2 2 2" xfId="18697" xr:uid="{00000000-0005-0000-0000-000082A10000}"/>
    <cellStyle name="Prosent 2 3 4 2 2 3 4 4 4 2 2 3" xfId="16057" xr:uid="{00000000-0005-0000-0000-000083A10000}"/>
    <cellStyle name="Prosent 2 3 4 2 2 3 4 4 4 2 2 3 2" xfId="26766" xr:uid="{00000000-0005-0000-0000-000084A10000}"/>
    <cellStyle name="Prosent 2 3 4 2 2 3 4 4 4 2 2 3 2 2" xfId="42613" xr:uid="{00000000-0005-0000-0000-000085A10000}"/>
    <cellStyle name="Prosent 2 3 4 2 2 3 4 4 4 2 2 3 3" xfId="45343" xr:uid="{00000000-0005-0000-0000-000086A10000}"/>
    <cellStyle name="Prosent 2 3 4 2 2 3 4 4 4 2 2_Avviksanalyse løpende RNB15 (1)" xfId="17271" xr:uid="{00000000-0005-0000-0000-000087A10000}"/>
    <cellStyle name="Prosent 2 3 4 2 2 3 4 4 4 2 3" xfId="13784" xr:uid="{00000000-0005-0000-0000-000088A10000}"/>
    <cellStyle name="Prosent 2 3 4 2 2 3 4 4 4 3" xfId="13786" xr:uid="{00000000-0005-0000-0000-000089A10000}"/>
    <cellStyle name="Prosent 2 3 4 2 2 3 4 4 4 3 2" xfId="18698" xr:uid="{00000000-0005-0000-0000-00008AA10000}"/>
    <cellStyle name="Prosent 2 3 4 2 2 3 4 4 4 3 3" xfId="16056" xr:uid="{00000000-0005-0000-0000-00008BA10000}"/>
    <cellStyle name="Prosent 2 3 4 2 2 3 4 4 4 3 3 2" xfId="26767" xr:uid="{00000000-0005-0000-0000-00008CA10000}"/>
    <cellStyle name="Prosent 2 3 4 2 2 3 4 4 4 3 3 2 2" xfId="42612" xr:uid="{00000000-0005-0000-0000-00008DA10000}"/>
    <cellStyle name="Prosent 2 3 4 2 2 3 4 4 4 3 3 3" xfId="45344" xr:uid="{00000000-0005-0000-0000-00008EA10000}"/>
    <cellStyle name="Prosent 2 3 4 2 2 3 4 4 4 3_Avviksanalyse løpende RNB15 (1)" xfId="17272" xr:uid="{00000000-0005-0000-0000-00008FA10000}"/>
    <cellStyle name="Prosent 2 3 4 2 2 3 4 4 4 4" xfId="13783" xr:uid="{00000000-0005-0000-0000-000090A10000}"/>
    <cellStyle name="Prosent 2 3 4 2 2 3 4 4 5" xfId="13787" xr:uid="{00000000-0005-0000-0000-000091A10000}"/>
    <cellStyle name="Prosent 2 3 4 2 2 3 4 4 5 2" xfId="18699" xr:uid="{00000000-0005-0000-0000-000092A10000}"/>
    <cellStyle name="Prosent 2 3 4 2 2 3 4 4 5 3" xfId="15841" xr:uid="{00000000-0005-0000-0000-000093A10000}"/>
    <cellStyle name="Prosent 2 3 4 2 2 3 4 4 5 3 2" xfId="26768" xr:uid="{00000000-0005-0000-0000-000094A10000}"/>
    <cellStyle name="Prosent 2 3 4 2 2 3 4 4 5 3 2 2" xfId="42397" xr:uid="{00000000-0005-0000-0000-000095A10000}"/>
    <cellStyle name="Prosent 2 3 4 2 2 3 4 4 5 3 3" xfId="45346" xr:uid="{00000000-0005-0000-0000-000096A10000}"/>
    <cellStyle name="Prosent 2 3 4 2 2 3 4 4 5_Avviksanalyse løpende RNB15 (1)" xfId="17273" xr:uid="{00000000-0005-0000-0000-000097A10000}"/>
    <cellStyle name="Prosent 2 3 4 2 2 3 4 4 6" xfId="13776" xr:uid="{00000000-0005-0000-0000-000098A10000}"/>
    <cellStyle name="Prosent 2 3 4 2 2 3 4 5" xfId="2865" xr:uid="{00000000-0005-0000-0000-000099A10000}"/>
    <cellStyle name="Prosent 2 3 4 2 2 3 4 5 2" xfId="2866" xr:uid="{00000000-0005-0000-0000-00009AA10000}"/>
    <cellStyle name="Prosent 2 3 4 2 2 3 4 5 2 2" xfId="13790" xr:uid="{00000000-0005-0000-0000-00009BA10000}"/>
    <cellStyle name="Prosent 2 3 4 2 2 3 4 5 2 2 2" xfId="18700" xr:uid="{00000000-0005-0000-0000-00009CA10000}"/>
    <cellStyle name="Prosent 2 3 4 2 2 3 4 5 2 2 3" xfId="15844" xr:uid="{00000000-0005-0000-0000-00009DA10000}"/>
    <cellStyle name="Prosent 2 3 4 2 2 3 4 5 2 2 3 2" xfId="26769" xr:uid="{00000000-0005-0000-0000-00009EA10000}"/>
    <cellStyle name="Prosent 2 3 4 2 2 3 4 5 2 2 3 2 2" xfId="42400" xr:uid="{00000000-0005-0000-0000-00009FA10000}"/>
    <cellStyle name="Prosent 2 3 4 2 2 3 4 5 2 2 3 3" xfId="45347" xr:uid="{00000000-0005-0000-0000-0000A0A10000}"/>
    <cellStyle name="Prosent 2 3 4 2 2 3 4 5 2 2_Avviksanalyse løpende RNB15 (1)" xfId="17274" xr:uid="{00000000-0005-0000-0000-0000A1A10000}"/>
    <cellStyle name="Prosent 2 3 4 2 2 3 4 5 2 3" xfId="13789" xr:uid="{00000000-0005-0000-0000-0000A2A10000}"/>
    <cellStyle name="Prosent 2 3 4 2 2 3 4 5 3" xfId="2867" xr:uid="{00000000-0005-0000-0000-0000A3A10000}"/>
    <cellStyle name="Prosent 2 3 4 2 2 3 4 5 3 2" xfId="2868" xr:uid="{00000000-0005-0000-0000-0000A4A10000}"/>
    <cellStyle name="Prosent 2 3 4 2 2 3 4 5 3 2 2" xfId="13793" xr:uid="{00000000-0005-0000-0000-0000A5A10000}"/>
    <cellStyle name="Prosent 2 3 4 2 2 3 4 5 3 2 2 2" xfId="18701" xr:uid="{00000000-0005-0000-0000-0000A6A10000}"/>
    <cellStyle name="Prosent 2 3 4 2 2 3 4 5 3 2 2 3" xfId="16059" xr:uid="{00000000-0005-0000-0000-0000A7A10000}"/>
    <cellStyle name="Prosent 2 3 4 2 2 3 4 5 3 2 2 3 2" xfId="26770" xr:uid="{00000000-0005-0000-0000-0000A8A10000}"/>
    <cellStyle name="Prosent 2 3 4 2 2 3 4 5 3 2 2 3 2 2" xfId="42615" xr:uid="{00000000-0005-0000-0000-0000A9A10000}"/>
    <cellStyle name="Prosent 2 3 4 2 2 3 4 5 3 2 2 3 3" xfId="45348" xr:uid="{00000000-0005-0000-0000-0000AAA10000}"/>
    <cellStyle name="Prosent 2 3 4 2 2 3 4 5 3 2 2_Avviksanalyse løpende RNB15 (1)" xfId="17275" xr:uid="{00000000-0005-0000-0000-0000ABA10000}"/>
    <cellStyle name="Prosent 2 3 4 2 2 3 4 5 3 2 3" xfId="13792" xr:uid="{00000000-0005-0000-0000-0000ACA10000}"/>
    <cellStyle name="Prosent 2 3 4 2 2 3 4 5 3 3" xfId="13794" xr:uid="{00000000-0005-0000-0000-0000ADA10000}"/>
    <cellStyle name="Prosent 2 3 4 2 2 3 4 5 3 3 2" xfId="18702" xr:uid="{00000000-0005-0000-0000-0000AEA10000}"/>
    <cellStyle name="Prosent 2 3 4 2 2 3 4 5 3 3 3" xfId="16058" xr:uid="{00000000-0005-0000-0000-0000AFA10000}"/>
    <cellStyle name="Prosent 2 3 4 2 2 3 4 5 3 3 3 2" xfId="26771" xr:uid="{00000000-0005-0000-0000-0000B0A10000}"/>
    <cellStyle name="Prosent 2 3 4 2 2 3 4 5 3 3 3 2 2" xfId="42614" xr:uid="{00000000-0005-0000-0000-0000B1A10000}"/>
    <cellStyle name="Prosent 2 3 4 2 2 3 4 5 3 3 3 3" xfId="45349" xr:uid="{00000000-0005-0000-0000-0000B2A10000}"/>
    <cellStyle name="Prosent 2 3 4 2 2 3 4 5 3 3_Avviksanalyse løpende RNB15 (1)" xfId="17276" xr:uid="{00000000-0005-0000-0000-0000B3A10000}"/>
    <cellStyle name="Prosent 2 3 4 2 2 3 4 5 3 4" xfId="13791" xr:uid="{00000000-0005-0000-0000-0000B4A10000}"/>
    <cellStyle name="Prosent 2 3 4 2 2 3 4 5 4" xfId="2869" xr:uid="{00000000-0005-0000-0000-0000B5A10000}"/>
    <cellStyle name="Prosent 2 3 4 2 2 3 4 5 4 2" xfId="2870" xr:uid="{00000000-0005-0000-0000-0000B6A10000}"/>
    <cellStyle name="Prosent 2 3 4 2 2 3 4 5 4 2 2" xfId="13797" xr:uid="{00000000-0005-0000-0000-0000B7A10000}"/>
    <cellStyle name="Prosent 2 3 4 2 2 3 4 5 4 2 2 2" xfId="18703" xr:uid="{00000000-0005-0000-0000-0000B8A10000}"/>
    <cellStyle name="Prosent 2 3 4 2 2 3 4 5 4 2 2 3" xfId="16061" xr:uid="{00000000-0005-0000-0000-0000B9A10000}"/>
    <cellStyle name="Prosent 2 3 4 2 2 3 4 5 4 2 2 3 2" xfId="26772" xr:uid="{00000000-0005-0000-0000-0000BAA10000}"/>
    <cellStyle name="Prosent 2 3 4 2 2 3 4 5 4 2 2 3 2 2" xfId="42617" xr:uid="{00000000-0005-0000-0000-0000BBA10000}"/>
    <cellStyle name="Prosent 2 3 4 2 2 3 4 5 4 2 2 3 3" xfId="45350" xr:uid="{00000000-0005-0000-0000-0000BCA10000}"/>
    <cellStyle name="Prosent 2 3 4 2 2 3 4 5 4 2 2_Avviksanalyse løpende RNB15 (1)" xfId="17277" xr:uid="{00000000-0005-0000-0000-0000BDA10000}"/>
    <cellStyle name="Prosent 2 3 4 2 2 3 4 5 4 2 3" xfId="13796" xr:uid="{00000000-0005-0000-0000-0000BEA10000}"/>
    <cellStyle name="Prosent 2 3 4 2 2 3 4 5 4 3" xfId="13798" xr:uid="{00000000-0005-0000-0000-0000BFA10000}"/>
    <cellStyle name="Prosent 2 3 4 2 2 3 4 5 4 3 2" xfId="18704" xr:uid="{00000000-0005-0000-0000-0000C0A10000}"/>
    <cellStyle name="Prosent 2 3 4 2 2 3 4 5 4 3 3" xfId="16060" xr:uid="{00000000-0005-0000-0000-0000C1A10000}"/>
    <cellStyle name="Prosent 2 3 4 2 2 3 4 5 4 3 3 2" xfId="26773" xr:uid="{00000000-0005-0000-0000-0000C2A10000}"/>
    <cellStyle name="Prosent 2 3 4 2 2 3 4 5 4 3 3 2 2" xfId="42616" xr:uid="{00000000-0005-0000-0000-0000C3A10000}"/>
    <cellStyle name="Prosent 2 3 4 2 2 3 4 5 4 3 3 3" xfId="45351" xr:uid="{00000000-0005-0000-0000-0000C4A10000}"/>
    <cellStyle name="Prosent 2 3 4 2 2 3 4 5 4 3_Avviksanalyse løpende RNB15 (1)" xfId="17278" xr:uid="{00000000-0005-0000-0000-0000C5A10000}"/>
    <cellStyle name="Prosent 2 3 4 2 2 3 4 5 4 4" xfId="13795" xr:uid="{00000000-0005-0000-0000-0000C6A10000}"/>
    <cellStyle name="Prosent 2 3 4 2 2 3 4 5 5" xfId="13799" xr:uid="{00000000-0005-0000-0000-0000C7A10000}"/>
    <cellStyle name="Prosent 2 3 4 2 2 3 4 5 5 2" xfId="18705" xr:uid="{00000000-0005-0000-0000-0000C8A10000}"/>
    <cellStyle name="Prosent 2 3 4 2 2 3 4 5 5 3" xfId="15843" xr:uid="{00000000-0005-0000-0000-0000C9A10000}"/>
    <cellStyle name="Prosent 2 3 4 2 2 3 4 5 5 3 2" xfId="26774" xr:uid="{00000000-0005-0000-0000-0000CAA10000}"/>
    <cellStyle name="Prosent 2 3 4 2 2 3 4 5 5 3 2 2" xfId="42399" xr:uid="{00000000-0005-0000-0000-0000CBA10000}"/>
    <cellStyle name="Prosent 2 3 4 2 2 3 4 5 5 3 3" xfId="45352" xr:uid="{00000000-0005-0000-0000-0000CCA10000}"/>
    <cellStyle name="Prosent 2 3 4 2 2 3 4 5 5_Avviksanalyse løpende RNB15 (1)" xfId="17279" xr:uid="{00000000-0005-0000-0000-0000CDA10000}"/>
    <cellStyle name="Prosent 2 3 4 2 2 3 4 5 6" xfId="13788" xr:uid="{00000000-0005-0000-0000-0000CEA10000}"/>
    <cellStyle name="Prosent 2 3 4 2 2 3 4 6" xfId="2871" xr:uid="{00000000-0005-0000-0000-0000CFA10000}"/>
    <cellStyle name="Prosent 2 3 4 2 2 3 4 6 2" xfId="2872" xr:uid="{00000000-0005-0000-0000-0000D0A10000}"/>
    <cellStyle name="Prosent 2 3 4 2 2 3 4 6 2 2" xfId="13802" xr:uid="{00000000-0005-0000-0000-0000D1A10000}"/>
    <cellStyle name="Prosent 2 3 4 2 2 3 4 6 2 2 2" xfId="18706" xr:uid="{00000000-0005-0000-0000-0000D2A10000}"/>
    <cellStyle name="Prosent 2 3 4 2 2 3 4 6 2 2 3" xfId="16063" xr:uid="{00000000-0005-0000-0000-0000D3A10000}"/>
    <cellStyle name="Prosent 2 3 4 2 2 3 4 6 2 2 3 2" xfId="26775" xr:uid="{00000000-0005-0000-0000-0000D4A10000}"/>
    <cellStyle name="Prosent 2 3 4 2 2 3 4 6 2 2 3 2 2" xfId="42619" xr:uid="{00000000-0005-0000-0000-0000D5A10000}"/>
    <cellStyle name="Prosent 2 3 4 2 2 3 4 6 2 2 3 3" xfId="45353" xr:uid="{00000000-0005-0000-0000-0000D6A10000}"/>
    <cellStyle name="Prosent 2 3 4 2 2 3 4 6 2 2_Avviksanalyse løpende RNB15 (1)" xfId="17280" xr:uid="{00000000-0005-0000-0000-0000D7A10000}"/>
    <cellStyle name="Prosent 2 3 4 2 2 3 4 6 2 3" xfId="13801" xr:uid="{00000000-0005-0000-0000-0000D8A10000}"/>
    <cellStyle name="Prosent 2 3 4 2 2 3 4 6 3" xfId="13803" xr:uid="{00000000-0005-0000-0000-0000D9A10000}"/>
    <cellStyle name="Prosent 2 3 4 2 2 3 4 6 3 2" xfId="18707" xr:uid="{00000000-0005-0000-0000-0000DAA10000}"/>
    <cellStyle name="Prosent 2 3 4 2 2 3 4 6 3 3" xfId="16062" xr:uid="{00000000-0005-0000-0000-0000DBA10000}"/>
    <cellStyle name="Prosent 2 3 4 2 2 3 4 6 3 3 2" xfId="26776" xr:uid="{00000000-0005-0000-0000-0000DCA10000}"/>
    <cellStyle name="Prosent 2 3 4 2 2 3 4 6 3 3 2 2" xfId="42618" xr:uid="{00000000-0005-0000-0000-0000DDA10000}"/>
    <cellStyle name="Prosent 2 3 4 2 2 3 4 6 3 3 3" xfId="45354" xr:uid="{00000000-0005-0000-0000-0000DEA10000}"/>
    <cellStyle name="Prosent 2 3 4 2 2 3 4 6 3_Avviksanalyse løpende RNB15 (1)" xfId="17281" xr:uid="{00000000-0005-0000-0000-0000DFA10000}"/>
    <cellStyle name="Prosent 2 3 4 2 2 3 4 6 4" xfId="13800" xr:uid="{00000000-0005-0000-0000-0000E0A10000}"/>
    <cellStyle name="Prosent 2 3 4 2 2 3 4 7" xfId="2873" xr:uid="{00000000-0005-0000-0000-0000E1A10000}"/>
    <cellStyle name="Prosent 2 3 4 2 2 3 4 7 2" xfId="2874" xr:uid="{00000000-0005-0000-0000-0000E2A10000}"/>
    <cellStyle name="Prosent 2 3 4 2 2 3 4 7 2 2" xfId="13806" xr:uid="{00000000-0005-0000-0000-0000E3A10000}"/>
    <cellStyle name="Prosent 2 3 4 2 2 3 4 7 2 2 2" xfId="18708" xr:uid="{00000000-0005-0000-0000-0000E4A10000}"/>
    <cellStyle name="Prosent 2 3 4 2 2 3 4 7 2 2 3" xfId="16065" xr:uid="{00000000-0005-0000-0000-0000E5A10000}"/>
    <cellStyle name="Prosent 2 3 4 2 2 3 4 7 2 2 3 2" xfId="26777" xr:uid="{00000000-0005-0000-0000-0000E6A10000}"/>
    <cellStyle name="Prosent 2 3 4 2 2 3 4 7 2 2 3 2 2" xfId="42621" xr:uid="{00000000-0005-0000-0000-0000E7A10000}"/>
    <cellStyle name="Prosent 2 3 4 2 2 3 4 7 2 2 3 3" xfId="45355" xr:uid="{00000000-0005-0000-0000-0000E8A10000}"/>
    <cellStyle name="Prosent 2 3 4 2 2 3 4 7 2 2_Avviksanalyse løpende RNB15 (1)" xfId="17282" xr:uid="{00000000-0005-0000-0000-0000E9A10000}"/>
    <cellStyle name="Prosent 2 3 4 2 2 3 4 7 2 3" xfId="13805" xr:uid="{00000000-0005-0000-0000-0000EAA10000}"/>
    <cellStyle name="Prosent 2 3 4 2 2 3 4 7 3" xfId="13807" xr:uid="{00000000-0005-0000-0000-0000EBA10000}"/>
    <cellStyle name="Prosent 2 3 4 2 2 3 4 7 3 2" xfId="18709" xr:uid="{00000000-0005-0000-0000-0000ECA10000}"/>
    <cellStyle name="Prosent 2 3 4 2 2 3 4 7 3 3" xfId="16064" xr:uid="{00000000-0005-0000-0000-0000EDA10000}"/>
    <cellStyle name="Prosent 2 3 4 2 2 3 4 7 3 3 2" xfId="26778" xr:uid="{00000000-0005-0000-0000-0000EEA10000}"/>
    <cellStyle name="Prosent 2 3 4 2 2 3 4 7 3 3 2 2" xfId="42620" xr:uid="{00000000-0005-0000-0000-0000EFA10000}"/>
    <cellStyle name="Prosent 2 3 4 2 2 3 4 7 3 3 3" xfId="45356" xr:uid="{00000000-0005-0000-0000-0000F0A10000}"/>
    <cellStyle name="Prosent 2 3 4 2 2 3 4 7 3_Avviksanalyse løpende RNB15 (1)" xfId="17283" xr:uid="{00000000-0005-0000-0000-0000F1A10000}"/>
    <cellStyle name="Prosent 2 3 4 2 2 3 4 7 4" xfId="13804" xr:uid="{00000000-0005-0000-0000-0000F2A10000}"/>
    <cellStyle name="Prosent 2 3 4 2 2 3 4 8" xfId="13808" xr:uid="{00000000-0005-0000-0000-0000F3A10000}"/>
    <cellStyle name="Prosent 2 3 4 2 2 3 4 8 2" xfId="18710" xr:uid="{00000000-0005-0000-0000-0000F4A10000}"/>
    <cellStyle name="Prosent 2 3 4 2 2 3 4 8 3" xfId="15838" xr:uid="{00000000-0005-0000-0000-0000F5A10000}"/>
    <cellStyle name="Prosent 2 3 4 2 2 3 4 8 3 2" xfId="26779" xr:uid="{00000000-0005-0000-0000-0000F6A10000}"/>
    <cellStyle name="Prosent 2 3 4 2 2 3 4 8 3 2 2" xfId="42394" xr:uid="{00000000-0005-0000-0000-0000F7A10000}"/>
    <cellStyle name="Prosent 2 3 4 2 2 3 4 8 3 3" xfId="45357" xr:uid="{00000000-0005-0000-0000-0000F8A10000}"/>
    <cellStyle name="Prosent 2 3 4 2 2 3 4 8_Avviksanalyse løpende RNB15 (1)" xfId="17284" xr:uid="{00000000-0005-0000-0000-0000F9A10000}"/>
    <cellStyle name="Prosent 2 3 4 2 2 3 4 9" xfId="13771" xr:uid="{00000000-0005-0000-0000-0000FAA10000}"/>
    <cellStyle name="Prosent 2 3 4 2 2 3 5" xfId="2875" xr:uid="{00000000-0005-0000-0000-0000FBA10000}"/>
    <cellStyle name="Prosent 2 3 4 2 2 3 5 2" xfId="2876" xr:uid="{00000000-0005-0000-0000-0000FCA10000}"/>
    <cellStyle name="Prosent 2 3 4 2 2 3 5 2 2" xfId="13811" xr:uid="{00000000-0005-0000-0000-0000FDA10000}"/>
    <cellStyle name="Prosent 2 3 4 2 2 3 5 2 2 2" xfId="18711" xr:uid="{00000000-0005-0000-0000-0000FEA10000}"/>
    <cellStyle name="Prosent 2 3 4 2 2 3 5 2 2 3" xfId="15846" xr:uid="{00000000-0005-0000-0000-0000FFA10000}"/>
    <cellStyle name="Prosent 2 3 4 2 2 3 5 2 2 3 2" xfId="26780" xr:uid="{00000000-0005-0000-0000-000000A20000}"/>
    <cellStyle name="Prosent 2 3 4 2 2 3 5 2 2 3 2 2" xfId="42402" xr:uid="{00000000-0005-0000-0000-000001A20000}"/>
    <cellStyle name="Prosent 2 3 4 2 2 3 5 2 2 3 3" xfId="45358" xr:uid="{00000000-0005-0000-0000-000002A20000}"/>
    <cellStyle name="Prosent 2 3 4 2 2 3 5 2 2_Avviksanalyse løpende RNB15 (1)" xfId="17285" xr:uid="{00000000-0005-0000-0000-000003A20000}"/>
    <cellStyle name="Prosent 2 3 4 2 2 3 5 2 3" xfId="13810" xr:uid="{00000000-0005-0000-0000-000004A20000}"/>
    <cellStyle name="Prosent 2 3 4 2 2 3 5 3" xfId="2877" xr:uid="{00000000-0005-0000-0000-000005A20000}"/>
    <cellStyle name="Prosent 2 3 4 2 2 3 5 3 2" xfId="2878" xr:uid="{00000000-0005-0000-0000-000006A20000}"/>
    <cellStyle name="Prosent 2 3 4 2 2 3 5 3 2 2" xfId="13814" xr:uid="{00000000-0005-0000-0000-000007A20000}"/>
    <cellStyle name="Prosent 2 3 4 2 2 3 5 3 2 2 2" xfId="18712" xr:uid="{00000000-0005-0000-0000-000008A20000}"/>
    <cellStyle name="Prosent 2 3 4 2 2 3 5 3 2 2 3" xfId="16067" xr:uid="{00000000-0005-0000-0000-000009A20000}"/>
    <cellStyle name="Prosent 2 3 4 2 2 3 5 3 2 2 3 2" xfId="26781" xr:uid="{00000000-0005-0000-0000-00000AA20000}"/>
    <cellStyle name="Prosent 2 3 4 2 2 3 5 3 2 2 3 2 2" xfId="42623" xr:uid="{00000000-0005-0000-0000-00000BA20000}"/>
    <cellStyle name="Prosent 2 3 4 2 2 3 5 3 2 2 3 3" xfId="45359" xr:uid="{00000000-0005-0000-0000-00000CA20000}"/>
    <cellStyle name="Prosent 2 3 4 2 2 3 5 3 2 2_Avviksanalyse løpende RNB15 (1)" xfId="17286" xr:uid="{00000000-0005-0000-0000-00000DA20000}"/>
    <cellStyle name="Prosent 2 3 4 2 2 3 5 3 2 3" xfId="13813" xr:uid="{00000000-0005-0000-0000-00000EA20000}"/>
    <cellStyle name="Prosent 2 3 4 2 2 3 5 3 3" xfId="13815" xr:uid="{00000000-0005-0000-0000-00000FA20000}"/>
    <cellStyle name="Prosent 2 3 4 2 2 3 5 3 3 2" xfId="18713" xr:uid="{00000000-0005-0000-0000-000010A20000}"/>
    <cellStyle name="Prosent 2 3 4 2 2 3 5 3 3 3" xfId="16066" xr:uid="{00000000-0005-0000-0000-000011A20000}"/>
    <cellStyle name="Prosent 2 3 4 2 2 3 5 3 3 3 2" xfId="26782" xr:uid="{00000000-0005-0000-0000-000012A20000}"/>
    <cellStyle name="Prosent 2 3 4 2 2 3 5 3 3 3 2 2" xfId="42622" xr:uid="{00000000-0005-0000-0000-000013A20000}"/>
    <cellStyle name="Prosent 2 3 4 2 2 3 5 3 3 3 3" xfId="45360" xr:uid="{00000000-0005-0000-0000-000014A20000}"/>
    <cellStyle name="Prosent 2 3 4 2 2 3 5 3 3_Avviksanalyse løpende RNB15 (1)" xfId="17287" xr:uid="{00000000-0005-0000-0000-000015A20000}"/>
    <cellStyle name="Prosent 2 3 4 2 2 3 5 3 4" xfId="13812" xr:uid="{00000000-0005-0000-0000-000016A20000}"/>
    <cellStyle name="Prosent 2 3 4 2 2 3 5 4" xfId="2879" xr:uid="{00000000-0005-0000-0000-000017A20000}"/>
    <cellStyle name="Prosent 2 3 4 2 2 3 5 4 2" xfId="2880" xr:uid="{00000000-0005-0000-0000-000018A20000}"/>
    <cellStyle name="Prosent 2 3 4 2 2 3 5 4 2 2" xfId="13818" xr:uid="{00000000-0005-0000-0000-000019A20000}"/>
    <cellStyle name="Prosent 2 3 4 2 2 3 5 4 2 2 2" xfId="18714" xr:uid="{00000000-0005-0000-0000-00001AA20000}"/>
    <cellStyle name="Prosent 2 3 4 2 2 3 5 4 2 2 3" xfId="16069" xr:uid="{00000000-0005-0000-0000-00001BA20000}"/>
    <cellStyle name="Prosent 2 3 4 2 2 3 5 4 2 2 3 2" xfId="26783" xr:uid="{00000000-0005-0000-0000-00001CA20000}"/>
    <cellStyle name="Prosent 2 3 4 2 2 3 5 4 2 2 3 2 2" xfId="42625" xr:uid="{00000000-0005-0000-0000-00001DA20000}"/>
    <cellStyle name="Prosent 2 3 4 2 2 3 5 4 2 2 3 3" xfId="45361" xr:uid="{00000000-0005-0000-0000-00001EA20000}"/>
    <cellStyle name="Prosent 2 3 4 2 2 3 5 4 2 2_Avviksanalyse løpende RNB15 (1)" xfId="17288" xr:uid="{00000000-0005-0000-0000-00001FA20000}"/>
    <cellStyle name="Prosent 2 3 4 2 2 3 5 4 2 3" xfId="13817" xr:uid="{00000000-0005-0000-0000-000020A20000}"/>
    <cellStyle name="Prosent 2 3 4 2 2 3 5 4 3" xfId="13819" xr:uid="{00000000-0005-0000-0000-000021A20000}"/>
    <cellStyle name="Prosent 2 3 4 2 2 3 5 4 3 2" xfId="18715" xr:uid="{00000000-0005-0000-0000-000022A20000}"/>
    <cellStyle name="Prosent 2 3 4 2 2 3 5 4 3 3" xfId="16068" xr:uid="{00000000-0005-0000-0000-000023A20000}"/>
    <cellStyle name="Prosent 2 3 4 2 2 3 5 4 3 3 2" xfId="26784" xr:uid="{00000000-0005-0000-0000-000024A20000}"/>
    <cellStyle name="Prosent 2 3 4 2 2 3 5 4 3 3 2 2" xfId="42624" xr:uid="{00000000-0005-0000-0000-000025A20000}"/>
    <cellStyle name="Prosent 2 3 4 2 2 3 5 4 3 3 3" xfId="45362" xr:uid="{00000000-0005-0000-0000-000026A20000}"/>
    <cellStyle name="Prosent 2 3 4 2 2 3 5 4 3_Avviksanalyse løpende RNB15 (1)" xfId="17289" xr:uid="{00000000-0005-0000-0000-000027A20000}"/>
    <cellStyle name="Prosent 2 3 4 2 2 3 5 4 4" xfId="13816" xr:uid="{00000000-0005-0000-0000-000028A20000}"/>
    <cellStyle name="Prosent 2 3 4 2 2 3 5 5" xfId="13820" xr:uid="{00000000-0005-0000-0000-000029A20000}"/>
    <cellStyle name="Prosent 2 3 4 2 2 3 5 5 2" xfId="18716" xr:uid="{00000000-0005-0000-0000-00002AA20000}"/>
    <cellStyle name="Prosent 2 3 4 2 2 3 5 5 3" xfId="15845" xr:uid="{00000000-0005-0000-0000-00002BA20000}"/>
    <cellStyle name="Prosent 2 3 4 2 2 3 5 5 3 2" xfId="26785" xr:uid="{00000000-0005-0000-0000-00002CA20000}"/>
    <cellStyle name="Prosent 2 3 4 2 2 3 5 5 3 2 2" xfId="42401" xr:uid="{00000000-0005-0000-0000-00002DA20000}"/>
    <cellStyle name="Prosent 2 3 4 2 2 3 5 5 3 3" xfId="45363" xr:uid="{00000000-0005-0000-0000-00002EA20000}"/>
    <cellStyle name="Prosent 2 3 4 2 2 3 5 5_Avviksanalyse løpende RNB15 (1)" xfId="17290" xr:uid="{00000000-0005-0000-0000-00002FA20000}"/>
    <cellStyle name="Prosent 2 3 4 2 2 3 5 6" xfId="13809" xr:uid="{00000000-0005-0000-0000-000030A20000}"/>
    <cellStyle name="Prosent 2 3 4 2 2 3 6" xfId="2881" xr:uid="{00000000-0005-0000-0000-000031A20000}"/>
    <cellStyle name="Prosent 2 3 4 2 2 3 6 2" xfId="2882" xr:uid="{00000000-0005-0000-0000-000032A20000}"/>
    <cellStyle name="Prosent 2 3 4 2 2 3 6 2 2" xfId="13823" xr:uid="{00000000-0005-0000-0000-000033A20000}"/>
    <cellStyle name="Prosent 2 3 4 2 2 3 6 2 2 2" xfId="18717" xr:uid="{00000000-0005-0000-0000-000034A20000}"/>
    <cellStyle name="Prosent 2 3 4 2 2 3 6 2 2 3" xfId="15848" xr:uid="{00000000-0005-0000-0000-000035A20000}"/>
    <cellStyle name="Prosent 2 3 4 2 2 3 6 2 2 3 2" xfId="26786" xr:uid="{00000000-0005-0000-0000-000036A20000}"/>
    <cellStyle name="Prosent 2 3 4 2 2 3 6 2 2 3 2 2" xfId="42404" xr:uid="{00000000-0005-0000-0000-000037A20000}"/>
    <cellStyle name="Prosent 2 3 4 2 2 3 6 2 2 3 3" xfId="45364" xr:uid="{00000000-0005-0000-0000-000038A20000}"/>
    <cellStyle name="Prosent 2 3 4 2 2 3 6 2 2_Avviksanalyse løpende RNB15 (1)" xfId="17291" xr:uid="{00000000-0005-0000-0000-000039A20000}"/>
    <cellStyle name="Prosent 2 3 4 2 2 3 6 2 3" xfId="13822" xr:uid="{00000000-0005-0000-0000-00003AA20000}"/>
    <cellStyle name="Prosent 2 3 4 2 2 3 6 3" xfId="2883" xr:uid="{00000000-0005-0000-0000-00003BA20000}"/>
    <cellStyle name="Prosent 2 3 4 2 2 3 6 3 2" xfId="2884" xr:uid="{00000000-0005-0000-0000-00003CA20000}"/>
    <cellStyle name="Prosent 2 3 4 2 2 3 6 3 2 2" xfId="13826" xr:uid="{00000000-0005-0000-0000-00003DA20000}"/>
    <cellStyle name="Prosent 2 3 4 2 2 3 6 3 2 2 2" xfId="18718" xr:uid="{00000000-0005-0000-0000-00003EA20000}"/>
    <cellStyle name="Prosent 2 3 4 2 2 3 6 3 2 2 3" xfId="16071" xr:uid="{00000000-0005-0000-0000-00003FA20000}"/>
    <cellStyle name="Prosent 2 3 4 2 2 3 6 3 2 2 3 2" xfId="26787" xr:uid="{00000000-0005-0000-0000-000040A20000}"/>
    <cellStyle name="Prosent 2 3 4 2 2 3 6 3 2 2 3 2 2" xfId="42627" xr:uid="{00000000-0005-0000-0000-000041A20000}"/>
    <cellStyle name="Prosent 2 3 4 2 2 3 6 3 2 2 3 3" xfId="45365" xr:uid="{00000000-0005-0000-0000-000042A20000}"/>
    <cellStyle name="Prosent 2 3 4 2 2 3 6 3 2 2_Avviksanalyse løpende RNB15 (1)" xfId="17292" xr:uid="{00000000-0005-0000-0000-000043A20000}"/>
    <cellStyle name="Prosent 2 3 4 2 2 3 6 3 2 3" xfId="13825" xr:uid="{00000000-0005-0000-0000-000044A20000}"/>
    <cellStyle name="Prosent 2 3 4 2 2 3 6 3 3" xfId="13827" xr:uid="{00000000-0005-0000-0000-000045A20000}"/>
    <cellStyle name="Prosent 2 3 4 2 2 3 6 3 3 2" xfId="18719" xr:uid="{00000000-0005-0000-0000-000046A20000}"/>
    <cellStyle name="Prosent 2 3 4 2 2 3 6 3 3 3" xfId="16070" xr:uid="{00000000-0005-0000-0000-000047A20000}"/>
    <cellStyle name="Prosent 2 3 4 2 2 3 6 3 3 3 2" xfId="26788" xr:uid="{00000000-0005-0000-0000-000048A20000}"/>
    <cellStyle name="Prosent 2 3 4 2 2 3 6 3 3 3 2 2" xfId="42626" xr:uid="{00000000-0005-0000-0000-000049A20000}"/>
    <cellStyle name="Prosent 2 3 4 2 2 3 6 3 3 3 3" xfId="45366" xr:uid="{00000000-0005-0000-0000-00004AA20000}"/>
    <cellStyle name="Prosent 2 3 4 2 2 3 6 3 3_Avviksanalyse løpende RNB15 (1)" xfId="17293" xr:uid="{00000000-0005-0000-0000-00004BA20000}"/>
    <cellStyle name="Prosent 2 3 4 2 2 3 6 3 4" xfId="13824" xr:uid="{00000000-0005-0000-0000-00004CA20000}"/>
    <cellStyle name="Prosent 2 3 4 2 2 3 6 4" xfId="2885" xr:uid="{00000000-0005-0000-0000-00004DA20000}"/>
    <cellStyle name="Prosent 2 3 4 2 2 3 6 4 2" xfId="2886" xr:uid="{00000000-0005-0000-0000-00004EA20000}"/>
    <cellStyle name="Prosent 2 3 4 2 2 3 6 4 2 2" xfId="13830" xr:uid="{00000000-0005-0000-0000-00004FA20000}"/>
    <cellStyle name="Prosent 2 3 4 2 2 3 6 4 2 2 2" xfId="18720" xr:uid="{00000000-0005-0000-0000-000050A20000}"/>
    <cellStyle name="Prosent 2 3 4 2 2 3 6 4 2 2 3" xfId="16073" xr:uid="{00000000-0005-0000-0000-000051A20000}"/>
    <cellStyle name="Prosent 2 3 4 2 2 3 6 4 2 2 3 2" xfId="26789" xr:uid="{00000000-0005-0000-0000-000052A20000}"/>
    <cellStyle name="Prosent 2 3 4 2 2 3 6 4 2 2 3 2 2" xfId="42629" xr:uid="{00000000-0005-0000-0000-000053A20000}"/>
    <cellStyle name="Prosent 2 3 4 2 2 3 6 4 2 2 3 3" xfId="45367" xr:uid="{00000000-0005-0000-0000-000054A20000}"/>
    <cellStyle name="Prosent 2 3 4 2 2 3 6 4 2 2_Avviksanalyse løpende RNB15 (1)" xfId="17294" xr:uid="{00000000-0005-0000-0000-000055A20000}"/>
    <cellStyle name="Prosent 2 3 4 2 2 3 6 4 2 3" xfId="13829" xr:uid="{00000000-0005-0000-0000-000056A20000}"/>
    <cellStyle name="Prosent 2 3 4 2 2 3 6 4 3" xfId="13831" xr:uid="{00000000-0005-0000-0000-000057A20000}"/>
    <cellStyle name="Prosent 2 3 4 2 2 3 6 4 3 2" xfId="18721" xr:uid="{00000000-0005-0000-0000-000058A20000}"/>
    <cellStyle name="Prosent 2 3 4 2 2 3 6 4 3 3" xfId="16072" xr:uid="{00000000-0005-0000-0000-000059A20000}"/>
    <cellStyle name="Prosent 2 3 4 2 2 3 6 4 3 3 2" xfId="26790" xr:uid="{00000000-0005-0000-0000-00005AA20000}"/>
    <cellStyle name="Prosent 2 3 4 2 2 3 6 4 3 3 2 2" xfId="42628" xr:uid="{00000000-0005-0000-0000-00005BA20000}"/>
    <cellStyle name="Prosent 2 3 4 2 2 3 6 4 3 3 3" xfId="45368" xr:uid="{00000000-0005-0000-0000-00005CA20000}"/>
    <cellStyle name="Prosent 2 3 4 2 2 3 6 4 3_Avviksanalyse løpende RNB15 (1)" xfId="17295" xr:uid="{00000000-0005-0000-0000-00005DA20000}"/>
    <cellStyle name="Prosent 2 3 4 2 2 3 6 4 4" xfId="13828" xr:uid="{00000000-0005-0000-0000-00005EA20000}"/>
    <cellStyle name="Prosent 2 3 4 2 2 3 6 5" xfId="13832" xr:uid="{00000000-0005-0000-0000-00005FA20000}"/>
    <cellStyle name="Prosent 2 3 4 2 2 3 6 5 2" xfId="18722" xr:uid="{00000000-0005-0000-0000-000060A20000}"/>
    <cellStyle name="Prosent 2 3 4 2 2 3 6 5 3" xfId="15847" xr:uid="{00000000-0005-0000-0000-000061A20000}"/>
    <cellStyle name="Prosent 2 3 4 2 2 3 6 5 3 2" xfId="26791" xr:uid="{00000000-0005-0000-0000-000062A20000}"/>
    <cellStyle name="Prosent 2 3 4 2 2 3 6 5 3 2 2" xfId="42403" xr:uid="{00000000-0005-0000-0000-000063A20000}"/>
    <cellStyle name="Prosent 2 3 4 2 2 3 6 5 3 3" xfId="45369" xr:uid="{00000000-0005-0000-0000-000064A20000}"/>
    <cellStyle name="Prosent 2 3 4 2 2 3 6 5_Avviksanalyse løpende RNB15 (1)" xfId="17296" xr:uid="{00000000-0005-0000-0000-000065A20000}"/>
    <cellStyle name="Prosent 2 3 4 2 2 3 6 6" xfId="13821" xr:uid="{00000000-0005-0000-0000-000066A20000}"/>
    <cellStyle name="Prosent 2 3 4 2 2 3 7" xfId="2887" xr:uid="{00000000-0005-0000-0000-000067A20000}"/>
    <cellStyle name="Prosent 2 3 4 2 2 3 7 2" xfId="2888" xr:uid="{00000000-0005-0000-0000-000068A20000}"/>
    <cellStyle name="Prosent 2 3 4 2 2 3 7 2 2" xfId="13835" xr:uid="{00000000-0005-0000-0000-000069A20000}"/>
    <cellStyle name="Prosent 2 3 4 2 2 3 7 2 2 2" xfId="18723" xr:uid="{00000000-0005-0000-0000-00006AA20000}"/>
    <cellStyle name="Prosent 2 3 4 2 2 3 7 2 2 3" xfId="16075" xr:uid="{00000000-0005-0000-0000-00006BA20000}"/>
    <cellStyle name="Prosent 2 3 4 2 2 3 7 2 2 3 2" xfId="26792" xr:uid="{00000000-0005-0000-0000-00006CA20000}"/>
    <cellStyle name="Prosent 2 3 4 2 2 3 7 2 2 3 2 2" xfId="42631" xr:uid="{00000000-0005-0000-0000-00006DA20000}"/>
    <cellStyle name="Prosent 2 3 4 2 2 3 7 2 2 3 3" xfId="45370" xr:uid="{00000000-0005-0000-0000-00006EA20000}"/>
    <cellStyle name="Prosent 2 3 4 2 2 3 7 2 2_Avviksanalyse løpende RNB15 (1)" xfId="17297" xr:uid="{00000000-0005-0000-0000-00006FA20000}"/>
    <cellStyle name="Prosent 2 3 4 2 2 3 7 2 3" xfId="13834" xr:uid="{00000000-0005-0000-0000-000070A20000}"/>
    <cellStyle name="Prosent 2 3 4 2 2 3 7 3" xfId="13836" xr:uid="{00000000-0005-0000-0000-000071A20000}"/>
    <cellStyle name="Prosent 2 3 4 2 2 3 7 3 2" xfId="18724" xr:uid="{00000000-0005-0000-0000-000072A20000}"/>
    <cellStyle name="Prosent 2 3 4 2 2 3 7 3 3" xfId="16074" xr:uid="{00000000-0005-0000-0000-000073A20000}"/>
    <cellStyle name="Prosent 2 3 4 2 2 3 7 3 3 2" xfId="26793" xr:uid="{00000000-0005-0000-0000-000074A20000}"/>
    <cellStyle name="Prosent 2 3 4 2 2 3 7 3 3 2 2" xfId="42630" xr:uid="{00000000-0005-0000-0000-000075A20000}"/>
    <cellStyle name="Prosent 2 3 4 2 2 3 7 3 3 3" xfId="45371" xr:uid="{00000000-0005-0000-0000-000076A20000}"/>
    <cellStyle name="Prosent 2 3 4 2 2 3 7 3_Avviksanalyse løpende RNB15 (1)" xfId="17298" xr:uid="{00000000-0005-0000-0000-000077A20000}"/>
    <cellStyle name="Prosent 2 3 4 2 2 3 7 4" xfId="13833" xr:uid="{00000000-0005-0000-0000-000078A20000}"/>
    <cellStyle name="Prosent 2 3 4 2 2 3 8" xfId="2889" xr:uid="{00000000-0005-0000-0000-000079A20000}"/>
    <cellStyle name="Prosent 2 3 4 2 2 3 8 2" xfId="2890" xr:uid="{00000000-0005-0000-0000-00007AA20000}"/>
    <cellStyle name="Prosent 2 3 4 2 2 3 8 2 2" xfId="13839" xr:uid="{00000000-0005-0000-0000-00007BA20000}"/>
    <cellStyle name="Prosent 2 3 4 2 2 3 8 2 2 2" xfId="18725" xr:uid="{00000000-0005-0000-0000-00007CA20000}"/>
    <cellStyle name="Prosent 2 3 4 2 2 3 8 2 2 3" xfId="16077" xr:uid="{00000000-0005-0000-0000-00007DA20000}"/>
    <cellStyle name="Prosent 2 3 4 2 2 3 8 2 2 3 2" xfId="26794" xr:uid="{00000000-0005-0000-0000-00007EA20000}"/>
    <cellStyle name="Prosent 2 3 4 2 2 3 8 2 2 3 2 2" xfId="42633" xr:uid="{00000000-0005-0000-0000-00007FA20000}"/>
    <cellStyle name="Prosent 2 3 4 2 2 3 8 2 2 3 3" xfId="45372" xr:uid="{00000000-0005-0000-0000-000080A20000}"/>
    <cellStyle name="Prosent 2 3 4 2 2 3 8 2 2_Avviksanalyse løpende RNB15 (1)" xfId="17299" xr:uid="{00000000-0005-0000-0000-000081A20000}"/>
    <cellStyle name="Prosent 2 3 4 2 2 3 8 2 3" xfId="13838" xr:uid="{00000000-0005-0000-0000-000082A20000}"/>
    <cellStyle name="Prosent 2 3 4 2 2 3 8 3" xfId="13840" xr:uid="{00000000-0005-0000-0000-000083A20000}"/>
    <cellStyle name="Prosent 2 3 4 2 2 3 8 3 2" xfId="18726" xr:uid="{00000000-0005-0000-0000-000084A20000}"/>
    <cellStyle name="Prosent 2 3 4 2 2 3 8 3 3" xfId="16076" xr:uid="{00000000-0005-0000-0000-000085A20000}"/>
    <cellStyle name="Prosent 2 3 4 2 2 3 8 3 3 2" xfId="26795" xr:uid="{00000000-0005-0000-0000-000086A20000}"/>
    <cellStyle name="Prosent 2 3 4 2 2 3 8 3 3 2 2" xfId="42632" xr:uid="{00000000-0005-0000-0000-000087A20000}"/>
    <cellStyle name="Prosent 2 3 4 2 2 3 8 3 3 3" xfId="45373" xr:uid="{00000000-0005-0000-0000-000088A20000}"/>
    <cellStyle name="Prosent 2 3 4 2 2 3 8 3_Avviksanalyse løpende RNB15 (1)" xfId="17300" xr:uid="{00000000-0005-0000-0000-000089A20000}"/>
    <cellStyle name="Prosent 2 3 4 2 2 3 8 4" xfId="13837" xr:uid="{00000000-0005-0000-0000-00008AA20000}"/>
    <cellStyle name="Prosent 2 3 4 2 2 3 9" xfId="13841" xr:uid="{00000000-0005-0000-0000-00008BA20000}"/>
    <cellStyle name="Prosent 2 3 4 2 2 3 9 2" xfId="18727" xr:uid="{00000000-0005-0000-0000-00008CA20000}"/>
    <cellStyle name="Prosent 2 3 4 2 2 3 9 3" xfId="15834" xr:uid="{00000000-0005-0000-0000-00008DA20000}"/>
    <cellStyle name="Prosent 2 3 4 2 2 3 9 3 2" xfId="26796" xr:uid="{00000000-0005-0000-0000-00008EA20000}"/>
    <cellStyle name="Prosent 2 3 4 2 2 3 9 3 2 2" xfId="42390" xr:uid="{00000000-0005-0000-0000-00008FA20000}"/>
    <cellStyle name="Prosent 2 3 4 2 2 3 9 3 3" xfId="45374" xr:uid="{00000000-0005-0000-0000-000090A20000}"/>
    <cellStyle name="Prosent 2 3 4 2 2 3 9_Avviksanalyse løpende RNB15 (1)" xfId="17301" xr:uid="{00000000-0005-0000-0000-000091A20000}"/>
    <cellStyle name="Prosent 2 3 4 2 2 4" xfId="2891" xr:uid="{00000000-0005-0000-0000-000092A20000}"/>
    <cellStyle name="Prosent 2 3 4 2 2 4 2" xfId="2892" xr:uid="{00000000-0005-0000-0000-000093A20000}"/>
    <cellStyle name="Prosent 2 3 4 2 2 4 2 2" xfId="13844" xr:uid="{00000000-0005-0000-0000-000094A20000}"/>
    <cellStyle name="Prosent 2 3 4 2 2 4 2 2 2" xfId="18728" xr:uid="{00000000-0005-0000-0000-000095A20000}"/>
    <cellStyle name="Prosent 2 3 4 2 2 4 2 2 3" xfId="15850" xr:uid="{00000000-0005-0000-0000-000096A20000}"/>
    <cellStyle name="Prosent 2 3 4 2 2 4 2 2 3 2" xfId="26797" xr:uid="{00000000-0005-0000-0000-000097A20000}"/>
    <cellStyle name="Prosent 2 3 4 2 2 4 2 2 3 2 2" xfId="42406" xr:uid="{00000000-0005-0000-0000-000098A20000}"/>
    <cellStyle name="Prosent 2 3 4 2 2 4 2 2 3 3" xfId="45375" xr:uid="{00000000-0005-0000-0000-000099A20000}"/>
    <cellStyle name="Prosent 2 3 4 2 2 4 2 2_Avviksanalyse løpende RNB15 (1)" xfId="17302" xr:uid="{00000000-0005-0000-0000-00009AA20000}"/>
    <cellStyle name="Prosent 2 3 4 2 2 4 2 3" xfId="13843" xr:uid="{00000000-0005-0000-0000-00009BA20000}"/>
    <cellStyle name="Prosent 2 3 4 2 2 4 3" xfId="13845" xr:uid="{00000000-0005-0000-0000-00009CA20000}"/>
    <cellStyle name="Prosent 2 3 4 2 2 4 3 2" xfId="18729" xr:uid="{00000000-0005-0000-0000-00009DA20000}"/>
    <cellStyle name="Prosent 2 3 4 2 2 4 3 3" xfId="15849" xr:uid="{00000000-0005-0000-0000-00009EA20000}"/>
    <cellStyle name="Prosent 2 3 4 2 2 4 3 3 2" xfId="26798" xr:uid="{00000000-0005-0000-0000-00009FA20000}"/>
    <cellStyle name="Prosent 2 3 4 2 2 4 3 3 2 2" xfId="42405" xr:uid="{00000000-0005-0000-0000-0000A0A20000}"/>
    <cellStyle name="Prosent 2 3 4 2 2 4 3 3 3" xfId="45376" xr:uid="{00000000-0005-0000-0000-0000A1A20000}"/>
    <cellStyle name="Prosent 2 3 4 2 2 4 3_Avviksanalyse løpende RNB15 (1)" xfId="17303" xr:uid="{00000000-0005-0000-0000-0000A2A20000}"/>
    <cellStyle name="Prosent 2 3 4 2 2 4 4" xfId="13842" xr:uid="{00000000-0005-0000-0000-0000A3A20000}"/>
    <cellStyle name="Prosent 2 3 4 2 2 5" xfId="2893" xr:uid="{00000000-0005-0000-0000-0000A4A20000}"/>
    <cellStyle name="Prosent 2 3 4 2 2 5 2" xfId="2894" xr:uid="{00000000-0005-0000-0000-0000A5A20000}"/>
    <cellStyle name="Prosent 2 3 4 2 2 5 2 2" xfId="13848" xr:uid="{00000000-0005-0000-0000-0000A6A20000}"/>
    <cellStyle name="Prosent 2 3 4 2 2 5 2 2 2" xfId="18730" xr:uid="{00000000-0005-0000-0000-0000A7A20000}"/>
    <cellStyle name="Prosent 2 3 4 2 2 5 2 2 3" xfId="15852" xr:uid="{00000000-0005-0000-0000-0000A8A20000}"/>
    <cellStyle name="Prosent 2 3 4 2 2 5 2 2 3 2" xfId="26799" xr:uid="{00000000-0005-0000-0000-0000A9A20000}"/>
    <cellStyle name="Prosent 2 3 4 2 2 5 2 2 3 2 2" xfId="42408" xr:uid="{00000000-0005-0000-0000-0000AAA20000}"/>
    <cellStyle name="Prosent 2 3 4 2 2 5 2 2 3 3" xfId="45378" xr:uid="{00000000-0005-0000-0000-0000ABA20000}"/>
    <cellStyle name="Prosent 2 3 4 2 2 5 2 2_Avviksanalyse løpende RNB15 (1)" xfId="17304" xr:uid="{00000000-0005-0000-0000-0000ACA20000}"/>
    <cellStyle name="Prosent 2 3 4 2 2 5 2 3" xfId="13847" xr:uid="{00000000-0005-0000-0000-0000ADA20000}"/>
    <cellStyle name="Prosent 2 3 4 2 2 5 3" xfId="2895" xr:uid="{00000000-0005-0000-0000-0000AEA20000}"/>
    <cellStyle name="Prosent 2 3 4 2 2 5 3 2" xfId="13850" xr:uid="{00000000-0005-0000-0000-0000AFA20000}"/>
    <cellStyle name="Prosent 2 3 4 2 2 5 3 2 2" xfId="18731" xr:uid="{00000000-0005-0000-0000-0000B0A20000}"/>
    <cellStyle name="Prosent 2 3 4 2 2 5 3 2 3" xfId="15853" xr:uid="{00000000-0005-0000-0000-0000B1A20000}"/>
    <cellStyle name="Prosent 2 3 4 2 2 5 3 2 3 2" xfId="26800" xr:uid="{00000000-0005-0000-0000-0000B2A20000}"/>
    <cellStyle name="Prosent 2 3 4 2 2 5 3 2 3 2 2" xfId="42409" xr:uid="{00000000-0005-0000-0000-0000B3A20000}"/>
    <cellStyle name="Prosent 2 3 4 2 2 5 3 2 3 3" xfId="45379" xr:uid="{00000000-0005-0000-0000-0000B4A20000}"/>
    <cellStyle name="Prosent 2 3 4 2 2 5 3 2_Avviksanalyse løpende RNB15 (1)" xfId="17305" xr:uid="{00000000-0005-0000-0000-0000B5A20000}"/>
    <cellStyle name="Prosent 2 3 4 2 2 5 3 3" xfId="13849" xr:uid="{00000000-0005-0000-0000-0000B6A20000}"/>
    <cellStyle name="Prosent 2 3 4 2 2 5 4" xfId="2896" xr:uid="{00000000-0005-0000-0000-0000B7A20000}"/>
    <cellStyle name="Prosent 2 3 4 2 2 5 4 2" xfId="2897" xr:uid="{00000000-0005-0000-0000-0000B8A20000}"/>
    <cellStyle name="Prosent 2 3 4 2 2 5 4 2 2" xfId="13853" xr:uid="{00000000-0005-0000-0000-0000B9A20000}"/>
    <cellStyle name="Prosent 2 3 4 2 2 5 4 2 2 2" xfId="18732" xr:uid="{00000000-0005-0000-0000-0000BAA20000}"/>
    <cellStyle name="Prosent 2 3 4 2 2 5 4 2 2 3" xfId="15855" xr:uid="{00000000-0005-0000-0000-0000BBA20000}"/>
    <cellStyle name="Prosent 2 3 4 2 2 5 4 2 2 3 2" xfId="26801" xr:uid="{00000000-0005-0000-0000-0000BCA20000}"/>
    <cellStyle name="Prosent 2 3 4 2 2 5 4 2 2 3 2 2" xfId="42411" xr:uid="{00000000-0005-0000-0000-0000BDA20000}"/>
    <cellStyle name="Prosent 2 3 4 2 2 5 4 2 2 3 3" xfId="45380" xr:uid="{00000000-0005-0000-0000-0000BEA20000}"/>
    <cellStyle name="Prosent 2 3 4 2 2 5 4 2 2_Avviksanalyse løpende RNB15 (1)" xfId="17306" xr:uid="{00000000-0005-0000-0000-0000BFA20000}"/>
    <cellStyle name="Prosent 2 3 4 2 2 5 4 2 3" xfId="13852" xr:uid="{00000000-0005-0000-0000-0000C0A20000}"/>
    <cellStyle name="Prosent 2 3 4 2 2 5 4 3" xfId="2898" xr:uid="{00000000-0005-0000-0000-0000C1A20000}"/>
    <cellStyle name="Prosent 2 3 4 2 2 5 4 3 2" xfId="2899" xr:uid="{00000000-0005-0000-0000-0000C2A20000}"/>
    <cellStyle name="Prosent 2 3 4 2 2 5 4 3 2 2" xfId="13856" xr:uid="{00000000-0005-0000-0000-0000C3A20000}"/>
    <cellStyle name="Prosent 2 3 4 2 2 5 4 3 2 2 2" xfId="18733" xr:uid="{00000000-0005-0000-0000-0000C4A20000}"/>
    <cellStyle name="Prosent 2 3 4 2 2 5 4 3 2 2 3" xfId="16079" xr:uid="{00000000-0005-0000-0000-0000C5A20000}"/>
    <cellStyle name="Prosent 2 3 4 2 2 5 4 3 2 2 3 2" xfId="26802" xr:uid="{00000000-0005-0000-0000-0000C6A20000}"/>
    <cellStyle name="Prosent 2 3 4 2 2 5 4 3 2 2 3 2 2" xfId="42635" xr:uid="{00000000-0005-0000-0000-0000C7A20000}"/>
    <cellStyle name="Prosent 2 3 4 2 2 5 4 3 2 2 3 3" xfId="45381" xr:uid="{00000000-0005-0000-0000-0000C8A20000}"/>
    <cellStyle name="Prosent 2 3 4 2 2 5 4 3 2 2_Avviksanalyse løpende RNB15 (1)" xfId="17307" xr:uid="{00000000-0005-0000-0000-0000C9A20000}"/>
    <cellStyle name="Prosent 2 3 4 2 2 5 4 3 2 3" xfId="13855" xr:uid="{00000000-0005-0000-0000-0000CAA20000}"/>
    <cellStyle name="Prosent 2 3 4 2 2 5 4 3 3" xfId="13857" xr:uid="{00000000-0005-0000-0000-0000CBA20000}"/>
    <cellStyle name="Prosent 2 3 4 2 2 5 4 3 3 2" xfId="18734" xr:uid="{00000000-0005-0000-0000-0000CCA20000}"/>
    <cellStyle name="Prosent 2 3 4 2 2 5 4 3 3 3" xfId="16078" xr:uid="{00000000-0005-0000-0000-0000CDA20000}"/>
    <cellStyle name="Prosent 2 3 4 2 2 5 4 3 3 3 2" xfId="26803" xr:uid="{00000000-0005-0000-0000-0000CEA20000}"/>
    <cellStyle name="Prosent 2 3 4 2 2 5 4 3 3 3 2 2" xfId="42634" xr:uid="{00000000-0005-0000-0000-0000CFA20000}"/>
    <cellStyle name="Prosent 2 3 4 2 2 5 4 3 3 3 3" xfId="45382" xr:uid="{00000000-0005-0000-0000-0000D0A20000}"/>
    <cellStyle name="Prosent 2 3 4 2 2 5 4 3 3_Avviksanalyse løpende RNB15 (1)" xfId="17308" xr:uid="{00000000-0005-0000-0000-0000D1A20000}"/>
    <cellStyle name="Prosent 2 3 4 2 2 5 4 3 4" xfId="13854" xr:uid="{00000000-0005-0000-0000-0000D2A20000}"/>
    <cellStyle name="Prosent 2 3 4 2 2 5 4 4" xfId="2900" xr:uid="{00000000-0005-0000-0000-0000D3A20000}"/>
    <cellStyle name="Prosent 2 3 4 2 2 5 4 4 2" xfId="2901" xr:uid="{00000000-0005-0000-0000-0000D4A20000}"/>
    <cellStyle name="Prosent 2 3 4 2 2 5 4 4 2 2" xfId="13860" xr:uid="{00000000-0005-0000-0000-0000D5A20000}"/>
    <cellStyle name="Prosent 2 3 4 2 2 5 4 4 2 2 2" xfId="18735" xr:uid="{00000000-0005-0000-0000-0000D6A20000}"/>
    <cellStyle name="Prosent 2 3 4 2 2 5 4 4 2 2 3" xfId="16081" xr:uid="{00000000-0005-0000-0000-0000D7A20000}"/>
    <cellStyle name="Prosent 2 3 4 2 2 5 4 4 2 2 3 2" xfId="26804" xr:uid="{00000000-0005-0000-0000-0000D8A20000}"/>
    <cellStyle name="Prosent 2 3 4 2 2 5 4 4 2 2 3 2 2" xfId="42637" xr:uid="{00000000-0005-0000-0000-0000D9A20000}"/>
    <cellStyle name="Prosent 2 3 4 2 2 5 4 4 2 2 3 3" xfId="45383" xr:uid="{00000000-0005-0000-0000-0000DAA20000}"/>
    <cellStyle name="Prosent 2 3 4 2 2 5 4 4 2 2_Avviksanalyse løpende RNB15 (1)" xfId="17309" xr:uid="{00000000-0005-0000-0000-0000DBA20000}"/>
    <cellStyle name="Prosent 2 3 4 2 2 5 4 4 2 3" xfId="13859" xr:uid="{00000000-0005-0000-0000-0000DCA20000}"/>
    <cellStyle name="Prosent 2 3 4 2 2 5 4 4 3" xfId="13861" xr:uid="{00000000-0005-0000-0000-0000DDA20000}"/>
    <cellStyle name="Prosent 2 3 4 2 2 5 4 4 3 2" xfId="18736" xr:uid="{00000000-0005-0000-0000-0000DEA20000}"/>
    <cellStyle name="Prosent 2 3 4 2 2 5 4 4 3 3" xfId="16080" xr:uid="{00000000-0005-0000-0000-0000DFA20000}"/>
    <cellStyle name="Prosent 2 3 4 2 2 5 4 4 3 3 2" xfId="26805" xr:uid="{00000000-0005-0000-0000-0000E0A20000}"/>
    <cellStyle name="Prosent 2 3 4 2 2 5 4 4 3 3 2 2" xfId="42636" xr:uid="{00000000-0005-0000-0000-0000E1A20000}"/>
    <cellStyle name="Prosent 2 3 4 2 2 5 4 4 3 3 3" xfId="45384" xr:uid="{00000000-0005-0000-0000-0000E2A20000}"/>
    <cellStyle name="Prosent 2 3 4 2 2 5 4 4 3_Avviksanalyse løpende RNB15 (1)" xfId="17310" xr:uid="{00000000-0005-0000-0000-0000E3A20000}"/>
    <cellStyle name="Prosent 2 3 4 2 2 5 4 4 4" xfId="13858" xr:uid="{00000000-0005-0000-0000-0000E4A20000}"/>
    <cellStyle name="Prosent 2 3 4 2 2 5 4 5" xfId="13862" xr:uid="{00000000-0005-0000-0000-0000E5A20000}"/>
    <cellStyle name="Prosent 2 3 4 2 2 5 4 5 2" xfId="18737" xr:uid="{00000000-0005-0000-0000-0000E6A20000}"/>
    <cellStyle name="Prosent 2 3 4 2 2 5 4 5 3" xfId="15854" xr:uid="{00000000-0005-0000-0000-0000E7A20000}"/>
    <cellStyle name="Prosent 2 3 4 2 2 5 4 5 3 2" xfId="26806" xr:uid="{00000000-0005-0000-0000-0000E8A20000}"/>
    <cellStyle name="Prosent 2 3 4 2 2 5 4 5 3 2 2" xfId="42410" xr:uid="{00000000-0005-0000-0000-0000E9A20000}"/>
    <cellStyle name="Prosent 2 3 4 2 2 5 4 5 3 3" xfId="45385" xr:uid="{00000000-0005-0000-0000-0000EAA20000}"/>
    <cellStyle name="Prosent 2 3 4 2 2 5 4 5_Avviksanalyse løpende RNB15 (1)" xfId="17311" xr:uid="{00000000-0005-0000-0000-0000EBA20000}"/>
    <cellStyle name="Prosent 2 3 4 2 2 5 4 6" xfId="13851" xr:uid="{00000000-0005-0000-0000-0000ECA20000}"/>
    <cellStyle name="Prosent 2 3 4 2 2 5 5" xfId="2902" xr:uid="{00000000-0005-0000-0000-0000EDA20000}"/>
    <cellStyle name="Prosent 2 3 4 2 2 5 5 2" xfId="2903" xr:uid="{00000000-0005-0000-0000-0000EEA20000}"/>
    <cellStyle name="Prosent 2 3 4 2 2 5 5 2 2" xfId="13865" xr:uid="{00000000-0005-0000-0000-0000EFA20000}"/>
    <cellStyle name="Prosent 2 3 4 2 2 5 5 2 2 2" xfId="18738" xr:uid="{00000000-0005-0000-0000-0000F0A20000}"/>
    <cellStyle name="Prosent 2 3 4 2 2 5 5 2 2 3" xfId="15857" xr:uid="{00000000-0005-0000-0000-0000F1A20000}"/>
    <cellStyle name="Prosent 2 3 4 2 2 5 5 2 2 3 2" xfId="26807" xr:uid="{00000000-0005-0000-0000-0000F2A20000}"/>
    <cellStyle name="Prosent 2 3 4 2 2 5 5 2 2 3 2 2" xfId="42413" xr:uid="{00000000-0005-0000-0000-0000F3A20000}"/>
    <cellStyle name="Prosent 2 3 4 2 2 5 5 2 2 3 3" xfId="45386" xr:uid="{00000000-0005-0000-0000-0000F4A20000}"/>
    <cellStyle name="Prosent 2 3 4 2 2 5 5 2 2_Avviksanalyse løpende RNB15 (1)" xfId="17312" xr:uid="{00000000-0005-0000-0000-0000F5A20000}"/>
    <cellStyle name="Prosent 2 3 4 2 2 5 5 2 3" xfId="13864" xr:uid="{00000000-0005-0000-0000-0000F6A20000}"/>
    <cellStyle name="Prosent 2 3 4 2 2 5 5 3" xfId="2904" xr:uid="{00000000-0005-0000-0000-0000F7A20000}"/>
    <cellStyle name="Prosent 2 3 4 2 2 5 5 3 2" xfId="2905" xr:uid="{00000000-0005-0000-0000-0000F8A20000}"/>
    <cellStyle name="Prosent 2 3 4 2 2 5 5 3 2 2" xfId="13868" xr:uid="{00000000-0005-0000-0000-0000F9A20000}"/>
    <cellStyle name="Prosent 2 3 4 2 2 5 5 3 2 2 2" xfId="18739" xr:uid="{00000000-0005-0000-0000-0000FAA20000}"/>
    <cellStyle name="Prosent 2 3 4 2 2 5 5 3 2 2 3" xfId="16083" xr:uid="{00000000-0005-0000-0000-0000FBA20000}"/>
    <cellStyle name="Prosent 2 3 4 2 2 5 5 3 2 2 3 2" xfId="26808" xr:uid="{00000000-0005-0000-0000-0000FCA20000}"/>
    <cellStyle name="Prosent 2 3 4 2 2 5 5 3 2 2 3 2 2" xfId="42639" xr:uid="{00000000-0005-0000-0000-0000FDA20000}"/>
    <cellStyle name="Prosent 2 3 4 2 2 5 5 3 2 2 3 3" xfId="45387" xr:uid="{00000000-0005-0000-0000-0000FEA20000}"/>
    <cellStyle name="Prosent 2 3 4 2 2 5 5 3 2 2_Avviksanalyse løpende RNB15 (1)" xfId="17313" xr:uid="{00000000-0005-0000-0000-0000FFA20000}"/>
    <cellStyle name="Prosent 2 3 4 2 2 5 5 3 2 3" xfId="13867" xr:uid="{00000000-0005-0000-0000-000000A30000}"/>
    <cellStyle name="Prosent 2 3 4 2 2 5 5 3 3" xfId="13869" xr:uid="{00000000-0005-0000-0000-000001A30000}"/>
    <cellStyle name="Prosent 2 3 4 2 2 5 5 3 3 2" xfId="18740" xr:uid="{00000000-0005-0000-0000-000002A30000}"/>
    <cellStyle name="Prosent 2 3 4 2 2 5 5 3 3 3" xfId="16082" xr:uid="{00000000-0005-0000-0000-000003A30000}"/>
    <cellStyle name="Prosent 2 3 4 2 2 5 5 3 3 3 2" xfId="26809" xr:uid="{00000000-0005-0000-0000-000004A30000}"/>
    <cellStyle name="Prosent 2 3 4 2 2 5 5 3 3 3 2 2" xfId="42638" xr:uid="{00000000-0005-0000-0000-000005A30000}"/>
    <cellStyle name="Prosent 2 3 4 2 2 5 5 3 3 3 3" xfId="45388" xr:uid="{00000000-0005-0000-0000-000006A30000}"/>
    <cellStyle name="Prosent 2 3 4 2 2 5 5 3 3_Avviksanalyse løpende RNB15 (1)" xfId="17314" xr:uid="{00000000-0005-0000-0000-000007A30000}"/>
    <cellStyle name="Prosent 2 3 4 2 2 5 5 3 4" xfId="13866" xr:uid="{00000000-0005-0000-0000-000008A30000}"/>
    <cellStyle name="Prosent 2 3 4 2 2 5 5 4" xfId="2906" xr:uid="{00000000-0005-0000-0000-000009A30000}"/>
    <cellStyle name="Prosent 2 3 4 2 2 5 5 4 2" xfId="2907" xr:uid="{00000000-0005-0000-0000-00000AA30000}"/>
    <cellStyle name="Prosent 2 3 4 2 2 5 5 4 2 2" xfId="13872" xr:uid="{00000000-0005-0000-0000-00000BA30000}"/>
    <cellStyle name="Prosent 2 3 4 2 2 5 5 4 2 2 2" xfId="18741" xr:uid="{00000000-0005-0000-0000-00000CA30000}"/>
    <cellStyle name="Prosent 2 3 4 2 2 5 5 4 2 2 3" xfId="16085" xr:uid="{00000000-0005-0000-0000-00000DA30000}"/>
    <cellStyle name="Prosent 2 3 4 2 2 5 5 4 2 2 3 2" xfId="26810" xr:uid="{00000000-0005-0000-0000-00000EA30000}"/>
    <cellStyle name="Prosent 2 3 4 2 2 5 5 4 2 2 3 2 2" xfId="42641" xr:uid="{00000000-0005-0000-0000-00000FA30000}"/>
    <cellStyle name="Prosent 2 3 4 2 2 5 5 4 2 2 3 3" xfId="45389" xr:uid="{00000000-0005-0000-0000-000010A30000}"/>
    <cellStyle name="Prosent 2 3 4 2 2 5 5 4 2 2_Avviksanalyse løpende RNB15 (1)" xfId="17315" xr:uid="{00000000-0005-0000-0000-000011A30000}"/>
    <cellStyle name="Prosent 2 3 4 2 2 5 5 4 2 3" xfId="13871" xr:uid="{00000000-0005-0000-0000-000012A30000}"/>
    <cellStyle name="Prosent 2 3 4 2 2 5 5 4 3" xfId="13873" xr:uid="{00000000-0005-0000-0000-000013A30000}"/>
    <cellStyle name="Prosent 2 3 4 2 2 5 5 4 3 2" xfId="18742" xr:uid="{00000000-0005-0000-0000-000014A30000}"/>
    <cellStyle name="Prosent 2 3 4 2 2 5 5 4 3 3" xfId="16084" xr:uid="{00000000-0005-0000-0000-000015A30000}"/>
    <cellStyle name="Prosent 2 3 4 2 2 5 5 4 3 3 2" xfId="26811" xr:uid="{00000000-0005-0000-0000-000016A30000}"/>
    <cellStyle name="Prosent 2 3 4 2 2 5 5 4 3 3 2 2" xfId="42640" xr:uid="{00000000-0005-0000-0000-000017A30000}"/>
    <cellStyle name="Prosent 2 3 4 2 2 5 5 4 3 3 3" xfId="45390" xr:uid="{00000000-0005-0000-0000-000018A30000}"/>
    <cellStyle name="Prosent 2 3 4 2 2 5 5 4 3_Avviksanalyse løpende RNB15 (1)" xfId="17316" xr:uid="{00000000-0005-0000-0000-000019A30000}"/>
    <cellStyle name="Prosent 2 3 4 2 2 5 5 4 4" xfId="13870" xr:uid="{00000000-0005-0000-0000-00001AA30000}"/>
    <cellStyle name="Prosent 2 3 4 2 2 5 5 5" xfId="13874" xr:uid="{00000000-0005-0000-0000-00001BA30000}"/>
    <cellStyle name="Prosent 2 3 4 2 2 5 5 5 2" xfId="18743" xr:uid="{00000000-0005-0000-0000-00001CA30000}"/>
    <cellStyle name="Prosent 2 3 4 2 2 5 5 5 3" xfId="15856" xr:uid="{00000000-0005-0000-0000-00001DA30000}"/>
    <cellStyle name="Prosent 2 3 4 2 2 5 5 5 3 2" xfId="26812" xr:uid="{00000000-0005-0000-0000-00001EA30000}"/>
    <cellStyle name="Prosent 2 3 4 2 2 5 5 5 3 2 2" xfId="42412" xr:uid="{00000000-0005-0000-0000-00001FA30000}"/>
    <cellStyle name="Prosent 2 3 4 2 2 5 5 5 3 3" xfId="45391" xr:uid="{00000000-0005-0000-0000-000020A30000}"/>
    <cellStyle name="Prosent 2 3 4 2 2 5 5 5_Avviksanalyse løpende RNB15 (1)" xfId="17317" xr:uid="{00000000-0005-0000-0000-000021A30000}"/>
    <cellStyle name="Prosent 2 3 4 2 2 5 5 6" xfId="13863" xr:uid="{00000000-0005-0000-0000-000022A30000}"/>
    <cellStyle name="Prosent 2 3 4 2 2 5 6" xfId="2908" xr:uid="{00000000-0005-0000-0000-000023A30000}"/>
    <cellStyle name="Prosent 2 3 4 2 2 5 6 2" xfId="2909" xr:uid="{00000000-0005-0000-0000-000024A30000}"/>
    <cellStyle name="Prosent 2 3 4 2 2 5 6 2 2" xfId="13877" xr:uid="{00000000-0005-0000-0000-000025A30000}"/>
    <cellStyle name="Prosent 2 3 4 2 2 5 6 2 2 2" xfId="18744" xr:uid="{00000000-0005-0000-0000-000026A30000}"/>
    <cellStyle name="Prosent 2 3 4 2 2 5 6 2 2 3" xfId="16087" xr:uid="{00000000-0005-0000-0000-000027A30000}"/>
    <cellStyle name="Prosent 2 3 4 2 2 5 6 2 2 3 2" xfId="26813" xr:uid="{00000000-0005-0000-0000-000028A30000}"/>
    <cellStyle name="Prosent 2 3 4 2 2 5 6 2 2 3 2 2" xfId="42643" xr:uid="{00000000-0005-0000-0000-000029A30000}"/>
    <cellStyle name="Prosent 2 3 4 2 2 5 6 2 2 3 3" xfId="45392" xr:uid="{00000000-0005-0000-0000-00002AA30000}"/>
    <cellStyle name="Prosent 2 3 4 2 2 5 6 2 2_Avviksanalyse løpende RNB15 (1)" xfId="17318" xr:uid="{00000000-0005-0000-0000-00002BA30000}"/>
    <cellStyle name="Prosent 2 3 4 2 2 5 6 2 3" xfId="13876" xr:uid="{00000000-0005-0000-0000-00002CA30000}"/>
    <cellStyle name="Prosent 2 3 4 2 2 5 6 3" xfId="13878" xr:uid="{00000000-0005-0000-0000-00002DA30000}"/>
    <cellStyle name="Prosent 2 3 4 2 2 5 6 3 2" xfId="18745" xr:uid="{00000000-0005-0000-0000-00002EA30000}"/>
    <cellStyle name="Prosent 2 3 4 2 2 5 6 3 3" xfId="16086" xr:uid="{00000000-0005-0000-0000-00002FA30000}"/>
    <cellStyle name="Prosent 2 3 4 2 2 5 6 3 3 2" xfId="26814" xr:uid="{00000000-0005-0000-0000-000030A30000}"/>
    <cellStyle name="Prosent 2 3 4 2 2 5 6 3 3 2 2" xfId="42642" xr:uid="{00000000-0005-0000-0000-000031A30000}"/>
    <cellStyle name="Prosent 2 3 4 2 2 5 6 3 3 3" xfId="45393" xr:uid="{00000000-0005-0000-0000-000032A30000}"/>
    <cellStyle name="Prosent 2 3 4 2 2 5 6 3_Avviksanalyse løpende RNB15 (1)" xfId="17319" xr:uid="{00000000-0005-0000-0000-000033A30000}"/>
    <cellStyle name="Prosent 2 3 4 2 2 5 6 4" xfId="13875" xr:uid="{00000000-0005-0000-0000-000034A30000}"/>
    <cellStyle name="Prosent 2 3 4 2 2 5 7" xfId="2910" xr:uid="{00000000-0005-0000-0000-000035A30000}"/>
    <cellStyle name="Prosent 2 3 4 2 2 5 7 2" xfId="2911" xr:uid="{00000000-0005-0000-0000-000036A30000}"/>
    <cellStyle name="Prosent 2 3 4 2 2 5 7 2 2" xfId="13881" xr:uid="{00000000-0005-0000-0000-000037A30000}"/>
    <cellStyle name="Prosent 2 3 4 2 2 5 7 2 2 2" xfId="18746" xr:uid="{00000000-0005-0000-0000-000038A30000}"/>
    <cellStyle name="Prosent 2 3 4 2 2 5 7 2 2 3" xfId="16089" xr:uid="{00000000-0005-0000-0000-000039A30000}"/>
    <cellStyle name="Prosent 2 3 4 2 2 5 7 2 2 3 2" xfId="26815" xr:uid="{00000000-0005-0000-0000-00003AA30000}"/>
    <cellStyle name="Prosent 2 3 4 2 2 5 7 2 2 3 2 2" xfId="42645" xr:uid="{00000000-0005-0000-0000-00003BA30000}"/>
    <cellStyle name="Prosent 2 3 4 2 2 5 7 2 2 3 3" xfId="45394" xr:uid="{00000000-0005-0000-0000-00003CA30000}"/>
    <cellStyle name="Prosent 2 3 4 2 2 5 7 2 2_Avviksanalyse løpende RNB15 (1)" xfId="17320" xr:uid="{00000000-0005-0000-0000-00003DA30000}"/>
    <cellStyle name="Prosent 2 3 4 2 2 5 7 2 3" xfId="13880" xr:uid="{00000000-0005-0000-0000-00003EA30000}"/>
    <cellStyle name="Prosent 2 3 4 2 2 5 7 3" xfId="13882" xr:uid="{00000000-0005-0000-0000-00003FA30000}"/>
    <cellStyle name="Prosent 2 3 4 2 2 5 7 3 2" xfId="18747" xr:uid="{00000000-0005-0000-0000-000040A30000}"/>
    <cellStyle name="Prosent 2 3 4 2 2 5 7 3 3" xfId="16088" xr:uid="{00000000-0005-0000-0000-000041A30000}"/>
    <cellStyle name="Prosent 2 3 4 2 2 5 7 3 3 2" xfId="26816" xr:uid="{00000000-0005-0000-0000-000042A30000}"/>
    <cellStyle name="Prosent 2 3 4 2 2 5 7 3 3 2 2" xfId="42644" xr:uid="{00000000-0005-0000-0000-000043A30000}"/>
    <cellStyle name="Prosent 2 3 4 2 2 5 7 3 3 3" xfId="45395" xr:uid="{00000000-0005-0000-0000-000044A30000}"/>
    <cellStyle name="Prosent 2 3 4 2 2 5 7 3_Avviksanalyse løpende RNB15 (1)" xfId="17321" xr:uid="{00000000-0005-0000-0000-000045A30000}"/>
    <cellStyle name="Prosent 2 3 4 2 2 5 7 4" xfId="13879" xr:uid="{00000000-0005-0000-0000-000046A30000}"/>
    <cellStyle name="Prosent 2 3 4 2 2 5 8" xfId="13883" xr:uid="{00000000-0005-0000-0000-000047A30000}"/>
    <cellStyle name="Prosent 2 3 4 2 2 5 8 2" xfId="18748" xr:uid="{00000000-0005-0000-0000-000048A30000}"/>
    <cellStyle name="Prosent 2 3 4 2 2 5 8 3" xfId="15851" xr:uid="{00000000-0005-0000-0000-000049A30000}"/>
    <cellStyle name="Prosent 2 3 4 2 2 5 8 3 2" xfId="26817" xr:uid="{00000000-0005-0000-0000-00004AA30000}"/>
    <cellStyle name="Prosent 2 3 4 2 2 5 8 3 2 2" xfId="42407" xr:uid="{00000000-0005-0000-0000-00004BA30000}"/>
    <cellStyle name="Prosent 2 3 4 2 2 5 8 3 3" xfId="45396" xr:uid="{00000000-0005-0000-0000-00004CA30000}"/>
    <cellStyle name="Prosent 2 3 4 2 2 5 8_Avviksanalyse løpende RNB15 (1)" xfId="17322" xr:uid="{00000000-0005-0000-0000-00004DA30000}"/>
    <cellStyle name="Prosent 2 3 4 2 2 5 9" xfId="13846" xr:uid="{00000000-0005-0000-0000-00004EA30000}"/>
    <cellStyle name="Prosent 2 3 4 2 2 6" xfId="2912" xr:uid="{00000000-0005-0000-0000-00004FA30000}"/>
    <cellStyle name="Prosent 2 3 4 2 2 6 2" xfId="2913" xr:uid="{00000000-0005-0000-0000-000050A30000}"/>
    <cellStyle name="Prosent 2 3 4 2 2 6 2 2" xfId="13886" xr:uid="{00000000-0005-0000-0000-000051A30000}"/>
    <cellStyle name="Prosent 2 3 4 2 2 6 2 2 2" xfId="18749" xr:uid="{00000000-0005-0000-0000-000052A30000}"/>
    <cellStyle name="Prosent 2 3 4 2 2 6 2 2 3" xfId="15859" xr:uid="{00000000-0005-0000-0000-000053A30000}"/>
    <cellStyle name="Prosent 2 3 4 2 2 6 2 2 3 2" xfId="26818" xr:uid="{00000000-0005-0000-0000-000054A30000}"/>
    <cellStyle name="Prosent 2 3 4 2 2 6 2 2 3 2 2" xfId="42415" xr:uid="{00000000-0005-0000-0000-000055A30000}"/>
    <cellStyle name="Prosent 2 3 4 2 2 6 2 2 3 3" xfId="45397" xr:uid="{00000000-0005-0000-0000-000056A30000}"/>
    <cellStyle name="Prosent 2 3 4 2 2 6 2 2_Avviksanalyse løpende RNB15 (1)" xfId="17323" xr:uid="{00000000-0005-0000-0000-000057A30000}"/>
    <cellStyle name="Prosent 2 3 4 2 2 6 2 3" xfId="13885" xr:uid="{00000000-0005-0000-0000-000058A30000}"/>
    <cellStyle name="Prosent 2 3 4 2 2 6 3" xfId="2914" xr:uid="{00000000-0005-0000-0000-000059A30000}"/>
    <cellStyle name="Prosent 2 3 4 2 2 6 3 2" xfId="2915" xr:uid="{00000000-0005-0000-0000-00005AA30000}"/>
    <cellStyle name="Prosent 2 3 4 2 2 6 3 2 2" xfId="13889" xr:uid="{00000000-0005-0000-0000-00005BA30000}"/>
    <cellStyle name="Prosent 2 3 4 2 2 6 3 2 2 2" xfId="18750" xr:uid="{00000000-0005-0000-0000-00005CA30000}"/>
    <cellStyle name="Prosent 2 3 4 2 2 6 3 2 2 3" xfId="16091" xr:uid="{00000000-0005-0000-0000-00005DA30000}"/>
    <cellStyle name="Prosent 2 3 4 2 2 6 3 2 2 3 2" xfId="26819" xr:uid="{00000000-0005-0000-0000-00005EA30000}"/>
    <cellStyle name="Prosent 2 3 4 2 2 6 3 2 2 3 2 2" xfId="42647" xr:uid="{00000000-0005-0000-0000-00005FA30000}"/>
    <cellStyle name="Prosent 2 3 4 2 2 6 3 2 2 3 3" xfId="45398" xr:uid="{00000000-0005-0000-0000-000060A30000}"/>
    <cellStyle name="Prosent 2 3 4 2 2 6 3 2 2_Avviksanalyse løpende RNB15 (1)" xfId="17324" xr:uid="{00000000-0005-0000-0000-000061A30000}"/>
    <cellStyle name="Prosent 2 3 4 2 2 6 3 2 3" xfId="13888" xr:uid="{00000000-0005-0000-0000-000062A30000}"/>
    <cellStyle name="Prosent 2 3 4 2 2 6 3 3" xfId="13890" xr:uid="{00000000-0005-0000-0000-000063A30000}"/>
    <cellStyle name="Prosent 2 3 4 2 2 6 3 3 2" xfId="18751" xr:uid="{00000000-0005-0000-0000-000064A30000}"/>
    <cellStyle name="Prosent 2 3 4 2 2 6 3 3 3" xfId="16090" xr:uid="{00000000-0005-0000-0000-000065A30000}"/>
    <cellStyle name="Prosent 2 3 4 2 2 6 3 3 3 2" xfId="26820" xr:uid="{00000000-0005-0000-0000-000066A30000}"/>
    <cellStyle name="Prosent 2 3 4 2 2 6 3 3 3 2 2" xfId="42646" xr:uid="{00000000-0005-0000-0000-000067A30000}"/>
    <cellStyle name="Prosent 2 3 4 2 2 6 3 3 3 3" xfId="45399" xr:uid="{00000000-0005-0000-0000-000068A30000}"/>
    <cellStyle name="Prosent 2 3 4 2 2 6 3 3_Avviksanalyse løpende RNB15 (1)" xfId="17325" xr:uid="{00000000-0005-0000-0000-000069A30000}"/>
    <cellStyle name="Prosent 2 3 4 2 2 6 3 4" xfId="13887" xr:uid="{00000000-0005-0000-0000-00006AA30000}"/>
    <cellStyle name="Prosent 2 3 4 2 2 6 4" xfId="2916" xr:uid="{00000000-0005-0000-0000-00006BA30000}"/>
    <cellStyle name="Prosent 2 3 4 2 2 6 4 2" xfId="2917" xr:uid="{00000000-0005-0000-0000-00006CA30000}"/>
    <cellStyle name="Prosent 2 3 4 2 2 6 4 2 2" xfId="13893" xr:uid="{00000000-0005-0000-0000-00006DA30000}"/>
    <cellStyle name="Prosent 2 3 4 2 2 6 4 2 2 2" xfId="18752" xr:uid="{00000000-0005-0000-0000-00006EA30000}"/>
    <cellStyle name="Prosent 2 3 4 2 2 6 4 2 2 3" xfId="16093" xr:uid="{00000000-0005-0000-0000-00006FA30000}"/>
    <cellStyle name="Prosent 2 3 4 2 2 6 4 2 2 3 2" xfId="26821" xr:uid="{00000000-0005-0000-0000-000070A30000}"/>
    <cellStyle name="Prosent 2 3 4 2 2 6 4 2 2 3 2 2" xfId="42649" xr:uid="{00000000-0005-0000-0000-000071A30000}"/>
    <cellStyle name="Prosent 2 3 4 2 2 6 4 2 2 3 3" xfId="45400" xr:uid="{00000000-0005-0000-0000-000072A30000}"/>
    <cellStyle name="Prosent 2 3 4 2 2 6 4 2 2_Avviksanalyse løpende RNB15 (1)" xfId="17326" xr:uid="{00000000-0005-0000-0000-000073A30000}"/>
    <cellStyle name="Prosent 2 3 4 2 2 6 4 2 3" xfId="13892" xr:uid="{00000000-0005-0000-0000-000074A30000}"/>
    <cellStyle name="Prosent 2 3 4 2 2 6 4 3" xfId="13894" xr:uid="{00000000-0005-0000-0000-000075A30000}"/>
    <cellStyle name="Prosent 2 3 4 2 2 6 4 3 2" xfId="18753" xr:uid="{00000000-0005-0000-0000-000076A30000}"/>
    <cellStyle name="Prosent 2 3 4 2 2 6 4 3 3" xfId="16092" xr:uid="{00000000-0005-0000-0000-000077A30000}"/>
    <cellStyle name="Prosent 2 3 4 2 2 6 4 3 3 2" xfId="26822" xr:uid="{00000000-0005-0000-0000-000078A30000}"/>
    <cellStyle name="Prosent 2 3 4 2 2 6 4 3 3 2 2" xfId="42648" xr:uid="{00000000-0005-0000-0000-000079A30000}"/>
    <cellStyle name="Prosent 2 3 4 2 2 6 4 3 3 3" xfId="45401" xr:uid="{00000000-0005-0000-0000-00007AA30000}"/>
    <cellStyle name="Prosent 2 3 4 2 2 6 4 3_Avviksanalyse løpende RNB15 (1)" xfId="17327" xr:uid="{00000000-0005-0000-0000-00007BA30000}"/>
    <cellStyle name="Prosent 2 3 4 2 2 6 4 4" xfId="13891" xr:uid="{00000000-0005-0000-0000-00007CA30000}"/>
    <cellStyle name="Prosent 2 3 4 2 2 6 5" xfId="13895" xr:uid="{00000000-0005-0000-0000-00007DA30000}"/>
    <cellStyle name="Prosent 2 3 4 2 2 6 5 2" xfId="18754" xr:uid="{00000000-0005-0000-0000-00007EA30000}"/>
    <cellStyle name="Prosent 2 3 4 2 2 6 5 3" xfId="15858" xr:uid="{00000000-0005-0000-0000-00007FA30000}"/>
    <cellStyle name="Prosent 2 3 4 2 2 6 5 3 2" xfId="26823" xr:uid="{00000000-0005-0000-0000-000080A30000}"/>
    <cellStyle name="Prosent 2 3 4 2 2 6 5 3 2 2" xfId="42414" xr:uid="{00000000-0005-0000-0000-000081A30000}"/>
    <cellStyle name="Prosent 2 3 4 2 2 6 5 3 3" xfId="45402" xr:uid="{00000000-0005-0000-0000-000082A30000}"/>
    <cellStyle name="Prosent 2 3 4 2 2 6 5_Avviksanalyse løpende RNB15 (1)" xfId="17328" xr:uid="{00000000-0005-0000-0000-000083A30000}"/>
    <cellStyle name="Prosent 2 3 4 2 2 6 6" xfId="13884" xr:uid="{00000000-0005-0000-0000-000084A30000}"/>
    <cellStyle name="Prosent 2 3 4 2 2 7" xfId="2918" xr:uid="{00000000-0005-0000-0000-000085A30000}"/>
    <cellStyle name="Prosent 2 3 4 2 2 7 2" xfId="2919" xr:uid="{00000000-0005-0000-0000-000086A30000}"/>
    <cellStyle name="Prosent 2 3 4 2 2 7 2 2" xfId="13898" xr:uid="{00000000-0005-0000-0000-000087A30000}"/>
    <cellStyle name="Prosent 2 3 4 2 2 7 2 2 2" xfId="18755" xr:uid="{00000000-0005-0000-0000-000088A30000}"/>
    <cellStyle name="Prosent 2 3 4 2 2 7 2 2 3" xfId="15861" xr:uid="{00000000-0005-0000-0000-000089A30000}"/>
    <cellStyle name="Prosent 2 3 4 2 2 7 2 2 3 2" xfId="26824" xr:uid="{00000000-0005-0000-0000-00008AA30000}"/>
    <cellStyle name="Prosent 2 3 4 2 2 7 2 2 3 2 2" xfId="42417" xr:uid="{00000000-0005-0000-0000-00008BA30000}"/>
    <cellStyle name="Prosent 2 3 4 2 2 7 2 2 3 3" xfId="45403" xr:uid="{00000000-0005-0000-0000-00008CA30000}"/>
    <cellStyle name="Prosent 2 3 4 2 2 7 2 2_Avviksanalyse løpende RNB15 (1)" xfId="17329" xr:uid="{00000000-0005-0000-0000-00008DA30000}"/>
    <cellStyle name="Prosent 2 3 4 2 2 7 2 3" xfId="13897" xr:uid="{00000000-0005-0000-0000-00008EA30000}"/>
    <cellStyle name="Prosent 2 3 4 2 2 7 3" xfId="2920" xr:uid="{00000000-0005-0000-0000-00008FA30000}"/>
    <cellStyle name="Prosent 2 3 4 2 2 7 3 2" xfId="2921" xr:uid="{00000000-0005-0000-0000-000090A30000}"/>
    <cellStyle name="Prosent 2 3 4 2 2 7 3 2 2" xfId="13901" xr:uid="{00000000-0005-0000-0000-000091A30000}"/>
    <cellStyle name="Prosent 2 3 4 2 2 7 3 2 2 2" xfId="18756" xr:uid="{00000000-0005-0000-0000-000092A30000}"/>
    <cellStyle name="Prosent 2 3 4 2 2 7 3 2 2 3" xfId="16095" xr:uid="{00000000-0005-0000-0000-000093A30000}"/>
    <cellStyle name="Prosent 2 3 4 2 2 7 3 2 2 3 2" xfId="26825" xr:uid="{00000000-0005-0000-0000-000094A30000}"/>
    <cellStyle name="Prosent 2 3 4 2 2 7 3 2 2 3 2 2" xfId="42651" xr:uid="{00000000-0005-0000-0000-000095A30000}"/>
    <cellStyle name="Prosent 2 3 4 2 2 7 3 2 2 3 3" xfId="45404" xr:uid="{00000000-0005-0000-0000-000096A30000}"/>
    <cellStyle name="Prosent 2 3 4 2 2 7 3 2 2_Avviksanalyse løpende RNB15 (1)" xfId="17330" xr:uid="{00000000-0005-0000-0000-000097A30000}"/>
    <cellStyle name="Prosent 2 3 4 2 2 7 3 2 3" xfId="13900" xr:uid="{00000000-0005-0000-0000-000098A30000}"/>
    <cellStyle name="Prosent 2 3 4 2 2 7 3 3" xfId="13902" xr:uid="{00000000-0005-0000-0000-000099A30000}"/>
    <cellStyle name="Prosent 2 3 4 2 2 7 3 3 2" xfId="18757" xr:uid="{00000000-0005-0000-0000-00009AA30000}"/>
    <cellStyle name="Prosent 2 3 4 2 2 7 3 3 3" xfId="16094" xr:uid="{00000000-0005-0000-0000-00009BA30000}"/>
    <cellStyle name="Prosent 2 3 4 2 2 7 3 3 3 2" xfId="26826" xr:uid="{00000000-0005-0000-0000-00009CA30000}"/>
    <cellStyle name="Prosent 2 3 4 2 2 7 3 3 3 2 2" xfId="42650" xr:uid="{00000000-0005-0000-0000-00009DA30000}"/>
    <cellStyle name="Prosent 2 3 4 2 2 7 3 3 3 3" xfId="45405" xr:uid="{00000000-0005-0000-0000-00009EA30000}"/>
    <cellStyle name="Prosent 2 3 4 2 2 7 3 3_Avviksanalyse løpende RNB15 (1)" xfId="17331" xr:uid="{00000000-0005-0000-0000-00009FA30000}"/>
    <cellStyle name="Prosent 2 3 4 2 2 7 3 4" xfId="13899" xr:uid="{00000000-0005-0000-0000-0000A0A30000}"/>
    <cellStyle name="Prosent 2 3 4 2 2 7 4" xfId="2922" xr:uid="{00000000-0005-0000-0000-0000A1A30000}"/>
    <cellStyle name="Prosent 2 3 4 2 2 7 4 2" xfId="2923" xr:uid="{00000000-0005-0000-0000-0000A2A30000}"/>
    <cellStyle name="Prosent 2 3 4 2 2 7 4 2 2" xfId="13905" xr:uid="{00000000-0005-0000-0000-0000A3A30000}"/>
    <cellStyle name="Prosent 2 3 4 2 2 7 4 2 2 2" xfId="18758" xr:uid="{00000000-0005-0000-0000-0000A4A30000}"/>
    <cellStyle name="Prosent 2 3 4 2 2 7 4 2 2 3" xfId="16097" xr:uid="{00000000-0005-0000-0000-0000A5A30000}"/>
    <cellStyle name="Prosent 2 3 4 2 2 7 4 2 2 3 2" xfId="26827" xr:uid="{00000000-0005-0000-0000-0000A6A30000}"/>
    <cellStyle name="Prosent 2 3 4 2 2 7 4 2 2 3 2 2" xfId="42653" xr:uid="{00000000-0005-0000-0000-0000A7A30000}"/>
    <cellStyle name="Prosent 2 3 4 2 2 7 4 2 2 3 3" xfId="45406" xr:uid="{00000000-0005-0000-0000-0000A8A30000}"/>
    <cellStyle name="Prosent 2 3 4 2 2 7 4 2 2_Avviksanalyse løpende RNB15 (1)" xfId="17332" xr:uid="{00000000-0005-0000-0000-0000A9A30000}"/>
    <cellStyle name="Prosent 2 3 4 2 2 7 4 2 3" xfId="13904" xr:uid="{00000000-0005-0000-0000-0000AAA30000}"/>
    <cellStyle name="Prosent 2 3 4 2 2 7 4 3" xfId="13906" xr:uid="{00000000-0005-0000-0000-0000ABA30000}"/>
    <cellStyle name="Prosent 2 3 4 2 2 7 4 3 2" xfId="18759" xr:uid="{00000000-0005-0000-0000-0000ACA30000}"/>
    <cellStyle name="Prosent 2 3 4 2 2 7 4 3 3" xfId="16096" xr:uid="{00000000-0005-0000-0000-0000ADA30000}"/>
    <cellStyle name="Prosent 2 3 4 2 2 7 4 3 3 2" xfId="26828" xr:uid="{00000000-0005-0000-0000-0000AEA30000}"/>
    <cellStyle name="Prosent 2 3 4 2 2 7 4 3 3 2 2" xfId="42652" xr:uid="{00000000-0005-0000-0000-0000AFA30000}"/>
    <cellStyle name="Prosent 2 3 4 2 2 7 4 3 3 3" xfId="45407" xr:uid="{00000000-0005-0000-0000-0000B0A30000}"/>
    <cellStyle name="Prosent 2 3 4 2 2 7 4 3_Avviksanalyse løpende RNB15 (1)" xfId="17333" xr:uid="{00000000-0005-0000-0000-0000B1A30000}"/>
    <cellStyle name="Prosent 2 3 4 2 2 7 4 4" xfId="13903" xr:uid="{00000000-0005-0000-0000-0000B2A30000}"/>
    <cellStyle name="Prosent 2 3 4 2 2 7 5" xfId="13907" xr:uid="{00000000-0005-0000-0000-0000B3A30000}"/>
    <cellStyle name="Prosent 2 3 4 2 2 7 5 2" xfId="18760" xr:uid="{00000000-0005-0000-0000-0000B4A30000}"/>
    <cellStyle name="Prosent 2 3 4 2 2 7 5 3" xfId="15860" xr:uid="{00000000-0005-0000-0000-0000B5A30000}"/>
    <cellStyle name="Prosent 2 3 4 2 2 7 5 3 2" xfId="26829" xr:uid="{00000000-0005-0000-0000-0000B6A30000}"/>
    <cellStyle name="Prosent 2 3 4 2 2 7 5 3 2 2" xfId="42416" xr:uid="{00000000-0005-0000-0000-0000B7A30000}"/>
    <cellStyle name="Prosent 2 3 4 2 2 7 5 3 3" xfId="45408" xr:uid="{00000000-0005-0000-0000-0000B8A30000}"/>
    <cellStyle name="Prosent 2 3 4 2 2 7 5_Avviksanalyse løpende RNB15 (1)" xfId="17334" xr:uid="{00000000-0005-0000-0000-0000B9A30000}"/>
    <cellStyle name="Prosent 2 3 4 2 2 7 6" xfId="13896" xr:uid="{00000000-0005-0000-0000-0000BAA30000}"/>
    <cellStyle name="Prosent 2 3 4 2 2 8" xfId="2924" xr:uid="{00000000-0005-0000-0000-0000BBA30000}"/>
    <cellStyle name="Prosent 2 3 4 2 2 8 2" xfId="2925" xr:uid="{00000000-0005-0000-0000-0000BCA30000}"/>
    <cellStyle name="Prosent 2 3 4 2 2 8 2 2" xfId="13910" xr:uid="{00000000-0005-0000-0000-0000BDA30000}"/>
    <cellStyle name="Prosent 2 3 4 2 2 8 2 2 2" xfId="18761" xr:uid="{00000000-0005-0000-0000-0000BEA30000}"/>
    <cellStyle name="Prosent 2 3 4 2 2 8 2 2 3" xfId="16099" xr:uid="{00000000-0005-0000-0000-0000BFA30000}"/>
    <cellStyle name="Prosent 2 3 4 2 2 8 2 2 3 2" xfId="26830" xr:uid="{00000000-0005-0000-0000-0000C0A30000}"/>
    <cellStyle name="Prosent 2 3 4 2 2 8 2 2 3 2 2" xfId="42655" xr:uid="{00000000-0005-0000-0000-0000C1A30000}"/>
    <cellStyle name="Prosent 2 3 4 2 2 8 2 2 3 3" xfId="45409" xr:uid="{00000000-0005-0000-0000-0000C2A30000}"/>
    <cellStyle name="Prosent 2 3 4 2 2 8 2 2_Avviksanalyse løpende RNB15 (1)" xfId="17335" xr:uid="{00000000-0005-0000-0000-0000C3A30000}"/>
    <cellStyle name="Prosent 2 3 4 2 2 8 2 3" xfId="13909" xr:uid="{00000000-0005-0000-0000-0000C4A30000}"/>
    <cellStyle name="Prosent 2 3 4 2 2 8 3" xfId="13911" xr:uid="{00000000-0005-0000-0000-0000C5A30000}"/>
    <cellStyle name="Prosent 2 3 4 2 2 8 3 2" xfId="18762" xr:uid="{00000000-0005-0000-0000-0000C6A30000}"/>
    <cellStyle name="Prosent 2 3 4 2 2 8 3 3" xfId="16098" xr:uid="{00000000-0005-0000-0000-0000C7A30000}"/>
    <cellStyle name="Prosent 2 3 4 2 2 8 3 3 2" xfId="26831" xr:uid="{00000000-0005-0000-0000-0000C8A30000}"/>
    <cellStyle name="Prosent 2 3 4 2 2 8 3 3 2 2" xfId="42654" xr:uid="{00000000-0005-0000-0000-0000C9A30000}"/>
    <cellStyle name="Prosent 2 3 4 2 2 8 3 3 3" xfId="45410" xr:uid="{00000000-0005-0000-0000-0000CAA30000}"/>
    <cellStyle name="Prosent 2 3 4 2 2 8 3_Avviksanalyse løpende RNB15 (1)" xfId="17336" xr:uid="{00000000-0005-0000-0000-0000CBA30000}"/>
    <cellStyle name="Prosent 2 3 4 2 2 8 4" xfId="13908" xr:uid="{00000000-0005-0000-0000-0000CCA30000}"/>
    <cellStyle name="Prosent 2 3 4 2 2 9" xfId="2926" xr:uid="{00000000-0005-0000-0000-0000CDA30000}"/>
    <cellStyle name="Prosent 2 3 4 2 2 9 2" xfId="2927" xr:uid="{00000000-0005-0000-0000-0000CEA30000}"/>
    <cellStyle name="Prosent 2 3 4 2 2 9 2 2" xfId="13914" xr:uid="{00000000-0005-0000-0000-0000CFA30000}"/>
    <cellStyle name="Prosent 2 3 4 2 2 9 2 2 2" xfId="18763" xr:uid="{00000000-0005-0000-0000-0000D0A30000}"/>
    <cellStyle name="Prosent 2 3 4 2 2 9 2 2 3" xfId="16101" xr:uid="{00000000-0005-0000-0000-0000D1A30000}"/>
    <cellStyle name="Prosent 2 3 4 2 2 9 2 2 3 2" xfId="26832" xr:uid="{00000000-0005-0000-0000-0000D2A30000}"/>
    <cellStyle name="Prosent 2 3 4 2 2 9 2 2 3 2 2" xfId="42657" xr:uid="{00000000-0005-0000-0000-0000D3A30000}"/>
    <cellStyle name="Prosent 2 3 4 2 2 9 2 2 3 3" xfId="45411" xr:uid="{00000000-0005-0000-0000-0000D4A30000}"/>
    <cellStyle name="Prosent 2 3 4 2 2 9 2 2_Avviksanalyse løpende RNB15 (1)" xfId="17337" xr:uid="{00000000-0005-0000-0000-0000D5A30000}"/>
    <cellStyle name="Prosent 2 3 4 2 2 9 2 3" xfId="13913" xr:uid="{00000000-0005-0000-0000-0000D6A30000}"/>
    <cellStyle name="Prosent 2 3 4 2 2 9 3" xfId="13915" xr:uid="{00000000-0005-0000-0000-0000D7A30000}"/>
    <cellStyle name="Prosent 2 3 4 2 2 9 3 2" xfId="18764" xr:uid="{00000000-0005-0000-0000-0000D8A30000}"/>
    <cellStyle name="Prosent 2 3 4 2 2 9 3 3" xfId="16100" xr:uid="{00000000-0005-0000-0000-0000D9A30000}"/>
    <cellStyle name="Prosent 2 3 4 2 2 9 3 3 2" xfId="26833" xr:uid="{00000000-0005-0000-0000-0000DAA30000}"/>
    <cellStyle name="Prosent 2 3 4 2 2 9 3 3 2 2" xfId="42656" xr:uid="{00000000-0005-0000-0000-0000DBA30000}"/>
    <cellStyle name="Prosent 2 3 4 2 2 9 3 3 3" xfId="45412" xr:uid="{00000000-0005-0000-0000-0000DCA30000}"/>
    <cellStyle name="Prosent 2 3 4 2 2 9 3_Avviksanalyse løpende RNB15 (1)" xfId="17338" xr:uid="{00000000-0005-0000-0000-0000DDA30000}"/>
    <cellStyle name="Prosent 2 3 4 2 2 9 4" xfId="13912" xr:uid="{00000000-0005-0000-0000-0000DEA30000}"/>
    <cellStyle name="Prosent 2 3 4 2 3" xfId="13916" xr:uid="{00000000-0005-0000-0000-0000DFA30000}"/>
    <cellStyle name="Prosent 2 3 4 2 3 2" xfId="18765" xr:uid="{00000000-0005-0000-0000-0000E0A30000}"/>
    <cellStyle name="Prosent 2 3 4 2 3 3" xfId="15765" xr:uid="{00000000-0005-0000-0000-0000E1A30000}"/>
    <cellStyle name="Prosent 2 3 4 2 3 3 2" xfId="26834" xr:uid="{00000000-0005-0000-0000-0000E2A30000}"/>
    <cellStyle name="Prosent 2 3 4 2 3 3 2 2" xfId="42321" xr:uid="{00000000-0005-0000-0000-0000E3A30000}"/>
    <cellStyle name="Prosent 2 3 4 2 3 3 3" xfId="45413" xr:uid="{00000000-0005-0000-0000-0000E4A30000}"/>
    <cellStyle name="Prosent 2 3 4 2 3_Avviksanalyse løpende RNB15 (1)" xfId="17339" xr:uid="{00000000-0005-0000-0000-0000E5A30000}"/>
    <cellStyle name="Prosent 2 3 4 2 4" xfId="13759" xr:uid="{00000000-0005-0000-0000-0000E6A30000}"/>
    <cellStyle name="Prosent 2 3 4 3" xfId="2928" xr:uid="{00000000-0005-0000-0000-0000E7A30000}"/>
    <cellStyle name="Prosent 2 3 4 3 2" xfId="13918" xr:uid="{00000000-0005-0000-0000-0000E8A30000}"/>
    <cellStyle name="Prosent 2 3 4 3 2 2" xfId="18766" xr:uid="{00000000-0005-0000-0000-0000E9A30000}"/>
    <cellStyle name="Prosent 2 3 4 3 2 3" xfId="15767" xr:uid="{00000000-0005-0000-0000-0000EAA30000}"/>
    <cellStyle name="Prosent 2 3 4 3 2 3 2" xfId="26835" xr:uid="{00000000-0005-0000-0000-0000EBA30000}"/>
    <cellStyle name="Prosent 2 3 4 3 2 3 2 2" xfId="42323" xr:uid="{00000000-0005-0000-0000-0000ECA30000}"/>
    <cellStyle name="Prosent 2 3 4 3 2 3 3" xfId="45414" xr:uid="{00000000-0005-0000-0000-0000EDA30000}"/>
    <cellStyle name="Prosent 2 3 4 3 2_Avviksanalyse løpende RNB15 (1)" xfId="17340" xr:uid="{00000000-0005-0000-0000-0000EEA30000}"/>
    <cellStyle name="Prosent 2 3 4 3 3" xfId="13917" xr:uid="{00000000-0005-0000-0000-0000EFA30000}"/>
    <cellStyle name="Prosent 2 3 4 4" xfId="2929" xr:uid="{00000000-0005-0000-0000-0000F0A30000}"/>
    <cellStyle name="Prosent 2 3 4 4 10" xfId="13920" xr:uid="{00000000-0005-0000-0000-0000F1A30000}"/>
    <cellStyle name="Prosent 2 3 4 4 10 2" xfId="18767" xr:uid="{00000000-0005-0000-0000-0000F2A30000}"/>
    <cellStyle name="Prosent 2 3 4 4 10 3" xfId="15764" xr:uid="{00000000-0005-0000-0000-0000F3A30000}"/>
    <cellStyle name="Prosent 2 3 4 4 10 3 2" xfId="26836" xr:uid="{00000000-0005-0000-0000-0000F4A30000}"/>
    <cellStyle name="Prosent 2 3 4 4 10 3 2 2" xfId="42320" xr:uid="{00000000-0005-0000-0000-0000F5A30000}"/>
    <cellStyle name="Prosent 2 3 4 4 10 3 3" xfId="45415" xr:uid="{00000000-0005-0000-0000-0000F6A30000}"/>
    <cellStyle name="Prosent 2 3 4 4 10_Avviksanalyse løpende RNB15 (1)" xfId="17341" xr:uid="{00000000-0005-0000-0000-0000F7A30000}"/>
    <cellStyle name="Prosent 2 3 4 4 11" xfId="13919" xr:uid="{00000000-0005-0000-0000-0000F8A30000}"/>
    <cellStyle name="Prosent 2 3 4 4 2" xfId="2930" xr:uid="{00000000-0005-0000-0000-0000F9A30000}"/>
    <cellStyle name="Prosent 2 3 4 4 2 2" xfId="13922" xr:uid="{00000000-0005-0000-0000-0000FAA30000}"/>
    <cellStyle name="Prosent 2 3 4 4 2 2 2" xfId="18768" xr:uid="{00000000-0005-0000-0000-0000FBA30000}"/>
    <cellStyle name="Prosent 2 3 4 4 2 2 3" xfId="15862" xr:uid="{00000000-0005-0000-0000-0000FCA30000}"/>
    <cellStyle name="Prosent 2 3 4 4 2 2 3 2" xfId="26837" xr:uid="{00000000-0005-0000-0000-0000FDA30000}"/>
    <cellStyle name="Prosent 2 3 4 4 2 2 3 2 2" xfId="42418" xr:uid="{00000000-0005-0000-0000-0000FEA30000}"/>
    <cellStyle name="Prosent 2 3 4 4 2 2 3 3" xfId="45416" xr:uid="{00000000-0005-0000-0000-0000FFA30000}"/>
    <cellStyle name="Prosent 2 3 4 4 2 2_Avviksanalyse løpende RNB15 (1)" xfId="17342" xr:uid="{00000000-0005-0000-0000-000000A40000}"/>
    <cellStyle name="Prosent 2 3 4 4 2 3" xfId="13921" xr:uid="{00000000-0005-0000-0000-000001A40000}"/>
    <cellStyle name="Prosent 2 3 4 4 3" xfId="2931" xr:uid="{00000000-0005-0000-0000-000002A40000}"/>
    <cellStyle name="Prosent 2 3 4 4 3 2" xfId="2932" xr:uid="{00000000-0005-0000-0000-000003A40000}"/>
    <cellStyle name="Prosent 2 3 4 4 3 2 2" xfId="13925" xr:uid="{00000000-0005-0000-0000-000004A40000}"/>
    <cellStyle name="Prosent 2 3 4 4 3 2 2 2" xfId="18769" xr:uid="{00000000-0005-0000-0000-000005A40000}"/>
    <cellStyle name="Prosent 2 3 4 4 3 2 2 3" xfId="15864" xr:uid="{00000000-0005-0000-0000-000006A40000}"/>
    <cellStyle name="Prosent 2 3 4 4 3 2 2 3 2" xfId="26838" xr:uid="{00000000-0005-0000-0000-000007A40000}"/>
    <cellStyle name="Prosent 2 3 4 4 3 2 2 3 2 2" xfId="42420" xr:uid="{00000000-0005-0000-0000-000008A40000}"/>
    <cellStyle name="Prosent 2 3 4 4 3 2 2 3 3" xfId="45417" xr:uid="{00000000-0005-0000-0000-000009A40000}"/>
    <cellStyle name="Prosent 2 3 4 4 3 2 2_Avviksanalyse løpende RNB15 (1)" xfId="17343" xr:uid="{00000000-0005-0000-0000-00000AA40000}"/>
    <cellStyle name="Prosent 2 3 4 4 3 2 3" xfId="13924" xr:uid="{00000000-0005-0000-0000-00000BA40000}"/>
    <cellStyle name="Prosent 2 3 4 4 3 3" xfId="2933" xr:uid="{00000000-0005-0000-0000-00000CA40000}"/>
    <cellStyle name="Prosent 2 3 4 4 3 3 2" xfId="13927" xr:uid="{00000000-0005-0000-0000-00000DA40000}"/>
    <cellStyle name="Prosent 2 3 4 4 3 3 2 2" xfId="18770" xr:uid="{00000000-0005-0000-0000-00000EA40000}"/>
    <cellStyle name="Prosent 2 3 4 4 3 3 2 3" xfId="15865" xr:uid="{00000000-0005-0000-0000-00000FA40000}"/>
    <cellStyle name="Prosent 2 3 4 4 3 3 2 3 2" xfId="26839" xr:uid="{00000000-0005-0000-0000-000010A40000}"/>
    <cellStyle name="Prosent 2 3 4 4 3 3 2 3 2 2" xfId="42421" xr:uid="{00000000-0005-0000-0000-000011A40000}"/>
    <cellStyle name="Prosent 2 3 4 4 3 3 2 3 3" xfId="45418" xr:uid="{00000000-0005-0000-0000-000012A40000}"/>
    <cellStyle name="Prosent 2 3 4 4 3 3 2_Avviksanalyse løpende RNB15 (1)" xfId="17344" xr:uid="{00000000-0005-0000-0000-000013A40000}"/>
    <cellStyle name="Prosent 2 3 4 4 3 3 3" xfId="13926" xr:uid="{00000000-0005-0000-0000-000014A40000}"/>
    <cellStyle name="Prosent 2 3 4 4 3 4" xfId="2934" xr:uid="{00000000-0005-0000-0000-000015A40000}"/>
    <cellStyle name="Prosent 2 3 4 4 3 4 2" xfId="2935" xr:uid="{00000000-0005-0000-0000-000016A40000}"/>
    <cellStyle name="Prosent 2 3 4 4 3 4 2 2" xfId="2936" xr:uid="{00000000-0005-0000-0000-000017A40000}"/>
    <cellStyle name="Prosent 2 3 4 4 3 4 2 2 2" xfId="13931" xr:uid="{00000000-0005-0000-0000-000018A40000}"/>
    <cellStyle name="Prosent 2 3 4 4 3 4 2 2 2 2" xfId="18771" xr:uid="{00000000-0005-0000-0000-000019A40000}"/>
    <cellStyle name="Prosent 2 3 4 4 3 4 2 2 2 3" xfId="15868" xr:uid="{00000000-0005-0000-0000-00001AA40000}"/>
    <cellStyle name="Prosent 2 3 4 4 3 4 2 2 2 3 2" xfId="26840" xr:uid="{00000000-0005-0000-0000-00001BA40000}"/>
    <cellStyle name="Prosent 2 3 4 4 3 4 2 2 2 3 2 2" xfId="42424" xr:uid="{00000000-0005-0000-0000-00001CA40000}"/>
    <cellStyle name="Prosent 2 3 4 4 3 4 2 2 2 3 3" xfId="45419" xr:uid="{00000000-0005-0000-0000-00001DA40000}"/>
    <cellStyle name="Prosent 2 3 4 4 3 4 2 2 2_Avviksanalyse løpende RNB15 (1)" xfId="17345" xr:uid="{00000000-0005-0000-0000-00001EA40000}"/>
    <cellStyle name="Prosent 2 3 4 4 3 4 2 2 3" xfId="13930" xr:uid="{00000000-0005-0000-0000-00001FA40000}"/>
    <cellStyle name="Prosent 2 3 4 4 3 4 2 3" xfId="2937" xr:uid="{00000000-0005-0000-0000-000020A40000}"/>
    <cellStyle name="Prosent 2 3 4 4 3 4 2 3 2" xfId="2938" xr:uid="{00000000-0005-0000-0000-000021A40000}"/>
    <cellStyle name="Prosent 2 3 4 4 3 4 2 3 2 2" xfId="13934" xr:uid="{00000000-0005-0000-0000-000022A40000}"/>
    <cellStyle name="Prosent 2 3 4 4 3 4 2 3 2 2 2" xfId="18772" xr:uid="{00000000-0005-0000-0000-000023A40000}"/>
    <cellStyle name="Prosent 2 3 4 4 3 4 2 3 2 2 3" xfId="16103" xr:uid="{00000000-0005-0000-0000-000024A40000}"/>
    <cellStyle name="Prosent 2 3 4 4 3 4 2 3 2 2 3 2" xfId="26841" xr:uid="{00000000-0005-0000-0000-000025A40000}"/>
    <cellStyle name="Prosent 2 3 4 4 3 4 2 3 2 2 3 2 2" xfId="42659" xr:uid="{00000000-0005-0000-0000-000026A40000}"/>
    <cellStyle name="Prosent 2 3 4 4 3 4 2 3 2 2 3 3" xfId="45420" xr:uid="{00000000-0005-0000-0000-000027A40000}"/>
    <cellStyle name="Prosent 2 3 4 4 3 4 2 3 2 2_Avviksanalyse løpende RNB15 (1)" xfId="17346" xr:uid="{00000000-0005-0000-0000-000028A40000}"/>
    <cellStyle name="Prosent 2 3 4 4 3 4 2 3 2 3" xfId="13933" xr:uid="{00000000-0005-0000-0000-000029A40000}"/>
    <cellStyle name="Prosent 2 3 4 4 3 4 2 3 3" xfId="13935" xr:uid="{00000000-0005-0000-0000-00002AA40000}"/>
    <cellStyle name="Prosent 2 3 4 4 3 4 2 3 3 2" xfId="18773" xr:uid="{00000000-0005-0000-0000-00002BA40000}"/>
    <cellStyle name="Prosent 2 3 4 4 3 4 2 3 3 3" xfId="16102" xr:uid="{00000000-0005-0000-0000-00002CA40000}"/>
    <cellStyle name="Prosent 2 3 4 4 3 4 2 3 3 3 2" xfId="26842" xr:uid="{00000000-0005-0000-0000-00002DA40000}"/>
    <cellStyle name="Prosent 2 3 4 4 3 4 2 3 3 3 2 2" xfId="42658" xr:uid="{00000000-0005-0000-0000-00002EA40000}"/>
    <cellStyle name="Prosent 2 3 4 4 3 4 2 3 3 3 3" xfId="45421" xr:uid="{00000000-0005-0000-0000-00002FA40000}"/>
    <cellStyle name="Prosent 2 3 4 4 3 4 2 3 3_Avviksanalyse løpende RNB15 (1)" xfId="17347" xr:uid="{00000000-0005-0000-0000-000030A40000}"/>
    <cellStyle name="Prosent 2 3 4 4 3 4 2 3 4" xfId="13932" xr:uid="{00000000-0005-0000-0000-000031A40000}"/>
    <cellStyle name="Prosent 2 3 4 4 3 4 2 4" xfId="2939" xr:uid="{00000000-0005-0000-0000-000032A40000}"/>
    <cellStyle name="Prosent 2 3 4 4 3 4 2 4 2" xfId="2940" xr:uid="{00000000-0005-0000-0000-000033A40000}"/>
    <cellStyle name="Prosent 2 3 4 4 3 4 2 4 2 2" xfId="13938" xr:uid="{00000000-0005-0000-0000-000034A40000}"/>
    <cellStyle name="Prosent 2 3 4 4 3 4 2 4 2 2 2" xfId="18774" xr:uid="{00000000-0005-0000-0000-000035A40000}"/>
    <cellStyle name="Prosent 2 3 4 4 3 4 2 4 2 2 3" xfId="16105" xr:uid="{00000000-0005-0000-0000-000036A40000}"/>
    <cellStyle name="Prosent 2 3 4 4 3 4 2 4 2 2 3 2" xfId="26843" xr:uid="{00000000-0005-0000-0000-000037A40000}"/>
    <cellStyle name="Prosent 2 3 4 4 3 4 2 4 2 2 3 2 2" xfId="42661" xr:uid="{00000000-0005-0000-0000-000038A40000}"/>
    <cellStyle name="Prosent 2 3 4 4 3 4 2 4 2 2 3 3" xfId="45422" xr:uid="{00000000-0005-0000-0000-000039A40000}"/>
    <cellStyle name="Prosent 2 3 4 4 3 4 2 4 2 2_Avviksanalyse løpende RNB15 (1)" xfId="17348" xr:uid="{00000000-0005-0000-0000-00003AA40000}"/>
    <cellStyle name="Prosent 2 3 4 4 3 4 2 4 2 3" xfId="13937" xr:uid="{00000000-0005-0000-0000-00003BA40000}"/>
    <cellStyle name="Prosent 2 3 4 4 3 4 2 4 3" xfId="13939" xr:uid="{00000000-0005-0000-0000-00003CA40000}"/>
    <cellStyle name="Prosent 2 3 4 4 3 4 2 4 3 2" xfId="18775" xr:uid="{00000000-0005-0000-0000-00003DA40000}"/>
    <cellStyle name="Prosent 2 3 4 4 3 4 2 4 3 3" xfId="16104" xr:uid="{00000000-0005-0000-0000-00003EA40000}"/>
    <cellStyle name="Prosent 2 3 4 4 3 4 2 4 3 3 2" xfId="26844" xr:uid="{00000000-0005-0000-0000-00003FA40000}"/>
    <cellStyle name="Prosent 2 3 4 4 3 4 2 4 3 3 2 2" xfId="42660" xr:uid="{00000000-0005-0000-0000-000040A40000}"/>
    <cellStyle name="Prosent 2 3 4 4 3 4 2 4 3 3 3" xfId="45423" xr:uid="{00000000-0005-0000-0000-000041A40000}"/>
    <cellStyle name="Prosent 2 3 4 4 3 4 2 4 3_Avviksanalyse løpende RNB15 (1)" xfId="17349" xr:uid="{00000000-0005-0000-0000-000042A40000}"/>
    <cellStyle name="Prosent 2 3 4 4 3 4 2 4 4" xfId="13936" xr:uid="{00000000-0005-0000-0000-000043A40000}"/>
    <cellStyle name="Prosent 2 3 4 4 3 4 2 5" xfId="13940" xr:uid="{00000000-0005-0000-0000-000044A40000}"/>
    <cellStyle name="Prosent 2 3 4 4 3 4 2 5 2" xfId="18776" xr:uid="{00000000-0005-0000-0000-000045A40000}"/>
    <cellStyle name="Prosent 2 3 4 4 3 4 2 5 3" xfId="15867" xr:uid="{00000000-0005-0000-0000-000046A40000}"/>
    <cellStyle name="Prosent 2 3 4 4 3 4 2 5 3 2" xfId="26845" xr:uid="{00000000-0005-0000-0000-000047A40000}"/>
    <cellStyle name="Prosent 2 3 4 4 3 4 2 5 3 2 2" xfId="42423" xr:uid="{00000000-0005-0000-0000-000048A40000}"/>
    <cellStyle name="Prosent 2 3 4 4 3 4 2 5 3 3" xfId="45424" xr:uid="{00000000-0005-0000-0000-000049A40000}"/>
    <cellStyle name="Prosent 2 3 4 4 3 4 2 5_Avviksanalyse løpende RNB15 (1)" xfId="17350" xr:uid="{00000000-0005-0000-0000-00004AA40000}"/>
    <cellStyle name="Prosent 2 3 4 4 3 4 2 6" xfId="13929" xr:uid="{00000000-0005-0000-0000-00004BA40000}"/>
    <cellStyle name="Prosent 2 3 4 4 3 4 3" xfId="2941" xr:uid="{00000000-0005-0000-0000-00004CA40000}"/>
    <cellStyle name="Prosent 2 3 4 4 3 4 3 2" xfId="13942" xr:uid="{00000000-0005-0000-0000-00004DA40000}"/>
    <cellStyle name="Prosent 2 3 4 4 3 4 3 2 2" xfId="18777" xr:uid="{00000000-0005-0000-0000-00004EA40000}"/>
    <cellStyle name="Prosent 2 3 4 4 3 4 3 2 3" xfId="15869" xr:uid="{00000000-0005-0000-0000-00004FA40000}"/>
    <cellStyle name="Prosent 2 3 4 4 3 4 3 2 3 2" xfId="26846" xr:uid="{00000000-0005-0000-0000-000050A40000}"/>
    <cellStyle name="Prosent 2 3 4 4 3 4 3 2 3 2 2" xfId="42425" xr:uid="{00000000-0005-0000-0000-000051A40000}"/>
    <cellStyle name="Prosent 2 3 4 4 3 4 3 2 3 3" xfId="45425" xr:uid="{00000000-0005-0000-0000-000052A40000}"/>
    <cellStyle name="Prosent 2 3 4 4 3 4 3 2_Avviksanalyse løpende RNB15 (1)" xfId="17351" xr:uid="{00000000-0005-0000-0000-000053A40000}"/>
    <cellStyle name="Prosent 2 3 4 4 3 4 3 3" xfId="13941" xr:uid="{00000000-0005-0000-0000-000054A40000}"/>
    <cellStyle name="Prosent 2 3 4 4 3 4 4" xfId="2942" xr:uid="{00000000-0005-0000-0000-000055A40000}"/>
    <cellStyle name="Prosent 2 3 4 4 3 4 4 2" xfId="2943" xr:uid="{00000000-0005-0000-0000-000056A40000}"/>
    <cellStyle name="Prosent 2 3 4 4 3 4 4 2 2" xfId="13945" xr:uid="{00000000-0005-0000-0000-000057A40000}"/>
    <cellStyle name="Prosent 2 3 4 4 3 4 4 2 2 2" xfId="18778" xr:uid="{00000000-0005-0000-0000-000058A40000}"/>
    <cellStyle name="Prosent 2 3 4 4 3 4 4 2 2 3" xfId="16107" xr:uid="{00000000-0005-0000-0000-000059A40000}"/>
    <cellStyle name="Prosent 2 3 4 4 3 4 4 2 2 3 2" xfId="26847" xr:uid="{00000000-0005-0000-0000-00005AA40000}"/>
    <cellStyle name="Prosent 2 3 4 4 3 4 4 2 2 3 2 2" xfId="42663" xr:uid="{00000000-0005-0000-0000-00005BA40000}"/>
    <cellStyle name="Prosent 2 3 4 4 3 4 4 2 2 3 3" xfId="45426" xr:uid="{00000000-0005-0000-0000-00005CA40000}"/>
    <cellStyle name="Prosent 2 3 4 4 3 4 4 2 2_Avviksanalyse løpende RNB15 (1)" xfId="17352" xr:uid="{00000000-0005-0000-0000-00005DA40000}"/>
    <cellStyle name="Prosent 2 3 4 4 3 4 4 2 3" xfId="13944" xr:uid="{00000000-0005-0000-0000-00005EA40000}"/>
    <cellStyle name="Prosent 2 3 4 4 3 4 4 3" xfId="13946" xr:uid="{00000000-0005-0000-0000-00005FA40000}"/>
    <cellStyle name="Prosent 2 3 4 4 3 4 4 3 2" xfId="18779" xr:uid="{00000000-0005-0000-0000-000060A40000}"/>
    <cellStyle name="Prosent 2 3 4 4 3 4 4 3 3" xfId="16106" xr:uid="{00000000-0005-0000-0000-000061A40000}"/>
    <cellStyle name="Prosent 2 3 4 4 3 4 4 3 3 2" xfId="26848" xr:uid="{00000000-0005-0000-0000-000062A40000}"/>
    <cellStyle name="Prosent 2 3 4 4 3 4 4 3 3 2 2" xfId="42662" xr:uid="{00000000-0005-0000-0000-000063A40000}"/>
    <cellStyle name="Prosent 2 3 4 4 3 4 4 3 3 3" xfId="45427" xr:uid="{00000000-0005-0000-0000-000064A40000}"/>
    <cellStyle name="Prosent 2 3 4 4 3 4 4 3_Avviksanalyse løpende RNB15 (1)" xfId="17353" xr:uid="{00000000-0005-0000-0000-000065A40000}"/>
    <cellStyle name="Prosent 2 3 4 4 3 4 4 4" xfId="13943" xr:uid="{00000000-0005-0000-0000-000066A40000}"/>
    <cellStyle name="Prosent 2 3 4 4 3 4 5" xfId="2944" xr:uid="{00000000-0005-0000-0000-000067A40000}"/>
    <cellStyle name="Prosent 2 3 4 4 3 4 5 2" xfId="2945" xr:uid="{00000000-0005-0000-0000-000068A40000}"/>
    <cellStyle name="Prosent 2 3 4 4 3 4 5 2 2" xfId="13949" xr:uid="{00000000-0005-0000-0000-000069A40000}"/>
    <cellStyle name="Prosent 2 3 4 4 3 4 5 2 2 2" xfId="18780" xr:uid="{00000000-0005-0000-0000-00006AA40000}"/>
    <cellStyle name="Prosent 2 3 4 4 3 4 5 2 2 3" xfId="16109" xr:uid="{00000000-0005-0000-0000-00006BA40000}"/>
    <cellStyle name="Prosent 2 3 4 4 3 4 5 2 2 3 2" xfId="26849" xr:uid="{00000000-0005-0000-0000-00006CA40000}"/>
    <cellStyle name="Prosent 2 3 4 4 3 4 5 2 2 3 2 2" xfId="42665" xr:uid="{00000000-0005-0000-0000-00006DA40000}"/>
    <cellStyle name="Prosent 2 3 4 4 3 4 5 2 2 3 3" xfId="45428" xr:uid="{00000000-0005-0000-0000-00006EA40000}"/>
    <cellStyle name="Prosent 2 3 4 4 3 4 5 2 2_Avviksanalyse løpende RNB15 (1)" xfId="17354" xr:uid="{00000000-0005-0000-0000-00006FA40000}"/>
    <cellStyle name="Prosent 2 3 4 4 3 4 5 2 3" xfId="13948" xr:uid="{00000000-0005-0000-0000-000070A40000}"/>
    <cellStyle name="Prosent 2 3 4 4 3 4 5 3" xfId="13950" xr:uid="{00000000-0005-0000-0000-000071A40000}"/>
    <cellStyle name="Prosent 2 3 4 4 3 4 5 3 2" xfId="18781" xr:uid="{00000000-0005-0000-0000-000072A40000}"/>
    <cellStyle name="Prosent 2 3 4 4 3 4 5 3 3" xfId="16108" xr:uid="{00000000-0005-0000-0000-000073A40000}"/>
    <cellStyle name="Prosent 2 3 4 4 3 4 5 3 3 2" xfId="26850" xr:uid="{00000000-0005-0000-0000-000074A40000}"/>
    <cellStyle name="Prosent 2 3 4 4 3 4 5 3 3 2 2" xfId="42664" xr:uid="{00000000-0005-0000-0000-000075A40000}"/>
    <cellStyle name="Prosent 2 3 4 4 3 4 5 3 3 3" xfId="45429" xr:uid="{00000000-0005-0000-0000-000076A40000}"/>
    <cellStyle name="Prosent 2 3 4 4 3 4 5 3_Avviksanalyse løpende RNB15 (1)" xfId="17355" xr:uid="{00000000-0005-0000-0000-000077A40000}"/>
    <cellStyle name="Prosent 2 3 4 4 3 4 5 4" xfId="13947" xr:uid="{00000000-0005-0000-0000-000078A40000}"/>
    <cellStyle name="Prosent 2 3 4 4 3 4 6" xfId="13951" xr:uid="{00000000-0005-0000-0000-000079A40000}"/>
    <cellStyle name="Prosent 2 3 4 4 3 4 6 2" xfId="18782" xr:uid="{00000000-0005-0000-0000-00007AA40000}"/>
    <cellStyle name="Prosent 2 3 4 4 3 4 6 3" xfId="15866" xr:uid="{00000000-0005-0000-0000-00007BA40000}"/>
    <cellStyle name="Prosent 2 3 4 4 3 4 6 3 2" xfId="26851" xr:uid="{00000000-0005-0000-0000-00007CA40000}"/>
    <cellStyle name="Prosent 2 3 4 4 3 4 6 3 2 2" xfId="42422" xr:uid="{00000000-0005-0000-0000-00007DA40000}"/>
    <cellStyle name="Prosent 2 3 4 4 3 4 6 3 3" xfId="45430" xr:uid="{00000000-0005-0000-0000-00007EA40000}"/>
    <cellStyle name="Prosent 2 3 4 4 3 4 6_Avviksanalyse løpende RNB15 (1)" xfId="17356" xr:uid="{00000000-0005-0000-0000-00007FA40000}"/>
    <cellStyle name="Prosent 2 3 4 4 3 4 7" xfId="13928" xr:uid="{00000000-0005-0000-0000-000080A40000}"/>
    <cellStyle name="Prosent 2 3 4 4 3 5" xfId="13952" xr:uid="{00000000-0005-0000-0000-000081A40000}"/>
    <cellStyle name="Prosent 2 3 4 4 3 5 2" xfId="18783" xr:uid="{00000000-0005-0000-0000-000082A40000}"/>
    <cellStyle name="Prosent 2 3 4 4 3 5 3" xfId="15863" xr:uid="{00000000-0005-0000-0000-000083A40000}"/>
    <cellStyle name="Prosent 2 3 4 4 3 5 3 2" xfId="26852" xr:uid="{00000000-0005-0000-0000-000084A40000}"/>
    <cellStyle name="Prosent 2 3 4 4 3 5 3 2 2" xfId="42419" xr:uid="{00000000-0005-0000-0000-000085A40000}"/>
    <cellStyle name="Prosent 2 3 4 4 3 5 3 3" xfId="45431" xr:uid="{00000000-0005-0000-0000-000086A40000}"/>
    <cellStyle name="Prosent 2 3 4 4 3 5_Avviksanalyse løpende RNB15 (1)" xfId="17357" xr:uid="{00000000-0005-0000-0000-000087A40000}"/>
    <cellStyle name="Prosent 2 3 4 4 3 6" xfId="13923" xr:uid="{00000000-0005-0000-0000-000088A40000}"/>
    <cellStyle name="Prosent 2 3 4 4 4" xfId="2946" xr:uid="{00000000-0005-0000-0000-000089A40000}"/>
    <cellStyle name="Prosent 2 3 4 4 4 2" xfId="2947" xr:uid="{00000000-0005-0000-0000-00008AA40000}"/>
    <cellStyle name="Prosent 2 3 4 4 4 2 2" xfId="13955" xr:uid="{00000000-0005-0000-0000-00008BA40000}"/>
    <cellStyle name="Prosent 2 3 4 4 4 2 2 2" xfId="18784" xr:uid="{00000000-0005-0000-0000-00008CA40000}"/>
    <cellStyle name="Prosent 2 3 4 4 4 2 2 3" xfId="15871" xr:uid="{00000000-0005-0000-0000-00008DA40000}"/>
    <cellStyle name="Prosent 2 3 4 4 4 2 2 3 2" xfId="26853" xr:uid="{00000000-0005-0000-0000-00008EA40000}"/>
    <cellStyle name="Prosent 2 3 4 4 4 2 2 3 2 2" xfId="42427" xr:uid="{00000000-0005-0000-0000-00008FA40000}"/>
    <cellStyle name="Prosent 2 3 4 4 4 2 2 3 3" xfId="45432" xr:uid="{00000000-0005-0000-0000-000090A40000}"/>
    <cellStyle name="Prosent 2 3 4 4 4 2 2_Avviksanalyse løpende RNB15 (1)" xfId="17358" xr:uid="{00000000-0005-0000-0000-000091A40000}"/>
    <cellStyle name="Prosent 2 3 4 4 4 2 3" xfId="13954" xr:uid="{00000000-0005-0000-0000-000092A40000}"/>
    <cellStyle name="Prosent 2 3 4 4 4 3" xfId="13956" xr:uid="{00000000-0005-0000-0000-000093A40000}"/>
    <cellStyle name="Prosent 2 3 4 4 4 3 2" xfId="18785" xr:uid="{00000000-0005-0000-0000-000094A40000}"/>
    <cellStyle name="Prosent 2 3 4 4 4 3 3" xfId="15870" xr:uid="{00000000-0005-0000-0000-000095A40000}"/>
    <cellStyle name="Prosent 2 3 4 4 4 3 3 2" xfId="26854" xr:uid="{00000000-0005-0000-0000-000096A40000}"/>
    <cellStyle name="Prosent 2 3 4 4 4 3 3 2 2" xfId="42426" xr:uid="{00000000-0005-0000-0000-000097A40000}"/>
    <cellStyle name="Prosent 2 3 4 4 4 3 3 3" xfId="45433" xr:uid="{00000000-0005-0000-0000-000098A40000}"/>
    <cellStyle name="Prosent 2 3 4 4 4 3_Avviksanalyse løpende RNB15 (1)" xfId="17359" xr:uid="{00000000-0005-0000-0000-000099A40000}"/>
    <cellStyle name="Prosent 2 3 4 4 4 4" xfId="13953" xr:uid="{00000000-0005-0000-0000-00009AA40000}"/>
    <cellStyle name="Prosent 2 3 4 4 5" xfId="2948" xr:uid="{00000000-0005-0000-0000-00009BA40000}"/>
    <cellStyle name="Prosent 2 3 4 4 5 2" xfId="2949" xr:uid="{00000000-0005-0000-0000-00009CA40000}"/>
    <cellStyle name="Prosent 2 3 4 4 5 2 2" xfId="13959" xr:uid="{00000000-0005-0000-0000-00009DA40000}"/>
    <cellStyle name="Prosent 2 3 4 4 5 2 2 2" xfId="18786" xr:uid="{00000000-0005-0000-0000-00009EA40000}"/>
    <cellStyle name="Prosent 2 3 4 4 5 2 2 3" xfId="15873" xr:uid="{00000000-0005-0000-0000-00009FA40000}"/>
    <cellStyle name="Prosent 2 3 4 4 5 2 2 3 2" xfId="26855" xr:uid="{00000000-0005-0000-0000-0000A0A40000}"/>
    <cellStyle name="Prosent 2 3 4 4 5 2 2 3 2 2" xfId="42429" xr:uid="{00000000-0005-0000-0000-0000A1A40000}"/>
    <cellStyle name="Prosent 2 3 4 4 5 2 2 3 3" xfId="45434" xr:uid="{00000000-0005-0000-0000-0000A2A40000}"/>
    <cellStyle name="Prosent 2 3 4 4 5 2 2_Avviksanalyse løpende RNB15 (1)" xfId="17360" xr:uid="{00000000-0005-0000-0000-0000A3A40000}"/>
    <cellStyle name="Prosent 2 3 4 4 5 2 3" xfId="13958" xr:uid="{00000000-0005-0000-0000-0000A4A40000}"/>
    <cellStyle name="Prosent 2 3 4 4 5 3" xfId="2950" xr:uid="{00000000-0005-0000-0000-0000A5A40000}"/>
    <cellStyle name="Prosent 2 3 4 4 5 3 2" xfId="13961" xr:uid="{00000000-0005-0000-0000-0000A6A40000}"/>
    <cellStyle name="Prosent 2 3 4 4 5 3 2 2" xfId="18787" xr:uid="{00000000-0005-0000-0000-0000A7A40000}"/>
    <cellStyle name="Prosent 2 3 4 4 5 3 2 3" xfId="15874" xr:uid="{00000000-0005-0000-0000-0000A8A40000}"/>
    <cellStyle name="Prosent 2 3 4 4 5 3 2 3 2" xfId="26856" xr:uid="{00000000-0005-0000-0000-0000A9A40000}"/>
    <cellStyle name="Prosent 2 3 4 4 5 3 2 3 2 2" xfId="42430" xr:uid="{00000000-0005-0000-0000-0000AAA40000}"/>
    <cellStyle name="Prosent 2 3 4 4 5 3 2 3 3" xfId="45435" xr:uid="{00000000-0005-0000-0000-0000ABA40000}"/>
    <cellStyle name="Prosent 2 3 4 4 5 3 2_Avviksanalyse løpende RNB15 (1)" xfId="17361" xr:uid="{00000000-0005-0000-0000-0000ACA40000}"/>
    <cellStyle name="Prosent 2 3 4 4 5 3 3" xfId="13960" xr:uid="{00000000-0005-0000-0000-0000ADA40000}"/>
    <cellStyle name="Prosent 2 3 4 4 5 4" xfId="2951" xr:uid="{00000000-0005-0000-0000-0000AEA40000}"/>
    <cellStyle name="Prosent 2 3 4 4 5 4 2" xfId="2952" xr:uid="{00000000-0005-0000-0000-0000AFA40000}"/>
    <cellStyle name="Prosent 2 3 4 4 5 4 2 2" xfId="13964" xr:uid="{00000000-0005-0000-0000-0000B0A40000}"/>
    <cellStyle name="Prosent 2 3 4 4 5 4 2 2 2" xfId="18788" xr:uid="{00000000-0005-0000-0000-0000B1A40000}"/>
    <cellStyle name="Prosent 2 3 4 4 5 4 2 2 3" xfId="15876" xr:uid="{00000000-0005-0000-0000-0000B2A40000}"/>
    <cellStyle name="Prosent 2 3 4 4 5 4 2 2 3 2" xfId="26857" xr:uid="{00000000-0005-0000-0000-0000B3A40000}"/>
    <cellStyle name="Prosent 2 3 4 4 5 4 2 2 3 2 2" xfId="42432" xr:uid="{00000000-0005-0000-0000-0000B4A40000}"/>
    <cellStyle name="Prosent 2 3 4 4 5 4 2 2 3 3" xfId="45436" xr:uid="{00000000-0005-0000-0000-0000B5A40000}"/>
    <cellStyle name="Prosent 2 3 4 4 5 4 2 2_Avviksanalyse løpende RNB15 (1)" xfId="17362" xr:uid="{00000000-0005-0000-0000-0000B6A40000}"/>
    <cellStyle name="Prosent 2 3 4 4 5 4 2 3" xfId="13963" xr:uid="{00000000-0005-0000-0000-0000B7A40000}"/>
    <cellStyle name="Prosent 2 3 4 4 5 4 3" xfId="2953" xr:uid="{00000000-0005-0000-0000-0000B8A40000}"/>
    <cellStyle name="Prosent 2 3 4 4 5 4 3 2" xfId="2954" xr:uid="{00000000-0005-0000-0000-0000B9A40000}"/>
    <cellStyle name="Prosent 2 3 4 4 5 4 3 2 2" xfId="13967" xr:uid="{00000000-0005-0000-0000-0000BAA40000}"/>
    <cellStyle name="Prosent 2 3 4 4 5 4 3 2 2 2" xfId="18789" xr:uid="{00000000-0005-0000-0000-0000BBA40000}"/>
    <cellStyle name="Prosent 2 3 4 4 5 4 3 2 2 3" xfId="16111" xr:uid="{00000000-0005-0000-0000-0000BCA40000}"/>
    <cellStyle name="Prosent 2 3 4 4 5 4 3 2 2 3 2" xfId="26858" xr:uid="{00000000-0005-0000-0000-0000BDA40000}"/>
    <cellStyle name="Prosent 2 3 4 4 5 4 3 2 2 3 2 2" xfId="42667" xr:uid="{00000000-0005-0000-0000-0000BEA40000}"/>
    <cellStyle name="Prosent 2 3 4 4 5 4 3 2 2 3 3" xfId="45437" xr:uid="{00000000-0005-0000-0000-0000BFA40000}"/>
    <cellStyle name="Prosent 2 3 4 4 5 4 3 2 2_Avviksanalyse løpende RNB15 (1)" xfId="17363" xr:uid="{00000000-0005-0000-0000-0000C0A40000}"/>
    <cellStyle name="Prosent 2 3 4 4 5 4 3 2 3" xfId="13966" xr:uid="{00000000-0005-0000-0000-0000C1A40000}"/>
    <cellStyle name="Prosent 2 3 4 4 5 4 3 3" xfId="13968" xr:uid="{00000000-0005-0000-0000-0000C2A40000}"/>
    <cellStyle name="Prosent 2 3 4 4 5 4 3 3 2" xfId="18790" xr:uid="{00000000-0005-0000-0000-0000C3A40000}"/>
    <cellStyle name="Prosent 2 3 4 4 5 4 3 3 3" xfId="16110" xr:uid="{00000000-0005-0000-0000-0000C4A40000}"/>
    <cellStyle name="Prosent 2 3 4 4 5 4 3 3 3 2" xfId="26859" xr:uid="{00000000-0005-0000-0000-0000C5A40000}"/>
    <cellStyle name="Prosent 2 3 4 4 5 4 3 3 3 2 2" xfId="42666" xr:uid="{00000000-0005-0000-0000-0000C6A40000}"/>
    <cellStyle name="Prosent 2 3 4 4 5 4 3 3 3 3" xfId="45438" xr:uid="{00000000-0005-0000-0000-0000C7A40000}"/>
    <cellStyle name="Prosent 2 3 4 4 5 4 3 3_Avviksanalyse løpende RNB15 (1)" xfId="17364" xr:uid="{00000000-0005-0000-0000-0000C8A40000}"/>
    <cellStyle name="Prosent 2 3 4 4 5 4 3 4" xfId="13965" xr:uid="{00000000-0005-0000-0000-0000C9A40000}"/>
    <cellStyle name="Prosent 2 3 4 4 5 4 4" xfId="2955" xr:uid="{00000000-0005-0000-0000-0000CAA40000}"/>
    <cellStyle name="Prosent 2 3 4 4 5 4 4 2" xfId="2956" xr:uid="{00000000-0005-0000-0000-0000CBA40000}"/>
    <cellStyle name="Prosent 2 3 4 4 5 4 4 2 2" xfId="13971" xr:uid="{00000000-0005-0000-0000-0000CCA40000}"/>
    <cellStyle name="Prosent 2 3 4 4 5 4 4 2 2 2" xfId="18791" xr:uid="{00000000-0005-0000-0000-0000CDA40000}"/>
    <cellStyle name="Prosent 2 3 4 4 5 4 4 2 2 3" xfId="16113" xr:uid="{00000000-0005-0000-0000-0000CEA40000}"/>
    <cellStyle name="Prosent 2 3 4 4 5 4 4 2 2 3 2" xfId="26860" xr:uid="{00000000-0005-0000-0000-0000CFA40000}"/>
    <cellStyle name="Prosent 2 3 4 4 5 4 4 2 2 3 2 2" xfId="42669" xr:uid="{00000000-0005-0000-0000-0000D0A40000}"/>
    <cellStyle name="Prosent 2 3 4 4 5 4 4 2 2 3 3" xfId="45439" xr:uid="{00000000-0005-0000-0000-0000D1A40000}"/>
    <cellStyle name="Prosent 2 3 4 4 5 4 4 2 2_Avviksanalyse løpende RNB15 (1)" xfId="17365" xr:uid="{00000000-0005-0000-0000-0000D2A40000}"/>
    <cellStyle name="Prosent 2 3 4 4 5 4 4 2 3" xfId="13970" xr:uid="{00000000-0005-0000-0000-0000D3A40000}"/>
    <cellStyle name="Prosent 2 3 4 4 5 4 4 3" xfId="13972" xr:uid="{00000000-0005-0000-0000-0000D4A40000}"/>
    <cellStyle name="Prosent 2 3 4 4 5 4 4 3 2" xfId="18792" xr:uid="{00000000-0005-0000-0000-0000D5A40000}"/>
    <cellStyle name="Prosent 2 3 4 4 5 4 4 3 3" xfId="16112" xr:uid="{00000000-0005-0000-0000-0000D6A40000}"/>
    <cellStyle name="Prosent 2 3 4 4 5 4 4 3 3 2" xfId="26861" xr:uid="{00000000-0005-0000-0000-0000D7A40000}"/>
    <cellStyle name="Prosent 2 3 4 4 5 4 4 3 3 2 2" xfId="42668" xr:uid="{00000000-0005-0000-0000-0000D8A40000}"/>
    <cellStyle name="Prosent 2 3 4 4 5 4 4 3 3 3" xfId="45440" xr:uid="{00000000-0005-0000-0000-0000D9A40000}"/>
    <cellStyle name="Prosent 2 3 4 4 5 4 4 3_Avviksanalyse løpende RNB15 (1)" xfId="17366" xr:uid="{00000000-0005-0000-0000-0000DAA40000}"/>
    <cellStyle name="Prosent 2 3 4 4 5 4 4 4" xfId="13969" xr:uid="{00000000-0005-0000-0000-0000DBA40000}"/>
    <cellStyle name="Prosent 2 3 4 4 5 4 5" xfId="13973" xr:uid="{00000000-0005-0000-0000-0000DCA40000}"/>
    <cellStyle name="Prosent 2 3 4 4 5 4 5 2" xfId="18793" xr:uid="{00000000-0005-0000-0000-0000DDA40000}"/>
    <cellStyle name="Prosent 2 3 4 4 5 4 5 3" xfId="15875" xr:uid="{00000000-0005-0000-0000-0000DEA40000}"/>
    <cellStyle name="Prosent 2 3 4 4 5 4 5 3 2" xfId="26862" xr:uid="{00000000-0005-0000-0000-0000DFA40000}"/>
    <cellStyle name="Prosent 2 3 4 4 5 4 5 3 2 2" xfId="42431" xr:uid="{00000000-0005-0000-0000-0000E0A40000}"/>
    <cellStyle name="Prosent 2 3 4 4 5 4 5 3 3" xfId="45441" xr:uid="{00000000-0005-0000-0000-0000E1A40000}"/>
    <cellStyle name="Prosent 2 3 4 4 5 4 5_Avviksanalyse løpende RNB15 (1)" xfId="17367" xr:uid="{00000000-0005-0000-0000-0000E2A40000}"/>
    <cellStyle name="Prosent 2 3 4 4 5 4 6" xfId="13962" xr:uid="{00000000-0005-0000-0000-0000E3A40000}"/>
    <cellStyle name="Prosent 2 3 4 4 5 5" xfId="2957" xr:uid="{00000000-0005-0000-0000-0000E4A40000}"/>
    <cellStyle name="Prosent 2 3 4 4 5 5 2" xfId="2958" xr:uid="{00000000-0005-0000-0000-0000E5A40000}"/>
    <cellStyle name="Prosent 2 3 4 4 5 5 2 2" xfId="13976" xr:uid="{00000000-0005-0000-0000-0000E6A40000}"/>
    <cellStyle name="Prosent 2 3 4 4 5 5 2 2 2" xfId="18794" xr:uid="{00000000-0005-0000-0000-0000E7A40000}"/>
    <cellStyle name="Prosent 2 3 4 4 5 5 2 2 3" xfId="15878" xr:uid="{00000000-0005-0000-0000-0000E8A40000}"/>
    <cellStyle name="Prosent 2 3 4 4 5 5 2 2 3 2" xfId="26863" xr:uid="{00000000-0005-0000-0000-0000E9A40000}"/>
    <cellStyle name="Prosent 2 3 4 4 5 5 2 2 3 2 2" xfId="42434" xr:uid="{00000000-0005-0000-0000-0000EAA40000}"/>
    <cellStyle name="Prosent 2 3 4 4 5 5 2 2 3 3" xfId="45442" xr:uid="{00000000-0005-0000-0000-0000EBA40000}"/>
    <cellStyle name="Prosent 2 3 4 4 5 5 2 2_Avviksanalyse løpende RNB15 (1)" xfId="17368" xr:uid="{00000000-0005-0000-0000-0000ECA40000}"/>
    <cellStyle name="Prosent 2 3 4 4 5 5 2 3" xfId="13975" xr:uid="{00000000-0005-0000-0000-0000EDA40000}"/>
    <cellStyle name="Prosent 2 3 4 4 5 5 3" xfId="2959" xr:uid="{00000000-0005-0000-0000-0000EEA40000}"/>
    <cellStyle name="Prosent 2 3 4 4 5 5 3 2" xfId="2960" xr:uid="{00000000-0005-0000-0000-0000EFA40000}"/>
    <cellStyle name="Prosent 2 3 4 4 5 5 3 2 2" xfId="13979" xr:uid="{00000000-0005-0000-0000-0000F0A40000}"/>
    <cellStyle name="Prosent 2 3 4 4 5 5 3 2 2 2" xfId="18795" xr:uid="{00000000-0005-0000-0000-0000F1A40000}"/>
    <cellStyle name="Prosent 2 3 4 4 5 5 3 2 2 3" xfId="16115" xr:uid="{00000000-0005-0000-0000-0000F2A40000}"/>
    <cellStyle name="Prosent 2 3 4 4 5 5 3 2 2 3 2" xfId="26864" xr:uid="{00000000-0005-0000-0000-0000F3A40000}"/>
    <cellStyle name="Prosent 2 3 4 4 5 5 3 2 2 3 2 2" xfId="42671" xr:uid="{00000000-0005-0000-0000-0000F4A40000}"/>
    <cellStyle name="Prosent 2 3 4 4 5 5 3 2 2 3 3" xfId="45443" xr:uid="{00000000-0005-0000-0000-0000F5A40000}"/>
    <cellStyle name="Prosent 2 3 4 4 5 5 3 2 2_Avviksanalyse løpende RNB15 (1)" xfId="17369" xr:uid="{00000000-0005-0000-0000-0000F6A40000}"/>
    <cellStyle name="Prosent 2 3 4 4 5 5 3 2 3" xfId="13978" xr:uid="{00000000-0005-0000-0000-0000F7A40000}"/>
    <cellStyle name="Prosent 2 3 4 4 5 5 3 3" xfId="13980" xr:uid="{00000000-0005-0000-0000-0000F8A40000}"/>
    <cellStyle name="Prosent 2 3 4 4 5 5 3 3 2" xfId="18796" xr:uid="{00000000-0005-0000-0000-0000F9A40000}"/>
    <cellStyle name="Prosent 2 3 4 4 5 5 3 3 3" xfId="16114" xr:uid="{00000000-0005-0000-0000-0000FAA40000}"/>
    <cellStyle name="Prosent 2 3 4 4 5 5 3 3 3 2" xfId="26865" xr:uid="{00000000-0005-0000-0000-0000FBA40000}"/>
    <cellStyle name="Prosent 2 3 4 4 5 5 3 3 3 2 2" xfId="42670" xr:uid="{00000000-0005-0000-0000-0000FCA40000}"/>
    <cellStyle name="Prosent 2 3 4 4 5 5 3 3 3 3" xfId="45444" xr:uid="{00000000-0005-0000-0000-0000FDA40000}"/>
    <cellStyle name="Prosent 2 3 4 4 5 5 3 3_Avviksanalyse løpende RNB15 (1)" xfId="17370" xr:uid="{00000000-0005-0000-0000-0000FEA40000}"/>
    <cellStyle name="Prosent 2 3 4 4 5 5 3 4" xfId="13977" xr:uid="{00000000-0005-0000-0000-0000FFA40000}"/>
    <cellStyle name="Prosent 2 3 4 4 5 5 4" xfId="2961" xr:uid="{00000000-0005-0000-0000-000000A50000}"/>
    <cellStyle name="Prosent 2 3 4 4 5 5 4 2" xfId="2962" xr:uid="{00000000-0005-0000-0000-000001A50000}"/>
    <cellStyle name="Prosent 2 3 4 4 5 5 4 2 2" xfId="13983" xr:uid="{00000000-0005-0000-0000-000002A50000}"/>
    <cellStyle name="Prosent 2 3 4 4 5 5 4 2 2 2" xfId="18797" xr:uid="{00000000-0005-0000-0000-000003A50000}"/>
    <cellStyle name="Prosent 2 3 4 4 5 5 4 2 2 3" xfId="16117" xr:uid="{00000000-0005-0000-0000-000004A50000}"/>
    <cellStyle name="Prosent 2 3 4 4 5 5 4 2 2 3 2" xfId="26866" xr:uid="{00000000-0005-0000-0000-000005A50000}"/>
    <cellStyle name="Prosent 2 3 4 4 5 5 4 2 2 3 2 2" xfId="42673" xr:uid="{00000000-0005-0000-0000-000006A50000}"/>
    <cellStyle name="Prosent 2 3 4 4 5 5 4 2 2 3 3" xfId="45445" xr:uid="{00000000-0005-0000-0000-000007A50000}"/>
    <cellStyle name="Prosent 2 3 4 4 5 5 4 2 2_Avviksanalyse løpende RNB15 (1)" xfId="17371" xr:uid="{00000000-0005-0000-0000-000008A50000}"/>
    <cellStyle name="Prosent 2 3 4 4 5 5 4 2 3" xfId="13982" xr:uid="{00000000-0005-0000-0000-000009A50000}"/>
    <cellStyle name="Prosent 2 3 4 4 5 5 4 3" xfId="13984" xr:uid="{00000000-0005-0000-0000-00000AA50000}"/>
    <cellStyle name="Prosent 2 3 4 4 5 5 4 3 2" xfId="18798" xr:uid="{00000000-0005-0000-0000-00000BA50000}"/>
    <cellStyle name="Prosent 2 3 4 4 5 5 4 3 3" xfId="16116" xr:uid="{00000000-0005-0000-0000-00000CA50000}"/>
    <cellStyle name="Prosent 2 3 4 4 5 5 4 3 3 2" xfId="26867" xr:uid="{00000000-0005-0000-0000-00000DA50000}"/>
    <cellStyle name="Prosent 2 3 4 4 5 5 4 3 3 2 2" xfId="42672" xr:uid="{00000000-0005-0000-0000-00000EA50000}"/>
    <cellStyle name="Prosent 2 3 4 4 5 5 4 3 3 3" xfId="45446" xr:uid="{00000000-0005-0000-0000-00000FA50000}"/>
    <cellStyle name="Prosent 2 3 4 4 5 5 4 3_Avviksanalyse løpende RNB15 (1)" xfId="17372" xr:uid="{00000000-0005-0000-0000-000010A50000}"/>
    <cellStyle name="Prosent 2 3 4 4 5 5 4 4" xfId="13981" xr:uid="{00000000-0005-0000-0000-000011A50000}"/>
    <cellStyle name="Prosent 2 3 4 4 5 5 5" xfId="13985" xr:uid="{00000000-0005-0000-0000-000012A50000}"/>
    <cellStyle name="Prosent 2 3 4 4 5 5 5 2" xfId="18799" xr:uid="{00000000-0005-0000-0000-000013A50000}"/>
    <cellStyle name="Prosent 2 3 4 4 5 5 5 3" xfId="15877" xr:uid="{00000000-0005-0000-0000-000014A50000}"/>
    <cellStyle name="Prosent 2 3 4 4 5 5 5 3 2" xfId="26868" xr:uid="{00000000-0005-0000-0000-000015A50000}"/>
    <cellStyle name="Prosent 2 3 4 4 5 5 5 3 2 2" xfId="42433" xr:uid="{00000000-0005-0000-0000-000016A50000}"/>
    <cellStyle name="Prosent 2 3 4 4 5 5 5 3 3" xfId="45447" xr:uid="{00000000-0005-0000-0000-000017A50000}"/>
    <cellStyle name="Prosent 2 3 4 4 5 5 5_Avviksanalyse løpende RNB15 (1)" xfId="17373" xr:uid="{00000000-0005-0000-0000-000018A50000}"/>
    <cellStyle name="Prosent 2 3 4 4 5 5 6" xfId="13974" xr:uid="{00000000-0005-0000-0000-000019A50000}"/>
    <cellStyle name="Prosent 2 3 4 4 5 6" xfId="2963" xr:uid="{00000000-0005-0000-0000-00001AA50000}"/>
    <cellStyle name="Prosent 2 3 4 4 5 6 2" xfId="2964" xr:uid="{00000000-0005-0000-0000-00001BA50000}"/>
    <cellStyle name="Prosent 2 3 4 4 5 6 2 2" xfId="13988" xr:uid="{00000000-0005-0000-0000-00001CA50000}"/>
    <cellStyle name="Prosent 2 3 4 4 5 6 2 2 2" xfId="18800" xr:uid="{00000000-0005-0000-0000-00001DA50000}"/>
    <cellStyle name="Prosent 2 3 4 4 5 6 2 2 3" xfId="16119" xr:uid="{00000000-0005-0000-0000-00001EA50000}"/>
    <cellStyle name="Prosent 2 3 4 4 5 6 2 2 3 2" xfId="26869" xr:uid="{00000000-0005-0000-0000-00001FA50000}"/>
    <cellStyle name="Prosent 2 3 4 4 5 6 2 2 3 2 2" xfId="42675" xr:uid="{00000000-0005-0000-0000-000020A50000}"/>
    <cellStyle name="Prosent 2 3 4 4 5 6 2 2 3 3" xfId="45448" xr:uid="{00000000-0005-0000-0000-000021A50000}"/>
    <cellStyle name="Prosent 2 3 4 4 5 6 2 2_Avviksanalyse løpende RNB15 (1)" xfId="17374" xr:uid="{00000000-0005-0000-0000-000022A50000}"/>
    <cellStyle name="Prosent 2 3 4 4 5 6 2 3" xfId="13987" xr:uid="{00000000-0005-0000-0000-000023A50000}"/>
    <cellStyle name="Prosent 2 3 4 4 5 6 3" xfId="13989" xr:uid="{00000000-0005-0000-0000-000024A50000}"/>
    <cellStyle name="Prosent 2 3 4 4 5 6 3 2" xfId="18801" xr:uid="{00000000-0005-0000-0000-000025A50000}"/>
    <cellStyle name="Prosent 2 3 4 4 5 6 3 3" xfId="16118" xr:uid="{00000000-0005-0000-0000-000026A50000}"/>
    <cellStyle name="Prosent 2 3 4 4 5 6 3 3 2" xfId="26870" xr:uid="{00000000-0005-0000-0000-000027A50000}"/>
    <cellStyle name="Prosent 2 3 4 4 5 6 3 3 2 2" xfId="42674" xr:uid="{00000000-0005-0000-0000-000028A50000}"/>
    <cellStyle name="Prosent 2 3 4 4 5 6 3 3 3" xfId="45449" xr:uid="{00000000-0005-0000-0000-000029A50000}"/>
    <cellStyle name="Prosent 2 3 4 4 5 6 3_Avviksanalyse løpende RNB15 (1)" xfId="17375" xr:uid="{00000000-0005-0000-0000-00002AA50000}"/>
    <cellStyle name="Prosent 2 3 4 4 5 6 4" xfId="13986" xr:uid="{00000000-0005-0000-0000-00002BA50000}"/>
    <cellStyle name="Prosent 2 3 4 4 5 7" xfId="2965" xr:uid="{00000000-0005-0000-0000-00002CA50000}"/>
    <cellStyle name="Prosent 2 3 4 4 5 7 2" xfId="2966" xr:uid="{00000000-0005-0000-0000-00002DA50000}"/>
    <cellStyle name="Prosent 2 3 4 4 5 7 2 2" xfId="13992" xr:uid="{00000000-0005-0000-0000-00002EA50000}"/>
    <cellStyle name="Prosent 2 3 4 4 5 7 2 2 2" xfId="18802" xr:uid="{00000000-0005-0000-0000-00002FA50000}"/>
    <cellStyle name="Prosent 2 3 4 4 5 7 2 2 3" xfId="16121" xr:uid="{00000000-0005-0000-0000-000030A50000}"/>
    <cellStyle name="Prosent 2 3 4 4 5 7 2 2 3 2" xfId="26871" xr:uid="{00000000-0005-0000-0000-000031A50000}"/>
    <cellStyle name="Prosent 2 3 4 4 5 7 2 2 3 2 2" xfId="42677" xr:uid="{00000000-0005-0000-0000-000032A50000}"/>
    <cellStyle name="Prosent 2 3 4 4 5 7 2 2 3 3" xfId="45450" xr:uid="{00000000-0005-0000-0000-000033A50000}"/>
    <cellStyle name="Prosent 2 3 4 4 5 7 2 2_Avviksanalyse løpende RNB15 (1)" xfId="17376" xr:uid="{00000000-0005-0000-0000-000034A50000}"/>
    <cellStyle name="Prosent 2 3 4 4 5 7 2 3" xfId="13991" xr:uid="{00000000-0005-0000-0000-000035A50000}"/>
    <cellStyle name="Prosent 2 3 4 4 5 7 3" xfId="13993" xr:uid="{00000000-0005-0000-0000-000036A50000}"/>
    <cellStyle name="Prosent 2 3 4 4 5 7 3 2" xfId="18803" xr:uid="{00000000-0005-0000-0000-000037A50000}"/>
    <cellStyle name="Prosent 2 3 4 4 5 7 3 3" xfId="16120" xr:uid="{00000000-0005-0000-0000-000038A50000}"/>
    <cellStyle name="Prosent 2 3 4 4 5 7 3 3 2" xfId="26872" xr:uid="{00000000-0005-0000-0000-000039A50000}"/>
    <cellStyle name="Prosent 2 3 4 4 5 7 3 3 2 2" xfId="42676" xr:uid="{00000000-0005-0000-0000-00003AA50000}"/>
    <cellStyle name="Prosent 2 3 4 4 5 7 3 3 3" xfId="45451" xr:uid="{00000000-0005-0000-0000-00003BA50000}"/>
    <cellStyle name="Prosent 2 3 4 4 5 7 3_Avviksanalyse løpende RNB15 (1)" xfId="17377" xr:uid="{00000000-0005-0000-0000-00003CA50000}"/>
    <cellStyle name="Prosent 2 3 4 4 5 7 4" xfId="13990" xr:uid="{00000000-0005-0000-0000-00003DA50000}"/>
    <cellStyle name="Prosent 2 3 4 4 5 8" xfId="13994" xr:uid="{00000000-0005-0000-0000-00003EA50000}"/>
    <cellStyle name="Prosent 2 3 4 4 5 8 2" xfId="18804" xr:uid="{00000000-0005-0000-0000-00003FA50000}"/>
    <cellStyle name="Prosent 2 3 4 4 5 8 3" xfId="15872" xr:uid="{00000000-0005-0000-0000-000040A50000}"/>
    <cellStyle name="Prosent 2 3 4 4 5 8 3 2" xfId="26873" xr:uid="{00000000-0005-0000-0000-000041A50000}"/>
    <cellStyle name="Prosent 2 3 4 4 5 8 3 2 2" xfId="42428" xr:uid="{00000000-0005-0000-0000-000042A50000}"/>
    <cellStyle name="Prosent 2 3 4 4 5 8 3 3" xfId="45452" xr:uid="{00000000-0005-0000-0000-000043A50000}"/>
    <cellStyle name="Prosent 2 3 4 4 5 8_Avviksanalyse løpende RNB15 (1)" xfId="17378" xr:uid="{00000000-0005-0000-0000-000044A50000}"/>
    <cellStyle name="Prosent 2 3 4 4 5 9" xfId="13957" xr:uid="{00000000-0005-0000-0000-000045A50000}"/>
    <cellStyle name="Prosent 2 3 4 4 6" xfId="2967" xr:uid="{00000000-0005-0000-0000-000046A50000}"/>
    <cellStyle name="Prosent 2 3 4 4 6 2" xfId="2968" xr:uid="{00000000-0005-0000-0000-000047A50000}"/>
    <cellStyle name="Prosent 2 3 4 4 6 2 2" xfId="2969" xr:uid="{00000000-0005-0000-0000-000048A50000}"/>
    <cellStyle name="Prosent 2 3 4 4 6 2 2 2" xfId="13998" xr:uid="{00000000-0005-0000-0000-000049A50000}"/>
    <cellStyle name="Prosent 2 3 4 4 6 2 2 2 2" xfId="18805" xr:uid="{00000000-0005-0000-0000-00004AA50000}"/>
    <cellStyle name="Prosent 2 3 4 4 6 2 2 2 3" xfId="15881" xr:uid="{00000000-0005-0000-0000-00004BA50000}"/>
    <cellStyle name="Prosent 2 3 4 4 6 2 2 2 3 2" xfId="26874" xr:uid="{00000000-0005-0000-0000-00004CA50000}"/>
    <cellStyle name="Prosent 2 3 4 4 6 2 2 2 3 2 2" xfId="42437" xr:uid="{00000000-0005-0000-0000-00004DA50000}"/>
    <cellStyle name="Prosent 2 3 4 4 6 2 2 2 3 3" xfId="45453" xr:uid="{00000000-0005-0000-0000-00004EA50000}"/>
    <cellStyle name="Prosent 2 3 4 4 6 2 2 2_Avviksanalyse løpende RNB15 (1)" xfId="17379" xr:uid="{00000000-0005-0000-0000-00004FA50000}"/>
    <cellStyle name="Prosent 2 3 4 4 6 2 2 3" xfId="13997" xr:uid="{00000000-0005-0000-0000-000050A50000}"/>
    <cellStyle name="Prosent 2 3 4 4 6 2 3" xfId="2970" xr:uid="{00000000-0005-0000-0000-000051A50000}"/>
    <cellStyle name="Prosent 2 3 4 4 6 2 3 2" xfId="2971" xr:uid="{00000000-0005-0000-0000-000052A50000}"/>
    <cellStyle name="Prosent 2 3 4 4 6 2 3 2 2" xfId="14001" xr:uid="{00000000-0005-0000-0000-000053A50000}"/>
    <cellStyle name="Prosent 2 3 4 4 6 2 3 2 2 2" xfId="18806" xr:uid="{00000000-0005-0000-0000-000054A50000}"/>
    <cellStyle name="Prosent 2 3 4 4 6 2 3 2 2 3" xfId="16123" xr:uid="{00000000-0005-0000-0000-000055A50000}"/>
    <cellStyle name="Prosent 2 3 4 4 6 2 3 2 2 3 2" xfId="26875" xr:uid="{00000000-0005-0000-0000-000056A50000}"/>
    <cellStyle name="Prosent 2 3 4 4 6 2 3 2 2 3 2 2" xfId="42679" xr:uid="{00000000-0005-0000-0000-000057A50000}"/>
    <cellStyle name="Prosent 2 3 4 4 6 2 3 2 2 3 3" xfId="45454" xr:uid="{00000000-0005-0000-0000-000058A50000}"/>
    <cellStyle name="Prosent 2 3 4 4 6 2 3 2 2_Avviksanalyse løpende RNB15 (1)" xfId="17380" xr:uid="{00000000-0005-0000-0000-000059A50000}"/>
    <cellStyle name="Prosent 2 3 4 4 6 2 3 2 3" xfId="14000" xr:uid="{00000000-0005-0000-0000-00005AA50000}"/>
    <cellStyle name="Prosent 2 3 4 4 6 2 3 3" xfId="14002" xr:uid="{00000000-0005-0000-0000-00005BA50000}"/>
    <cellStyle name="Prosent 2 3 4 4 6 2 3 3 2" xfId="18807" xr:uid="{00000000-0005-0000-0000-00005CA50000}"/>
    <cellStyle name="Prosent 2 3 4 4 6 2 3 3 3" xfId="16122" xr:uid="{00000000-0005-0000-0000-00005DA50000}"/>
    <cellStyle name="Prosent 2 3 4 4 6 2 3 3 3 2" xfId="26876" xr:uid="{00000000-0005-0000-0000-00005EA50000}"/>
    <cellStyle name="Prosent 2 3 4 4 6 2 3 3 3 2 2" xfId="42678" xr:uid="{00000000-0005-0000-0000-00005FA50000}"/>
    <cellStyle name="Prosent 2 3 4 4 6 2 3 3 3 3" xfId="45455" xr:uid="{00000000-0005-0000-0000-000060A50000}"/>
    <cellStyle name="Prosent 2 3 4 4 6 2 3 3_Avviksanalyse løpende RNB15 (1)" xfId="17381" xr:uid="{00000000-0005-0000-0000-000061A50000}"/>
    <cellStyle name="Prosent 2 3 4 4 6 2 3 4" xfId="13999" xr:uid="{00000000-0005-0000-0000-000062A50000}"/>
    <cellStyle name="Prosent 2 3 4 4 6 2 4" xfId="2972" xr:uid="{00000000-0005-0000-0000-000063A50000}"/>
    <cellStyle name="Prosent 2 3 4 4 6 2 4 2" xfId="2973" xr:uid="{00000000-0005-0000-0000-000064A50000}"/>
    <cellStyle name="Prosent 2 3 4 4 6 2 4 2 2" xfId="14005" xr:uid="{00000000-0005-0000-0000-000065A50000}"/>
    <cellStyle name="Prosent 2 3 4 4 6 2 4 2 2 2" xfId="18808" xr:uid="{00000000-0005-0000-0000-000066A50000}"/>
    <cellStyle name="Prosent 2 3 4 4 6 2 4 2 2 3" xfId="16125" xr:uid="{00000000-0005-0000-0000-000067A50000}"/>
    <cellStyle name="Prosent 2 3 4 4 6 2 4 2 2 3 2" xfId="26877" xr:uid="{00000000-0005-0000-0000-000068A50000}"/>
    <cellStyle name="Prosent 2 3 4 4 6 2 4 2 2 3 2 2" xfId="42681" xr:uid="{00000000-0005-0000-0000-000069A50000}"/>
    <cellStyle name="Prosent 2 3 4 4 6 2 4 2 2 3 3" xfId="45456" xr:uid="{00000000-0005-0000-0000-00006AA50000}"/>
    <cellStyle name="Prosent 2 3 4 4 6 2 4 2 2_Avviksanalyse løpende RNB15 (1)" xfId="17382" xr:uid="{00000000-0005-0000-0000-00006BA50000}"/>
    <cellStyle name="Prosent 2 3 4 4 6 2 4 2 3" xfId="14004" xr:uid="{00000000-0005-0000-0000-00006CA50000}"/>
    <cellStyle name="Prosent 2 3 4 4 6 2 4 3" xfId="14006" xr:uid="{00000000-0005-0000-0000-00006DA50000}"/>
    <cellStyle name="Prosent 2 3 4 4 6 2 4 3 2" xfId="18809" xr:uid="{00000000-0005-0000-0000-00006EA50000}"/>
    <cellStyle name="Prosent 2 3 4 4 6 2 4 3 3" xfId="16124" xr:uid="{00000000-0005-0000-0000-00006FA50000}"/>
    <cellStyle name="Prosent 2 3 4 4 6 2 4 3 3 2" xfId="26878" xr:uid="{00000000-0005-0000-0000-000070A50000}"/>
    <cellStyle name="Prosent 2 3 4 4 6 2 4 3 3 2 2" xfId="42680" xr:uid="{00000000-0005-0000-0000-000071A50000}"/>
    <cellStyle name="Prosent 2 3 4 4 6 2 4 3 3 3" xfId="45457" xr:uid="{00000000-0005-0000-0000-000072A50000}"/>
    <cellStyle name="Prosent 2 3 4 4 6 2 4 3_Avviksanalyse løpende RNB15 (1)" xfId="17383" xr:uid="{00000000-0005-0000-0000-000073A50000}"/>
    <cellStyle name="Prosent 2 3 4 4 6 2 4 4" xfId="14003" xr:uid="{00000000-0005-0000-0000-000074A50000}"/>
    <cellStyle name="Prosent 2 3 4 4 6 2 5" xfId="14007" xr:uid="{00000000-0005-0000-0000-000075A50000}"/>
    <cellStyle name="Prosent 2 3 4 4 6 2 5 2" xfId="18810" xr:uid="{00000000-0005-0000-0000-000076A50000}"/>
    <cellStyle name="Prosent 2 3 4 4 6 2 5 3" xfId="15880" xr:uid="{00000000-0005-0000-0000-000077A50000}"/>
    <cellStyle name="Prosent 2 3 4 4 6 2 5 3 2" xfId="26879" xr:uid="{00000000-0005-0000-0000-000078A50000}"/>
    <cellStyle name="Prosent 2 3 4 4 6 2 5 3 2 2" xfId="42436" xr:uid="{00000000-0005-0000-0000-000079A50000}"/>
    <cellStyle name="Prosent 2 3 4 4 6 2 5 3 3" xfId="45458" xr:uid="{00000000-0005-0000-0000-00007AA50000}"/>
    <cellStyle name="Prosent 2 3 4 4 6 2 5_Avviksanalyse løpende RNB15 (1)" xfId="17384" xr:uid="{00000000-0005-0000-0000-00007BA50000}"/>
    <cellStyle name="Prosent 2 3 4 4 6 2 6" xfId="13996" xr:uid="{00000000-0005-0000-0000-00007CA50000}"/>
    <cellStyle name="Prosent 2 3 4 4 6 3" xfId="2974" xr:uid="{00000000-0005-0000-0000-00007DA50000}"/>
    <cellStyle name="Prosent 2 3 4 4 6 3 2" xfId="14009" xr:uid="{00000000-0005-0000-0000-00007EA50000}"/>
    <cellStyle name="Prosent 2 3 4 4 6 3 2 2" xfId="18811" xr:uid="{00000000-0005-0000-0000-00007FA50000}"/>
    <cellStyle name="Prosent 2 3 4 4 6 3 2 3" xfId="15882" xr:uid="{00000000-0005-0000-0000-000080A50000}"/>
    <cellStyle name="Prosent 2 3 4 4 6 3 2 3 2" xfId="26880" xr:uid="{00000000-0005-0000-0000-000081A50000}"/>
    <cellStyle name="Prosent 2 3 4 4 6 3 2 3 2 2" xfId="42438" xr:uid="{00000000-0005-0000-0000-000082A50000}"/>
    <cellStyle name="Prosent 2 3 4 4 6 3 2 3 3" xfId="45459" xr:uid="{00000000-0005-0000-0000-000083A50000}"/>
    <cellStyle name="Prosent 2 3 4 4 6 3 2_Avviksanalyse løpende RNB15 (1)" xfId="17385" xr:uid="{00000000-0005-0000-0000-000084A50000}"/>
    <cellStyle name="Prosent 2 3 4 4 6 3 3" xfId="14008" xr:uid="{00000000-0005-0000-0000-000085A50000}"/>
    <cellStyle name="Prosent 2 3 4 4 6 4" xfId="2975" xr:uid="{00000000-0005-0000-0000-000086A50000}"/>
    <cellStyle name="Prosent 2 3 4 4 6 4 2" xfId="2976" xr:uid="{00000000-0005-0000-0000-000087A50000}"/>
    <cellStyle name="Prosent 2 3 4 4 6 4 2 2" xfId="14012" xr:uid="{00000000-0005-0000-0000-000088A50000}"/>
    <cellStyle name="Prosent 2 3 4 4 6 4 2 2 2" xfId="18812" xr:uid="{00000000-0005-0000-0000-000089A50000}"/>
    <cellStyle name="Prosent 2 3 4 4 6 4 2 2 3" xfId="16127" xr:uid="{00000000-0005-0000-0000-00008AA50000}"/>
    <cellStyle name="Prosent 2 3 4 4 6 4 2 2 3 2" xfId="26881" xr:uid="{00000000-0005-0000-0000-00008BA50000}"/>
    <cellStyle name="Prosent 2 3 4 4 6 4 2 2 3 2 2" xfId="42683" xr:uid="{00000000-0005-0000-0000-00008CA50000}"/>
    <cellStyle name="Prosent 2 3 4 4 6 4 2 2 3 3" xfId="45460" xr:uid="{00000000-0005-0000-0000-00008DA50000}"/>
    <cellStyle name="Prosent 2 3 4 4 6 4 2 2_Avviksanalyse løpende RNB15 (1)" xfId="17386" xr:uid="{00000000-0005-0000-0000-00008EA50000}"/>
    <cellStyle name="Prosent 2 3 4 4 6 4 2 3" xfId="14011" xr:uid="{00000000-0005-0000-0000-00008FA50000}"/>
    <cellStyle name="Prosent 2 3 4 4 6 4 3" xfId="14013" xr:uid="{00000000-0005-0000-0000-000090A50000}"/>
    <cellStyle name="Prosent 2 3 4 4 6 4 3 2" xfId="18813" xr:uid="{00000000-0005-0000-0000-000091A50000}"/>
    <cellStyle name="Prosent 2 3 4 4 6 4 3 3" xfId="16126" xr:uid="{00000000-0005-0000-0000-000092A50000}"/>
    <cellStyle name="Prosent 2 3 4 4 6 4 3 3 2" xfId="26882" xr:uid="{00000000-0005-0000-0000-000093A50000}"/>
    <cellStyle name="Prosent 2 3 4 4 6 4 3 3 2 2" xfId="42682" xr:uid="{00000000-0005-0000-0000-000094A50000}"/>
    <cellStyle name="Prosent 2 3 4 4 6 4 3 3 3" xfId="45461" xr:uid="{00000000-0005-0000-0000-000095A50000}"/>
    <cellStyle name="Prosent 2 3 4 4 6 4 3_Avviksanalyse løpende RNB15 (1)" xfId="17387" xr:uid="{00000000-0005-0000-0000-000096A50000}"/>
    <cellStyle name="Prosent 2 3 4 4 6 4 4" xfId="14010" xr:uid="{00000000-0005-0000-0000-000097A50000}"/>
    <cellStyle name="Prosent 2 3 4 4 6 5" xfId="2977" xr:uid="{00000000-0005-0000-0000-000098A50000}"/>
    <cellStyle name="Prosent 2 3 4 4 6 5 2" xfId="2978" xr:uid="{00000000-0005-0000-0000-000099A50000}"/>
    <cellStyle name="Prosent 2 3 4 4 6 5 2 2" xfId="14016" xr:uid="{00000000-0005-0000-0000-00009AA50000}"/>
    <cellStyle name="Prosent 2 3 4 4 6 5 2 2 2" xfId="18814" xr:uid="{00000000-0005-0000-0000-00009BA50000}"/>
    <cellStyle name="Prosent 2 3 4 4 6 5 2 2 3" xfId="16129" xr:uid="{00000000-0005-0000-0000-00009CA50000}"/>
    <cellStyle name="Prosent 2 3 4 4 6 5 2 2 3 2" xfId="26883" xr:uid="{00000000-0005-0000-0000-00009DA50000}"/>
    <cellStyle name="Prosent 2 3 4 4 6 5 2 2 3 2 2" xfId="42685" xr:uid="{00000000-0005-0000-0000-00009EA50000}"/>
    <cellStyle name="Prosent 2 3 4 4 6 5 2 2 3 3" xfId="45462" xr:uid="{00000000-0005-0000-0000-00009FA50000}"/>
    <cellStyle name="Prosent 2 3 4 4 6 5 2 2_Avviksanalyse løpende RNB15 (1)" xfId="17388" xr:uid="{00000000-0005-0000-0000-0000A0A50000}"/>
    <cellStyle name="Prosent 2 3 4 4 6 5 2 3" xfId="14015" xr:uid="{00000000-0005-0000-0000-0000A1A50000}"/>
    <cellStyle name="Prosent 2 3 4 4 6 5 3" xfId="14017" xr:uid="{00000000-0005-0000-0000-0000A2A50000}"/>
    <cellStyle name="Prosent 2 3 4 4 6 5 3 2" xfId="18815" xr:uid="{00000000-0005-0000-0000-0000A3A50000}"/>
    <cellStyle name="Prosent 2 3 4 4 6 5 3 3" xfId="16128" xr:uid="{00000000-0005-0000-0000-0000A4A50000}"/>
    <cellStyle name="Prosent 2 3 4 4 6 5 3 3 2" xfId="26884" xr:uid="{00000000-0005-0000-0000-0000A5A50000}"/>
    <cellStyle name="Prosent 2 3 4 4 6 5 3 3 2 2" xfId="42684" xr:uid="{00000000-0005-0000-0000-0000A6A50000}"/>
    <cellStyle name="Prosent 2 3 4 4 6 5 3 3 3" xfId="45463" xr:uid="{00000000-0005-0000-0000-0000A7A50000}"/>
    <cellStyle name="Prosent 2 3 4 4 6 5 3_Avviksanalyse løpende RNB15 (1)" xfId="17389" xr:uid="{00000000-0005-0000-0000-0000A8A50000}"/>
    <cellStyle name="Prosent 2 3 4 4 6 5 4" xfId="14014" xr:uid="{00000000-0005-0000-0000-0000A9A50000}"/>
    <cellStyle name="Prosent 2 3 4 4 6 6" xfId="14018" xr:uid="{00000000-0005-0000-0000-0000AAA50000}"/>
    <cellStyle name="Prosent 2 3 4 4 6 6 2" xfId="18816" xr:uid="{00000000-0005-0000-0000-0000ABA50000}"/>
    <cellStyle name="Prosent 2 3 4 4 6 6 3" xfId="15879" xr:uid="{00000000-0005-0000-0000-0000ACA50000}"/>
    <cellStyle name="Prosent 2 3 4 4 6 6 3 2" xfId="26885" xr:uid="{00000000-0005-0000-0000-0000ADA50000}"/>
    <cellStyle name="Prosent 2 3 4 4 6 6 3 2 2" xfId="42435" xr:uid="{00000000-0005-0000-0000-0000AEA50000}"/>
    <cellStyle name="Prosent 2 3 4 4 6 6 3 3" xfId="45464" xr:uid="{00000000-0005-0000-0000-0000AFA50000}"/>
    <cellStyle name="Prosent 2 3 4 4 6 6_Avviksanalyse løpende RNB15 (1)" xfId="17390" xr:uid="{00000000-0005-0000-0000-0000B0A50000}"/>
    <cellStyle name="Prosent 2 3 4 4 6 7" xfId="13995" xr:uid="{00000000-0005-0000-0000-0000B1A50000}"/>
    <cellStyle name="Prosent 2 3 4 4 7" xfId="2979" xr:uid="{00000000-0005-0000-0000-0000B2A50000}"/>
    <cellStyle name="Prosent 2 3 4 4 7 2" xfId="2980" xr:uid="{00000000-0005-0000-0000-0000B3A50000}"/>
    <cellStyle name="Prosent 2 3 4 4 7 2 2" xfId="14021" xr:uid="{00000000-0005-0000-0000-0000B4A50000}"/>
    <cellStyle name="Prosent 2 3 4 4 7 2 2 2" xfId="18817" xr:uid="{00000000-0005-0000-0000-0000B5A50000}"/>
    <cellStyle name="Prosent 2 3 4 4 7 2 2 3" xfId="15884" xr:uid="{00000000-0005-0000-0000-0000B6A50000}"/>
    <cellStyle name="Prosent 2 3 4 4 7 2 2 3 2" xfId="26886" xr:uid="{00000000-0005-0000-0000-0000B7A50000}"/>
    <cellStyle name="Prosent 2 3 4 4 7 2 2 3 2 2" xfId="42440" xr:uid="{00000000-0005-0000-0000-0000B8A50000}"/>
    <cellStyle name="Prosent 2 3 4 4 7 2 2 3 3" xfId="45465" xr:uid="{00000000-0005-0000-0000-0000B9A50000}"/>
    <cellStyle name="Prosent 2 3 4 4 7 2 2_Avviksanalyse løpende RNB15 (1)" xfId="17391" xr:uid="{00000000-0005-0000-0000-0000BAA50000}"/>
    <cellStyle name="Prosent 2 3 4 4 7 2 3" xfId="14020" xr:uid="{00000000-0005-0000-0000-0000BBA50000}"/>
    <cellStyle name="Prosent 2 3 4 4 7 3" xfId="2981" xr:uid="{00000000-0005-0000-0000-0000BCA50000}"/>
    <cellStyle name="Prosent 2 3 4 4 7 3 2" xfId="2982" xr:uid="{00000000-0005-0000-0000-0000BDA50000}"/>
    <cellStyle name="Prosent 2 3 4 4 7 3 2 2" xfId="14024" xr:uid="{00000000-0005-0000-0000-0000BEA50000}"/>
    <cellStyle name="Prosent 2 3 4 4 7 3 2 2 2" xfId="18818" xr:uid="{00000000-0005-0000-0000-0000BFA50000}"/>
    <cellStyle name="Prosent 2 3 4 4 7 3 2 2 3" xfId="16131" xr:uid="{00000000-0005-0000-0000-0000C0A50000}"/>
    <cellStyle name="Prosent 2 3 4 4 7 3 2 2 3 2" xfId="26887" xr:uid="{00000000-0005-0000-0000-0000C1A50000}"/>
    <cellStyle name="Prosent 2 3 4 4 7 3 2 2 3 2 2" xfId="42687" xr:uid="{00000000-0005-0000-0000-0000C2A50000}"/>
    <cellStyle name="Prosent 2 3 4 4 7 3 2 2 3 3" xfId="45466" xr:uid="{00000000-0005-0000-0000-0000C3A50000}"/>
    <cellStyle name="Prosent 2 3 4 4 7 3 2 2_Avviksanalyse løpende RNB15 (1)" xfId="17392" xr:uid="{00000000-0005-0000-0000-0000C4A50000}"/>
    <cellStyle name="Prosent 2 3 4 4 7 3 2 3" xfId="14023" xr:uid="{00000000-0005-0000-0000-0000C5A50000}"/>
    <cellStyle name="Prosent 2 3 4 4 7 3 3" xfId="14025" xr:uid="{00000000-0005-0000-0000-0000C6A50000}"/>
    <cellStyle name="Prosent 2 3 4 4 7 3 3 2" xfId="18819" xr:uid="{00000000-0005-0000-0000-0000C7A50000}"/>
    <cellStyle name="Prosent 2 3 4 4 7 3 3 3" xfId="16130" xr:uid="{00000000-0005-0000-0000-0000C8A50000}"/>
    <cellStyle name="Prosent 2 3 4 4 7 3 3 3 2" xfId="26888" xr:uid="{00000000-0005-0000-0000-0000C9A50000}"/>
    <cellStyle name="Prosent 2 3 4 4 7 3 3 3 2 2" xfId="42686" xr:uid="{00000000-0005-0000-0000-0000CAA50000}"/>
    <cellStyle name="Prosent 2 3 4 4 7 3 3 3 3" xfId="45467" xr:uid="{00000000-0005-0000-0000-0000CBA50000}"/>
    <cellStyle name="Prosent 2 3 4 4 7 3 3_Avviksanalyse løpende RNB15 (1)" xfId="17393" xr:uid="{00000000-0005-0000-0000-0000CCA50000}"/>
    <cellStyle name="Prosent 2 3 4 4 7 3 4" xfId="14022" xr:uid="{00000000-0005-0000-0000-0000CDA50000}"/>
    <cellStyle name="Prosent 2 3 4 4 7 4" xfId="2983" xr:uid="{00000000-0005-0000-0000-0000CEA50000}"/>
    <cellStyle name="Prosent 2 3 4 4 7 4 2" xfId="2984" xr:uid="{00000000-0005-0000-0000-0000CFA50000}"/>
    <cellStyle name="Prosent 2 3 4 4 7 4 2 2" xfId="14028" xr:uid="{00000000-0005-0000-0000-0000D0A50000}"/>
    <cellStyle name="Prosent 2 3 4 4 7 4 2 2 2" xfId="18820" xr:uid="{00000000-0005-0000-0000-0000D1A50000}"/>
    <cellStyle name="Prosent 2 3 4 4 7 4 2 2 3" xfId="16133" xr:uid="{00000000-0005-0000-0000-0000D2A50000}"/>
    <cellStyle name="Prosent 2 3 4 4 7 4 2 2 3 2" xfId="26889" xr:uid="{00000000-0005-0000-0000-0000D3A50000}"/>
    <cellStyle name="Prosent 2 3 4 4 7 4 2 2 3 2 2" xfId="42689" xr:uid="{00000000-0005-0000-0000-0000D4A50000}"/>
    <cellStyle name="Prosent 2 3 4 4 7 4 2 2 3 3" xfId="45468" xr:uid="{00000000-0005-0000-0000-0000D5A50000}"/>
    <cellStyle name="Prosent 2 3 4 4 7 4 2 2_Avviksanalyse løpende RNB15 (1)" xfId="17394" xr:uid="{00000000-0005-0000-0000-0000D6A50000}"/>
    <cellStyle name="Prosent 2 3 4 4 7 4 2 3" xfId="14027" xr:uid="{00000000-0005-0000-0000-0000D7A50000}"/>
    <cellStyle name="Prosent 2 3 4 4 7 4 3" xfId="14029" xr:uid="{00000000-0005-0000-0000-0000D8A50000}"/>
    <cellStyle name="Prosent 2 3 4 4 7 4 3 2" xfId="18821" xr:uid="{00000000-0005-0000-0000-0000D9A50000}"/>
    <cellStyle name="Prosent 2 3 4 4 7 4 3 3" xfId="16132" xr:uid="{00000000-0005-0000-0000-0000DAA50000}"/>
    <cellStyle name="Prosent 2 3 4 4 7 4 3 3 2" xfId="26890" xr:uid="{00000000-0005-0000-0000-0000DBA50000}"/>
    <cellStyle name="Prosent 2 3 4 4 7 4 3 3 2 2" xfId="42688" xr:uid="{00000000-0005-0000-0000-0000DCA50000}"/>
    <cellStyle name="Prosent 2 3 4 4 7 4 3 3 3" xfId="45469" xr:uid="{00000000-0005-0000-0000-0000DDA50000}"/>
    <cellStyle name="Prosent 2 3 4 4 7 4 3_Avviksanalyse løpende RNB15 (1)" xfId="17395" xr:uid="{00000000-0005-0000-0000-0000DEA50000}"/>
    <cellStyle name="Prosent 2 3 4 4 7 4 4" xfId="14026" xr:uid="{00000000-0005-0000-0000-0000DFA50000}"/>
    <cellStyle name="Prosent 2 3 4 4 7 5" xfId="14030" xr:uid="{00000000-0005-0000-0000-0000E0A50000}"/>
    <cellStyle name="Prosent 2 3 4 4 7 5 2" xfId="18822" xr:uid="{00000000-0005-0000-0000-0000E1A50000}"/>
    <cellStyle name="Prosent 2 3 4 4 7 5 3" xfId="15883" xr:uid="{00000000-0005-0000-0000-0000E2A50000}"/>
    <cellStyle name="Prosent 2 3 4 4 7 5 3 2" xfId="26891" xr:uid="{00000000-0005-0000-0000-0000E3A50000}"/>
    <cellStyle name="Prosent 2 3 4 4 7 5 3 2 2" xfId="42439" xr:uid="{00000000-0005-0000-0000-0000E4A50000}"/>
    <cellStyle name="Prosent 2 3 4 4 7 5 3 3" xfId="45470" xr:uid="{00000000-0005-0000-0000-0000E5A50000}"/>
    <cellStyle name="Prosent 2 3 4 4 7 5_Avviksanalyse løpende RNB15 (1)" xfId="17396" xr:uid="{00000000-0005-0000-0000-0000E6A50000}"/>
    <cellStyle name="Prosent 2 3 4 4 7 6" xfId="14019" xr:uid="{00000000-0005-0000-0000-0000E7A50000}"/>
    <cellStyle name="Prosent 2 3 4 4 8" xfId="2985" xr:uid="{00000000-0005-0000-0000-0000E8A50000}"/>
    <cellStyle name="Prosent 2 3 4 4 8 2" xfId="2986" xr:uid="{00000000-0005-0000-0000-0000E9A50000}"/>
    <cellStyle name="Prosent 2 3 4 4 8 2 2" xfId="14033" xr:uid="{00000000-0005-0000-0000-0000EAA50000}"/>
    <cellStyle name="Prosent 2 3 4 4 8 2 2 2" xfId="18823" xr:uid="{00000000-0005-0000-0000-0000EBA50000}"/>
    <cellStyle name="Prosent 2 3 4 4 8 2 2 3" xfId="16135" xr:uid="{00000000-0005-0000-0000-0000ECA50000}"/>
    <cellStyle name="Prosent 2 3 4 4 8 2 2 3 2" xfId="26892" xr:uid="{00000000-0005-0000-0000-0000EDA50000}"/>
    <cellStyle name="Prosent 2 3 4 4 8 2 2 3 2 2" xfId="42691" xr:uid="{00000000-0005-0000-0000-0000EEA50000}"/>
    <cellStyle name="Prosent 2 3 4 4 8 2 2 3 3" xfId="45471" xr:uid="{00000000-0005-0000-0000-0000EFA50000}"/>
    <cellStyle name="Prosent 2 3 4 4 8 2 2_Avviksanalyse løpende RNB15 (1)" xfId="17397" xr:uid="{00000000-0005-0000-0000-0000F0A50000}"/>
    <cellStyle name="Prosent 2 3 4 4 8 2 3" xfId="14032" xr:uid="{00000000-0005-0000-0000-0000F1A50000}"/>
    <cellStyle name="Prosent 2 3 4 4 8 3" xfId="14034" xr:uid="{00000000-0005-0000-0000-0000F2A50000}"/>
    <cellStyle name="Prosent 2 3 4 4 8 3 2" xfId="18824" xr:uid="{00000000-0005-0000-0000-0000F3A50000}"/>
    <cellStyle name="Prosent 2 3 4 4 8 3 3" xfId="16134" xr:uid="{00000000-0005-0000-0000-0000F4A50000}"/>
    <cellStyle name="Prosent 2 3 4 4 8 3 3 2" xfId="26893" xr:uid="{00000000-0005-0000-0000-0000F5A50000}"/>
    <cellStyle name="Prosent 2 3 4 4 8 3 3 2 2" xfId="42690" xr:uid="{00000000-0005-0000-0000-0000F6A50000}"/>
    <cellStyle name="Prosent 2 3 4 4 8 3 3 3" xfId="45472" xr:uid="{00000000-0005-0000-0000-0000F7A50000}"/>
    <cellStyle name="Prosent 2 3 4 4 8 3_Avviksanalyse løpende RNB15 (1)" xfId="17398" xr:uid="{00000000-0005-0000-0000-0000F8A50000}"/>
    <cellStyle name="Prosent 2 3 4 4 8 4" xfId="14031" xr:uid="{00000000-0005-0000-0000-0000F9A50000}"/>
    <cellStyle name="Prosent 2 3 4 4 9" xfId="2987" xr:uid="{00000000-0005-0000-0000-0000FAA50000}"/>
    <cellStyle name="Prosent 2 3 4 4 9 2" xfId="2988" xr:uid="{00000000-0005-0000-0000-0000FBA50000}"/>
    <cellStyle name="Prosent 2 3 4 4 9 2 2" xfId="14037" xr:uid="{00000000-0005-0000-0000-0000FCA50000}"/>
    <cellStyle name="Prosent 2 3 4 4 9 2 2 2" xfId="18825" xr:uid="{00000000-0005-0000-0000-0000FDA50000}"/>
    <cellStyle name="Prosent 2 3 4 4 9 2 2 3" xfId="16137" xr:uid="{00000000-0005-0000-0000-0000FEA50000}"/>
    <cellStyle name="Prosent 2 3 4 4 9 2 2 3 2" xfId="26894" xr:uid="{00000000-0005-0000-0000-0000FFA50000}"/>
    <cellStyle name="Prosent 2 3 4 4 9 2 2 3 2 2" xfId="42693" xr:uid="{00000000-0005-0000-0000-000000A60000}"/>
    <cellStyle name="Prosent 2 3 4 4 9 2 2 3 3" xfId="45473" xr:uid="{00000000-0005-0000-0000-000001A60000}"/>
    <cellStyle name="Prosent 2 3 4 4 9 2 2_Avviksanalyse løpende RNB15 (1)" xfId="17399" xr:uid="{00000000-0005-0000-0000-000002A60000}"/>
    <cellStyle name="Prosent 2 3 4 4 9 2 3" xfId="14036" xr:uid="{00000000-0005-0000-0000-000003A60000}"/>
    <cellStyle name="Prosent 2 3 4 4 9 3" xfId="14038" xr:uid="{00000000-0005-0000-0000-000004A60000}"/>
    <cellStyle name="Prosent 2 3 4 4 9 3 2" xfId="18826" xr:uid="{00000000-0005-0000-0000-000005A60000}"/>
    <cellStyle name="Prosent 2 3 4 4 9 3 3" xfId="16136" xr:uid="{00000000-0005-0000-0000-000006A60000}"/>
    <cellStyle name="Prosent 2 3 4 4 9 3 3 2" xfId="26895" xr:uid="{00000000-0005-0000-0000-000007A60000}"/>
    <cellStyle name="Prosent 2 3 4 4 9 3 3 2 2" xfId="42692" xr:uid="{00000000-0005-0000-0000-000008A60000}"/>
    <cellStyle name="Prosent 2 3 4 4 9 3 3 3" xfId="45474" xr:uid="{00000000-0005-0000-0000-000009A60000}"/>
    <cellStyle name="Prosent 2 3 4 4 9 3_Avviksanalyse løpende RNB15 (1)" xfId="17400" xr:uid="{00000000-0005-0000-0000-00000AA60000}"/>
    <cellStyle name="Prosent 2 3 4 4 9 4" xfId="14035" xr:uid="{00000000-0005-0000-0000-00000BA60000}"/>
    <cellStyle name="Prosent 2 3 4 5" xfId="2989" xr:uid="{00000000-0005-0000-0000-00000CA60000}"/>
    <cellStyle name="Prosent 2 3 4 5 2" xfId="2990" xr:uid="{00000000-0005-0000-0000-00000DA60000}"/>
    <cellStyle name="Prosent 2 3 4 5 2 2" xfId="14041" xr:uid="{00000000-0005-0000-0000-00000EA60000}"/>
    <cellStyle name="Prosent 2 3 4 5 2 2 2" xfId="18827" xr:uid="{00000000-0005-0000-0000-00000FA60000}"/>
    <cellStyle name="Prosent 2 3 4 5 2 2 3" xfId="15886" xr:uid="{00000000-0005-0000-0000-000010A60000}"/>
    <cellStyle name="Prosent 2 3 4 5 2 2 3 2" xfId="26896" xr:uid="{00000000-0005-0000-0000-000011A60000}"/>
    <cellStyle name="Prosent 2 3 4 5 2 2 3 2 2" xfId="42442" xr:uid="{00000000-0005-0000-0000-000012A60000}"/>
    <cellStyle name="Prosent 2 3 4 5 2 2 3 3" xfId="45475" xr:uid="{00000000-0005-0000-0000-000013A60000}"/>
    <cellStyle name="Prosent 2 3 4 5 2 2_Avviksanalyse løpende RNB15 (1)" xfId="17401" xr:uid="{00000000-0005-0000-0000-000014A60000}"/>
    <cellStyle name="Prosent 2 3 4 5 2 3" xfId="14040" xr:uid="{00000000-0005-0000-0000-000015A60000}"/>
    <cellStyle name="Prosent 2 3 4 5 3" xfId="2991" xr:uid="{00000000-0005-0000-0000-000016A60000}"/>
    <cellStyle name="Prosent 2 3 4 5 3 2" xfId="14043" xr:uid="{00000000-0005-0000-0000-000017A60000}"/>
    <cellStyle name="Prosent 2 3 4 5 3 2 2" xfId="18828" xr:uid="{00000000-0005-0000-0000-000018A60000}"/>
    <cellStyle name="Prosent 2 3 4 5 3 2 3" xfId="15887" xr:uid="{00000000-0005-0000-0000-000019A60000}"/>
    <cellStyle name="Prosent 2 3 4 5 3 2 3 2" xfId="26897" xr:uid="{00000000-0005-0000-0000-00001AA60000}"/>
    <cellStyle name="Prosent 2 3 4 5 3 2 3 2 2" xfId="42443" xr:uid="{00000000-0005-0000-0000-00001BA60000}"/>
    <cellStyle name="Prosent 2 3 4 5 3 2 3 3" xfId="45476" xr:uid="{00000000-0005-0000-0000-00001CA60000}"/>
    <cellStyle name="Prosent 2 3 4 5 3 2_Avviksanalyse løpende RNB15 (1)" xfId="17402" xr:uid="{00000000-0005-0000-0000-00001DA60000}"/>
    <cellStyle name="Prosent 2 3 4 5 3 3" xfId="14042" xr:uid="{00000000-0005-0000-0000-00001EA60000}"/>
    <cellStyle name="Prosent 2 3 4 5 4" xfId="2992" xr:uid="{00000000-0005-0000-0000-00001FA60000}"/>
    <cellStyle name="Prosent 2 3 4 5 4 2" xfId="2993" xr:uid="{00000000-0005-0000-0000-000020A60000}"/>
    <cellStyle name="Prosent 2 3 4 5 4 2 2" xfId="2994" xr:uid="{00000000-0005-0000-0000-000021A60000}"/>
    <cellStyle name="Prosent 2 3 4 5 4 2 2 2" xfId="14047" xr:uid="{00000000-0005-0000-0000-000022A60000}"/>
    <cellStyle name="Prosent 2 3 4 5 4 2 2 2 2" xfId="18829" xr:uid="{00000000-0005-0000-0000-000023A60000}"/>
    <cellStyle name="Prosent 2 3 4 5 4 2 2 2 3" xfId="15890" xr:uid="{00000000-0005-0000-0000-000024A60000}"/>
    <cellStyle name="Prosent 2 3 4 5 4 2 2 2 3 2" xfId="26898" xr:uid="{00000000-0005-0000-0000-000025A60000}"/>
    <cellStyle name="Prosent 2 3 4 5 4 2 2 2 3 2 2" xfId="42446" xr:uid="{00000000-0005-0000-0000-000026A60000}"/>
    <cellStyle name="Prosent 2 3 4 5 4 2 2 2 3 3" xfId="45477" xr:uid="{00000000-0005-0000-0000-000027A60000}"/>
    <cellStyle name="Prosent 2 3 4 5 4 2 2 2_Avviksanalyse løpende RNB15 (1)" xfId="17403" xr:uid="{00000000-0005-0000-0000-000028A60000}"/>
    <cellStyle name="Prosent 2 3 4 5 4 2 2 3" xfId="14046" xr:uid="{00000000-0005-0000-0000-000029A60000}"/>
    <cellStyle name="Prosent 2 3 4 5 4 2 3" xfId="2995" xr:uid="{00000000-0005-0000-0000-00002AA60000}"/>
    <cellStyle name="Prosent 2 3 4 5 4 2 3 2" xfId="2996" xr:uid="{00000000-0005-0000-0000-00002BA60000}"/>
    <cellStyle name="Prosent 2 3 4 5 4 2 3 2 2" xfId="14050" xr:uid="{00000000-0005-0000-0000-00002CA60000}"/>
    <cellStyle name="Prosent 2 3 4 5 4 2 3 2 2 2" xfId="18830" xr:uid="{00000000-0005-0000-0000-00002DA60000}"/>
    <cellStyle name="Prosent 2 3 4 5 4 2 3 2 2 3" xfId="16139" xr:uid="{00000000-0005-0000-0000-00002EA60000}"/>
    <cellStyle name="Prosent 2 3 4 5 4 2 3 2 2 3 2" xfId="26899" xr:uid="{00000000-0005-0000-0000-00002FA60000}"/>
    <cellStyle name="Prosent 2 3 4 5 4 2 3 2 2 3 2 2" xfId="42695" xr:uid="{00000000-0005-0000-0000-000030A60000}"/>
    <cellStyle name="Prosent 2 3 4 5 4 2 3 2 2 3 3" xfId="45478" xr:uid="{00000000-0005-0000-0000-000031A60000}"/>
    <cellStyle name="Prosent 2 3 4 5 4 2 3 2 2_Avviksanalyse løpende RNB15 (1)" xfId="17404" xr:uid="{00000000-0005-0000-0000-000032A60000}"/>
    <cellStyle name="Prosent 2 3 4 5 4 2 3 2 3" xfId="14049" xr:uid="{00000000-0005-0000-0000-000033A60000}"/>
    <cellStyle name="Prosent 2 3 4 5 4 2 3 3" xfId="14051" xr:uid="{00000000-0005-0000-0000-000034A60000}"/>
    <cellStyle name="Prosent 2 3 4 5 4 2 3 3 2" xfId="18831" xr:uid="{00000000-0005-0000-0000-000035A60000}"/>
    <cellStyle name="Prosent 2 3 4 5 4 2 3 3 3" xfId="16138" xr:uid="{00000000-0005-0000-0000-000036A60000}"/>
    <cellStyle name="Prosent 2 3 4 5 4 2 3 3 3 2" xfId="26900" xr:uid="{00000000-0005-0000-0000-000037A60000}"/>
    <cellStyle name="Prosent 2 3 4 5 4 2 3 3 3 2 2" xfId="42694" xr:uid="{00000000-0005-0000-0000-000038A60000}"/>
    <cellStyle name="Prosent 2 3 4 5 4 2 3 3 3 3" xfId="45479" xr:uid="{00000000-0005-0000-0000-000039A60000}"/>
    <cellStyle name="Prosent 2 3 4 5 4 2 3 3_Avviksanalyse løpende RNB15 (1)" xfId="17405" xr:uid="{00000000-0005-0000-0000-00003AA60000}"/>
    <cellStyle name="Prosent 2 3 4 5 4 2 3 4" xfId="14048" xr:uid="{00000000-0005-0000-0000-00003BA60000}"/>
    <cellStyle name="Prosent 2 3 4 5 4 2 4" xfId="2997" xr:uid="{00000000-0005-0000-0000-00003CA60000}"/>
    <cellStyle name="Prosent 2 3 4 5 4 2 4 2" xfId="2998" xr:uid="{00000000-0005-0000-0000-00003DA60000}"/>
    <cellStyle name="Prosent 2 3 4 5 4 2 4 2 2" xfId="14054" xr:uid="{00000000-0005-0000-0000-00003EA60000}"/>
    <cellStyle name="Prosent 2 3 4 5 4 2 4 2 2 2" xfId="18832" xr:uid="{00000000-0005-0000-0000-00003FA60000}"/>
    <cellStyle name="Prosent 2 3 4 5 4 2 4 2 2 3" xfId="16141" xr:uid="{00000000-0005-0000-0000-000040A60000}"/>
    <cellStyle name="Prosent 2 3 4 5 4 2 4 2 2 3 2" xfId="26901" xr:uid="{00000000-0005-0000-0000-000041A60000}"/>
    <cellStyle name="Prosent 2 3 4 5 4 2 4 2 2 3 2 2" xfId="42697" xr:uid="{00000000-0005-0000-0000-000042A60000}"/>
    <cellStyle name="Prosent 2 3 4 5 4 2 4 2 2 3 3" xfId="45480" xr:uid="{00000000-0005-0000-0000-000043A60000}"/>
    <cellStyle name="Prosent 2 3 4 5 4 2 4 2 2_Avviksanalyse løpende RNB15 (1)" xfId="17406" xr:uid="{00000000-0005-0000-0000-000044A60000}"/>
    <cellStyle name="Prosent 2 3 4 5 4 2 4 2 3" xfId="14053" xr:uid="{00000000-0005-0000-0000-000045A60000}"/>
    <cellStyle name="Prosent 2 3 4 5 4 2 4 3" xfId="14055" xr:uid="{00000000-0005-0000-0000-000046A60000}"/>
    <cellStyle name="Prosent 2 3 4 5 4 2 4 3 2" xfId="18833" xr:uid="{00000000-0005-0000-0000-000047A60000}"/>
    <cellStyle name="Prosent 2 3 4 5 4 2 4 3 3" xfId="16140" xr:uid="{00000000-0005-0000-0000-000048A60000}"/>
    <cellStyle name="Prosent 2 3 4 5 4 2 4 3 3 2" xfId="26902" xr:uid="{00000000-0005-0000-0000-000049A60000}"/>
    <cellStyle name="Prosent 2 3 4 5 4 2 4 3 3 2 2" xfId="42696" xr:uid="{00000000-0005-0000-0000-00004AA60000}"/>
    <cellStyle name="Prosent 2 3 4 5 4 2 4 3 3 3" xfId="45481" xr:uid="{00000000-0005-0000-0000-00004BA60000}"/>
    <cellStyle name="Prosent 2 3 4 5 4 2 4 3_Avviksanalyse løpende RNB15 (1)" xfId="17407" xr:uid="{00000000-0005-0000-0000-00004CA60000}"/>
    <cellStyle name="Prosent 2 3 4 5 4 2 4 4" xfId="14052" xr:uid="{00000000-0005-0000-0000-00004DA60000}"/>
    <cellStyle name="Prosent 2 3 4 5 4 2 5" xfId="14056" xr:uid="{00000000-0005-0000-0000-00004EA60000}"/>
    <cellStyle name="Prosent 2 3 4 5 4 2 5 2" xfId="18834" xr:uid="{00000000-0005-0000-0000-00004FA60000}"/>
    <cellStyle name="Prosent 2 3 4 5 4 2 5 3" xfId="15889" xr:uid="{00000000-0005-0000-0000-000050A60000}"/>
    <cellStyle name="Prosent 2 3 4 5 4 2 5 3 2" xfId="26903" xr:uid="{00000000-0005-0000-0000-000051A60000}"/>
    <cellStyle name="Prosent 2 3 4 5 4 2 5 3 2 2" xfId="42445" xr:uid="{00000000-0005-0000-0000-000052A60000}"/>
    <cellStyle name="Prosent 2 3 4 5 4 2 5 3 3" xfId="45482" xr:uid="{00000000-0005-0000-0000-000053A60000}"/>
    <cellStyle name="Prosent 2 3 4 5 4 2 5_Avviksanalyse løpende RNB15 (1)" xfId="17408" xr:uid="{00000000-0005-0000-0000-000054A60000}"/>
    <cellStyle name="Prosent 2 3 4 5 4 2 6" xfId="14045" xr:uid="{00000000-0005-0000-0000-000055A60000}"/>
    <cellStyle name="Prosent 2 3 4 5 4 3" xfId="2999" xr:uid="{00000000-0005-0000-0000-000056A60000}"/>
    <cellStyle name="Prosent 2 3 4 5 4 3 2" xfId="14058" xr:uid="{00000000-0005-0000-0000-000057A60000}"/>
    <cellStyle name="Prosent 2 3 4 5 4 3 2 2" xfId="18835" xr:uid="{00000000-0005-0000-0000-000058A60000}"/>
    <cellStyle name="Prosent 2 3 4 5 4 3 2 3" xfId="15891" xr:uid="{00000000-0005-0000-0000-000059A60000}"/>
    <cellStyle name="Prosent 2 3 4 5 4 3 2 3 2" xfId="26904" xr:uid="{00000000-0005-0000-0000-00005AA60000}"/>
    <cellStyle name="Prosent 2 3 4 5 4 3 2 3 2 2" xfId="42447" xr:uid="{00000000-0005-0000-0000-00005BA60000}"/>
    <cellStyle name="Prosent 2 3 4 5 4 3 2 3 3" xfId="45483" xr:uid="{00000000-0005-0000-0000-00005CA60000}"/>
    <cellStyle name="Prosent 2 3 4 5 4 3 2_Avviksanalyse løpende RNB15 (1)" xfId="17409" xr:uid="{00000000-0005-0000-0000-00005DA60000}"/>
    <cellStyle name="Prosent 2 3 4 5 4 3 3" xfId="14057" xr:uid="{00000000-0005-0000-0000-00005EA60000}"/>
    <cellStyle name="Prosent 2 3 4 5 4 4" xfId="3000" xr:uid="{00000000-0005-0000-0000-00005FA60000}"/>
    <cellStyle name="Prosent 2 3 4 5 4 4 2" xfId="3001" xr:uid="{00000000-0005-0000-0000-000060A60000}"/>
    <cellStyle name="Prosent 2 3 4 5 4 4 2 2" xfId="14061" xr:uid="{00000000-0005-0000-0000-000061A60000}"/>
    <cellStyle name="Prosent 2 3 4 5 4 4 2 2 2" xfId="18836" xr:uid="{00000000-0005-0000-0000-000062A60000}"/>
    <cellStyle name="Prosent 2 3 4 5 4 4 2 2 3" xfId="16143" xr:uid="{00000000-0005-0000-0000-000063A60000}"/>
    <cellStyle name="Prosent 2 3 4 5 4 4 2 2 3 2" xfId="26905" xr:uid="{00000000-0005-0000-0000-000064A60000}"/>
    <cellStyle name="Prosent 2 3 4 5 4 4 2 2 3 2 2" xfId="42699" xr:uid="{00000000-0005-0000-0000-000065A60000}"/>
    <cellStyle name="Prosent 2 3 4 5 4 4 2 2 3 3" xfId="45484" xr:uid="{00000000-0005-0000-0000-000066A60000}"/>
    <cellStyle name="Prosent 2 3 4 5 4 4 2 2_Avviksanalyse løpende RNB15 (1)" xfId="17410" xr:uid="{00000000-0005-0000-0000-000067A60000}"/>
    <cellStyle name="Prosent 2 3 4 5 4 4 2 3" xfId="14060" xr:uid="{00000000-0005-0000-0000-000068A60000}"/>
    <cellStyle name="Prosent 2 3 4 5 4 4 3" xfId="14062" xr:uid="{00000000-0005-0000-0000-000069A60000}"/>
    <cellStyle name="Prosent 2 3 4 5 4 4 3 2" xfId="18837" xr:uid="{00000000-0005-0000-0000-00006AA60000}"/>
    <cellStyle name="Prosent 2 3 4 5 4 4 3 3" xfId="16142" xr:uid="{00000000-0005-0000-0000-00006BA60000}"/>
    <cellStyle name="Prosent 2 3 4 5 4 4 3 3 2" xfId="26906" xr:uid="{00000000-0005-0000-0000-00006CA60000}"/>
    <cellStyle name="Prosent 2 3 4 5 4 4 3 3 2 2" xfId="42698" xr:uid="{00000000-0005-0000-0000-00006DA60000}"/>
    <cellStyle name="Prosent 2 3 4 5 4 4 3 3 3" xfId="45485" xr:uid="{00000000-0005-0000-0000-00006EA60000}"/>
    <cellStyle name="Prosent 2 3 4 5 4 4 3_Avviksanalyse løpende RNB15 (1)" xfId="17411" xr:uid="{00000000-0005-0000-0000-00006FA60000}"/>
    <cellStyle name="Prosent 2 3 4 5 4 4 4" xfId="14059" xr:uid="{00000000-0005-0000-0000-000070A60000}"/>
    <cellStyle name="Prosent 2 3 4 5 4 5" xfId="3002" xr:uid="{00000000-0005-0000-0000-000071A60000}"/>
    <cellStyle name="Prosent 2 3 4 5 4 5 2" xfId="3003" xr:uid="{00000000-0005-0000-0000-000072A60000}"/>
    <cellStyle name="Prosent 2 3 4 5 4 5 2 2" xfId="14065" xr:uid="{00000000-0005-0000-0000-000073A60000}"/>
    <cellStyle name="Prosent 2 3 4 5 4 5 2 2 2" xfId="18838" xr:uid="{00000000-0005-0000-0000-000074A60000}"/>
    <cellStyle name="Prosent 2 3 4 5 4 5 2 2 3" xfId="16145" xr:uid="{00000000-0005-0000-0000-000075A60000}"/>
    <cellStyle name="Prosent 2 3 4 5 4 5 2 2 3 2" xfId="26907" xr:uid="{00000000-0005-0000-0000-000076A60000}"/>
    <cellStyle name="Prosent 2 3 4 5 4 5 2 2 3 2 2" xfId="42701" xr:uid="{00000000-0005-0000-0000-000077A60000}"/>
    <cellStyle name="Prosent 2 3 4 5 4 5 2 2 3 3" xfId="45486" xr:uid="{00000000-0005-0000-0000-000078A60000}"/>
    <cellStyle name="Prosent 2 3 4 5 4 5 2 2_Avviksanalyse løpende RNB15 (1)" xfId="17412" xr:uid="{00000000-0005-0000-0000-000079A60000}"/>
    <cellStyle name="Prosent 2 3 4 5 4 5 2 3" xfId="14064" xr:uid="{00000000-0005-0000-0000-00007AA60000}"/>
    <cellStyle name="Prosent 2 3 4 5 4 5 3" xfId="14066" xr:uid="{00000000-0005-0000-0000-00007BA60000}"/>
    <cellStyle name="Prosent 2 3 4 5 4 5 3 2" xfId="18839" xr:uid="{00000000-0005-0000-0000-00007CA60000}"/>
    <cellStyle name="Prosent 2 3 4 5 4 5 3 3" xfId="16144" xr:uid="{00000000-0005-0000-0000-00007DA60000}"/>
    <cellStyle name="Prosent 2 3 4 5 4 5 3 3 2" xfId="26908" xr:uid="{00000000-0005-0000-0000-00007EA60000}"/>
    <cellStyle name="Prosent 2 3 4 5 4 5 3 3 2 2" xfId="42700" xr:uid="{00000000-0005-0000-0000-00007FA60000}"/>
    <cellStyle name="Prosent 2 3 4 5 4 5 3 3 3" xfId="45487" xr:uid="{00000000-0005-0000-0000-000080A60000}"/>
    <cellStyle name="Prosent 2 3 4 5 4 5 3_Avviksanalyse løpende RNB15 (1)" xfId="17413" xr:uid="{00000000-0005-0000-0000-000081A60000}"/>
    <cellStyle name="Prosent 2 3 4 5 4 5 4" xfId="14063" xr:uid="{00000000-0005-0000-0000-000082A60000}"/>
    <cellStyle name="Prosent 2 3 4 5 4 6" xfId="14067" xr:uid="{00000000-0005-0000-0000-000083A60000}"/>
    <cellStyle name="Prosent 2 3 4 5 4 6 2" xfId="18840" xr:uid="{00000000-0005-0000-0000-000084A60000}"/>
    <cellStyle name="Prosent 2 3 4 5 4 6 3" xfId="15888" xr:uid="{00000000-0005-0000-0000-000085A60000}"/>
    <cellStyle name="Prosent 2 3 4 5 4 6 3 2" xfId="26909" xr:uid="{00000000-0005-0000-0000-000086A60000}"/>
    <cellStyle name="Prosent 2 3 4 5 4 6 3 2 2" xfId="42444" xr:uid="{00000000-0005-0000-0000-000087A60000}"/>
    <cellStyle name="Prosent 2 3 4 5 4 6 3 3" xfId="45488" xr:uid="{00000000-0005-0000-0000-000088A60000}"/>
    <cellStyle name="Prosent 2 3 4 5 4 6_Avviksanalyse løpende RNB15 (1)" xfId="17414" xr:uid="{00000000-0005-0000-0000-000089A60000}"/>
    <cellStyle name="Prosent 2 3 4 5 4 7" xfId="14044" xr:uid="{00000000-0005-0000-0000-00008AA60000}"/>
    <cellStyle name="Prosent 2 3 4 5 5" xfId="14068" xr:uid="{00000000-0005-0000-0000-00008BA60000}"/>
    <cellStyle name="Prosent 2 3 4 5 5 2" xfId="18841" xr:uid="{00000000-0005-0000-0000-00008CA60000}"/>
    <cellStyle name="Prosent 2 3 4 5 5 3" xfId="15885" xr:uid="{00000000-0005-0000-0000-00008DA60000}"/>
    <cellStyle name="Prosent 2 3 4 5 5 3 2" xfId="26910" xr:uid="{00000000-0005-0000-0000-00008EA60000}"/>
    <cellStyle name="Prosent 2 3 4 5 5 3 2 2" xfId="42441" xr:uid="{00000000-0005-0000-0000-00008FA60000}"/>
    <cellStyle name="Prosent 2 3 4 5 5 3 3" xfId="45489" xr:uid="{00000000-0005-0000-0000-000090A60000}"/>
    <cellStyle name="Prosent 2 3 4 5 5_Avviksanalyse løpende RNB15 (1)" xfId="17415" xr:uid="{00000000-0005-0000-0000-000091A60000}"/>
    <cellStyle name="Prosent 2 3 4 5 6" xfId="14039" xr:uid="{00000000-0005-0000-0000-000092A60000}"/>
    <cellStyle name="Prosent 2 3 4 6" xfId="3004" xr:uid="{00000000-0005-0000-0000-000093A60000}"/>
    <cellStyle name="Prosent 2 3 4 6 2" xfId="3005" xr:uid="{00000000-0005-0000-0000-000094A60000}"/>
    <cellStyle name="Prosent 2 3 4 6 2 2" xfId="14071" xr:uid="{00000000-0005-0000-0000-000095A60000}"/>
    <cellStyle name="Prosent 2 3 4 6 2 2 2" xfId="18842" xr:uid="{00000000-0005-0000-0000-000096A60000}"/>
    <cellStyle name="Prosent 2 3 4 6 2 2 3" xfId="15893" xr:uid="{00000000-0005-0000-0000-000097A60000}"/>
    <cellStyle name="Prosent 2 3 4 6 2 2 3 2" xfId="26911" xr:uid="{00000000-0005-0000-0000-000098A60000}"/>
    <cellStyle name="Prosent 2 3 4 6 2 2 3 2 2" xfId="42449" xr:uid="{00000000-0005-0000-0000-000099A60000}"/>
    <cellStyle name="Prosent 2 3 4 6 2 2 3 3" xfId="45490" xr:uid="{00000000-0005-0000-0000-00009AA60000}"/>
    <cellStyle name="Prosent 2 3 4 6 2 2_Avviksanalyse løpende RNB15 (1)" xfId="17416" xr:uid="{00000000-0005-0000-0000-00009BA60000}"/>
    <cellStyle name="Prosent 2 3 4 6 2 3" xfId="14070" xr:uid="{00000000-0005-0000-0000-00009CA60000}"/>
    <cellStyle name="Prosent 2 3 4 6 3" xfId="14072" xr:uid="{00000000-0005-0000-0000-00009DA60000}"/>
    <cellStyle name="Prosent 2 3 4 6 3 2" xfId="18843" xr:uid="{00000000-0005-0000-0000-00009EA60000}"/>
    <cellStyle name="Prosent 2 3 4 6 3 3" xfId="15892" xr:uid="{00000000-0005-0000-0000-00009FA60000}"/>
    <cellStyle name="Prosent 2 3 4 6 3 3 2" xfId="26912" xr:uid="{00000000-0005-0000-0000-0000A0A60000}"/>
    <cellStyle name="Prosent 2 3 4 6 3 3 2 2" xfId="42448" xr:uid="{00000000-0005-0000-0000-0000A1A60000}"/>
    <cellStyle name="Prosent 2 3 4 6 3 3 3" xfId="45491" xr:uid="{00000000-0005-0000-0000-0000A2A60000}"/>
    <cellStyle name="Prosent 2 3 4 6 3_Avviksanalyse løpende RNB15 (1)" xfId="17417" xr:uid="{00000000-0005-0000-0000-0000A3A60000}"/>
    <cellStyle name="Prosent 2 3 4 6 4" xfId="14069" xr:uid="{00000000-0005-0000-0000-0000A4A60000}"/>
    <cellStyle name="Prosent 2 3 4 7" xfId="3006" xr:uid="{00000000-0005-0000-0000-0000A5A60000}"/>
    <cellStyle name="Prosent 2 3 4 7 2" xfId="3007" xr:uid="{00000000-0005-0000-0000-0000A6A60000}"/>
    <cellStyle name="Prosent 2 3 4 7 2 2" xfId="14075" xr:uid="{00000000-0005-0000-0000-0000A7A60000}"/>
    <cellStyle name="Prosent 2 3 4 7 2 2 2" xfId="18844" xr:uid="{00000000-0005-0000-0000-0000A8A60000}"/>
    <cellStyle name="Prosent 2 3 4 7 2 2 3" xfId="15895" xr:uid="{00000000-0005-0000-0000-0000A9A60000}"/>
    <cellStyle name="Prosent 2 3 4 7 2 2 3 2" xfId="26913" xr:uid="{00000000-0005-0000-0000-0000AAA60000}"/>
    <cellStyle name="Prosent 2 3 4 7 2 2 3 2 2" xfId="42451" xr:uid="{00000000-0005-0000-0000-0000ABA60000}"/>
    <cellStyle name="Prosent 2 3 4 7 2 2 3 3" xfId="45492" xr:uid="{00000000-0005-0000-0000-0000ACA60000}"/>
    <cellStyle name="Prosent 2 3 4 7 2 2_Avviksanalyse løpende RNB15 (1)" xfId="17418" xr:uid="{00000000-0005-0000-0000-0000ADA60000}"/>
    <cellStyle name="Prosent 2 3 4 7 2 3" xfId="14074" xr:uid="{00000000-0005-0000-0000-0000AEA60000}"/>
    <cellStyle name="Prosent 2 3 4 7 3" xfId="3008" xr:uid="{00000000-0005-0000-0000-0000AFA60000}"/>
    <cellStyle name="Prosent 2 3 4 7 3 2" xfId="14077" xr:uid="{00000000-0005-0000-0000-0000B0A60000}"/>
    <cellStyle name="Prosent 2 3 4 7 3 2 2" xfId="18845" xr:uid="{00000000-0005-0000-0000-0000B1A60000}"/>
    <cellStyle name="Prosent 2 3 4 7 3 2 3" xfId="15896" xr:uid="{00000000-0005-0000-0000-0000B2A60000}"/>
    <cellStyle name="Prosent 2 3 4 7 3 2 3 2" xfId="26914" xr:uid="{00000000-0005-0000-0000-0000B3A60000}"/>
    <cellStyle name="Prosent 2 3 4 7 3 2 3 2 2" xfId="42452" xr:uid="{00000000-0005-0000-0000-0000B4A60000}"/>
    <cellStyle name="Prosent 2 3 4 7 3 2 3 3" xfId="45493" xr:uid="{00000000-0005-0000-0000-0000B5A60000}"/>
    <cellStyle name="Prosent 2 3 4 7 3 2_Avviksanalyse løpende RNB15 (1)" xfId="17419" xr:uid="{00000000-0005-0000-0000-0000B6A60000}"/>
    <cellStyle name="Prosent 2 3 4 7 3 3" xfId="14076" xr:uid="{00000000-0005-0000-0000-0000B7A60000}"/>
    <cellStyle name="Prosent 2 3 4 7 4" xfId="3009" xr:uid="{00000000-0005-0000-0000-0000B8A60000}"/>
    <cellStyle name="Prosent 2 3 4 7 4 2" xfId="3010" xr:uid="{00000000-0005-0000-0000-0000B9A60000}"/>
    <cellStyle name="Prosent 2 3 4 7 4 2 2" xfId="14080" xr:uid="{00000000-0005-0000-0000-0000BAA60000}"/>
    <cellStyle name="Prosent 2 3 4 7 4 2 2 2" xfId="18846" xr:uid="{00000000-0005-0000-0000-0000BBA60000}"/>
    <cellStyle name="Prosent 2 3 4 7 4 2 2 3" xfId="15898" xr:uid="{00000000-0005-0000-0000-0000BCA60000}"/>
    <cellStyle name="Prosent 2 3 4 7 4 2 2 3 2" xfId="26915" xr:uid="{00000000-0005-0000-0000-0000BDA60000}"/>
    <cellStyle name="Prosent 2 3 4 7 4 2 2 3 2 2" xfId="42454" xr:uid="{00000000-0005-0000-0000-0000BEA60000}"/>
    <cellStyle name="Prosent 2 3 4 7 4 2 2 3 3" xfId="45494" xr:uid="{00000000-0005-0000-0000-0000BFA60000}"/>
    <cellStyle name="Prosent 2 3 4 7 4 2 2_Avviksanalyse løpende RNB15 (1)" xfId="17420" xr:uid="{00000000-0005-0000-0000-0000C0A60000}"/>
    <cellStyle name="Prosent 2 3 4 7 4 2 3" xfId="14079" xr:uid="{00000000-0005-0000-0000-0000C1A60000}"/>
    <cellStyle name="Prosent 2 3 4 7 4 3" xfId="3011" xr:uid="{00000000-0005-0000-0000-0000C2A60000}"/>
    <cellStyle name="Prosent 2 3 4 7 4 3 2" xfId="3012" xr:uid="{00000000-0005-0000-0000-0000C3A60000}"/>
    <cellStyle name="Prosent 2 3 4 7 4 3 2 2" xfId="14083" xr:uid="{00000000-0005-0000-0000-0000C4A60000}"/>
    <cellStyle name="Prosent 2 3 4 7 4 3 2 2 2" xfId="18847" xr:uid="{00000000-0005-0000-0000-0000C5A60000}"/>
    <cellStyle name="Prosent 2 3 4 7 4 3 2 2 3" xfId="16147" xr:uid="{00000000-0005-0000-0000-0000C6A60000}"/>
    <cellStyle name="Prosent 2 3 4 7 4 3 2 2 3 2" xfId="26916" xr:uid="{00000000-0005-0000-0000-0000C7A60000}"/>
    <cellStyle name="Prosent 2 3 4 7 4 3 2 2 3 2 2" xfId="42703" xr:uid="{00000000-0005-0000-0000-0000C8A60000}"/>
    <cellStyle name="Prosent 2 3 4 7 4 3 2 2 3 3" xfId="45495" xr:uid="{00000000-0005-0000-0000-0000C9A60000}"/>
    <cellStyle name="Prosent 2 3 4 7 4 3 2 2_Avviksanalyse løpende RNB15 (1)" xfId="17421" xr:uid="{00000000-0005-0000-0000-0000CAA60000}"/>
    <cellStyle name="Prosent 2 3 4 7 4 3 2 3" xfId="14082" xr:uid="{00000000-0005-0000-0000-0000CBA60000}"/>
    <cellStyle name="Prosent 2 3 4 7 4 3 3" xfId="14084" xr:uid="{00000000-0005-0000-0000-0000CCA60000}"/>
    <cellStyle name="Prosent 2 3 4 7 4 3 3 2" xfId="18848" xr:uid="{00000000-0005-0000-0000-0000CDA60000}"/>
    <cellStyle name="Prosent 2 3 4 7 4 3 3 3" xfId="16146" xr:uid="{00000000-0005-0000-0000-0000CEA60000}"/>
    <cellStyle name="Prosent 2 3 4 7 4 3 3 3 2" xfId="26917" xr:uid="{00000000-0005-0000-0000-0000CFA60000}"/>
    <cellStyle name="Prosent 2 3 4 7 4 3 3 3 2 2" xfId="42702" xr:uid="{00000000-0005-0000-0000-0000D0A60000}"/>
    <cellStyle name="Prosent 2 3 4 7 4 3 3 3 3" xfId="45496" xr:uid="{00000000-0005-0000-0000-0000D1A60000}"/>
    <cellStyle name="Prosent 2 3 4 7 4 3 3_Avviksanalyse løpende RNB15 (1)" xfId="17422" xr:uid="{00000000-0005-0000-0000-0000D2A60000}"/>
    <cellStyle name="Prosent 2 3 4 7 4 3 4" xfId="14081" xr:uid="{00000000-0005-0000-0000-0000D3A60000}"/>
    <cellStyle name="Prosent 2 3 4 7 4 4" xfId="3013" xr:uid="{00000000-0005-0000-0000-0000D4A60000}"/>
    <cellStyle name="Prosent 2 3 4 7 4 4 2" xfId="3014" xr:uid="{00000000-0005-0000-0000-0000D5A60000}"/>
    <cellStyle name="Prosent 2 3 4 7 4 4 2 2" xfId="14087" xr:uid="{00000000-0005-0000-0000-0000D6A60000}"/>
    <cellStyle name="Prosent 2 3 4 7 4 4 2 2 2" xfId="18849" xr:uid="{00000000-0005-0000-0000-0000D7A60000}"/>
    <cellStyle name="Prosent 2 3 4 7 4 4 2 2 3" xfId="16149" xr:uid="{00000000-0005-0000-0000-0000D8A60000}"/>
    <cellStyle name="Prosent 2 3 4 7 4 4 2 2 3 2" xfId="26918" xr:uid="{00000000-0005-0000-0000-0000D9A60000}"/>
    <cellStyle name="Prosent 2 3 4 7 4 4 2 2 3 2 2" xfId="42705" xr:uid="{00000000-0005-0000-0000-0000DAA60000}"/>
    <cellStyle name="Prosent 2 3 4 7 4 4 2 2 3 3" xfId="45497" xr:uid="{00000000-0005-0000-0000-0000DBA60000}"/>
    <cellStyle name="Prosent 2 3 4 7 4 4 2 2_Avviksanalyse løpende RNB15 (1)" xfId="17423" xr:uid="{00000000-0005-0000-0000-0000DCA60000}"/>
    <cellStyle name="Prosent 2 3 4 7 4 4 2 3" xfId="14086" xr:uid="{00000000-0005-0000-0000-0000DDA60000}"/>
    <cellStyle name="Prosent 2 3 4 7 4 4 3" xfId="14088" xr:uid="{00000000-0005-0000-0000-0000DEA60000}"/>
    <cellStyle name="Prosent 2 3 4 7 4 4 3 2" xfId="18850" xr:uid="{00000000-0005-0000-0000-0000DFA60000}"/>
    <cellStyle name="Prosent 2 3 4 7 4 4 3 3" xfId="16148" xr:uid="{00000000-0005-0000-0000-0000E0A60000}"/>
    <cellStyle name="Prosent 2 3 4 7 4 4 3 3 2" xfId="26919" xr:uid="{00000000-0005-0000-0000-0000E1A60000}"/>
    <cellStyle name="Prosent 2 3 4 7 4 4 3 3 2 2" xfId="42704" xr:uid="{00000000-0005-0000-0000-0000E2A60000}"/>
    <cellStyle name="Prosent 2 3 4 7 4 4 3 3 3" xfId="45498" xr:uid="{00000000-0005-0000-0000-0000E3A60000}"/>
    <cellStyle name="Prosent 2 3 4 7 4 4 3_Avviksanalyse løpende RNB15 (1)" xfId="17424" xr:uid="{00000000-0005-0000-0000-0000E4A60000}"/>
    <cellStyle name="Prosent 2 3 4 7 4 4 4" xfId="14085" xr:uid="{00000000-0005-0000-0000-0000E5A60000}"/>
    <cellStyle name="Prosent 2 3 4 7 4 5" xfId="14089" xr:uid="{00000000-0005-0000-0000-0000E6A60000}"/>
    <cellStyle name="Prosent 2 3 4 7 4 5 2" xfId="18851" xr:uid="{00000000-0005-0000-0000-0000E7A60000}"/>
    <cellStyle name="Prosent 2 3 4 7 4 5 3" xfId="15897" xr:uid="{00000000-0005-0000-0000-0000E8A60000}"/>
    <cellStyle name="Prosent 2 3 4 7 4 5 3 2" xfId="26920" xr:uid="{00000000-0005-0000-0000-0000E9A60000}"/>
    <cellStyle name="Prosent 2 3 4 7 4 5 3 2 2" xfId="42453" xr:uid="{00000000-0005-0000-0000-0000EAA60000}"/>
    <cellStyle name="Prosent 2 3 4 7 4 5 3 3" xfId="45499" xr:uid="{00000000-0005-0000-0000-0000EBA60000}"/>
    <cellStyle name="Prosent 2 3 4 7 4 5_Avviksanalyse løpende RNB15 (1)" xfId="17425" xr:uid="{00000000-0005-0000-0000-0000ECA60000}"/>
    <cellStyle name="Prosent 2 3 4 7 4 6" xfId="14078" xr:uid="{00000000-0005-0000-0000-0000EDA60000}"/>
    <cellStyle name="Prosent 2 3 4 7 5" xfId="3015" xr:uid="{00000000-0005-0000-0000-0000EEA60000}"/>
    <cellStyle name="Prosent 2 3 4 7 5 2" xfId="3016" xr:uid="{00000000-0005-0000-0000-0000EFA60000}"/>
    <cellStyle name="Prosent 2 3 4 7 5 2 2" xfId="14092" xr:uid="{00000000-0005-0000-0000-0000F0A60000}"/>
    <cellStyle name="Prosent 2 3 4 7 5 2 2 2" xfId="18852" xr:uid="{00000000-0005-0000-0000-0000F1A60000}"/>
    <cellStyle name="Prosent 2 3 4 7 5 2 2 3" xfId="15900" xr:uid="{00000000-0005-0000-0000-0000F2A60000}"/>
    <cellStyle name="Prosent 2 3 4 7 5 2 2 3 2" xfId="26921" xr:uid="{00000000-0005-0000-0000-0000F3A60000}"/>
    <cellStyle name="Prosent 2 3 4 7 5 2 2 3 2 2" xfId="42456" xr:uid="{00000000-0005-0000-0000-0000F4A60000}"/>
    <cellStyle name="Prosent 2 3 4 7 5 2 2 3 3" xfId="45500" xr:uid="{00000000-0005-0000-0000-0000F5A60000}"/>
    <cellStyle name="Prosent 2 3 4 7 5 2 2_Avviksanalyse løpende RNB15 (1)" xfId="17426" xr:uid="{00000000-0005-0000-0000-0000F6A60000}"/>
    <cellStyle name="Prosent 2 3 4 7 5 2 3" xfId="14091" xr:uid="{00000000-0005-0000-0000-0000F7A60000}"/>
    <cellStyle name="Prosent 2 3 4 7 5 3" xfId="3017" xr:uid="{00000000-0005-0000-0000-0000F8A60000}"/>
    <cellStyle name="Prosent 2 3 4 7 5 3 2" xfId="3018" xr:uid="{00000000-0005-0000-0000-0000F9A60000}"/>
    <cellStyle name="Prosent 2 3 4 7 5 3 2 2" xfId="14095" xr:uid="{00000000-0005-0000-0000-0000FAA60000}"/>
    <cellStyle name="Prosent 2 3 4 7 5 3 2 2 2" xfId="18853" xr:uid="{00000000-0005-0000-0000-0000FBA60000}"/>
    <cellStyle name="Prosent 2 3 4 7 5 3 2 2 3" xfId="16151" xr:uid="{00000000-0005-0000-0000-0000FCA60000}"/>
    <cellStyle name="Prosent 2 3 4 7 5 3 2 2 3 2" xfId="26922" xr:uid="{00000000-0005-0000-0000-0000FDA60000}"/>
    <cellStyle name="Prosent 2 3 4 7 5 3 2 2 3 2 2" xfId="42707" xr:uid="{00000000-0005-0000-0000-0000FEA60000}"/>
    <cellStyle name="Prosent 2 3 4 7 5 3 2 2 3 3" xfId="45501" xr:uid="{00000000-0005-0000-0000-0000FFA60000}"/>
    <cellStyle name="Prosent 2 3 4 7 5 3 2 2_Avviksanalyse løpende RNB15 (1)" xfId="17427" xr:uid="{00000000-0005-0000-0000-000000A70000}"/>
    <cellStyle name="Prosent 2 3 4 7 5 3 2 3" xfId="14094" xr:uid="{00000000-0005-0000-0000-000001A70000}"/>
    <cellStyle name="Prosent 2 3 4 7 5 3 3" xfId="14096" xr:uid="{00000000-0005-0000-0000-000002A70000}"/>
    <cellStyle name="Prosent 2 3 4 7 5 3 3 2" xfId="18854" xr:uid="{00000000-0005-0000-0000-000003A70000}"/>
    <cellStyle name="Prosent 2 3 4 7 5 3 3 3" xfId="16150" xr:uid="{00000000-0005-0000-0000-000004A70000}"/>
    <cellStyle name="Prosent 2 3 4 7 5 3 3 3 2" xfId="26923" xr:uid="{00000000-0005-0000-0000-000005A70000}"/>
    <cellStyle name="Prosent 2 3 4 7 5 3 3 3 2 2" xfId="42706" xr:uid="{00000000-0005-0000-0000-000006A70000}"/>
    <cellStyle name="Prosent 2 3 4 7 5 3 3 3 3" xfId="45502" xr:uid="{00000000-0005-0000-0000-000007A70000}"/>
    <cellStyle name="Prosent 2 3 4 7 5 3 3_Avviksanalyse løpende RNB15 (1)" xfId="17428" xr:uid="{00000000-0005-0000-0000-000008A70000}"/>
    <cellStyle name="Prosent 2 3 4 7 5 3 4" xfId="14093" xr:uid="{00000000-0005-0000-0000-000009A70000}"/>
    <cellStyle name="Prosent 2 3 4 7 5 4" xfId="3019" xr:uid="{00000000-0005-0000-0000-00000AA70000}"/>
    <cellStyle name="Prosent 2 3 4 7 5 4 2" xfId="3020" xr:uid="{00000000-0005-0000-0000-00000BA70000}"/>
    <cellStyle name="Prosent 2 3 4 7 5 4 2 2" xfId="14099" xr:uid="{00000000-0005-0000-0000-00000CA70000}"/>
    <cellStyle name="Prosent 2 3 4 7 5 4 2 2 2" xfId="18855" xr:uid="{00000000-0005-0000-0000-00000DA70000}"/>
    <cellStyle name="Prosent 2 3 4 7 5 4 2 2 3" xfId="16153" xr:uid="{00000000-0005-0000-0000-00000EA70000}"/>
    <cellStyle name="Prosent 2 3 4 7 5 4 2 2 3 2" xfId="26924" xr:uid="{00000000-0005-0000-0000-00000FA70000}"/>
    <cellStyle name="Prosent 2 3 4 7 5 4 2 2 3 2 2" xfId="42709" xr:uid="{00000000-0005-0000-0000-000010A70000}"/>
    <cellStyle name="Prosent 2 3 4 7 5 4 2 2 3 3" xfId="45503" xr:uid="{00000000-0005-0000-0000-000011A70000}"/>
    <cellStyle name="Prosent 2 3 4 7 5 4 2 2_Avviksanalyse løpende RNB15 (1)" xfId="17429" xr:uid="{00000000-0005-0000-0000-000012A70000}"/>
    <cellStyle name="Prosent 2 3 4 7 5 4 2 3" xfId="14098" xr:uid="{00000000-0005-0000-0000-000013A70000}"/>
    <cellStyle name="Prosent 2 3 4 7 5 4 3" xfId="14100" xr:uid="{00000000-0005-0000-0000-000014A70000}"/>
    <cellStyle name="Prosent 2 3 4 7 5 4 3 2" xfId="18856" xr:uid="{00000000-0005-0000-0000-000015A70000}"/>
    <cellStyle name="Prosent 2 3 4 7 5 4 3 3" xfId="16152" xr:uid="{00000000-0005-0000-0000-000016A70000}"/>
    <cellStyle name="Prosent 2 3 4 7 5 4 3 3 2" xfId="26925" xr:uid="{00000000-0005-0000-0000-000017A70000}"/>
    <cellStyle name="Prosent 2 3 4 7 5 4 3 3 2 2" xfId="42708" xr:uid="{00000000-0005-0000-0000-000018A70000}"/>
    <cellStyle name="Prosent 2 3 4 7 5 4 3 3 3" xfId="45504" xr:uid="{00000000-0005-0000-0000-000019A70000}"/>
    <cellStyle name="Prosent 2 3 4 7 5 4 3_Avviksanalyse løpende RNB15 (1)" xfId="17430" xr:uid="{00000000-0005-0000-0000-00001AA70000}"/>
    <cellStyle name="Prosent 2 3 4 7 5 4 4" xfId="14097" xr:uid="{00000000-0005-0000-0000-00001BA70000}"/>
    <cellStyle name="Prosent 2 3 4 7 5 5" xfId="14101" xr:uid="{00000000-0005-0000-0000-00001CA70000}"/>
    <cellStyle name="Prosent 2 3 4 7 5 5 2" xfId="18857" xr:uid="{00000000-0005-0000-0000-00001DA70000}"/>
    <cellStyle name="Prosent 2 3 4 7 5 5 3" xfId="15899" xr:uid="{00000000-0005-0000-0000-00001EA70000}"/>
    <cellStyle name="Prosent 2 3 4 7 5 5 3 2" xfId="26926" xr:uid="{00000000-0005-0000-0000-00001FA70000}"/>
    <cellStyle name="Prosent 2 3 4 7 5 5 3 2 2" xfId="42455" xr:uid="{00000000-0005-0000-0000-000020A70000}"/>
    <cellStyle name="Prosent 2 3 4 7 5 5 3 3" xfId="45505" xr:uid="{00000000-0005-0000-0000-000021A70000}"/>
    <cellStyle name="Prosent 2 3 4 7 5 5_Avviksanalyse løpende RNB15 (1)" xfId="17431" xr:uid="{00000000-0005-0000-0000-000022A70000}"/>
    <cellStyle name="Prosent 2 3 4 7 5 6" xfId="14090" xr:uid="{00000000-0005-0000-0000-000023A70000}"/>
    <cellStyle name="Prosent 2 3 4 7 6" xfId="3021" xr:uid="{00000000-0005-0000-0000-000024A70000}"/>
    <cellStyle name="Prosent 2 3 4 7 6 2" xfId="3022" xr:uid="{00000000-0005-0000-0000-000025A70000}"/>
    <cellStyle name="Prosent 2 3 4 7 6 2 2" xfId="14104" xr:uid="{00000000-0005-0000-0000-000026A70000}"/>
    <cellStyle name="Prosent 2 3 4 7 6 2 2 2" xfId="18858" xr:uid="{00000000-0005-0000-0000-000027A70000}"/>
    <cellStyle name="Prosent 2 3 4 7 6 2 2 3" xfId="16155" xr:uid="{00000000-0005-0000-0000-000028A70000}"/>
    <cellStyle name="Prosent 2 3 4 7 6 2 2 3 2" xfId="26927" xr:uid="{00000000-0005-0000-0000-000029A70000}"/>
    <cellStyle name="Prosent 2 3 4 7 6 2 2 3 2 2" xfId="42711" xr:uid="{00000000-0005-0000-0000-00002AA70000}"/>
    <cellStyle name="Prosent 2 3 4 7 6 2 2 3 3" xfId="45506" xr:uid="{00000000-0005-0000-0000-00002BA70000}"/>
    <cellStyle name="Prosent 2 3 4 7 6 2 2_Avviksanalyse løpende RNB15 (1)" xfId="17432" xr:uid="{00000000-0005-0000-0000-00002CA70000}"/>
    <cellStyle name="Prosent 2 3 4 7 6 2 3" xfId="14103" xr:uid="{00000000-0005-0000-0000-00002DA70000}"/>
    <cellStyle name="Prosent 2 3 4 7 6 3" xfId="14105" xr:uid="{00000000-0005-0000-0000-00002EA70000}"/>
    <cellStyle name="Prosent 2 3 4 7 6 3 2" xfId="18859" xr:uid="{00000000-0005-0000-0000-00002FA70000}"/>
    <cellStyle name="Prosent 2 3 4 7 6 3 3" xfId="16154" xr:uid="{00000000-0005-0000-0000-000030A70000}"/>
    <cellStyle name="Prosent 2 3 4 7 6 3 3 2" xfId="26928" xr:uid="{00000000-0005-0000-0000-000031A70000}"/>
    <cellStyle name="Prosent 2 3 4 7 6 3 3 2 2" xfId="42710" xr:uid="{00000000-0005-0000-0000-000032A70000}"/>
    <cellStyle name="Prosent 2 3 4 7 6 3 3 3" xfId="45507" xr:uid="{00000000-0005-0000-0000-000033A70000}"/>
    <cellStyle name="Prosent 2 3 4 7 6 3_Avviksanalyse løpende RNB15 (1)" xfId="17433" xr:uid="{00000000-0005-0000-0000-000034A70000}"/>
    <cellStyle name="Prosent 2 3 4 7 6 4" xfId="14102" xr:uid="{00000000-0005-0000-0000-000035A70000}"/>
    <cellStyle name="Prosent 2 3 4 7 7" xfId="3023" xr:uid="{00000000-0005-0000-0000-000036A70000}"/>
    <cellStyle name="Prosent 2 3 4 7 7 2" xfId="3024" xr:uid="{00000000-0005-0000-0000-000037A70000}"/>
    <cellStyle name="Prosent 2 3 4 7 7 2 2" xfId="14108" xr:uid="{00000000-0005-0000-0000-000038A70000}"/>
    <cellStyle name="Prosent 2 3 4 7 7 2 2 2" xfId="18860" xr:uid="{00000000-0005-0000-0000-000039A70000}"/>
    <cellStyle name="Prosent 2 3 4 7 7 2 2 3" xfId="16157" xr:uid="{00000000-0005-0000-0000-00003AA70000}"/>
    <cellStyle name="Prosent 2 3 4 7 7 2 2 3 2" xfId="26929" xr:uid="{00000000-0005-0000-0000-00003BA70000}"/>
    <cellStyle name="Prosent 2 3 4 7 7 2 2 3 2 2" xfId="42713" xr:uid="{00000000-0005-0000-0000-00003CA70000}"/>
    <cellStyle name="Prosent 2 3 4 7 7 2 2 3 3" xfId="45508" xr:uid="{00000000-0005-0000-0000-00003DA70000}"/>
    <cellStyle name="Prosent 2 3 4 7 7 2 2_Avviksanalyse løpende RNB15 (1)" xfId="17434" xr:uid="{00000000-0005-0000-0000-00003EA70000}"/>
    <cellStyle name="Prosent 2 3 4 7 7 2 3" xfId="14107" xr:uid="{00000000-0005-0000-0000-00003FA70000}"/>
    <cellStyle name="Prosent 2 3 4 7 7 3" xfId="14109" xr:uid="{00000000-0005-0000-0000-000040A70000}"/>
    <cellStyle name="Prosent 2 3 4 7 7 3 2" xfId="18861" xr:uid="{00000000-0005-0000-0000-000041A70000}"/>
    <cellStyle name="Prosent 2 3 4 7 7 3 3" xfId="16156" xr:uid="{00000000-0005-0000-0000-000042A70000}"/>
    <cellStyle name="Prosent 2 3 4 7 7 3 3 2" xfId="26930" xr:uid="{00000000-0005-0000-0000-000043A70000}"/>
    <cellStyle name="Prosent 2 3 4 7 7 3 3 2 2" xfId="42712" xr:uid="{00000000-0005-0000-0000-000044A70000}"/>
    <cellStyle name="Prosent 2 3 4 7 7 3 3 3" xfId="45509" xr:uid="{00000000-0005-0000-0000-000045A70000}"/>
    <cellStyle name="Prosent 2 3 4 7 7 3_Avviksanalyse løpende RNB15 (1)" xfId="17435" xr:uid="{00000000-0005-0000-0000-000046A70000}"/>
    <cellStyle name="Prosent 2 3 4 7 7 4" xfId="14106" xr:uid="{00000000-0005-0000-0000-000047A70000}"/>
    <cellStyle name="Prosent 2 3 4 7 8" xfId="14110" xr:uid="{00000000-0005-0000-0000-000048A70000}"/>
    <cellStyle name="Prosent 2 3 4 7 8 2" xfId="18862" xr:uid="{00000000-0005-0000-0000-000049A70000}"/>
    <cellStyle name="Prosent 2 3 4 7 8 3" xfId="15894" xr:uid="{00000000-0005-0000-0000-00004AA70000}"/>
    <cellStyle name="Prosent 2 3 4 7 8 3 2" xfId="26931" xr:uid="{00000000-0005-0000-0000-00004BA70000}"/>
    <cellStyle name="Prosent 2 3 4 7 8 3 2 2" xfId="42450" xr:uid="{00000000-0005-0000-0000-00004CA70000}"/>
    <cellStyle name="Prosent 2 3 4 7 8 3 3" xfId="45510" xr:uid="{00000000-0005-0000-0000-00004DA70000}"/>
    <cellStyle name="Prosent 2 3 4 7 8_Avviksanalyse løpende RNB15 (1)" xfId="17436" xr:uid="{00000000-0005-0000-0000-00004EA70000}"/>
    <cellStyle name="Prosent 2 3 4 7 9" xfId="14073" xr:uid="{00000000-0005-0000-0000-00004FA70000}"/>
    <cellStyle name="Prosent 2 3 4 8" xfId="3025" xr:uid="{00000000-0005-0000-0000-000050A70000}"/>
    <cellStyle name="Prosent 2 3 4 8 2" xfId="3026" xr:uid="{00000000-0005-0000-0000-000051A70000}"/>
    <cellStyle name="Prosent 2 3 4 8 2 2" xfId="3027" xr:uid="{00000000-0005-0000-0000-000052A70000}"/>
    <cellStyle name="Prosent 2 3 4 8 2 2 2" xfId="14114" xr:uid="{00000000-0005-0000-0000-000053A70000}"/>
    <cellStyle name="Prosent 2 3 4 8 2 2 2 2" xfId="18863" xr:uid="{00000000-0005-0000-0000-000054A70000}"/>
    <cellStyle name="Prosent 2 3 4 8 2 2 2 3" xfId="15903" xr:uid="{00000000-0005-0000-0000-000055A70000}"/>
    <cellStyle name="Prosent 2 3 4 8 2 2 2 3 2" xfId="26932" xr:uid="{00000000-0005-0000-0000-000056A70000}"/>
    <cellStyle name="Prosent 2 3 4 8 2 2 2 3 2 2" xfId="42459" xr:uid="{00000000-0005-0000-0000-000057A70000}"/>
    <cellStyle name="Prosent 2 3 4 8 2 2 2 3 3" xfId="45511" xr:uid="{00000000-0005-0000-0000-000058A70000}"/>
    <cellStyle name="Prosent 2 3 4 8 2 2 2_Avviksanalyse løpende RNB15 (1)" xfId="17437" xr:uid="{00000000-0005-0000-0000-000059A70000}"/>
    <cellStyle name="Prosent 2 3 4 8 2 2 3" xfId="14113" xr:uid="{00000000-0005-0000-0000-00005AA70000}"/>
    <cellStyle name="Prosent 2 3 4 8 2 3" xfId="3028" xr:uid="{00000000-0005-0000-0000-00005BA70000}"/>
    <cellStyle name="Prosent 2 3 4 8 2 3 2" xfId="3029" xr:uid="{00000000-0005-0000-0000-00005CA70000}"/>
    <cellStyle name="Prosent 2 3 4 8 2 3 2 2" xfId="14117" xr:uid="{00000000-0005-0000-0000-00005DA70000}"/>
    <cellStyle name="Prosent 2 3 4 8 2 3 2 2 2" xfId="18864" xr:uid="{00000000-0005-0000-0000-00005EA70000}"/>
    <cellStyle name="Prosent 2 3 4 8 2 3 2 2 3" xfId="16159" xr:uid="{00000000-0005-0000-0000-00005FA70000}"/>
    <cellStyle name="Prosent 2 3 4 8 2 3 2 2 3 2" xfId="26933" xr:uid="{00000000-0005-0000-0000-000060A70000}"/>
    <cellStyle name="Prosent 2 3 4 8 2 3 2 2 3 2 2" xfId="42715" xr:uid="{00000000-0005-0000-0000-000061A70000}"/>
    <cellStyle name="Prosent 2 3 4 8 2 3 2 2 3 3" xfId="45512" xr:uid="{00000000-0005-0000-0000-000062A70000}"/>
    <cellStyle name="Prosent 2 3 4 8 2 3 2 2_Avviksanalyse løpende RNB15 (1)" xfId="17438" xr:uid="{00000000-0005-0000-0000-000063A70000}"/>
    <cellStyle name="Prosent 2 3 4 8 2 3 2 3" xfId="14116" xr:uid="{00000000-0005-0000-0000-000064A70000}"/>
    <cellStyle name="Prosent 2 3 4 8 2 3 3" xfId="14118" xr:uid="{00000000-0005-0000-0000-000065A70000}"/>
    <cellStyle name="Prosent 2 3 4 8 2 3 3 2" xfId="18865" xr:uid="{00000000-0005-0000-0000-000066A70000}"/>
    <cellStyle name="Prosent 2 3 4 8 2 3 3 3" xfId="16158" xr:uid="{00000000-0005-0000-0000-000067A70000}"/>
    <cellStyle name="Prosent 2 3 4 8 2 3 3 3 2" xfId="26934" xr:uid="{00000000-0005-0000-0000-000068A70000}"/>
    <cellStyle name="Prosent 2 3 4 8 2 3 3 3 2 2" xfId="42714" xr:uid="{00000000-0005-0000-0000-000069A70000}"/>
    <cellStyle name="Prosent 2 3 4 8 2 3 3 3 3" xfId="45513" xr:uid="{00000000-0005-0000-0000-00006AA70000}"/>
    <cellStyle name="Prosent 2 3 4 8 2 3 3_Avviksanalyse løpende RNB15 (1)" xfId="17439" xr:uid="{00000000-0005-0000-0000-00006BA70000}"/>
    <cellStyle name="Prosent 2 3 4 8 2 3 4" xfId="14115" xr:uid="{00000000-0005-0000-0000-00006CA70000}"/>
    <cellStyle name="Prosent 2 3 4 8 2 4" xfId="3030" xr:uid="{00000000-0005-0000-0000-00006DA70000}"/>
    <cellStyle name="Prosent 2 3 4 8 2 4 2" xfId="3031" xr:uid="{00000000-0005-0000-0000-00006EA70000}"/>
    <cellStyle name="Prosent 2 3 4 8 2 4 2 2" xfId="14121" xr:uid="{00000000-0005-0000-0000-00006FA70000}"/>
    <cellStyle name="Prosent 2 3 4 8 2 4 2 2 2" xfId="18866" xr:uid="{00000000-0005-0000-0000-000070A70000}"/>
    <cellStyle name="Prosent 2 3 4 8 2 4 2 2 3" xfId="16161" xr:uid="{00000000-0005-0000-0000-000071A70000}"/>
    <cellStyle name="Prosent 2 3 4 8 2 4 2 2 3 2" xfId="26935" xr:uid="{00000000-0005-0000-0000-000072A70000}"/>
    <cellStyle name="Prosent 2 3 4 8 2 4 2 2 3 2 2" xfId="42717" xr:uid="{00000000-0005-0000-0000-000073A70000}"/>
    <cellStyle name="Prosent 2 3 4 8 2 4 2 2 3 3" xfId="45514" xr:uid="{00000000-0005-0000-0000-000074A70000}"/>
    <cellStyle name="Prosent 2 3 4 8 2 4 2 2_Avviksanalyse løpende RNB15 (1)" xfId="17440" xr:uid="{00000000-0005-0000-0000-000075A70000}"/>
    <cellStyle name="Prosent 2 3 4 8 2 4 2 3" xfId="14120" xr:uid="{00000000-0005-0000-0000-000076A70000}"/>
    <cellStyle name="Prosent 2 3 4 8 2 4 3" xfId="14122" xr:uid="{00000000-0005-0000-0000-000077A70000}"/>
    <cellStyle name="Prosent 2 3 4 8 2 4 3 2" xfId="18867" xr:uid="{00000000-0005-0000-0000-000078A70000}"/>
    <cellStyle name="Prosent 2 3 4 8 2 4 3 3" xfId="16160" xr:uid="{00000000-0005-0000-0000-000079A70000}"/>
    <cellStyle name="Prosent 2 3 4 8 2 4 3 3 2" xfId="26936" xr:uid="{00000000-0005-0000-0000-00007AA70000}"/>
    <cellStyle name="Prosent 2 3 4 8 2 4 3 3 2 2" xfId="42716" xr:uid="{00000000-0005-0000-0000-00007BA70000}"/>
    <cellStyle name="Prosent 2 3 4 8 2 4 3 3 3" xfId="45515" xr:uid="{00000000-0005-0000-0000-00007CA70000}"/>
    <cellStyle name="Prosent 2 3 4 8 2 4 3_Avviksanalyse løpende RNB15 (1)" xfId="17441" xr:uid="{00000000-0005-0000-0000-00007DA70000}"/>
    <cellStyle name="Prosent 2 3 4 8 2 4 4" xfId="14119" xr:uid="{00000000-0005-0000-0000-00007EA70000}"/>
    <cellStyle name="Prosent 2 3 4 8 2 5" xfId="14123" xr:uid="{00000000-0005-0000-0000-00007FA70000}"/>
    <cellStyle name="Prosent 2 3 4 8 2 5 2" xfId="18868" xr:uid="{00000000-0005-0000-0000-000080A70000}"/>
    <cellStyle name="Prosent 2 3 4 8 2 5 3" xfId="15902" xr:uid="{00000000-0005-0000-0000-000081A70000}"/>
    <cellStyle name="Prosent 2 3 4 8 2 5 3 2" xfId="26937" xr:uid="{00000000-0005-0000-0000-000082A70000}"/>
    <cellStyle name="Prosent 2 3 4 8 2 5 3 2 2" xfId="42458" xr:uid="{00000000-0005-0000-0000-000083A70000}"/>
    <cellStyle name="Prosent 2 3 4 8 2 5 3 3" xfId="45516" xr:uid="{00000000-0005-0000-0000-000084A70000}"/>
    <cellStyle name="Prosent 2 3 4 8 2 5_Avviksanalyse løpende RNB15 (1)" xfId="17442" xr:uid="{00000000-0005-0000-0000-000085A70000}"/>
    <cellStyle name="Prosent 2 3 4 8 2 6" xfId="14112" xr:uid="{00000000-0005-0000-0000-000086A70000}"/>
    <cellStyle name="Prosent 2 3 4 8 3" xfId="3032" xr:uid="{00000000-0005-0000-0000-000087A70000}"/>
    <cellStyle name="Prosent 2 3 4 8 3 2" xfId="14125" xr:uid="{00000000-0005-0000-0000-000088A70000}"/>
    <cellStyle name="Prosent 2 3 4 8 3 2 2" xfId="18869" xr:uid="{00000000-0005-0000-0000-000089A70000}"/>
    <cellStyle name="Prosent 2 3 4 8 3 2 3" xfId="15904" xr:uid="{00000000-0005-0000-0000-00008AA70000}"/>
    <cellStyle name="Prosent 2 3 4 8 3 2 3 2" xfId="26938" xr:uid="{00000000-0005-0000-0000-00008BA70000}"/>
    <cellStyle name="Prosent 2 3 4 8 3 2 3 2 2" xfId="42460" xr:uid="{00000000-0005-0000-0000-00008CA70000}"/>
    <cellStyle name="Prosent 2 3 4 8 3 2 3 3" xfId="45517" xr:uid="{00000000-0005-0000-0000-00008DA70000}"/>
    <cellStyle name="Prosent 2 3 4 8 3 2_Avviksanalyse løpende RNB15 (1)" xfId="17443" xr:uid="{00000000-0005-0000-0000-00008EA70000}"/>
    <cellStyle name="Prosent 2 3 4 8 3 3" xfId="14124" xr:uid="{00000000-0005-0000-0000-00008FA70000}"/>
    <cellStyle name="Prosent 2 3 4 8 4" xfId="3033" xr:uid="{00000000-0005-0000-0000-000090A70000}"/>
    <cellStyle name="Prosent 2 3 4 8 4 2" xfId="3034" xr:uid="{00000000-0005-0000-0000-000091A70000}"/>
    <cellStyle name="Prosent 2 3 4 8 4 2 2" xfId="14128" xr:uid="{00000000-0005-0000-0000-000092A70000}"/>
    <cellStyle name="Prosent 2 3 4 8 4 2 2 2" xfId="18870" xr:uid="{00000000-0005-0000-0000-000093A70000}"/>
    <cellStyle name="Prosent 2 3 4 8 4 2 2 3" xfId="16163" xr:uid="{00000000-0005-0000-0000-000094A70000}"/>
    <cellStyle name="Prosent 2 3 4 8 4 2 2 3 2" xfId="26939" xr:uid="{00000000-0005-0000-0000-000095A70000}"/>
    <cellStyle name="Prosent 2 3 4 8 4 2 2 3 2 2" xfId="42719" xr:uid="{00000000-0005-0000-0000-000096A70000}"/>
    <cellStyle name="Prosent 2 3 4 8 4 2 2 3 3" xfId="45518" xr:uid="{00000000-0005-0000-0000-000097A70000}"/>
    <cellStyle name="Prosent 2 3 4 8 4 2 2_Avviksanalyse løpende RNB15 (1)" xfId="17444" xr:uid="{00000000-0005-0000-0000-000098A70000}"/>
    <cellStyle name="Prosent 2 3 4 8 4 2 3" xfId="14127" xr:uid="{00000000-0005-0000-0000-000099A70000}"/>
    <cellStyle name="Prosent 2 3 4 8 4 3" xfId="14129" xr:uid="{00000000-0005-0000-0000-00009AA70000}"/>
    <cellStyle name="Prosent 2 3 4 8 4 3 2" xfId="18871" xr:uid="{00000000-0005-0000-0000-00009BA70000}"/>
    <cellStyle name="Prosent 2 3 4 8 4 3 3" xfId="16162" xr:uid="{00000000-0005-0000-0000-00009CA70000}"/>
    <cellStyle name="Prosent 2 3 4 8 4 3 3 2" xfId="26940" xr:uid="{00000000-0005-0000-0000-00009DA70000}"/>
    <cellStyle name="Prosent 2 3 4 8 4 3 3 2 2" xfId="42718" xr:uid="{00000000-0005-0000-0000-00009EA70000}"/>
    <cellStyle name="Prosent 2 3 4 8 4 3 3 3" xfId="45519" xr:uid="{00000000-0005-0000-0000-00009FA70000}"/>
    <cellStyle name="Prosent 2 3 4 8 4 3_Avviksanalyse løpende RNB15 (1)" xfId="17445" xr:uid="{00000000-0005-0000-0000-0000A0A70000}"/>
    <cellStyle name="Prosent 2 3 4 8 4 4" xfId="14126" xr:uid="{00000000-0005-0000-0000-0000A1A70000}"/>
    <cellStyle name="Prosent 2 3 4 8 5" xfId="3035" xr:uid="{00000000-0005-0000-0000-0000A2A70000}"/>
    <cellStyle name="Prosent 2 3 4 8 5 2" xfId="3036" xr:uid="{00000000-0005-0000-0000-0000A3A70000}"/>
    <cellStyle name="Prosent 2 3 4 8 5 2 2" xfId="14132" xr:uid="{00000000-0005-0000-0000-0000A4A70000}"/>
    <cellStyle name="Prosent 2 3 4 8 5 2 2 2" xfId="18872" xr:uid="{00000000-0005-0000-0000-0000A5A70000}"/>
    <cellStyle name="Prosent 2 3 4 8 5 2 2 3" xfId="16165" xr:uid="{00000000-0005-0000-0000-0000A6A70000}"/>
    <cellStyle name="Prosent 2 3 4 8 5 2 2 3 2" xfId="26941" xr:uid="{00000000-0005-0000-0000-0000A7A70000}"/>
    <cellStyle name="Prosent 2 3 4 8 5 2 2 3 2 2" xfId="42721" xr:uid="{00000000-0005-0000-0000-0000A8A70000}"/>
    <cellStyle name="Prosent 2 3 4 8 5 2 2 3 3" xfId="45520" xr:uid="{00000000-0005-0000-0000-0000A9A70000}"/>
    <cellStyle name="Prosent 2 3 4 8 5 2 2_Avviksanalyse løpende RNB15 (1)" xfId="17446" xr:uid="{00000000-0005-0000-0000-0000AAA70000}"/>
    <cellStyle name="Prosent 2 3 4 8 5 2 3" xfId="14131" xr:uid="{00000000-0005-0000-0000-0000ABA70000}"/>
    <cellStyle name="Prosent 2 3 4 8 5 3" xfId="14133" xr:uid="{00000000-0005-0000-0000-0000ACA70000}"/>
    <cellStyle name="Prosent 2 3 4 8 5 3 2" xfId="18873" xr:uid="{00000000-0005-0000-0000-0000ADA70000}"/>
    <cellStyle name="Prosent 2 3 4 8 5 3 3" xfId="16164" xr:uid="{00000000-0005-0000-0000-0000AEA70000}"/>
    <cellStyle name="Prosent 2 3 4 8 5 3 3 2" xfId="26942" xr:uid="{00000000-0005-0000-0000-0000AFA70000}"/>
    <cellStyle name="Prosent 2 3 4 8 5 3 3 2 2" xfId="42720" xr:uid="{00000000-0005-0000-0000-0000B0A70000}"/>
    <cellStyle name="Prosent 2 3 4 8 5 3 3 3" xfId="45521" xr:uid="{00000000-0005-0000-0000-0000B1A70000}"/>
    <cellStyle name="Prosent 2 3 4 8 5 3_Avviksanalyse løpende RNB15 (1)" xfId="17447" xr:uid="{00000000-0005-0000-0000-0000B2A70000}"/>
    <cellStyle name="Prosent 2 3 4 8 5 4" xfId="14130" xr:uid="{00000000-0005-0000-0000-0000B3A70000}"/>
    <cellStyle name="Prosent 2 3 4 8 6" xfId="14134" xr:uid="{00000000-0005-0000-0000-0000B4A70000}"/>
    <cellStyle name="Prosent 2 3 4 8 6 2" xfId="18874" xr:uid="{00000000-0005-0000-0000-0000B5A70000}"/>
    <cellStyle name="Prosent 2 3 4 8 6 3" xfId="15901" xr:uid="{00000000-0005-0000-0000-0000B6A70000}"/>
    <cellStyle name="Prosent 2 3 4 8 6 3 2" xfId="26943" xr:uid="{00000000-0005-0000-0000-0000B7A70000}"/>
    <cellStyle name="Prosent 2 3 4 8 6 3 2 2" xfId="42457" xr:uid="{00000000-0005-0000-0000-0000B8A70000}"/>
    <cellStyle name="Prosent 2 3 4 8 6 3 3" xfId="45522" xr:uid="{00000000-0005-0000-0000-0000B9A70000}"/>
    <cellStyle name="Prosent 2 3 4 8 6_Avviksanalyse løpende RNB15 (1)" xfId="17448" xr:uid="{00000000-0005-0000-0000-0000BAA70000}"/>
    <cellStyle name="Prosent 2 3 4 8 7" xfId="14111" xr:uid="{00000000-0005-0000-0000-0000BBA70000}"/>
    <cellStyle name="Prosent 2 3 4 9" xfId="3037" xr:uid="{00000000-0005-0000-0000-0000BCA70000}"/>
    <cellStyle name="Prosent 2 3 4 9 2" xfId="3038" xr:uid="{00000000-0005-0000-0000-0000BDA70000}"/>
    <cellStyle name="Prosent 2 3 4 9 2 2" xfId="14137" xr:uid="{00000000-0005-0000-0000-0000BEA70000}"/>
    <cellStyle name="Prosent 2 3 4 9 2 2 2" xfId="18875" xr:uid="{00000000-0005-0000-0000-0000BFA70000}"/>
    <cellStyle name="Prosent 2 3 4 9 2 2 3" xfId="15906" xr:uid="{00000000-0005-0000-0000-0000C0A70000}"/>
    <cellStyle name="Prosent 2 3 4 9 2 2 3 2" xfId="26944" xr:uid="{00000000-0005-0000-0000-0000C1A70000}"/>
    <cellStyle name="Prosent 2 3 4 9 2 2 3 2 2" xfId="42462" xr:uid="{00000000-0005-0000-0000-0000C2A70000}"/>
    <cellStyle name="Prosent 2 3 4 9 2 2 3 3" xfId="45523" xr:uid="{00000000-0005-0000-0000-0000C3A70000}"/>
    <cellStyle name="Prosent 2 3 4 9 2 2_Avviksanalyse løpende RNB15 (1)" xfId="17449" xr:uid="{00000000-0005-0000-0000-0000C4A70000}"/>
    <cellStyle name="Prosent 2 3 4 9 2 3" xfId="14136" xr:uid="{00000000-0005-0000-0000-0000C5A70000}"/>
    <cellStyle name="Prosent 2 3 4 9 3" xfId="3039" xr:uid="{00000000-0005-0000-0000-0000C6A70000}"/>
    <cellStyle name="Prosent 2 3 4 9 3 2" xfId="3040" xr:uid="{00000000-0005-0000-0000-0000C7A70000}"/>
    <cellStyle name="Prosent 2 3 4 9 3 2 2" xfId="14140" xr:uid="{00000000-0005-0000-0000-0000C8A70000}"/>
    <cellStyle name="Prosent 2 3 4 9 3 2 2 2" xfId="18876" xr:uid="{00000000-0005-0000-0000-0000C9A70000}"/>
    <cellStyle name="Prosent 2 3 4 9 3 2 2 3" xfId="16167" xr:uid="{00000000-0005-0000-0000-0000CAA70000}"/>
    <cellStyle name="Prosent 2 3 4 9 3 2 2 3 2" xfId="26945" xr:uid="{00000000-0005-0000-0000-0000CBA70000}"/>
    <cellStyle name="Prosent 2 3 4 9 3 2 2 3 2 2" xfId="42723" xr:uid="{00000000-0005-0000-0000-0000CCA70000}"/>
    <cellStyle name="Prosent 2 3 4 9 3 2 2 3 3" xfId="45524" xr:uid="{00000000-0005-0000-0000-0000CDA70000}"/>
    <cellStyle name="Prosent 2 3 4 9 3 2 2_Avviksanalyse løpende RNB15 (1)" xfId="17450" xr:uid="{00000000-0005-0000-0000-0000CEA70000}"/>
    <cellStyle name="Prosent 2 3 4 9 3 2 3" xfId="14139" xr:uid="{00000000-0005-0000-0000-0000CFA70000}"/>
    <cellStyle name="Prosent 2 3 4 9 3 3" xfId="14141" xr:uid="{00000000-0005-0000-0000-0000D0A70000}"/>
    <cellStyle name="Prosent 2 3 4 9 3 3 2" xfId="18877" xr:uid="{00000000-0005-0000-0000-0000D1A70000}"/>
    <cellStyle name="Prosent 2 3 4 9 3 3 3" xfId="16166" xr:uid="{00000000-0005-0000-0000-0000D2A70000}"/>
    <cellStyle name="Prosent 2 3 4 9 3 3 3 2" xfId="26946" xr:uid="{00000000-0005-0000-0000-0000D3A70000}"/>
    <cellStyle name="Prosent 2 3 4 9 3 3 3 2 2" xfId="42722" xr:uid="{00000000-0005-0000-0000-0000D4A70000}"/>
    <cellStyle name="Prosent 2 3 4 9 3 3 3 3" xfId="45525" xr:uid="{00000000-0005-0000-0000-0000D5A70000}"/>
    <cellStyle name="Prosent 2 3 4 9 3 3_Avviksanalyse løpende RNB15 (1)" xfId="17451" xr:uid="{00000000-0005-0000-0000-0000D6A70000}"/>
    <cellStyle name="Prosent 2 3 4 9 3 4" xfId="14138" xr:uid="{00000000-0005-0000-0000-0000D7A70000}"/>
    <cellStyle name="Prosent 2 3 4 9 4" xfId="3041" xr:uid="{00000000-0005-0000-0000-0000D8A70000}"/>
    <cellStyle name="Prosent 2 3 4 9 4 2" xfId="3042" xr:uid="{00000000-0005-0000-0000-0000D9A70000}"/>
    <cellStyle name="Prosent 2 3 4 9 4 2 2" xfId="14144" xr:uid="{00000000-0005-0000-0000-0000DAA70000}"/>
    <cellStyle name="Prosent 2 3 4 9 4 2 2 2" xfId="18878" xr:uid="{00000000-0005-0000-0000-0000DBA70000}"/>
    <cellStyle name="Prosent 2 3 4 9 4 2 2 3" xfId="16169" xr:uid="{00000000-0005-0000-0000-0000DCA70000}"/>
    <cellStyle name="Prosent 2 3 4 9 4 2 2 3 2" xfId="26947" xr:uid="{00000000-0005-0000-0000-0000DDA70000}"/>
    <cellStyle name="Prosent 2 3 4 9 4 2 2 3 2 2" xfId="42725" xr:uid="{00000000-0005-0000-0000-0000DEA70000}"/>
    <cellStyle name="Prosent 2 3 4 9 4 2 2 3 3" xfId="45526" xr:uid="{00000000-0005-0000-0000-0000DFA70000}"/>
    <cellStyle name="Prosent 2 3 4 9 4 2 2_Avviksanalyse løpende RNB15 (1)" xfId="17452" xr:uid="{00000000-0005-0000-0000-0000E0A70000}"/>
    <cellStyle name="Prosent 2 3 4 9 4 2 3" xfId="14143" xr:uid="{00000000-0005-0000-0000-0000E1A70000}"/>
    <cellStyle name="Prosent 2 3 4 9 4 3" xfId="14145" xr:uid="{00000000-0005-0000-0000-0000E2A70000}"/>
    <cellStyle name="Prosent 2 3 4 9 4 3 2" xfId="18879" xr:uid="{00000000-0005-0000-0000-0000E3A70000}"/>
    <cellStyle name="Prosent 2 3 4 9 4 3 3" xfId="16168" xr:uid="{00000000-0005-0000-0000-0000E4A70000}"/>
    <cellStyle name="Prosent 2 3 4 9 4 3 3 2" xfId="26948" xr:uid="{00000000-0005-0000-0000-0000E5A70000}"/>
    <cellStyle name="Prosent 2 3 4 9 4 3 3 2 2" xfId="42724" xr:uid="{00000000-0005-0000-0000-0000E6A70000}"/>
    <cellStyle name="Prosent 2 3 4 9 4 3 3 3" xfId="45527" xr:uid="{00000000-0005-0000-0000-0000E7A70000}"/>
    <cellStyle name="Prosent 2 3 4 9 4 3_Avviksanalyse løpende RNB15 (1)" xfId="17453" xr:uid="{00000000-0005-0000-0000-0000E8A70000}"/>
    <cellStyle name="Prosent 2 3 4 9 4 4" xfId="14142" xr:uid="{00000000-0005-0000-0000-0000E9A70000}"/>
    <cellStyle name="Prosent 2 3 4 9 5" xfId="14146" xr:uid="{00000000-0005-0000-0000-0000EAA70000}"/>
    <cellStyle name="Prosent 2 3 4 9 5 2" xfId="18880" xr:uid="{00000000-0005-0000-0000-0000EBA70000}"/>
    <cellStyle name="Prosent 2 3 4 9 5 3" xfId="15905" xr:uid="{00000000-0005-0000-0000-0000ECA70000}"/>
    <cellStyle name="Prosent 2 3 4 9 5 3 2" xfId="26949" xr:uid="{00000000-0005-0000-0000-0000EDA70000}"/>
    <cellStyle name="Prosent 2 3 4 9 5 3 2 2" xfId="42461" xr:uid="{00000000-0005-0000-0000-0000EEA70000}"/>
    <cellStyle name="Prosent 2 3 4 9 5 3 3" xfId="45528" xr:uid="{00000000-0005-0000-0000-0000EFA70000}"/>
    <cellStyle name="Prosent 2 3 4 9 5_Avviksanalyse løpende RNB15 (1)" xfId="17454" xr:uid="{00000000-0005-0000-0000-0000F0A70000}"/>
    <cellStyle name="Prosent 2 3 4 9 6" xfId="14135" xr:uid="{00000000-0005-0000-0000-0000F1A70000}"/>
    <cellStyle name="Prosent 2 3 5" xfId="3043" xr:uid="{00000000-0005-0000-0000-0000F2A70000}"/>
    <cellStyle name="Prosent 2 3 5 10" xfId="14148" xr:uid="{00000000-0005-0000-0000-0000F3A70000}"/>
    <cellStyle name="Prosent 2 3 5 10 2" xfId="18881" xr:uid="{00000000-0005-0000-0000-0000F4A70000}"/>
    <cellStyle name="Prosent 2 3 5 10 3" xfId="15907" xr:uid="{00000000-0005-0000-0000-0000F5A70000}"/>
    <cellStyle name="Prosent 2 3 5 10 3 2" xfId="26950" xr:uid="{00000000-0005-0000-0000-0000F6A70000}"/>
    <cellStyle name="Prosent 2 3 5 10 3 2 2" xfId="42463" xr:uid="{00000000-0005-0000-0000-0000F7A70000}"/>
    <cellStyle name="Prosent 2 3 5 10 3 3" xfId="45529" xr:uid="{00000000-0005-0000-0000-0000F8A70000}"/>
    <cellStyle name="Prosent 2 3 5 10_Avviksanalyse løpende RNB15 (1)" xfId="17455" xr:uid="{00000000-0005-0000-0000-0000F9A70000}"/>
    <cellStyle name="Prosent 2 3 5 11" xfId="14147" xr:uid="{00000000-0005-0000-0000-0000FAA70000}"/>
    <cellStyle name="Prosent 2 3 5 2" xfId="3044" xr:uid="{00000000-0005-0000-0000-0000FBA70000}"/>
    <cellStyle name="Prosent 2 3 5 2 2" xfId="14150" xr:uid="{00000000-0005-0000-0000-0000FCA70000}"/>
    <cellStyle name="Prosent 2 3 5 2 2 2" xfId="18882" xr:uid="{00000000-0005-0000-0000-0000FDA70000}"/>
    <cellStyle name="Prosent 2 3 5 2 2 3" xfId="15908" xr:uid="{00000000-0005-0000-0000-0000FEA70000}"/>
    <cellStyle name="Prosent 2 3 5 2 2 3 2" xfId="26951" xr:uid="{00000000-0005-0000-0000-0000FFA70000}"/>
    <cellStyle name="Prosent 2 3 5 2 2 3 2 2" xfId="42464" xr:uid="{00000000-0005-0000-0000-000000A80000}"/>
    <cellStyle name="Prosent 2 3 5 2 2 3 3" xfId="45530" xr:uid="{00000000-0005-0000-0000-000001A80000}"/>
    <cellStyle name="Prosent 2 3 5 2 2_Avviksanalyse løpende RNB15 (1)" xfId="17456" xr:uid="{00000000-0005-0000-0000-000002A80000}"/>
    <cellStyle name="Prosent 2 3 5 2 3" xfId="14149" xr:uid="{00000000-0005-0000-0000-000003A80000}"/>
    <cellStyle name="Prosent 2 3 5 3" xfId="3045" xr:uid="{00000000-0005-0000-0000-000004A80000}"/>
    <cellStyle name="Prosent 2 3 5 3 2" xfId="3046" xr:uid="{00000000-0005-0000-0000-000005A80000}"/>
    <cellStyle name="Prosent 2 3 5 3 2 2" xfId="14153" xr:uid="{00000000-0005-0000-0000-000006A80000}"/>
    <cellStyle name="Prosent 2 3 5 3 2 2 2" xfId="18883" xr:uid="{00000000-0005-0000-0000-000007A80000}"/>
    <cellStyle name="Prosent 2 3 5 3 2 2 3" xfId="15910" xr:uid="{00000000-0005-0000-0000-000008A80000}"/>
    <cellStyle name="Prosent 2 3 5 3 2 2 3 2" xfId="26952" xr:uid="{00000000-0005-0000-0000-000009A80000}"/>
    <cellStyle name="Prosent 2 3 5 3 2 2 3 2 2" xfId="42466" xr:uid="{00000000-0005-0000-0000-00000AA80000}"/>
    <cellStyle name="Prosent 2 3 5 3 2 2 3 3" xfId="45531" xr:uid="{00000000-0005-0000-0000-00000BA80000}"/>
    <cellStyle name="Prosent 2 3 5 3 2 2_Avviksanalyse løpende RNB15 (1)" xfId="17457" xr:uid="{00000000-0005-0000-0000-00000CA80000}"/>
    <cellStyle name="Prosent 2 3 5 3 2 3" xfId="14152" xr:uid="{00000000-0005-0000-0000-00000DA80000}"/>
    <cellStyle name="Prosent 2 3 5 3 3" xfId="3047" xr:uid="{00000000-0005-0000-0000-00000EA80000}"/>
    <cellStyle name="Prosent 2 3 5 3 3 2" xfId="14155" xr:uid="{00000000-0005-0000-0000-00000FA80000}"/>
    <cellStyle name="Prosent 2 3 5 3 3 2 2" xfId="18884" xr:uid="{00000000-0005-0000-0000-000010A80000}"/>
    <cellStyle name="Prosent 2 3 5 3 3 2 3" xfId="15911" xr:uid="{00000000-0005-0000-0000-000011A80000}"/>
    <cellStyle name="Prosent 2 3 5 3 3 2 3 2" xfId="26953" xr:uid="{00000000-0005-0000-0000-000012A80000}"/>
    <cellStyle name="Prosent 2 3 5 3 3 2 3 2 2" xfId="42467" xr:uid="{00000000-0005-0000-0000-000013A80000}"/>
    <cellStyle name="Prosent 2 3 5 3 3 2 3 3" xfId="45532" xr:uid="{00000000-0005-0000-0000-000014A80000}"/>
    <cellStyle name="Prosent 2 3 5 3 3 2_Avviksanalyse løpende RNB15 (1)" xfId="17458" xr:uid="{00000000-0005-0000-0000-000015A80000}"/>
    <cellStyle name="Prosent 2 3 5 3 3 3" xfId="14154" xr:uid="{00000000-0005-0000-0000-000016A80000}"/>
    <cellStyle name="Prosent 2 3 5 3 4" xfId="3048" xr:uid="{00000000-0005-0000-0000-000017A80000}"/>
    <cellStyle name="Prosent 2 3 5 3 4 2" xfId="3049" xr:uid="{00000000-0005-0000-0000-000018A80000}"/>
    <cellStyle name="Prosent 2 3 5 3 4 2 2" xfId="3050" xr:uid="{00000000-0005-0000-0000-000019A80000}"/>
    <cellStyle name="Prosent 2 3 5 3 4 2 2 2" xfId="14159" xr:uid="{00000000-0005-0000-0000-00001AA80000}"/>
    <cellStyle name="Prosent 2 3 5 3 4 2 2 2 2" xfId="18885" xr:uid="{00000000-0005-0000-0000-00001BA80000}"/>
    <cellStyle name="Prosent 2 3 5 3 4 2 2 2 3" xfId="15914" xr:uid="{00000000-0005-0000-0000-00001CA80000}"/>
    <cellStyle name="Prosent 2 3 5 3 4 2 2 2 3 2" xfId="26954" xr:uid="{00000000-0005-0000-0000-00001DA80000}"/>
    <cellStyle name="Prosent 2 3 5 3 4 2 2 2 3 2 2" xfId="42470" xr:uid="{00000000-0005-0000-0000-00001EA80000}"/>
    <cellStyle name="Prosent 2 3 5 3 4 2 2 2 3 3" xfId="45533" xr:uid="{00000000-0005-0000-0000-00001FA80000}"/>
    <cellStyle name="Prosent 2 3 5 3 4 2 2 2_Avviksanalyse løpende RNB15 (1)" xfId="17459" xr:uid="{00000000-0005-0000-0000-000020A80000}"/>
    <cellStyle name="Prosent 2 3 5 3 4 2 2 3" xfId="14158" xr:uid="{00000000-0005-0000-0000-000021A80000}"/>
    <cellStyle name="Prosent 2 3 5 3 4 2 3" xfId="3051" xr:uid="{00000000-0005-0000-0000-000022A80000}"/>
    <cellStyle name="Prosent 2 3 5 3 4 2 3 2" xfId="3052" xr:uid="{00000000-0005-0000-0000-000023A80000}"/>
    <cellStyle name="Prosent 2 3 5 3 4 2 3 2 2" xfId="14162" xr:uid="{00000000-0005-0000-0000-000024A80000}"/>
    <cellStyle name="Prosent 2 3 5 3 4 2 3 2 2 2" xfId="18886" xr:uid="{00000000-0005-0000-0000-000025A80000}"/>
    <cellStyle name="Prosent 2 3 5 3 4 2 3 2 2 3" xfId="16171" xr:uid="{00000000-0005-0000-0000-000026A80000}"/>
    <cellStyle name="Prosent 2 3 5 3 4 2 3 2 2 3 2" xfId="26955" xr:uid="{00000000-0005-0000-0000-000027A80000}"/>
    <cellStyle name="Prosent 2 3 5 3 4 2 3 2 2 3 2 2" xfId="42727" xr:uid="{00000000-0005-0000-0000-000028A80000}"/>
    <cellStyle name="Prosent 2 3 5 3 4 2 3 2 2 3 3" xfId="45534" xr:uid="{00000000-0005-0000-0000-000029A80000}"/>
    <cellStyle name="Prosent 2 3 5 3 4 2 3 2 2_Avviksanalyse løpende RNB15 (1)" xfId="17460" xr:uid="{00000000-0005-0000-0000-00002AA80000}"/>
    <cellStyle name="Prosent 2 3 5 3 4 2 3 2 3" xfId="14161" xr:uid="{00000000-0005-0000-0000-00002BA80000}"/>
    <cellStyle name="Prosent 2 3 5 3 4 2 3 3" xfId="14163" xr:uid="{00000000-0005-0000-0000-00002CA80000}"/>
    <cellStyle name="Prosent 2 3 5 3 4 2 3 3 2" xfId="18887" xr:uid="{00000000-0005-0000-0000-00002DA80000}"/>
    <cellStyle name="Prosent 2 3 5 3 4 2 3 3 3" xfId="16170" xr:uid="{00000000-0005-0000-0000-00002EA80000}"/>
    <cellStyle name="Prosent 2 3 5 3 4 2 3 3 3 2" xfId="26956" xr:uid="{00000000-0005-0000-0000-00002FA80000}"/>
    <cellStyle name="Prosent 2 3 5 3 4 2 3 3 3 2 2" xfId="42726" xr:uid="{00000000-0005-0000-0000-000030A80000}"/>
    <cellStyle name="Prosent 2 3 5 3 4 2 3 3 3 3" xfId="45535" xr:uid="{00000000-0005-0000-0000-000031A80000}"/>
    <cellStyle name="Prosent 2 3 5 3 4 2 3 3_Avviksanalyse løpende RNB15 (1)" xfId="17461" xr:uid="{00000000-0005-0000-0000-000032A80000}"/>
    <cellStyle name="Prosent 2 3 5 3 4 2 3 4" xfId="14160" xr:uid="{00000000-0005-0000-0000-000033A80000}"/>
    <cellStyle name="Prosent 2 3 5 3 4 2 4" xfId="3053" xr:uid="{00000000-0005-0000-0000-000034A80000}"/>
    <cellStyle name="Prosent 2 3 5 3 4 2 4 2" xfId="3054" xr:uid="{00000000-0005-0000-0000-000035A80000}"/>
    <cellStyle name="Prosent 2 3 5 3 4 2 4 2 2" xfId="14166" xr:uid="{00000000-0005-0000-0000-000036A80000}"/>
    <cellStyle name="Prosent 2 3 5 3 4 2 4 2 2 2" xfId="18888" xr:uid="{00000000-0005-0000-0000-000037A80000}"/>
    <cellStyle name="Prosent 2 3 5 3 4 2 4 2 2 3" xfId="16173" xr:uid="{00000000-0005-0000-0000-000038A80000}"/>
    <cellStyle name="Prosent 2 3 5 3 4 2 4 2 2 3 2" xfId="26957" xr:uid="{00000000-0005-0000-0000-000039A80000}"/>
    <cellStyle name="Prosent 2 3 5 3 4 2 4 2 2 3 2 2" xfId="42729" xr:uid="{00000000-0005-0000-0000-00003AA80000}"/>
    <cellStyle name="Prosent 2 3 5 3 4 2 4 2 2 3 3" xfId="45536" xr:uid="{00000000-0005-0000-0000-00003BA80000}"/>
    <cellStyle name="Prosent 2 3 5 3 4 2 4 2 2_Avviksanalyse løpende RNB15 (1)" xfId="17462" xr:uid="{00000000-0005-0000-0000-00003CA80000}"/>
    <cellStyle name="Prosent 2 3 5 3 4 2 4 2 3" xfId="14165" xr:uid="{00000000-0005-0000-0000-00003DA80000}"/>
    <cellStyle name="Prosent 2 3 5 3 4 2 4 3" xfId="14167" xr:uid="{00000000-0005-0000-0000-00003EA80000}"/>
    <cellStyle name="Prosent 2 3 5 3 4 2 4 3 2" xfId="18889" xr:uid="{00000000-0005-0000-0000-00003FA80000}"/>
    <cellStyle name="Prosent 2 3 5 3 4 2 4 3 3" xfId="16172" xr:uid="{00000000-0005-0000-0000-000040A80000}"/>
    <cellStyle name="Prosent 2 3 5 3 4 2 4 3 3 2" xfId="26958" xr:uid="{00000000-0005-0000-0000-000041A80000}"/>
    <cellStyle name="Prosent 2 3 5 3 4 2 4 3 3 2 2" xfId="42728" xr:uid="{00000000-0005-0000-0000-000042A80000}"/>
    <cellStyle name="Prosent 2 3 5 3 4 2 4 3 3 3" xfId="45537" xr:uid="{00000000-0005-0000-0000-000043A80000}"/>
    <cellStyle name="Prosent 2 3 5 3 4 2 4 3_Avviksanalyse løpende RNB15 (1)" xfId="17463" xr:uid="{00000000-0005-0000-0000-000044A80000}"/>
    <cellStyle name="Prosent 2 3 5 3 4 2 4 4" xfId="14164" xr:uid="{00000000-0005-0000-0000-000045A80000}"/>
    <cellStyle name="Prosent 2 3 5 3 4 2 5" xfId="14168" xr:uid="{00000000-0005-0000-0000-000046A80000}"/>
    <cellStyle name="Prosent 2 3 5 3 4 2 5 2" xfId="18890" xr:uid="{00000000-0005-0000-0000-000047A80000}"/>
    <cellStyle name="Prosent 2 3 5 3 4 2 5 3" xfId="15913" xr:uid="{00000000-0005-0000-0000-000048A80000}"/>
    <cellStyle name="Prosent 2 3 5 3 4 2 5 3 2" xfId="26959" xr:uid="{00000000-0005-0000-0000-000049A80000}"/>
    <cellStyle name="Prosent 2 3 5 3 4 2 5 3 2 2" xfId="42469" xr:uid="{00000000-0005-0000-0000-00004AA80000}"/>
    <cellStyle name="Prosent 2 3 5 3 4 2 5 3 3" xfId="45538" xr:uid="{00000000-0005-0000-0000-00004BA80000}"/>
    <cellStyle name="Prosent 2 3 5 3 4 2 5_Avviksanalyse løpende RNB15 (1)" xfId="17464" xr:uid="{00000000-0005-0000-0000-00004CA80000}"/>
    <cellStyle name="Prosent 2 3 5 3 4 2 6" xfId="14157" xr:uid="{00000000-0005-0000-0000-00004DA80000}"/>
    <cellStyle name="Prosent 2 3 5 3 4 3" xfId="3055" xr:uid="{00000000-0005-0000-0000-00004EA80000}"/>
    <cellStyle name="Prosent 2 3 5 3 4 3 2" xfId="14170" xr:uid="{00000000-0005-0000-0000-00004FA80000}"/>
    <cellStyle name="Prosent 2 3 5 3 4 3 2 2" xfId="18891" xr:uid="{00000000-0005-0000-0000-000050A80000}"/>
    <cellStyle name="Prosent 2 3 5 3 4 3 2 3" xfId="15915" xr:uid="{00000000-0005-0000-0000-000051A80000}"/>
    <cellStyle name="Prosent 2 3 5 3 4 3 2 3 2" xfId="26960" xr:uid="{00000000-0005-0000-0000-000052A80000}"/>
    <cellStyle name="Prosent 2 3 5 3 4 3 2 3 2 2" xfId="42471" xr:uid="{00000000-0005-0000-0000-000053A80000}"/>
    <cellStyle name="Prosent 2 3 5 3 4 3 2 3 3" xfId="45539" xr:uid="{00000000-0005-0000-0000-000054A80000}"/>
    <cellStyle name="Prosent 2 3 5 3 4 3 2_Avviksanalyse løpende RNB15 (1)" xfId="17465" xr:uid="{00000000-0005-0000-0000-000055A80000}"/>
    <cellStyle name="Prosent 2 3 5 3 4 3 3" xfId="14169" xr:uid="{00000000-0005-0000-0000-000056A80000}"/>
    <cellStyle name="Prosent 2 3 5 3 4 4" xfId="3056" xr:uid="{00000000-0005-0000-0000-000057A80000}"/>
    <cellStyle name="Prosent 2 3 5 3 4 4 2" xfId="3057" xr:uid="{00000000-0005-0000-0000-000058A80000}"/>
    <cellStyle name="Prosent 2 3 5 3 4 4 2 2" xfId="14173" xr:uid="{00000000-0005-0000-0000-000059A80000}"/>
    <cellStyle name="Prosent 2 3 5 3 4 4 2 2 2" xfId="18892" xr:uid="{00000000-0005-0000-0000-00005AA80000}"/>
    <cellStyle name="Prosent 2 3 5 3 4 4 2 2 3" xfId="16175" xr:uid="{00000000-0005-0000-0000-00005BA80000}"/>
    <cellStyle name="Prosent 2 3 5 3 4 4 2 2 3 2" xfId="26961" xr:uid="{00000000-0005-0000-0000-00005CA80000}"/>
    <cellStyle name="Prosent 2 3 5 3 4 4 2 2 3 2 2" xfId="42731" xr:uid="{00000000-0005-0000-0000-00005DA80000}"/>
    <cellStyle name="Prosent 2 3 5 3 4 4 2 2 3 3" xfId="45540" xr:uid="{00000000-0005-0000-0000-00005EA80000}"/>
    <cellStyle name="Prosent 2 3 5 3 4 4 2 2_Avviksanalyse løpende RNB15 (1)" xfId="17466" xr:uid="{00000000-0005-0000-0000-00005FA80000}"/>
    <cellStyle name="Prosent 2 3 5 3 4 4 2 3" xfId="14172" xr:uid="{00000000-0005-0000-0000-000060A80000}"/>
    <cellStyle name="Prosent 2 3 5 3 4 4 3" xfId="14174" xr:uid="{00000000-0005-0000-0000-000061A80000}"/>
    <cellStyle name="Prosent 2 3 5 3 4 4 3 2" xfId="18893" xr:uid="{00000000-0005-0000-0000-000062A80000}"/>
    <cellStyle name="Prosent 2 3 5 3 4 4 3 3" xfId="16174" xr:uid="{00000000-0005-0000-0000-000063A80000}"/>
    <cellStyle name="Prosent 2 3 5 3 4 4 3 3 2" xfId="26962" xr:uid="{00000000-0005-0000-0000-000064A80000}"/>
    <cellStyle name="Prosent 2 3 5 3 4 4 3 3 2 2" xfId="42730" xr:uid="{00000000-0005-0000-0000-000065A80000}"/>
    <cellStyle name="Prosent 2 3 5 3 4 4 3 3 3" xfId="45542" xr:uid="{00000000-0005-0000-0000-000066A80000}"/>
    <cellStyle name="Prosent 2 3 5 3 4 4 3_Avviksanalyse løpende RNB15 (1)" xfId="17467" xr:uid="{00000000-0005-0000-0000-000067A80000}"/>
    <cellStyle name="Prosent 2 3 5 3 4 4 4" xfId="14171" xr:uid="{00000000-0005-0000-0000-000068A80000}"/>
    <cellStyle name="Prosent 2 3 5 3 4 5" xfId="3058" xr:uid="{00000000-0005-0000-0000-000069A80000}"/>
    <cellStyle name="Prosent 2 3 5 3 4 5 2" xfId="3059" xr:uid="{00000000-0005-0000-0000-00006AA80000}"/>
    <cellStyle name="Prosent 2 3 5 3 4 5 2 2" xfId="14177" xr:uid="{00000000-0005-0000-0000-00006BA80000}"/>
    <cellStyle name="Prosent 2 3 5 3 4 5 2 2 2" xfId="18894" xr:uid="{00000000-0005-0000-0000-00006CA80000}"/>
    <cellStyle name="Prosent 2 3 5 3 4 5 2 2 3" xfId="16177" xr:uid="{00000000-0005-0000-0000-00006DA80000}"/>
    <cellStyle name="Prosent 2 3 5 3 4 5 2 2 3 2" xfId="26963" xr:uid="{00000000-0005-0000-0000-00006EA80000}"/>
    <cellStyle name="Prosent 2 3 5 3 4 5 2 2 3 2 2" xfId="42733" xr:uid="{00000000-0005-0000-0000-00006FA80000}"/>
    <cellStyle name="Prosent 2 3 5 3 4 5 2 2 3 3" xfId="45543" xr:uid="{00000000-0005-0000-0000-000070A80000}"/>
    <cellStyle name="Prosent 2 3 5 3 4 5 2 2_Avviksanalyse løpende RNB15 (1)" xfId="17468" xr:uid="{00000000-0005-0000-0000-000071A80000}"/>
    <cellStyle name="Prosent 2 3 5 3 4 5 2 3" xfId="14176" xr:uid="{00000000-0005-0000-0000-000072A80000}"/>
    <cellStyle name="Prosent 2 3 5 3 4 5 3" xfId="14178" xr:uid="{00000000-0005-0000-0000-000073A80000}"/>
    <cellStyle name="Prosent 2 3 5 3 4 5 3 2" xfId="18895" xr:uid="{00000000-0005-0000-0000-000074A80000}"/>
    <cellStyle name="Prosent 2 3 5 3 4 5 3 3" xfId="16176" xr:uid="{00000000-0005-0000-0000-000075A80000}"/>
    <cellStyle name="Prosent 2 3 5 3 4 5 3 3 2" xfId="26964" xr:uid="{00000000-0005-0000-0000-000076A80000}"/>
    <cellStyle name="Prosent 2 3 5 3 4 5 3 3 2 2" xfId="42732" xr:uid="{00000000-0005-0000-0000-000077A80000}"/>
    <cellStyle name="Prosent 2 3 5 3 4 5 3 3 3" xfId="45544" xr:uid="{00000000-0005-0000-0000-000078A80000}"/>
    <cellStyle name="Prosent 2 3 5 3 4 5 3_Avviksanalyse løpende RNB15 (1)" xfId="17469" xr:uid="{00000000-0005-0000-0000-000079A80000}"/>
    <cellStyle name="Prosent 2 3 5 3 4 5 4" xfId="14175" xr:uid="{00000000-0005-0000-0000-00007AA80000}"/>
    <cellStyle name="Prosent 2 3 5 3 4 6" xfId="14179" xr:uid="{00000000-0005-0000-0000-00007BA80000}"/>
    <cellStyle name="Prosent 2 3 5 3 4 6 2" xfId="18896" xr:uid="{00000000-0005-0000-0000-00007CA80000}"/>
    <cellStyle name="Prosent 2 3 5 3 4 6 3" xfId="15912" xr:uid="{00000000-0005-0000-0000-00007DA80000}"/>
    <cellStyle name="Prosent 2 3 5 3 4 6 3 2" xfId="26965" xr:uid="{00000000-0005-0000-0000-00007EA80000}"/>
    <cellStyle name="Prosent 2 3 5 3 4 6 3 2 2" xfId="42468" xr:uid="{00000000-0005-0000-0000-00007FA80000}"/>
    <cellStyle name="Prosent 2 3 5 3 4 6 3 3" xfId="45545" xr:uid="{00000000-0005-0000-0000-000080A80000}"/>
    <cellStyle name="Prosent 2 3 5 3 4 6_Avviksanalyse løpende RNB15 (1)" xfId="17470" xr:uid="{00000000-0005-0000-0000-000081A80000}"/>
    <cellStyle name="Prosent 2 3 5 3 4 7" xfId="14156" xr:uid="{00000000-0005-0000-0000-000082A80000}"/>
    <cellStyle name="Prosent 2 3 5 3 5" xfId="14180" xr:uid="{00000000-0005-0000-0000-000083A80000}"/>
    <cellStyle name="Prosent 2 3 5 3 5 2" xfId="18897" xr:uid="{00000000-0005-0000-0000-000084A80000}"/>
    <cellStyle name="Prosent 2 3 5 3 5 3" xfId="15909" xr:uid="{00000000-0005-0000-0000-000085A80000}"/>
    <cellStyle name="Prosent 2 3 5 3 5 3 2" xfId="26966" xr:uid="{00000000-0005-0000-0000-000086A80000}"/>
    <cellStyle name="Prosent 2 3 5 3 5 3 2 2" xfId="42465" xr:uid="{00000000-0005-0000-0000-000087A80000}"/>
    <cellStyle name="Prosent 2 3 5 3 5 3 3" xfId="45546" xr:uid="{00000000-0005-0000-0000-000088A80000}"/>
    <cellStyle name="Prosent 2 3 5 3 5_Avviksanalyse løpende RNB15 (1)" xfId="17471" xr:uid="{00000000-0005-0000-0000-000089A80000}"/>
    <cellStyle name="Prosent 2 3 5 3 6" xfId="14151" xr:uid="{00000000-0005-0000-0000-00008AA80000}"/>
    <cellStyle name="Prosent 2 3 5 4" xfId="3060" xr:uid="{00000000-0005-0000-0000-00008BA80000}"/>
    <cellStyle name="Prosent 2 3 5 4 2" xfId="3061" xr:uid="{00000000-0005-0000-0000-00008CA80000}"/>
    <cellStyle name="Prosent 2 3 5 4 2 2" xfId="14183" xr:uid="{00000000-0005-0000-0000-00008DA80000}"/>
    <cellStyle name="Prosent 2 3 5 4 2 2 2" xfId="18898" xr:uid="{00000000-0005-0000-0000-00008EA80000}"/>
    <cellStyle name="Prosent 2 3 5 4 2 2 3" xfId="15917" xr:uid="{00000000-0005-0000-0000-00008FA80000}"/>
    <cellStyle name="Prosent 2 3 5 4 2 2 3 2" xfId="26967" xr:uid="{00000000-0005-0000-0000-000090A80000}"/>
    <cellStyle name="Prosent 2 3 5 4 2 2 3 2 2" xfId="42473" xr:uid="{00000000-0005-0000-0000-000091A80000}"/>
    <cellStyle name="Prosent 2 3 5 4 2 2 3 3" xfId="45547" xr:uid="{00000000-0005-0000-0000-000092A80000}"/>
    <cellStyle name="Prosent 2 3 5 4 2 2_Avviksanalyse løpende RNB15 (1)" xfId="17472" xr:uid="{00000000-0005-0000-0000-000093A80000}"/>
    <cellStyle name="Prosent 2 3 5 4 2 3" xfId="14182" xr:uid="{00000000-0005-0000-0000-000094A80000}"/>
    <cellStyle name="Prosent 2 3 5 4 3" xfId="14184" xr:uid="{00000000-0005-0000-0000-000095A80000}"/>
    <cellStyle name="Prosent 2 3 5 4 3 2" xfId="18899" xr:uid="{00000000-0005-0000-0000-000096A80000}"/>
    <cellStyle name="Prosent 2 3 5 4 3 3" xfId="15916" xr:uid="{00000000-0005-0000-0000-000097A80000}"/>
    <cellStyle name="Prosent 2 3 5 4 3 3 2" xfId="26968" xr:uid="{00000000-0005-0000-0000-000098A80000}"/>
    <cellStyle name="Prosent 2 3 5 4 3 3 2 2" xfId="42472" xr:uid="{00000000-0005-0000-0000-000099A80000}"/>
    <cellStyle name="Prosent 2 3 5 4 3 3 3" xfId="45548" xr:uid="{00000000-0005-0000-0000-00009AA80000}"/>
    <cellStyle name="Prosent 2 3 5 4 3_Avviksanalyse løpende RNB15 (1)" xfId="17473" xr:uid="{00000000-0005-0000-0000-00009BA80000}"/>
    <cellStyle name="Prosent 2 3 5 4 4" xfId="14181" xr:uid="{00000000-0005-0000-0000-00009CA80000}"/>
    <cellStyle name="Prosent 2 3 5 5" xfId="3062" xr:uid="{00000000-0005-0000-0000-00009DA80000}"/>
    <cellStyle name="Prosent 2 3 5 5 2" xfId="3063" xr:uid="{00000000-0005-0000-0000-00009EA80000}"/>
    <cellStyle name="Prosent 2 3 5 5 2 2" xfId="14187" xr:uid="{00000000-0005-0000-0000-00009FA80000}"/>
    <cellStyle name="Prosent 2 3 5 5 2 2 2" xfId="18900" xr:uid="{00000000-0005-0000-0000-0000A0A80000}"/>
    <cellStyle name="Prosent 2 3 5 5 2 2 3" xfId="15919" xr:uid="{00000000-0005-0000-0000-0000A1A80000}"/>
    <cellStyle name="Prosent 2 3 5 5 2 2 3 2" xfId="26969" xr:uid="{00000000-0005-0000-0000-0000A2A80000}"/>
    <cellStyle name="Prosent 2 3 5 5 2 2 3 2 2" xfId="42475" xr:uid="{00000000-0005-0000-0000-0000A3A80000}"/>
    <cellStyle name="Prosent 2 3 5 5 2 2 3 3" xfId="45549" xr:uid="{00000000-0005-0000-0000-0000A4A80000}"/>
    <cellStyle name="Prosent 2 3 5 5 2 2_Avviksanalyse løpende RNB15 (1)" xfId="17474" xr:uid="{00000000-0005-0000-0000-0000A5A80000}"/>
    <cellStyle name="Prosent 2 3 5 5 2 3" xfId="14186" xr:uid="{00000000-0005-0000-0000-0000A6A80000}"/>
    <cellStyle name="Prosent 2 3 5 5 3" xfId="3064" xr:uid="{00000000-0005-0000-0000-0000A7A80000}"/>
    <cellStyle name="Prosent 2 3 5 5 3 2" xfId="14189" xr:uid="{00000000-0005-0000-0000-0000A8A80000}"/>
    <cellStyle name="Prosent 2 3 5 5 3 2 2" xfId="18901" xr:uid="{00000000-0005-0000-0000-0000A9A80000}"/>
    <cellStyle name="Prosent 2 3 5 5 3 2 3" xfId="15920" xr:uid="{00000000-0005-0000-0000-0000AAA80000}"/>
    <cellStyle name="Prosent 2 3 5 5 3 2 3 2" xfId="26970" xr:uid="{00000000-0005-0000-0000-0000ABA80000}"/>
    <cellStyle name="Prosent 2 3 5 5 3 2 3 2 2" xfId="42476" xr:uid="{00000000-0005-0000-0000-0000ACA80000}"/>
    <cellStyle name="Prosent 2 3 5 5 3 2 3 3" xfId="45550" xr:uid="{00000000-0005-0000-0000-0000ADA80000}"/>
    <cellStyle name="Prosent 2 3 5 5 3 2_Avviksanalyse løpende RNB15 (1)" xfId="17475" xr:uid="{00000000-0005-0000-0000-0000AEA80000}"/>
    <cellStyle name="Prosent 2 3 5 5 3 3" xfId="14188" xr:uid="{00000000-0005-0000-0000-0000AFA80000}"/>
    <cellStyle name="Prosent 2 3 5 5 4" xfId="3065" xr:uid="{00000000-0005-0000-0000-0000B0A80000}"/>
    <cellStyle name="Prosent 2 3 5 5 4 2" xfId="3066" xr:uid="{00000000-0005-0000-0000-0000B1A80000}"/>
    <cellStyle name="Prosent 2 3 5 5 4 2 2" xfId="14192" xr:uid="{00000000-0005-0000-0000-0000B2A80000}"/>
    <cellStyle name="Prosent 2 3 5 5 4 2 2 2" xfId="18902" xr:uid="{00000000-0005-0000-0000-0000B3A80000}"/>
    <cellStyle name="Prosent 2 3 5 5 4 2 2 3" xfId="15922" xr:uid="{00000000-0005-0000-0000-0000B4A80000}"/>
    <cellStyle name="Prosent 2 3 5 5 4 2 2 3 2" xfId="26971" xr:uid="{00000000-0005-0000-0000-0000B5A80000}"/>
    <cellStyle name="Prosent 2 3 5 5 4 2 2 3 2 2" xfId="42478" xr:uid="{00000000-0005-0000-0000-0000B6A80000}"/>
    <cellStyle name="Prosent 2 3 5 5 4 2 2 3 3" xfId="45551" xr:uid="{00000000-0005-0000-0000-0000B7A80000}"/>
    <cellStyle name="Prosent 2 3 5 5 4 2 2_Avviksanalyse løpende RNB15 (1)" xfId="17476" xr:uid="{00000000-0005-0000-0000-0000B8A80000}"/>
    <cellStyle name="Prosent 2 3 5 5 4 2 3" xfId="14191" xr:uid="{00000000-0005-0000-0000-0000B9A80000}"/>
    <cellStyle name="Prosent 2 3 5 5 4 3" xfId="3067" xr:uid="{00000000-0005-0000-0000-0000BAA80000}"/>
    <cellStyle name="Prosent 2 3 5 5 4 3 2" xfId="3068" xr:uid="{00000000-0005-0000-0000-0000BBA80000}"/>
    <cellStyle name="Prosent 2 3 5 5 4 3 2 2" xfId="14195" xr:uid="{00000000-0005-0000-0000-0000BCA80000}"/>
    <cellStyle name="Prosent 2 3 5 5 4 3 2 2 2" xfId="18903" xr:uid="{00000000-0005-0000-0000-0000BDA80000}"/>
    <cellStyle name="Prosent 2 3 5 5 4 3 2 2 3" xfId="16179" xr:uid="{00000000-0005-0000-0000-0000BEA80000}"/>
    <cellStyle name="Prosent 2 3 5 5 4 3 2 2 3 2" xfId="26972" xr:uid="{00000000-0005-0000-0000-0000BFA80000}"/>
    <cellStyle name="Prosent 2 3 5 5 4 3 2 2 3 2 2" xfId="42735" xr:uid="{00000000-0005-0000-0000-0000C0A80000}"/>
    <cellStyle name="Prosent 2 3 5 5 4 3 2 2 3 3" xfId="45552" xr:uid="{00000000-0005-0000-0000-0000C1A80000}"/>
    <cellStyle name="Prosent 2 3 5 5 4 3 2 2_Avviksanalyse løpende RNB15 (1)" xfId="17477" xr:uid="{00000000-0005-0000-0000-0000C2A80000}"/>
    <cellStyle name="Prosent 2 3 5 5 4 3 2 3" xfId="14194" xr:uid="{00000000-0005-0000-0000-0000C3A80000}"/>
    <cellStyle name="Prosent 2 3 5 5 4 3 3" xfId="14196" xr:uid="{00000000-0005-0000-0000-0000C4A80000}"/>
    <cellStyle name="Prosent 2 3 5 5 4 3 3 2" xfId="18904" xr:uid="{00000000-0005-0000-0000-0000C5A80000}"/>
    <cellStyle name="Prosent 2 3 5 5 4 3 3 3" xfId="16178" xr:uid="{00000000-0005-0000-0000-0000C6A80000}"/>
    <cellStyle name="Prosent 2 3 5 5 4 3 3 3 2" xfId="26973" xr:uid="{00000000-0005-0000-0000-0000C7A80000}"/>
    <cellStyle name="Prosent 2 3 5 5 4 3 3 3 2 2" xfId="42734" xr:uid="{00000000-0005-0000-0000-0000C8A80000}"/>
    <cellStyle name="Prosent 2 3 5 5 4 3 3 3 3" xfId="45553" xr:uid="{00000000-0005-0000-0000-0000C9A80000}"/>
    <cellStyle name="Prosent 2 3 5 5 4 3 3_Avviksanalyse løpende RNB15 (1)" xfId="17478" xr:uid="{00000000-0005-0000-0000-0000CAA80000}"/>
    <cellStyle name="Prosent 2 3 5 5 4 3 4" xfId="14193" xr:uid="{00000000-0005-0000-0000-0000CBA80000}"/>
    <cellStyle name="Prosent 2 3 5 5 4 4" xfId="3069" xr:uid="{00000000-0005-0000-0000-0000CCA80000}"/>
    <cellStyle name="Prosent 2 3 5 5 4 4 2" xfId="3070" xr:uid="{00000000-0005-0000-0000-0000CDA80000}"/>
    <cellStyle name="Prosent 2 3 5 5 4 4 2 2" xfId="14199" xr:uid="{00000000-0005-0000-0000-0000CEA80000}"/>
    <cellStyle name="Prosent 2 3 5 5 4 4 2 2 2" xfId="18905" xr:uid="{00000000-0005-0000-0000-0000CFA80000}"/>
    <cellStyle name="Prosent 2 3 5 5 4 4 2 2 3" xfId="16181" xr:uid="{00000000-0005-0000-0000-0000D0A80000}"/>
    <cellStyle name="Prosent 2 3 5 5 4 4 2 2 3 2" xfId="26974" xr:uid="{00000000-0005-0000-0000-0000D1A80000}"/>
    <cellStyle name="Prosent 2 3 5 5 4 4 2 2 3 2 2" xfId="42737" xr:uid="{00000000-0005-0000-0000-0000D2A80000}"/>
    <cellStyle name="Prosent 2 3 5 5 4 4 2 2 3 3" xfId="45554" xr:uid="{00000000-0005-0000-0000-0000D3A80000}"/>
    <cellStyle name="Prosent 2 3 5 5 4 4 2 2_Avviksanalyse løpende RNB15 (1)" xfId="17479" xr:uid="{00000000-0005-0000-0000-0000D4A80000}"/>
    <cellStyle name="Prosent 2 3 5 5 4 4 2 3" xfId="14198" xr:uid="{00000000-0005-0000-0000-0000D5A80000}"/>
    <cellStyle name="Prosent 2 3 5 5 4 4 3" xfId="14200" xr:uid="{00000000-0005-0000-0000-0000D6A80000}"/>
    <cellStyle name="Prosent 2 3 5 5 4 4 3 2" xfId="18906" xr:uid="{00000000-0005-0000-0000-0000D7A80000}"/>
    <cellStyle name="Prosent 2 3 5 5 4 4 3 3" xfId="16180" xr:uid="{00000000-0005-0000-0000-0000D8A80000}"/>
    <cellStyle name="Prosent 2 3 5 5 4 4 3 3 2" xfId="26975" xr:uid="{00000000-0005-0000-0000-0000D9A80000}"/>
    <cellStyle name="Prosent 2 3 5 5 4 4 3 3 2 2" xfId="42736" xr:uid="{00000000-0005-0000-0000-0000DAA80000}"/>
    <cellStyle name="Prosent 2 3 5 5 4 4 3 3 3" xfId="45555" xr:uid="{00000000-0005-0000-0000-0000DBA80000}"/>
    <cellStyle name="Prosent 2 3 5 5 4 4 3_Avviksanalyse løpende RNB15 (1)" xfId="17480" xr:uid="{00000000-0005-0000-0000-0000DCA80000}"/>
    <cellStyle name="Prosent 2 3 5 5 4 4 4" xfId="14197" xr:uid="{00000000-0005-0000-0000-0000DDA80000}"/>
    <cellStyle name="Prosent 2 3 5 5 4 5" xfId="14201" xr:uid="{00000000-0005-0000-0000-0000DEA80000}"/>
    <cellStyle name="Prosent 2 3 5 5 4 5 2" xfId="18907" xr:uid="{00000000-0005-0000-0000-0000DFA80000}"/>
    <cellStyle name="Prosent 2 3 5 5 4 5 3" xfId="15921" xr:uid="{00000000-0005-0000-0000-0000E0A80000}"/>
    <cellStyle name="Prosent 2 3 5 5 4 5 3 2" xfId="26976" xr:uid="{00000000-0005-0000-0000-0000E1A80000}"/>
    <cellStyle name="Prosent 2 3 5 5 4 5 3 2 2" xfId="42477" xr:uid="{00000000-0005-0000-0000-0000E2A80000}"/>
    <cellStyle name="Prosent 2 3 5 5 4 5 3 3" xfId="45556" xr:uid="{00000000-0005-0000-0000-0000E3A80000}"/>
    <cellStyle name="Prosent 2 3 5 5 4 5_Avviksanalyse løpende RNB15 (1)" xfId="17481" xr:uid="{00000000-0005-0000-0000-0000E4A80000}"/>
    <cellStyle name="Prosent 2 3 5 5 4 6" xfId="14190" xr:uid="{00000000-0005-0000-0000-0000E5A80000}"/>
    <cellStyle name="Prosent 2 3 5 5 5" xfId="3071" xr:uid="{00000000-0005-0000-0000-0000E6A80000}"/>
    <cellStyle name="Prosent 2 3 5 5 5 2" xfId="3072" xr:uid="{00000000-0005-0000-0000-0000E7A80000}"/>
    <cellStyle name="Prosent 2 3 5 5 5 2 2" xfId="14204" xr:uid="{00000000-0005-0000-0000-0000E8A80000}"/>
    <cellStyle name="Prosent 2 3 5 5 5 2 2 2" xfId="18908" xr:uid="{00000000-0005-0000-0000-0000E9A80000}"/>
    <cellStyle name="Prosent 2 3 5 5 5 2 2 3" xfId="15924" xr:uid="{00000000-0005-0000-0000-0000EAA80000}"/>
    <cellStyle name="Prosent 2 3 5 5 5 2 2 3 2" xfId="26977" xr:uid="{00000000-0005-0000-0000-0000EBA80000}"/>
    <cellStyle name="Prosent 2 3 5 5 5 2 2 3 2 2" xfId="42480" xr:uid="{00000000-0005-0000-0000-0000ECA80000}"/>
    <cellStyle name="Prosent 2 3 5 5 5 2 2 3 3" xfId="45557" xr:uid="{00000000-0005-0000-0000-0000EDA80000}"/>
    <cellStyle name="Prosent 2 3 5 5 5 2 2_Avviksanalyse løpende RNB15 (1)" xfId="17482" xr:uid="{00000000-0005-0000-0000-0000EEA80000}"/>
    <cellStyle name="Prosent 2 3 5 5 5 2 3" xfId="14203" xr:uid="{00000000-0005-0000-0000-0000EFA80000}"/>
    <cellStyle name="Prosent 2 3 5 5 5 3" xfId="3073" xr:uid="{00000000-0005-0000-0000-0000F0A80000}"/>
    <cellStyle name="Prosent 2 3 5 5 5 3 2" xfId="3074" xr:uid="{00000000-0005-0000-0000-0000F1A80000}"/>
    <cellStyle name="Prosent 2 3 5 5 5 3 2 2" xfId="14207" xr:uid="{00000000-0005-0000-0000-0000F2A80000}"/>
    <cellStyle name="Prosent 2 3 5 5 5 3 2 2 2" xfId="18909" xr:uid="{00000000-0005-0000-0000-0000F3A80000}"/>
    <cellStyle name="Prosent 2 3 5 5 5 3 2 2 3" xfId="16183" xr:uid="{00000000-0005-0000-0000-0000F4A80000}"/>
    <cellStyle name="Prosent 2 3 5 5 5 3 2 2 3 2" xfId="26978" xr:uid="{00000000-0005-0000-0000-0000F5A80000}"/>
    <cellStyle name="Prosent 2 3 5 5 5 3 2 2 3 2 2" xfId="42739" xr:uid="{00000000-0005-0000-0000-0000F6A80000}"/>
    <cellStyle name="Prosent 2 3 5 5 5 3 2 2 3 3" xfId="45558" xr:uid="{00000000-0005-0000-0000-0000F7A80000}"/>
    <cellStyle name="Prosent 2 3 5 5 5 3 2 2_Avviksanalyse løpende RNB15 (1)" xfId="17483" xr:uid="{00000000-0005-0000-0000-0000F8A80000}"/>
    <cellStyle name="Prosent 2 3 5 5 5 3 2 3" xfId="14206" xr:uid="{00000000-0005-0000-0000-0000F9A80000}"/>
    <cellStyle name="Prosent 2 3 5 5 5 3 3" xfId="14208" xr:uid="{00000000-0005-0000-0000-0000FAA80000}"/>
    <cellStyle name="Prosent 2 3 5 5 5 3 3 2" xfId="18910" xr:uid="{00000000-0005-0000-0000-0000FBA80000}"/>
    <cellStyle name="Prosent 2 3 5 5 5 3 3 3" xfId="16182" xr:uid="{00000000-0005-0000-0000-0000FCA80000}"/>
    <cellStyle name="Prosent 2 3 5 5 5 3 3 3 2" xfId="26979" xr:uid="{00000000-0005-0000-0000-0000FDA80000}"/>
    <cellStyle name="Prosent 2 3 5 5 5 3 3 3 2 2" xfId="42738" xr:uid="{00000000-0005-0000-0000-0000FEA80000}"/>
    <cellStyle name="Prosent 2 3 5 5 5 3 3 3 3" xfId="45559" xr:uid="{00000000-0005-0000-0000-0000FFA80000}"/>
    <cellStyle name="Prosent 2 3 5 5 5 3 3_Avviksanalyse løpende RNB15 (1)" xfId="17484" xr:uid="{00000000-0005-0000-0000-000000A90000}"/>
    <cellStyle name="Prosent 2 3 5 5 5 3 4" xfId="14205" xr:uid="{00000000-0005-0000-0000-000001A90000}"/>
    <cellStyle name="Prosent 2 3 5 5 5 4" xfId="3075" xr:uid="{00000000-0005-0000-0000-000002A90000}"/>
    <cellStyle name="Prosent 2 3 5 5 5 4 2" xfId="3076" xr:uid="{00000000-0005-0000-0000-000003A90000}"/>
    <cellStyle name="Prosent 2 3 5 5 5 4 2 2" xfId="14211" xr:uid="{00000000-0005-0000-0000-000004A90000}"/>
    <cellStyle name="Prosent 2 3 5 5 5 4 2 2 2" xfId="18911" xr:uid="{00000000-0005-0000-0000-000005A90000}"/>
    <cellStyle name="Prosent 2 3 5 5 5 4 2 2 3" xfId="16185" xr:uid="{00000000-0005-0000-0000-000006A90000}"/>
    <cellStyle name="Prosent 2 3 5 5 5 4 2 2 3 2" xfId="26980" xr:uid="{00000000-0005-0000-0000-000007A90000}"/>
    <cellStyle name="Prosent 2 3 5 5 5 4 2 2 3 2 2" xfId="42741" xr:uid="{00000000-0005-0000-0000-000008A90000}"/>
    <cellStyle name="Prosent 2 3 5 5 5 4 2 2 3 3" xfId="45560" xr:uid="{00000000-0005-0000-0000-000009A90000}"/>
    <cellStyle name="Prosent 2 3 5 5 5 4 2 2_Avviksanalyse løpende RNB15 (1)" xfId="17485" xr:uid="{00000000-0005-0000-0000-00000AA90000}"/>
    <cellStyle name="Prosent 2 3 5 5 5 4 2 3" xfId="14210" xr:uid="{00000000-0005-0000-0000-00000BA90000}"/>
    <cellStyle name="Prosent 2 3 5 5 5 4 3" xfId="14212" xr:uid="{00000000-0005-0000-0000-00000CA90000}"/>
    <cellStyle name="Prosent 2 3 5 5 5 4 3 2" xfId="18912" xr:uid="{00000000-0005-0000-0000-00000DA90000}"/>
    <cellStyle name="Prosent 2 3 5 5 5 4 3 3" xfId="16184" xr:uid="{00000000-0005-0000-0000-00000EA90000}"/>
    <cellStyle name="Prosent 2 3 5 5 5 4 3 3 2" xfId="26981" xr:uid="{00000000-0005-0000-0000-00000FA90000}"/>
    <cellStyle name="Prosent 2 3 5 5 5 4 3 3 2 2" xfId="42740" xr:uid="{00000000-0005-0000-0000-000010A90000}"/>
    <cellStyle name="Prosent 2 3 5 5 5 4 3 3 3" xfId="45561" xr:uid="{00000000-0005-0000-0000-000011A90000}"/>
    <cellStyle name="Prosent 2 3 5 5 5 4 3_Avviksanalyse løpende RNB15 (1)" xfId="17486" xr:uid="{00000000-0005-0000-0000-000012A90000}"/>
    <cellStyle name="Prosent 2 3 5 5 5 4 4" xfId="14209" xr:uid="{00000000-0005-0000-0000-000013A90000}"/>
    <cellStyle name="Prosent 2 3 5 5 5 5" xfId="14213" xr:uid="{00000000-0005-0000-0000-000014A90000}"/>
    <cellStyle name="Prosent 2 3 5 5 5 5 2" xfId="18913" xr:uid="{00000000-0005-0000-0000-000015A90000}"/>
    <cellStyle name="Prosent 2 3 5 5 5 5 3" xfId="15923" xr:uid="{00000000-0005-0000-0000-000016A90000}"/>
    <cellStyle name="Prosent 2 3 5 5 5 5 3 2" xfId="26982" xr:uid="{00000000-0005-0000-0000-000017A90000}"/>
    <cellStyle name="Prosent 2 3 5 5 5 5 3 2 2" xfId="42479" xr:uid="{00000000-0005-0000-0000-000018A90000}"/>
    <cellStyle name="Prosent 2 3 5 5 5 5 3 3" xfId="45562" xr:uid="{00000000-0005-0000-0000-000019A90000}"/>
    <cellStyle name="Prosent 2 3 5 5 5 5_Avviksanalyse løpende RNB15 (1)" xfId="17487" xr:uid="{00000000-0005-0000-0000-00001AA90000}"/>
    <cellStyle name="Prosent 2 3 5 5 5 6" xfId="14202" xr:uid="{00000000-0005-0000-0000-00001BA90000}"/>
    <cellStyle name="Prosent 2 3 5 5 6" xfId="3077" xr:uid="{00000000-0005-0000-0000-00001CA90000}"/>
    <cellStyle name="Prosent 2 3 5 5 6 2" xfId="3078" xr:uid="{00000000-0005-0000-0000-00001DA90000}"/>
    <cellStyle name="Prosent 2 3 5 5 6 2 2" xfId="14216" xr:uid="{00000000-0005-0000-0000-00001EA90000}"/>
    <cellStyle name="Prosent 2 3 5 5 6 2 2 2" xfId="18914" xr:uid="{00000000-0005-0000-0000-00001FA90000}"/>
    <cellStyle name="Prosent 2 3 5 5 6 2 2 3" xfId="16187" xr:uid="{00000000-0005-0000-0000-000020A90000}"/>
    <cellStyle name="Prosent 2 3 5 5 6 2 2 3 2" xfId="26983" xr:uid="{00000000-0005-0000-0000-000021A90000}"/>
    <cellStyle name="Prosent 2 3 5 5 6 2 2 3 2 2" xfId="42743" xr:uid="{00000000-0005-0000-0000-000022A90000}"/>
    <cellStyle name="Prosent 2 3 5 5 6 2 2 3 3" xfId="45563" xr:uid="{00000000-0005-0000-0000-000023A90000}"/>
    <cellStyle name="Prosent 2 3 5 5 6 2 2_Avviksanalyse løpende RNB15 (1)" xfId="17488" xr:uid="{00000000-0005-0000-0000-000024A90000}"/>
    <cellStyle name="Prosent 2 3 5 5 6 2 3" xfId="14215" xr:uid="{00000000-0005-0000-0000-000025A90000}"/>
    <cellStyle name="Prosent 2 3 5 5 6 3" xfId="14217" xr:uid="{00000000-0005-0000-0000-000026A90000}"/>
    <cellStyle name="Prosent 2 3 5 5 6 3 2" xfId="18915" xr:uid="{00000000-0005-0000-0000-000027A90000}"/>
    <cellStyle name="Prosent 2 3 5 5 6 3 3" xfId="16186" xr:uid="{00000000-0005-0000-0000-000028A90000}"/>
    <cellStyle name="Prosent 2 3 5 5 6 3 3 2" xfId="26984" xr:uid="{00000000-0005-0000-0000-000029A90000}"/>
    <cellStyle name="Prosent 2 3 5 5 6 3 3 2 2" xfId="42742" xr:uid="{00000000-0005-0000-0000-00002AA90000}"/>
    <cellStyle name="Prosent 2 3 5 5 6 3 3 3" xfId="45564" xr:uid="{00000000-0005-0000-0000-00002BA90000}"/>
    <cellStyle name="Prosent 2 3 5 5 6 3_Avviksanalyse løpende RNB15 (1)" xfId="17489" xr:uid="{00000000-0005-0000-0000-00002CA90000}"/>
    <cellStyle name="Prosent 2 3 5 5 6 4" xfId="14214" xr:uid="{00000000-0005-0000-0000-00002DA90000}"/>
    <cellStyle name="Prosent 2 3 5 5 7" xfId="3079" xr:uid="{00000000-0005-0000-0000-00002EA90000}"/>
    <cellStyle name="Prosent 2 3 5 5 7 2" xfId="3080" xr:uid="{00000000-0005-0000-0000-00002FA90000}"/>
    <cellStyle name="Prosent 2 3 5 5 7 2 2" xfId="14220" xr:uid="{00000000-0005-0000-0000-000030A90000}"/>
    <cellStyle name="Prosent 2 3 5 5 7 2 2 2" xfId="18916" xr:uid="{00000000-0005-0000-0000-000031A90000}"/>
    <cellStyle name="Prosent 2 3 5 5 7 2 2 3" xfId="16189" xr:uid="{00000000-0005-0000-0000-000032A90000}"/>
    <cellStyle name="Prosent 2 3 5 5 7 2 2 3 2" xfId="26985" xr:uid="{00000000-0005-0000-0000-000033A90000}"/>
    <cellStyle name="Prosent 2 3 5 5 7 2 2 3 2 2" xfId="42745" xr:uid="{00000000-0005-0000-0000-000034A90000}"/>
    <cellStyle name="Prosent 2 3 5 5 7 2 2 3 3" xfId="45565" xr:uid="{00000000-0005-0000-0000-000035A90000}"/>
    <cellStyle name="Prosent 2 3 5 5 7 2 2_Avviksanalyse løpende RNB15 (1)" xfId="17490" xr:uid="{00000000-0005-0000-0000-000036A90000}"/>
    <cellStyle name="Prosent 2 3 5 5 7 2 3" xfId="14219" xr:uid="{00000000-0005-0000-0000-000037A90000}"/>
    <cellStyle name="Prosent 2 3 5 5 7 3" xfId="14221" xr:uid="{00000000-0005-0000-0000-000038A90000}"/>
    <cellStyle name="Prosent 2 3 5 5 7 3 2" xfId="18917" xr:uid="{00000000-0005-0000-0000-000039A90000}"/>
    <cellStyle name="Prosent 2 3 5 5 7 3 3" xfId="16188" xr:uid="{00000000-0005-0000-0000-00003AA90000}"/>
    <cellStyle name="Prosent 2 3 5 5 7 3 3 2" xfId="26986" xr:uid="{00000000-0005-0000-0000-00003BA90000}"/>
    <cellStyle name="Prosent 2 3 5 5 7 3 3 2 2" xfId="42744" xr:uid="{00000000-0005-0000-0000-00003CA90000}"/>
    <cellStyle name="Prosent 2 3 5 5 7 3 3 3" xfId="45566" xr:uid="{00000000-0005-0000-0000-00003DA90000}"/>
    <cellStyle name="Prosent 2 3 5 5 7 3_Avviksanalyse løpende RNB15 (1)" xfId="17491" xr:uid="{00000000-0005-0000-0000-00003EA90000}"/>
    <cellStyle name="Prosent 2 3 5 5 7 4" xfId="14218" xr:uid="{00000000-0005-0000-0000-00003FA90000}"/>
    <cellStyle name="Prosent 2 3 5 5 8" xfId="14222" xr:uid="{00000000-0005-0000-0000-000040A90000}"/>
    <cellStyle name="Prosent 2 3 5 5 8 2" xfId="18918" xr:uid="{00000000-0005-0000-0000-000041A90000}"/>
    <cellStyle name="Prosent 2 3 5 5 8 3" xfId="15918" xr:uid="{00000000-0005-0000-0000-000042A90000}"/>
    <cellStyle name="Prosent 2 3 5 5 8 3 2" xfId="26987" xr:uid="{00000000-0005-0000-0000-000043A90000}"/>
    <cellStyle name="Prosent 2 3 5 5 8 3 2 2" xfId="42474" xr:uid="{00000000-0005-0000-0000-000044A90000}"/>
    <cellStyle name="Prosent 2 3 5 5 8 3 3" xfId="45567" xr:uid="{00000000-0005-0000-0000-000045A90000}"/>
    <cellStyle name="Prosent 2 3 5 5 8_Avviksanalyse løpende RNB15 (1)" xfId="17492" xr:uid="{00000000-0005-0000-0000-000046A90000}"/>
    <cellStyle name="Prosent 2 3 5 5 9" xfId="14185" xr:uid="{00000000-0005-0000-0000-000047A90000}"/>
    <cellStyle name="Prosent 2 3 5 6" xfId="3081" xr:uid="{00000000-0005-0000-0000-000048A90000}"/>
    <cellStyle name="Prosent 2 3 5 6 2" xfId="3082" xr:uid="{00000000-0005-0000-0000-000049A90000}"/>
    <cellStyle name="Prosent 2 3 5 6 2 2" xfId="3083" xr:uid="{00000000-0005-0000-0000-00004AA90000}"/>
    <cellStyle name="Prosent 2 3 5 6 2 2 2" xfId="14226" xr:uid="{00000000-0005-0000-0000-00004BA90000}"/>
    <cellStyle name="Prosent 2 3 5 6 2 2 2 2" xfId="18919" xr:uid="{00000000-0005-0000-0000-00004CA90000}"/>
    <cellStyle name="Prosent 2 3 5 6 2 2 2 3" xfId="15927" xr:uid="{00000000-0005-0000-0000-00004DA90000}"/>
    <cellStyle name="Prosent 2 3 5 6 2 2 2 3 2" xfId="26988" xr:uid="{00000000-0005-0000-0000-00004EA90000}"/>
    <cellStyle name="Prosent 2 3 5 6 2 2 2 3 2 2" xfId="42483" xr:uid="{00000000-0005-0000-0000-00004FA90000}"/>
    <cellStyle name="Prosent 2 3 5 6 2 2 2 3 3" xfId="45568" xr:uid="{00000000-0005-0000-0000-000050A90000}"/>
    <cellStyle name="Prosent 2 3 5 6 2 2 2_Avviksanalyse løpende RNB15 (1)" xfId="17493" xr:uid="{00000000-0005-0000-0000-000051A90000}"/>
    <cellStyle name="Prosent 2 3 5 6 2 2 3" xfId="14225" xr:uid="{00000000-0005-0000-0000-000052A90000}"/>
    <cellStyle name="Prosent 2 3 5 6 2 3" xfId="3084" xr:uid="{00000000-0005-0000-0000-000053A90000}"/>
    <cellStyle name="Prosent 2 3 5 6 2 3 2" xfId="3085" xr:uid="{00000000-0005-0000-0000-000054A90000}"/>
    <cellStyle name="Prosent 2 3 5 6 2 3 2 2" xfId="14229" xr:uid="{00000000-0005-0000-0000-000055A90000}"/>
    <cellStyle name="Prosent 2 3 5 6 2 3 2 2 2" xfId="18920" xr:uid="{00000000-0005-0000-0000-000056A90000}"/>
    <cellStyle name="Prosent 2 3 5 6 2 3 2 2 3" xfId="16191" xr:uid="{00000000-0005-0000-0000-000057A90000}"/>
    <cellStyle name="Prosent 2 3 5 6 2 3 2 2 3 2" xfId="26989" xr:uid="{00000000-0005-0000-0000-000058A90000}"/>
    <cellStyle name="Prosent 2 3 5 6 2 3 2 2 3 2 2" xfId="42747" xr:uid="{00000000-0005-0000-0000-000059A90000}"/>
    <cellStyle name="Prosent 2 3 5 6 2 3 2 2 3 3" xfId="45569" xr:uid="{00000000-0005-0000-0000-00005AA90000}"/>
    <cellStyle name="Prosent 2 3 5 6 2 3 2 2_Avviksanalyse løpende RNB15 (1)" xfId="17494" xr:uid="{00000000-0005-0000-0000-00005BA90000}"/>
    <cellStyle name="Prosent 2 3 5 6 2 3 2 3" xfId="14228" xr:uid="{00000000-0005-0000-0000-00005CA90000}"/>
    <cellStyle name="Prosent 2 3 5 6 2 3 3" xfId="14230" xr:uid="{00000000-0005-0000-0000-00005DA90000}"/>
    <cellStyle name="Prosent 2 3 5 6 2 3 3 2" xfId="18921" xr:uid="{00000000-0005-0000-0000-00005EA90000}"/>
    <cellStyle name="Prosent 2 3 5 6 2 3 3 3" xfId="16190" xr:uid="{00000000-0005-0000-0000-00005FA90000}"/>
    <cellStyle name="Prosent 2 3 5 6 2 3 3 3 2" xfId="26990" xr:uid="{00000000-0005-0000-0000-000060A90000}"/>
    <cellStyle name="Prosent 2 3 5 6 2 3 3 3 2 2" xfId="42746" xr:uid="{00000000-0005-0000-0000-000061A90000}"/>
    <cellStyle name="Prosent 2 3 5 6 2 3 3 3 3" xfId="45570" xr:uid="{00000000-0005-0000-0000-000062A90000}"/>
    <cellStyle name="Prosent 2 3 5 6 2 3 3_Avviksanalyse løpende RNB15 (1)" xfId="17495" xr:uid="{00000000-0005-0000-0000-000063A90000}"/>
    <cellStyle name="Prosent 2 3 5 6 2 3 4" xfId="14227" xr:uid="{00000000-0005-0000-0000-000064A90000}"/>
    <cellStyle name="Prosent 2 3 5 6 2 4" xfId="3086" xr:uid="{00000000-0005-0000-0000-000065A90000}"/>
    <cellStyle name="Prosent 2 3 5 6 2 4 2" xfId="3087" xr:uid="{00000000-0005-0000-0000-000066A90000}"/>
    <cellStyle name="Prosent 2 3 5 6 2 4 2 2" xfId="14233" xr:uid="{00000000-0005-0000-0000-000067A90000}"/>
    <cellStyle name="Prosent 2 3 5 6 2 4 2 2 2" xfId="18922" xr:uid="{00000000-0005-0000-0000-000068A90000}"/>
    <cellStyle name="Prosent 2 3 5 6 2 4 2 2 3" xfId="16193" xr:uid="{00000000-0005-0000-0000-000069A90000}"/>
    <cellStyle name="Prosent 2 3 5 6 2 4 2 2 3 2" xfId="26991" xr:uid="{00000000-0005-0000-0000-00006AA90000}"/>
    <cellStyle name="Prosent 2 3 5 6 2 4 2 2 3 2 2" xfId="42749" xr:uid="{00000000-0005-0000-0000-00006BA90000}"/>
    <cellStyle name="Prosent 2 3 5 6 2 4 2 2 3 3" xfId="45571" xr:uid="{00000000-0005-0000-0000-00006CA90000}"/>
    <cellStyle name="Prosent 2 3 5 6 2 4 2 2_Avviksanalyse løpende RNB15 (1)" xfId="17496" xr:uid="{00000000-0005-0000-0000-00006DA90000}"/>
    <cellStyle name="Prosent 2 3 5 6 2 4 2 3" xfId="14232" xr:uid="{00000000-0005-0000-0000-00006EA90000}"/>
    <cellStyle name="Prosent 2 3 5 6 2 4 3" xfId="14234" xr:uid="{00000000-0005-0000-0000-00006FA90000}"/>
    <cellStyle name="Prosent 2 3 5 6 2 4 3 2" xfId="18923" xr:uid="{00000000-0005-0000-0000-000070A90000}"/>
    <cellStyle name="Prosent 2 3 5 6 2 4 3 3" xfId="16192" xr:uid="{00000000-0005-0000-0000-000071A90000}"/>
    <cellStyle name="Prosent 2 3 5 6 2 4 3 3 2" xfId="26992" xr:uid="{00000000-0005-0000-0000-000072A90000}"/>
    <cellStyle name="Prosent 2 3 5 6 2 4 3 3 2 2" xfId="42748" xr:uid="{00000000-0005-0000-0000-000073A90000}"/>
    <cellStyle name="Prosent 2 3 5 6 2 4 3 3 3" xfId="45572" xr:uid="{00000000-0005-0000-0000-000074A90000}"/>
    <cellStyle name="Prosent 2 3 5 6 2 4 3_Avviksanalyse løpende RNB15 (1)" xfId="17497" xr:uid="{00000000-0005-0000-0000-000075A90000}"/>
    <cellStyle name="Prosent 2 3 5 6 2 4 4" xfId="14231" xr:uid="{00000000-0005-0000-0000-000076A90000}"/>
    <cellStyle name="Prosent 2 3 5 6 2 5" xfId="14235" xr:uid="{00000000-0005-0000-0000-000077A90000}"/>
    <cellStyle name="Prosent 2 3 5 6 2 5 2" xfId="18924" xr:uid="{00000000-0005-0000-0000-000078A90000}"/>
    <cellStyle name="Prosent 2 3 5 6 2 5 3" xfId="15926" xr:uid="{00000000-0005-0000-0000-000079A90000}"/>
    <cellStyle name="Prosent 2 3 5 6 2 5 3 2" xfId="26993" xr:uid="{00000000-0005-0000-0000-00007AA90000}"/>
    <cellStyle name="Prosent 2 3 5 6 2 5 3 2 2" xfId="42482" xr:uid="{00000000-0005-0000-0000-00007BA90000}"/>
    <cellStyle name="Prosent 2 3 5 6 2 5 3 3" xfId="45573" xr:uid="{00000000-0005-0000-0000-00007CA90000}"/>
    <cellStyle name="Prosent 2 3 5 6 2 5_Avviksanalyse løpende RNB15 (1)" xfId="17498" xr:uid="{00000000-0005-0000-0000-00007DA90000}"/>
    <cellStyle name="Prosent 2 3 5 6 2 6" xfId="14224" xr:uid="{00000000-0005-0000-0000-00007EA90000}"/>
    <cellStyle name="Prosent 2 3 5 6 3" xfId="3088" xr:uid="{00000000-0005-0000-0000-00007FA90000}"/>
    <cellStyle name="Prosent 2 3 5 6 3 2" xfId="14237" xr:uid="{00000000-0005-0000-0000-000080A90000}"/>
    <cellStyle name="Prosent 2 3 5 6 3 2 2" xfId="18925" xr:uid="{00000000-0005-0000-0000-000081A90000}"/>
    <cellStyle name="Prosent 2 3 5 6 3 2 3" xfId="15928" xr:uid="{00000000-0005-0000-0000-000082A90000}"/>
    <cellStyle name="Prosent 2 3 5 6 3 2 3 2" xfId="26994" xr:uid="{00000000-0005-0000-0000-000083A90000}"/>
    <cellStyle name="Prosent 2 3 5 6 3 2 3 2 2" xfId="42484" xr:uid="{00000000-0005-0000-0000-000084A90000}"/>
    <cellStyle name="Prosent 2 3 5 6 3 2 3 3" xfId="45574" xr:uid="{00000000-0005-0000-0000-000085A90000}"/>
    <cellStyle name="Prosent 2 3 5 6 3 2_Avviksanalyse løpende RNB15 (1)" xfId="17499" xr:uid="{00000000-0005-0000-0000-000086A90000}"/>
    <cellStyle name="Prosent 2 3 5 6 3 3" xfId="14236" xr:uid="{00000000-0005-0000-0000-000087A90000}"/>
    <cellStyle name="Prosent 2 3 5 6 4" xfId="3089" xr:uid="{00000000-0005-0000-0000-000088A90000}"/>
    <cellStyle name="Prosent 2 3 5 6 4 2" xfId="3090" xr:uid="{00000000-0005-0000-0000-000089A90000}"/>
    <cellStyle name="Prosent 2 3 5 6 4 2 2" xfId="14240" xr:uid="{00000000-0005-0000-0000-00008AA90000}"/>
    <cellStyle name="Prosent 2 3 5 6 4 2 2 2" xfId="18926" xr:uid="{00000000-0005-0000-0000-00008BA90000}"/>
    <cellStyle name="Prosent 2 3 5 6 4 2 2 3" xfId="16195" xr:uid="{00000000-0005-0000-0000-00008CA90000}"/>
    <cellStyle name="Prosent 2 3 5 6 4 2 2 3 2" xfId="26995" xr:uid="{00000000-0005-0000-0000-00008DA90000}"/>
    <cellStyle name="Prosent 2 3 5 6 4 2 2 3 2 2" xfId="42751" xr:uid="{00000000-0005-0000-0000-00008EA90000}"/>
    <cellStyle name="Prosent 2 3 5 6 4 2 2 3 3" xfId="45575" xr:uid="{00000000-0005-0000-0000-00008FA90000}"/>
    <cellStyle name="Prosent 2 3 5 6 4 2 2_Avviksanalyse løpende RNB15 (1)" xfId="17500" xr:uid="{00000000-0005-0000-0000-000090A90000}"/>
    <cellStyle name="Prosent 2 3 5 6 4 2 3" xfId="14239" xr:uid="{00000000-0005-0000-0000-000091A90000}"/>
    <cellStyle name="Prosent 2 3 5 6 4 3" xfId="14241" xr:uid="{00000000-0005-0000-0000-000092A90000}"/>
    <cellStyle name="Prosent 2 3 5 6 4 3 2" xfId="18927" xr:uid="{00000000-0005-0000-0000-000093A90000}"/>
    <cellStyle name="Prosent 2 3 5 6 4 3 3" xfId="16194" xr:uid="{00000000-0005-0000-0000-000094A90000}"/>
    <cellStyle name="Prosent 2 3 5 6 4 3 3 2" xfId="26996" xr:uid="{00000000-0005-0000-0000-000095A90000}"/>
    <cellStyle name="Prosent 2 3 5 6 4 3 3 2 2" xfId="42750" xr:uid="{00000000-0005-0000-0000-000096A90000}"/>
    <cellStyle name="Prosent 2 3 5 6 4 3 3 3" xfId="45576" xr:uid="{00000000-0005-0000-0000-000097A90000}"/>
    <cellStyle name="Prosent 2 3 5 6 4 3_Avviksanalyse løpende RNB15 (1)" xfId="17501" xr:uid="{00000000-0005-0000-0000-000098A90000}"/>
    <cellStyle name="Prosent 2 3 5 6 4 4" xfId="14238" xr:uid="{00000000-0005-0000-0000-000099A90000}"/>
    <cellStyle name="Prosent 2 3 5 6 5" xfId="3091" xr:uid="{00000000-0005-0000-0000-00009AA90000}"/>
    <cellStyle name="Prosent 2 3 5 6 5 2" xfId="3092" xr:uid="{00000000-0005-0000-0000-00009BA90000}"/>
    <cellStyle name="Prosent 2 3 5 6 5 2 2" xfId="14244" xr:uid="{00000000-0005-0000-0000-00009CA90000}"/>
    <cellStyle name="Prosent 2 3 5 6 5 2 2 2" xfId="18928" xr:uid="{00000000-0005-0000-0000-00009DA90000}"/>
    <cellStyle name="Prosent 2 3 5 6 5 2 2 3" xfId="16197" xr:uid="{00000000-0005-0000-0000-00009EA90000}"/>
    <cellStyle name="Prosent 2 3 5 6 5 2 2 3 2" xfId="26997" xr:uid="{00000000-0005-0000-0000-00009FA90000}"/>
    <cellStyle name="Prosent 2 3 5 6 5 2 2 3 2 2" xfId="42753" xr:uid="{00000000-0005-0000-0000-0000A0A90000}"/>
    <cellStyle name="Prosent 2 3 5 6 5 2 2 3 3" xfId="45577" xr:uid="{00000000-0005-0000-0000-0000A1A90000}"/>
    <cellStyle name="Prosent 2 3 5 6 5 2 2_Avviksanalyse løpende RNB15 (1)" xfId="17502" xr:uid="{00000000-0005-0000-0000-0000A2A90000}"/>
    <cellStyle name="Prosent 2 3 5 6 5 2 3" xfId="14243" xr:uid="{00000000-0005-0000-0000-0000A3A90000}"/>
    <cellStyle name="Prosent 2 3 5 6 5 3" xfId="14245" xr:uid="{00000000-0005-0000-0000-0000A4A90000}"/>
    <cellStyle name="Prosent 2 3 5 6 5 3 2" xfId="18929" xr:uid="{00000000-0005-0000-0000-0000A5A90000}"/>
    <cellStyle name="Prosent 2 3 5 6 5 3 3" xfId="16196" xr:uid="{00000000-0005-0000-0000-0000A6A90000}"/>
    <cellStyle name="Prosent 2 3 5 6 5 3 3 2" xfId="26998" xr:uid="{00000000-0005-0000-0000-0000A7A90000}"/>
    <cellStyle name="Prosent 2 3 5 6 5 3 3 2 2" xfId="42752" xr:uid="{00000000-0005-0000-0000-0000A8A90000}"/>
    <cellStyle name="Prosent 2 3 5 6 5 3 3 3" xfId="45578" xr:uid="{00000000-0005-0000-0000-0000A9A90000}"/>
    <cellStyle name="Prosent 2 3 5 6 5 3_Avviksanalyse løpende RNB15 (1)" xfId="17503" xr:uid="{00000000-0005-0000-0000-0000AAA90000}"/>
    <cellStyle name="Prosent 2 3 5 6 5 4" xfId="14242" xr:uid="{00000000-0005-0000-0000-0000ABA90000}"/>
    <cellStyle name="Prosent 2 3 5 6 6" xfId="14246" xr:uid="{00000000-0005-0000-0000-0000ACA90000}"/>
    <cellStyle name="Prosent 2 3 5 6 6 2" xfId="18930" xr:uid="{00000000-0005-0000-0000-0000ADA90000}"/>
    <cellStyle name="Prosent 2 3 5 6 6 3" xfId="15925" xr:uid="{00000000-0005-0000-0000-0000AEA90000}"/>
    <cellStyle name="Prosent 2 3 5 6 6 3 2" xfId="26999" xr:uid="{00000000-0005-0000-0000-0000AFA90000}"/>
    <cellStyle name="Prosent 2 3 5 6 6 3 2 2" xfId="42481" xr:uid="{00000000-0005-0000-0000-0000B0A90000}"/>
    <cellStyle name="Prosent 2 3 5 6 6 3 3" xfId="45579" xr:uid="{00000000-0005-0000-0000-0000B1A90000}"/>
    <cellStyle name="Prosent 2 3 5 6 6_Avviksanalyse løpende RNB15 (1)" xfId="17504" xr:uid="{00000000-0005-0000-0000-0000B2A90000}"/>
    <cellStyle name="Prosent 2 3 5 6 7" xfId="14223" xr:uid="{00000000-0005-0000-0000-0000B3A90000}"/>
    <cellStyle name="Prosent 2 3 5 7" xfId="3093" xr:uid="{00000000-0005-0000-0000-0000B4A90000}"/>
    <cellStyle name="Prosent 2 3 5 7 2" xfId="3094" xr:uid="{00000000-0005-0000-0000-0000B5A90000}"/>
    <cellStyle name="Prosent 2 3 5 7 2 2" xfId="14249" xr:uid="{00000000-0005-0000-0000-0000B6A90000}"/>
    <cellStyle name="Prosent 2 3 5 7 2 2 2" xfId="18931" xr:uid="{00000000-0005-0000-0000-0000B7A90000}"/>
    <cellStyle name="Prosent 2 3 5 7 2 2 3" xfId="15930" xr:uid="{00000000-0005-0000-0000-0000B8A90000}"/>
    <cellStyle name="Prosent 2 3 5 7 2 2 3 2" xfId="27000" xr:uid="{00000000-0005-0000-0000-0000B9A90000}"/>
    <cellStyle name="Prosent 2 3 5 7 2 2 3 2 2" xfId="42486" xr:uid="{00000000-0005-0000-0000-0000BAA90000}"/>
    <cellStyle name="Prosent 2 3 5 7 2 2 3 3" xfId="45580" xr:uid="{00000000-0005-0000-0000-0000BBA90000}"/>
    <cellStyle name="Prosent 2 3 5 7 2 2_Avviksanalyse løpende RNB15 (1)" xfId="17505" xr:uid="{00000000-0005-0000-0000-0000BCA90000}"/>
    <cellStyle name="Prosent 2 3 5 7 2 3" xfId="14248" xr:uid="{00000000-0005-0000-0000-0000BDA90000}"/>
    <cellStyle name="Prosent 2 3 5 7 3" xfId="3095" xr:uid="{00000000-0005-0000-0000-0000BEA90000}"/>
    <cellStyle name="Prosent 2 3 5 7 3 2" xfId="3096" xr:uid="{00000000-0005-0000-0000-0000BFA90000}"/>
    <cellStyle name="Prosent 2 3 5 7 3 2 2" xfId="14252" xr:uid="{00000000-0005-0000-0000-0000C0A90000}"/>
    <cellStyle name="Prosent 2 3 5 7 3 2 2 2" xfId="18932" xr:uid="{00000000-0005-0000-0000-0000C1A90000}"/>
    <cellStyle name="Prosent 2 3 5 7 3 2 2 3" xfId="16199" xr:uid="{00000000-0005-0000-0000-0000C2A90000}"/>
    <cellStyle name="Prosent 2 3 5 7 3 2 2 3 2" xfId="27001" xr:uid="{00000000-0005-0000-0000-0000C3A90000}"/>
    <cellStyle name="Prosent 2 3 5 7 3 2 2 3 2 2" xfId="42755" xr:uid="{00000000-0005-0000-0000-0000C4A90000}"/>
    <cellStyle name="Prosent 2 3 5 7 3 2 2 3 3" xfId="45581" xr:uid="{00000000-0005-0000-0000-0000C5A90000}"/>
    <cellStyle name="Prosent 2 3 5 7 3 2 2_Avviksanalyse løpende RNB15 (1)" xfId="17506" xr:uid="{00000000-0005-0000-0000-0000C6A90000}"/>
    <cellStyle name="Prosent 2 3 5 7 3 2 3" xfId="14251" xr:uid="{00000000-0005-0000-0000-0000C7A90000}"/>
    <cellStyle name="Prosent 2 3 5 7 3 3" xfId="14253" xr:uid="{00000000-0005-0000-0000-0000C8A90000}"/>
    <cellStyle name="Prosent 2 3 5 7 3 3 2" xfId="18933" xr:uid="{00000000-0005-0000-0000-0000C9A90000}"/>
    <cellStyle name="Prosent 2 3 5 7 3 3 3" xfId="16198" xr:uid="{00000000-0005-0000-0000-0000CAA90000}"/>
    <cellStyle name="Prosent 2 3 5 7 3 3 3 2" xfId="27002" xr:uid="{00000000-0005-0000-0000-0000CBA90000}"/>
    <cellStyle name="Prosent 2 3 5 7 3 3 3 2 2" xfId="42754" xr:uid="{00000000-0005-0000-0000-0000CCA90000}"/>
    <cellStyle name="Prosent 2 3 5 7 3 3 3 3" xfId="45582" xr:uid="{00000000-0005-0000-0000-0000CDA90000}"/>
    <cellStyle name="Prosent 2 3 5 7 3 3_Avviksanalyse løpende RNB15 (1)" xfId="17507" xr:uid="{00000000-0005-0000-0000-0000CEA90000}"/>
    <cellStyle name="Prosent 2 3 5 7 3 4" xfId="14250" xr:uid="{00000000-0005-0000-0000-0000CFA90000}"/>
    <cellStyle name="Prosent 2 3 5 7 4" xfId="3097" xr:uid="{00000000-0005-0000-0000-0000D0A90000}"/>
    <cellStyle name="Prosent 2 3 5 7 4 2" xfId="3098" xr:uid="{00000000-0005-0000-0000-0000D1A90000}"/>
    <cellStyle name="Prosent 2 3 5 7 4 2 2" xfId="14256" xr:uid="{00000000-0005-0000-0000-0000D2A90000}"/>
    <cellStyle name="Prosent 2 3 5 7 4 2 2 2" xfId="18934" xr:uid="{00000000-0005-0000-0000-0000D3A90000}"/>
    <cellStyle name="Prosent 2 3 5 7 4 2 2 3" xfId="16201" xr:uid="{00000000-0005-0000-0000-0000D4A90000}"/>
    <cellStyle name="Prosent 2 3 5 7 4 2 2 3 2" xfId="27003" xr:uid="{00000000-0005-0000-0000-0000D5A90000}"/>
    <cellStyle name="Prosent 2 3 5 7 4 2 2 3 2 2" xfId="42757" xr:uid="{00000000-0005-0000-0000-0000D6A90000}"/>
    <cellStyle name="Prosent 2 3 5 7 4 2 2 3 3" xfId="45583" xr:uid="{00000000-0005-0000-0000-0000D7A90000}"/>
    <cellStyle name="Prosent 2 3 5 7 4 2 2_Avviksanalyse løpende RNB15 (1)" xfId="17508" xr:uid="{00000000-0005-0000-0000-0000D8A90000}"/>
    <cellStyle name="Prosent 2 3 5 7 4 2 3" xfId="14255" xr:uid="{00000000-0005-0000-0000-0000D9A90000}"/>
    <cellStyle name="Prosent 2 3 5 7 4 3" xfId="14257" xr:uid="{00000000-0005-0000-0000-0000DAA90000}"/>
    <cellStyle name="Prosent 2 3 5 7 4 3 2" xfId="18935" xr:uid="{00000000-0005-0000-0000-0000DBA90000}"/>
    <cellStyle name="Prosent 2 3 5 7 4 3 3" xfId="16200" xr:uid="{00000000-0005-0000-0000-0000DCA90000}"/>
    <cellStyle name="Prosent 2 3 5 7 4 3 3 2" xfId="27004" xr:uid="{00000000-0005-0000-0000-0000DDA90000}"/>
    <cellStyle name="Prosent 2 3 5 7 4 3 3 2 2" xfId="42756" xr:uid="{00000000-0005-0000-0000-0000DEA90000}"/>
    <cellStyle name="Prosent 2 3 5 7 4 3 3 3" xfId="45584" xr:uid="{00000000-0005-0000-0000-0000DFA90000}"/>
    <cellStyle name="Prosent 2 3 5 7 4 3_Avviksanalyse løpende RNB15 (1)" xfId="17509" xr:uid="{00000000-0005-0000-0000-0000E0A90000}"/>
    <cellStyle name="Prosent 2 3 5 7 4 4" xfId="14254" xr:uid="{00000000-0005-0000-0000-0000E1A90000}"/>
    <cellStyle name="Prosent 2 3 5 7 5" xfId="14258" xr:uid="{00000000-0005-0000-0000-0000E2A90000}"/>
    <cellStyle name="Prosent 2 3 5 7 5 2" xfId="18936" xr:uid="{00000000-0005-0000-0000-0000E3A90000}"/>
    <cellStyle name="Prosent 2 3 5 7 5 3" xfId="15929" xr:uid="{00000000-0005-0000-0000-0000E4A90000}"/>
    <cellStyle name="Prosent 2 3 5 7 5 3 2" xfId="27005" xr:uid="{00000000-0005-0000-0000-0000E5A90000}"/>
    <cellStyle name="Prosent 2 3 5 7 5 3 2 2" xfId="42485" xr:uid="{00000000-0005-0000-0000-0000E6A90000}"/>
    <cellStyle name="Prosent 2 3 5 7 5 3 3" xfId="45585" xr:uid="{00000000-0005-0000-0000-0000E7A90000}"/>
    <cellStyle name="Prosent 2 3 5 7 5_Avviksanalyse løpende RNB15 (1)" xfId="17510" xr:uid="{00000000-0005-0000-0000-0000E8A90000}"/>
    <cellStyle name="Prosent 2 3 5 7 6" xfId="14247" xr:uid="{00000000-0005-0000-0000-0000E9A90000}"/>
    <cellStyle name="Prosent 2 3 5 8" xfId="3099" xr:uid="{00000000-0005-0000-0000-0000EAA90000}"/>
    <cellStyle name="Prosent 2 3 5 8 2" xfId="3100" xr:uid="{00000000-0005-0000-0000-0000EBA90000}"/>
    <cellStyle name="Prosent 2 3 5 8 2 2" xfId="14261" xr:uid="{00000000-0005-0000-0000-0000ECA90000}"/>
    <cellStyle name="Prosent 2 3 5 8 2 2 2" xfId="18937" xr:uid="{00000000-0005-0000-0000-0000EDA90000}"/>
    <cellStyle name="Prosent 2 3 5 8 2 2 3" xfId="16203" xr:uid="{00000000-0005-0000-0000-0000EEA90000}"/>
    <cellStyle name="Prosent 2 3 5 8 2 2 3 2" xfId="27006" xr:uid="{00000000-0005-0000-0000-0000EFA90000}"/>
    <cellStyle name="Prosent 2 3 5 8 2 2 3 2 2" xfId="42759" xr:uid="{00000000-0005-0000-0000-0000F0A90000}"/>
    <cellStyle name="Prosent 2 3 5 8 2 2 3 3" xfId="45586" xr:uid="{00000000-0005-0000-0000-0000F1A90000}"/>
    <cellStyle name="Prosent 2 3 5 8 2 2_Avviksanalyse løpende RNB15 (1)" xfId="17511" xr:uid="{00000000-0005-0000-0000-0000F2A90000}"/>
    <cellStyle name="Prosent 2 3 5 8 2 3" xfId="14260" xr:uid="{00000000-0005-0000-0000-0000F3A90000}"/>
    <cellStyle name="Prosent 2 3 5 8 3" xfId="14262" xr:uid="{00000000-0005-0000-0000-0000F4A90000}"/>
    <cellStyle name="Prosent 2 3 5 8 3 2" xfId="18938" xr:uid="{00000000-0005-0000-0000-0000F5A90000}"/>
    <cellStyle name="Prosent 2 3 5 8 3 3" xfId="16202" xr:uid="{00000000-0005-0000-0000-0000F6A90000}"/>
    <cellStyle name="Prosent 2 3 5 8 3 3 2" xfId="27007" xr:uid="{00000000-0005-0000-0000-0000F7A90000}"/>
    <cellStyle name="Prosent 2 3 5 8 3 3 2 2" xfId="42758" xr:uid="{00000000-0005-0000-0000-0000F8A90000}"/>
    <cellStyle name="Prosent 2 3 5 8 3 3 3" xfId="45587" xr:uid="{00000000-0005-0000-0000-0000F9A90000}"/>
    <cellStyle name="Prosent 2 3 5 8 3_Avviksanalyse løpende RNB15 (1)" xfId="17512" xr:uid="{00000000-0005-0000-0000-0000FAA90000}"/>
    <cellStyle name="Prosent 2 3 5 8 4" xfId="14259" xr:uid="{00000000-0005-0000-0000-0000FBA90000}"/>
    <cellStyle name="Prosent 2 3 5 9" xfId="3101" xr:uid="{00000000-0005-0000-0000-0000FCA90000}"/>
    <cellStyle name="Prosent 2 3 5 9 2" xfId="3102" xr:uid="{00000000-0005-0000-0000-0000FDA90000}"/>
    <cellStyle name="Prosent 2 3 5 9 2 2" xfId="14265" xr:uid="{00000000-0005-0000-0000-0000FEA90000}"/>
    <cellStyle name="Prosent 2 3 5 9 2 2 2" xfId="18939" xr:uid="{00000000-0005-0000-0000-0000FFA90000}"/>
    <cellStyle name="Prosent 2 3 5 9 2 2 3" xfId="16205" xr:uid="{00000000-0005-0000-0000-000000AA0000}"/>
    <cellStyle name="Prosent 2 3 5 9 2 2 3 2" xfId="27008" xr:uid="{00000000-0005-0000-0000-000001AA0000}"/>
    <cellStyle name="Prosent 2 3 5 9 2 2 3 2 2" xfId="42761" xr:uid="{00000000-0005-0000-0000-000002AA0000}"/>
    <cellStyle name="Prosent 2 3 5 9 2 2 3 3" xfId="45588" xr:uid="{00000000-0005-0000-0000-000003AA0000}"/>
    <cellStyle name="Prosent 2 3 5 9 2 2_Avviksanalyse løpende RNB15 (1)" xfId="17513" xr:uid="{00000000-0005-0000-0000-000004AA0000}"/>
    <cellStyle name="Prosent 2 3 5 9 2 3" xfId="14264" xr:uid="{00000000-0005-0000-0000-000005AA0000}"/>
    <cellStyle name="Prosent 2 3 5 9 3" xfId="14266" xr:uid="{00000000-0005-0000-0000-000006AA0000}"/>
    <cellStyle name="Prosent 2 3 5 9 3 2" xfId="18940" xr:uid="{00000000-0005-0000-0000-000007AA0000}"/>
    <cellStyle name="Prosent 2 3 5 9 3 3" xfId="16204" xr:uid="{00000000-0005-0000-0000-000008AA0000}"/>
    <cellStyle name="Prosent 2 3 5 9 3 3 2" xfId="27009" xr:uid="{00000000-0005-0000-0000-000009AA0000}"/>
    <cellStyle name="Prosent 2 3 5 9 3 3 2 2" xfId="42760" xr:uid="{00000000-0005-0000-0000-00000AAA0000}"/>
    <cellStyle name="Prosent 2 3 5 9 3 3 3" xfId="45589" xr:uid="{00000000-0005-0000-0000-00000BAA0000}"/>
    <cellStyle name="Prosent 2 3 5 9 3_Avviksanalyse løpende RNB15 (1)" xfId="17514" xr:uid="{00000000-0005-0000-0000-00000CAA0000}"/>
    <cellStyle name="Prosent 2 3 5 9 4" xfId="14263" xr:uid="{00000000-0005-0000-0000-00000DAA0000}"/>
    <cellStyle name="Prosent 2 3 6" xfId="3103" xr:uid="{00000000-0005-0000-0000-00000EAA0000}"/>
    <cellStyle name="Prosent 2 3 6 2" xfId="3104" xr:uid="{00000000-0005-0000-0000-00000FAA0000}"/>
    <cellStyle name="Prosent 2 3 6 2 2" xfId="14269" xr:uid="{00000000-0005-0000-0000-000010AA0000}"/>
    <cellStyle name="Prosent 2 3 6 2 2 2" xfId="18941" xr:uid="{00000000-0005-0000-0000-000011AA0000}"/>
    <cellStyle name="Prosent 2 3 6 2 2 3" xfId="15932" xr:uid="{00000000-0005-0000-0000-000012AA0000}"/>
    <cellStyle name="Prosent 2 3 6 2 2 3 2" xfId="27010" xr:uid="{00000000-0005-0000-0000-000013AA0000}"/>
    <cellStyle name="Prosent 2 3 6 2 2 3 2 2" xfId="42488" xr:uid="{00000000-0005-0000-0000-000014AA0000}"/>
    <cellStyle name="Prosent 2 3 6 2 2 3 3" xfId="45590" xr:uid="{00000000-0005-0000-0000-000015AA0000}"/>
    <cellStyle name="Prosent 2 3 6 2 2_Avviksanalyse løpende RNB15 (1)" xfId="17515" xr:uid="{00000000-0005-0000-0000-000016AA0000}"/>
    <cellStyle name="Prosent 2 3 6 2 3" xfId="14268" xr:uid="{00000000-0005-0000-0000-000017AA0000}"/>
    <cellStyle name="Prosent 2 3 6 3" xfId="3105" xr:uid="{00000000-0005-0000-0000-000018AA0000}"/>
    <cellStyle name="Prosent 2 3 6 3 2" xfId="14271" xr:uid="{00000000-0005-0000-0000-000019AA0000}"/>
    <cellStyle name="Prosent 2 3 6 3 2 2" xfId="18942" xr:uid="{00000000-0005-0000-0000-00001AAA0000}"/>
    <cellStyle name="Prosent 2 3 6 3 2 3" xfId="15933" xr:uid="{00000000-0005-0000-0000-00001BAA0000}"/>
    <cellStyle name="Prosent 2 3 6 3 2 3 2" xfId="27011" xr:uid="{00000000-0005-0000-0000-00001CAA0000}"/>
    <cellStyle name="Prosent 2 3 6 3 2 3 2 2" xfId="42489" xr:uid="{00000000-0005-0000-0000-00001DAA0000}"/>
    <cellStyle name="Prosent 2 3 6 3 2 3 3" xfId="45591" xr:uid="{00000000-0005-0000-0000-00001EAA0000}"/>
    <cellStyle name="Prosent 2 3 6 3 2_Avviksanalyse løpende RNB15 (1)" xfId="17516" xr:uid="{00000000-0005-0000-0000-00001FAA0000}"/>
    <cellStyle name="Prosent 2 3 6 3 3" xfId="14270" xr:uid="{00000000-0005-0000-0000-000020AA0000}"/>
    <cellStyle name="Prosent 2 3 6 4" xfId="3106" xr:uid="{00000000-0005-0000-0000-000021AA0000}"/>
    <cellStyle name="Prosent 2 3 6 4 2" xfId="3107" xr:uid="{00000000-0005-0000-0000-000022AA0000}"/>
    <cellStyle name="Prosent 2 3 6 4 2 2" xfId="3108" xr:uid="{00000000-0005-0000-0000-000023AA0000}"/>
    <cellStyle name="Prosent 2 3 6 4 2 2 2" xfId="14275" xr:uid="{00000000-0005-0000-0000-000024AA0000}"/>
    <cellStyle name="Prosent 2 3 6 4 2 2 2 2" xfId="18943" xr:uid="{00000000-0005-0000-0000-000025AA0000}"/>
    <cellStyle name="Prosent 2 3 6 4 2 2 2 3" xfId="15936" xr:uid="{00000000-0005-0000-0000-000026AA0000}"/>
    <cellStyle name="Prosent 2 3 6 4 2 2 2 3 2" xfId="27012" xr:uid="{00000000-0005-0000-0000-000027AA0000}"/>
    <cellStyle name="Prosent 2 3 6 4 2 2 2 3 2 2" xfId="42492" xr:uid="{00000000-0005-0000-0000-000028AA0000}"/>
    <cellStyle name="Prosent 2 3 6 4 2 2 2 3 3" xfId="45592" xr:uid="{00000000-0005-0000-0000-000029AA0000}"/>
    <cellStyle name="Prosent 2 3 6 4 2 2 2_Avviksanalyse løpende RNB15 (1)" xfId="17517" xr:uid="{00000000-0005-0000-0000-00002AAA0000}"/>
    <cellStyle name="Prosent 2 3 6 4 2 2 3" xfId="14274" xr:uid="{00000000-0005-0000-0000-00002BAA0000}"/>
    <cellStyle name="Prosent 2 3 6 4 2 3" xfId="3109" xr:uid="{00000000-0005-0000-0000-00002CAA0000}"/>
    <cellStyle name="Prosent 2 3 6 4 2 3 2" xfId="3110" xr:uid="{00000000-0005-0000-0000-00002DAA0000}"/>
    <cellStyle name="Prosent 2 3 6 4 2 3 2 2" xfId="14278" xr:uid="{00000000-0005-0000-0000-00002EAA0000}"/>
    <cellStyle name="Prosent 2 3 6 4 2 3 2 2 2" xfId="18944" xr:uid="{00000000-0005-0000-0000-00002FAA0000}"/>
    <cellStyle name="Prosent 2 3 6 4 2 3 2 2 3" xfId="16207" xr:uid="{00000000-0005-0000-0000-000030AA0000}"/>
    <cellStyle name="Prosent 2 3 6 4 2 3 2 2 3 2" xfId="27013" xr:uid="{00000000-0005-0000-0000-000031AA0000}"/>
    <cellStyle name="Prosent 2 3 6 4 2 3 2 2 3 2 2" xfId="42763" xr:uid="{00000000-0005-0000-0000-000032AA0000}"/>
    <cellStyle name="Prosent 2 3 6 4 2 3 2 2 3 3" xfId="45593" xr:uid="{00000000-0005-0000-0000-000033AA0000}"/>
    <cellStyle name="Prosent 2 3 6 4 2 3 2 2_Avviksanalyse løpende RNB15 (1)" xfId="17518" xr:uid="{00000000-0005-0000-0000-000034AA0000}"/>
    <cellStyle name="Prosent 2 3 6 4 2 3 2 3" xfId="14277" xr:uid="{00000000-0005-0000-0000-000035AA0000}"/>
    <cellStyle name="Prosent 2 3 6 4 2 3 3" xfId="14279" xr:uid="{00000000-0005-0000-0000-000036AA0000}"/>
    <cellStyle name="Prosent 2 3 6 4 2 3 3 2" xfId="18945" xr:uid="{00000000-0005-0000-0000-000037AA0000}"/>
    <cellStyle name="Prosent 2 3 6 4 2 3 3 3" xfId="16206" xr:uid="{00000000-0005-0000-0000-000038AA0000}"/>
    <cellStyle name="Prosent 2 3 6 4 2 3 3 3 2" xfId="27014" xr:uid="{00000000-0005-0000-0000-000039AA0000}"/>
    <cellStyle name="Prosent 2 3 6 4 2 3 3 3 2 2" xfId="42762" xr:uid="{00000000-0005-0000-0000-00003AAA0000}"/>
    <cellStyle name="Prosent 2 3 6 4 2 3 3 3 3" xfId="45594" xr:uid="{00000000-0005-0000-0000-00003BAA0000}"/>
    <cellStyle name="Prosent 2 3 6 4 2 3 3_Avviksanalyse løpende RNB15 (1)" xfId="17519" xr:uid="{00000000-0005-0000-0000-00003CAA0000}"/>
    <cellStyle name="Prosent 2 3 6 4 2 3 4" xfId="14276" xr:uid="{00000000-0005-0000-0000-00003DAA0000}"/>
    <cellStyle name="Prosent 2 3 6 4 2 4" xfId="3111" xr:uid="{00000000-0005-0000-0000-00003EAA0000}"/>
    <cellStyle name="Prosent 2 3 6 4 2 4 2" xfId="3112" xr:uid="{00000000-0005-0000-0000-00003FAA0000}"/>
    <cellStyle name="Prosent 2 3 6 4 2 4 2 2" xfId="14282" xr:uid="{00000000-0005-0000-0000-000040AA0000}"/>
    <cellStyle name="Prosent 2 3 6 4 2 4 2 2 2" xfId="18946" xr:uid="{00000000-0005-0000-0000-000041AA0000}"/>
    <cellStyle name="Prosent 2 3 6 4 2 4 2 2 3" xfId="16209" xr:uid="{00000000-0005-0000-0000-000042AA0000}"/>
    <cellStyle name="Prosent 2 3 6 4 2 4 2 2 3 2" xfId="27015" xr:uid="{00000000-0005-0000-0000-000043AA0000}"/>
    <cellStyle name="Prosent 2 3 6 4 2 4 2 2 3 2 2" xfId="42765" xr:uid="{00000000-0005-0000-0000-000044AA0000}"/>
    <cellStyle name="Prosent 2 3 6 4 2 4 2 2 3 3" xfId="45595" xr:uid="{00000000-0005-0000-0000-000045AA0000}"/>
    <cellStyle name="Prosent 2 3 6 4 2 4 2 2_Avviksanalyse løpende RNB15 (1)" xfId="17520" xr:uid="{00000000-0005-0000-0000-000046AA0000}"/>
    <cellStyle name="Prosent 2 3 6 4 2 4 2 3" xfId="14281" xr:uid="{00000000-0005-0000-0000-000047AA0000}"/>
    <cellStyle name="Prosent 2 3 6 4 2 4 3" xfId="14283" xr:uid="{00000000-0005-0000-0000-000048AA0000}"/>
    <cellStyle name="Prosent 2 3 6 4 2 4 3 2" xfId="18947" xr:uid="{00000000-0005-0000-0000-000049AA0000}"/>
    <cellStyle name="Prosent 2 3 6 4 2 4 3 3" xfId="16208" xr:uid="{00000000-0005-0000-0000-00004AAA0000}"/>
    <cellStyle name="Prosent 2 3 6 4 2 4 3 3 2" xfId="27016" xr:uid="{00000000-0005-0000-0000-00004BAA0000}"/>
    <cellStyle name="Prosent 2 3 6 4 2 4 3 3 2 2" xfId="42764" xr:uid="{00000000-0005-0000-0000-00004CAA0000}"/>
    <cellStyle name="Prosent 2 3 6 4 2 4 3 3 3" xfId="45597" xr:uid="{00000000-0005-0000-0000-00004DAA0000}"/>
    <cellStyle name="Prosent 2 3 6 4 2 4 3_Avviksanalyse løpende RNB15 (1)" xfId="17521" xr:uid="{00000000-0005-0000-0000-00004EAA0000}"/>
    <cellStyle name="Prosent 2 3 6 4 2 4 4" xfId="14280" xr:uid="{00000000-0005-0000-0000-00004FAA0000}"/>
    <cellStyle name="Prosent 2 3 6 4 2 5" xfId="14284" xr:uid="{00000000-0005-0000-0000-000050AA0000}"/>
    <cellStyle name="Prosent 2 3 6 4 2 5 2" xfId="18948" xr:uid="{00000000-0005-0000-0000-000051AA0000}"/>
    <cellStyle name="Prosent 2 3 6 4 2 5 3" xfId="15935" xr:uid="{00000000-0005-0000-0000-000052AA0000}"/>
    <cellStyle name="Prosent 2 3 6 4 2 5 3 2" xfId="27017" xr:uid="{00000000-0005-0000-0000-000053AA0000}"/>
    <cellStyle name="Prosent 2 3 6 4 2 5 3 2 2" xfId="42491" xr:uid="{00000000-0005-0000-0000-000054AA0000}"/>
    <cellStyle name="Prosent 2 3 6 4 2 5 3 3" xfId="45598" xr:uid="{00000000-0005-0000-0000-000055AA0000}"/>
    <cellStyle name="Prosent 2 3 6 4 2 5_Avviksanalyse løpende RNB15 (1)" xfId="17522" xr:uid="{00000000-0005-0000-0000-000056AA0000}"/>
    <cellStyle name="Prosent 2 3 6 4 2 6" xfId="14273" xr:uid="{00000000-0005-0000-0000-000057AA0000}"/>
    <cellStyle name="Prosent 2 3 6 4 3" xfId="3113" xr:uid="{00000000-0005-0000-0000-000058AA0000}"/>
    <cellStyle name="Prosent 2 3 6 4 3 2" xfId="14286" xr:uid="{00000000-0005-0000-0000-000059AA0000}"/>
    <cellStyle name="Prosent 2 3 6 4 3 2 2" xfId="18949" xr:uid="{00000000-0005-0000-0000-00005AAA0000}"/>
    <cellStyle name="Prosent 2 3 6 4 3 2 3" xfId="15937" xr:uid="{00000000-0005-0000-0000-00005BAA0000}"/>
    <cellStyle name="Prosent 2 3 6 4 3 2 3 2" xfId="27018" xr:uid="{00000000-0005-0000-0000-00005CAA0000}"/>
    <cellStyle name="Prosent 2 3 6 4 3 2 3 2 2" xfId="42493" xr:uid="{00000000-0005-0000-0000-00005DAA0000}"/>
    <cellStyle name="Prosent 2 3 6 4 3 2 3 3" xfId="45599" xr:uid="{00000000-0005-0000-0000-00005EAA0000}"/>
    <cellStyle name="Prosent 2 3 6 4 3 2_Avviksanalyse løpende RNB15 (1)" xfId="17523" xr:uid="{00000000-0005-0000-0000-00005FAA0000}"/>
    <cellStyle name="Prosent 2 3 6 4 3 3" xfId="14285" xr:uid="{00000000-0005-0000-0000-000060AA0000}"/>
    <cellStyle name="Prosent 2 3 6 4 4" xfId="3114" xr:uid="{00000000-0005-0000-0000-000061AA0000}"/>
    <cellStyle name="Prosent 2 3 6 4 4 2" xfId="3115" xr:uid="{00000000-0005-0000-0000-000062AA0000}"/>
    <cellStyle name="Prosent 2 3 6 4 4 2 2" xfId="14289" xr:uid="{00000000-0005-0000-0000-000063AA0000}"/>
    <cellStyle name="Prosent 2 3 6 4 4 2 2 2" xfId="18950" xr:uid="{00000000-0005-0000-0000-000064AA0000}"/>
    <cellStyle name="Prosent 2 3 6 4 4 2 2 3" xfId="16211" xr:uid="{00000000-0005-0000-0000-000065AA0000}"/>
    <cellStyle name="Prosent 2 3 6 4 4 2 2 3 2" xfId="27019" xr:uid="{00000000-0005-0000-0000-000066AA0000}"/>
    <cellStyle name="Prosent 2 3 6 4 4 2 2 3 2 2" xfId="42767" xr:uid="{00000000-0005-0000-0000-000067AA0000}"/>
    <cellStyle name="Prosent 2 3 6 4 4 2 2 3 3" xfId="45600" xr:uid="{00000000-0005-0000-0000-000068AA0000}"/>
    <cellStyle name="Prosent 2 3 6 4 4 2 2_Avviksanalyse løpende RNB15 (1)" xfId="17524" xr:uid="{00000000-0005-0000-0000-000069AA0000}"/>
    <cellStyle name="Prosent 2 3 6 4 4 2 3" xfId="14288" xr:uid="{00000000-0005-0000-0000-00006AAA0000}"/>
    <cellStyle name="Prosent 2 3 6 4 4 3" xfId="14290" xr:uid="{00000000-0005-0000-0000-00006BAA0000}"/>
    <cellStyle name="Prosent 2 3 6 4 4 3 2" xfId="18951" xr:uid="{00000000-0005-0000-0000-00006CAA0000}"/>
    <cellStyle name="Prosent 2 3 6 4 4 3 3" xfId="16210" xr:uid="{00000000-0005-0000-0000-00006DAA0000}"/>
    <cellStyle name="Prosent 2 3 6 4 4 3 3 2" xfId="27020" xr:uid="{00000000-0005-0000-0000-00006EAA0000}"/>
    <cellStyle name="Prosent 2 3 6 4 4 3 3 2 2" xfId="42766" xr:uid="{00000000-0005-0000-0000-00006FAA0000}"/>
    <cellStyle name="Prosent 2 3 6 4 4 3 3 3" xfId="45601" xr:uid="{00000000-0005-0000-0000-000070AA0000}"/>
    <cellStyle name="Prosent 2 3 6 4 4 3_Avviksanalyse løpende RNB15 (1)" xfId="17525" xr:uid="{00000000-0005-0000-0000-000071AA0000}"/>
    <cellStyle name="Prosent 2 3 6 4 4 4" xfId="14287" xr:uid="{00000000-0005-0000-0000-000072AA0000}"/>
    <cellStyle name="Prosent 2 3 6 4 5" xfId="3116" xr:uid="{00000000-0005-0000-0000-000073AA0000}"/>
    <cellStyle name="Prosent 2 3 6 4 5 2" xfId="3117" xr:uid="{00000000-0005-0000-0000-000074AA0000}"/>
    <cellStyle name="Prosent 2 3 6 4 5 2 2" xfId="14293" xr:uid="{00000000-0005-0000-0000-000075AA0000}"/>
    <cellStyle name="Prosent 2 3 6 4 5 2 2 2" xfId="18952" xr:uid="{00000000-0005-0000-0000-000076AA0000}"/>
    <cellStyle name="Prosent 2 3 6 4 5 2 2 3" xfId="16213" xr:uid="{00000000-0005-0000-0000-000077AA0000}"/>
    <cellStyle name="Prosent 2 3 6 4 5 2 2 3 2" xfId="27021" xr:uid="{00000000-0005-0000-0000-000078AA0000}"/>
    <cellStyle name="Prosent 2 3 6 4 5 2 2 3 2 2" xfId="42769" xr:uid="{00000000-0005-0000-0000-000079AA0000}"/>
    <cellStyle name="Prosent 2 3 6 4 5 2 2 3 3" xfId="45602" xr:uid="{00000000-0005-0000-0000-00007AAA0000}"/>
    <cellStyle name="Prosent 2 3 6 4 5 2 2_Avviksanalyse løpende RNB15 (1)" xfId="17526" xr:uid="{00000000-0005-0000-0000-00007BAA0000}"/>
    <cellStyle name="Prosent 2 3 6 4 5 2 3" xfId="14292" xr:uid="{00000000-0005-0000-0000-00007CAA0000}"/>
    <cellStyle name="Prosent 2 3 6 4 5 3" xfId="14294" xr:uid="{00000000-0005-0000-0000-00007DAA0000}"/>
    <cellStyle name="Prosent 2 3 6 4 5 3 2" xfId="18953" xr:uid="{00000000-0005-0000-0000-00007EAA0000}"/>
    <cellStyle name="Prosent 2 3 6 4 5 3 3" xfId="16212" xr:uid="{00000000-0005-0000-0000-00007FAA0000}"/>
    <cellStyle name="Prosent 2 3 6 4 5 3 3 2" xfId="27022" xr:uid="{00000000-0005-0000-0000-000080AA0000}"/>
    <cellStyle name="Prosent 2 3 6 4 5 3 3 2 2" xfId="42768" xr:uid="{00000000-0005-0000-0000-000081AA0000}"/>
    <cellStyle name="Prosent 2 3 6 4 5 3 3 3" xfId="45603" xr:uid="{00000000-0005-0000-0000-000082AA0000}"/>
    <cellStyle name="Prosent 2 3 6 4 5 3_Avviksanalyse løpende RNB15 (1)" xfId="17527" xr:uid="{00000000-0005-0000-0000-000083AA0000}"/>
    <cellStyle name="Prosent 2 3 6 4 5 4" xfId="14291" xr:uid="{00000000-0005-0000-0000-000084AA0000}"/>
    <cellStyle name="Prosent 2 3 6 4 6" xfId="14295" xr:uid="{00000000-0005-0000-0000-000085AA0000}"/>
    <cellStyle name="Prosent 2 3 6 4 6 2" xfId="18954" xr:uid="{00000000-0005-0000-0000-000086AA0000}"/>
    <cellStyle name="Prosent 2 3 6 4 6 3" xfId="15934" xr:uid="{00000000-0005-0000-0000-000087AA0000}"/>
    <cellStyle name="Prosent 2 3 6 4 6 3 2" xfId="27023" xr:uid="{00000000-0005-0000-0000-000088AA0000}"/>
    <cellStyle name="Prosent 2 3 6 4 6 3 2 2" xfId="42490" xr:uid="{00000000-0005-0000-0000-000089AA0000}"/>
    <cellStyle name="Prosent 2 3 6 4 6 3 3" xfId="45604" xr:uid="{00000000-0005-0000-0000-00008AAA0000}"/>
    <cellStyle name="Prosent 2 3 6 4 6_Avviksanalyse løpende RNB15 (1)" xfId="17528" xr:uid="{00000000-0005-0000-0000-00008BAA0000}"/>
    <cellStyle name="Prosent 2 3 6 4 7" xfId="14272" xr:uid="{00000000-0005-0000-0000-00008CAA0000}"/>
    <cellStyle name="Prosent 2 3 6 5" xfId="14296" xr:uid="{00000000-0005-0000-0000-00008DAA0000}"/>
    <cellStyle name="Prosent 2 3 6 5 2" xfId="18955" xr:uid="{00000000-0005-0000-0000-00008EAA0000}"/>
    <cellStyle name="Prosent 2 3 6 5 3" xfId="15931" xr:uid="{00000000-0005-0000-0000-00008FAA0000}"/>
    <cellStyle name="Prosent 2 3 6 5 3 2" xfId="27024" xr:uid="{00000000-0005-0000-0000-000090AA0000}"/>
    <cellStyle name="Prosent 2 3 6 5 3 2 2" xfId="42487" xr:uid="{00000000-0005-0000-0000-000091AA0000}"/>
    <cellStyle name="Prosent 2 3 6 5 3 3" xfId="45605" xr:uid="{00000000-0005-0000-0000-000092AA0000}"/>
    <cellStyle name="Prosent 2 3 6 5_Avviksanalyse løpende RNB15 (1)" xfId="17529" xr:uid="{00000000-0005-0000-0000-000093AA0000}"/>
    <cellStyle name="Prosent 2 3 6 6" xfId="14267" xr:uid="{00000000-0005-0000-0000-000094AA0000}"/>
    <cellStyle name="Prosent 2 3 7" xfId="3118" xr:uid="{00000000-0005-0000-0000-000095AA0000}"/>
    <cellStyle name="Prosent 2 3 7 2" xfId="3119" xr:uid="{00000000-0005-0000-0000-000096AA0000}"/>
    <cellStyle name="Prosent 2 3 7 2 2" xfId="3120" xr:uid="{00000000-0005-0000-0000-000097AA0000}"/>
    <cellStyle name="Prosent 2 3 7 2 2 2" xfId="14300" xr:uid="{00000000-0005-0000-0000-000098AA0000}"/>
    <cellStyle name="Prosent 2 3 7 2 2 2 2" xfId="18956" xr:uid="{00000000-0005-0000-0000-000099AA0000}"/>
    <cellStyle name="Prosent 2 3 7 2 2 2 3" xfId="15940" xr:uid="{00000000-0005-0000-0000-00009AAA0000}"/>
    <cellStyle name="Prosent 2 3 7 2 2 2 3 2" xfId="27025" xr:uid="{00000000-0005-0000-0000-00009BAA0000}"/>
    <cellStyle name="Prosent 2 3 7 2 2 2 3 2 2" xfId="42496" xr:uid="{00000000-0005-0000-0000-00009CAA0000}"/>
    <cellStyle name="Prosent 2 3 7 2 2 2 3 3" xfId="45606" xr:uid="{00000000-0005-0000-0000-00009DAA0000}"/>
    <cellStyle name="Prosent 2 3 7 2 2 2_Avviksanalyse løpende RNB15 (1)" xfId="17530" xr:uid="{00000000-0005-0000-0000-00009EAA0000}"/>
    <cellStyle name="Prosent 2 3 7 2 2 3" xfId="14299" xr:uid="{00000000-0005-0000-0000-00009FAA0000}"/>
    <cellStyle name="Prosent 2 3 7 2 3" xfId="3121" xr:uid="{00000000-0005-0000-0000-0000A0AA0000}"/>
    <cellStyle name="Prosent 2 3 7 2 3 2" xfId="3122" xr:uid="{00000000-0005-0000-0000-0000A1AA0000}"/>
    <cellStyle name="Prosent 2 3 7 2 3 2 2" xfId="14303" xr:uid="{00000000-0005-0000-0000-0000A2AA0000}"/>
    <cellStyle name="Prosent 2 3 7 2 3 2 2 2" xfId="18957" xr:uid="{00000000-0005-0000-0000-0000A3AA0000}"/>
    <cellStyle name="Prosent 2 3 7 2 3 2 2 3" xfId="16215" xr:uid="{00000000-0005-0000-0000-0000A4AA0000}"/>
    <cellStyle name="Prosent 2 3 7 2 3 2 2 3 2" xfId="27026" xr:uid="{00000000-0005-0000-0000-0000A5AA0000}"/>
    <cellStyle name="Prosent 2 3 7 2 3 2 2 3 2 2" xfId="42771" xr:uid="{00000000-0005-0000-0000-0000A6AA0000}"/>
    <cellStyle name="Prosent 2 3 7 2 3 2 2 3 3" xfId="45607" xr:uid="{00000000-0005-0000-0000-0000A7AA0000}"/>
    <cellStyle name="Prosent 2 3 7 2 3 2 2_Avviksanalyse løpende RNB15 (1)" xfId="17531" xr:uid="{00000000-0005-0000-0000-0000A8AA0000}"/>
    <cellStyle name="Prosent 2 3 7 2 3 2 3" xfId="14302" xr:uid="{00000000-0005-0000-0000-0000A9AA0000}"/>
    <cellStyle name="Prosent 2 3 7 2 3 3" xfId="14304" xr:uid="{00000000-0005-0000-0000-0000AAAA0000}"/>
    <cellStyle name="Prosent 2 3 7 2 3 3 2" xfId="18958" xr:uid="{00000000-0005-0000-0000-0000ABAA0000}"/>
    <cellStyle name="Prosent 2 3 7 2 3 3 3" xfId="16214" xr:uid="{00000000-0005-0000-0000-0000ACAA0000}"/>
    <cellStyle name="Prosent 2 3 7 2 3 3 3 2" xfId="27027" xr:uid="{00000000-0005-0000-0000-0000ADAA0000}"/>
    <cellStyle name="Prosent 2 3 7 2 3 3 3 2 2" xfId="42770" xr:uid="{00000000-0005-0000-0000-0000AEAA0000}"/>
    <cellStyle name="Prosent 2 3 7 2 3 3 3 3" xfId="45608" xr:uid="{00000000-0005-0000-0000-0000AFAA0000}"/>
    <cellStyle name="Prosent 2 3 7 2 3 3_Avviksanalyse løpende RNB15 (1)" xfId="17532" xr:uid="{00000000-0005-0000-0000-0000B0AA0000}"/>
    <cellStyle name="Prosent 2 3 7 2 3 4" xfId="14301" xr:uid="{00000000-0005-0000-0000-0000B1AA0000}"/>
    <cellStyle name="Prosent 2 3 7 2 4" xfId="3123" xr:uid="{00000000-0005-0000-0000-0000B2AA0000}"/>
    <cellStyle name="Prosent 2 3 7 2 4 2" xfId="3124" xr:uid="{00000000-0005-0000-0000-0000B3AA0000}"/>
    <cellStyle name="Prosent 2 3 7 2 4 2 2" xfId="14307" xr:uid="{00000000-0005-0000-0000-0000B4AA0000}"/>
    <cellStyle name="Prosent 2 3 7 2 4 2 2 2" xfId="18959" xr:uid="{00000000-0005-0000-0000-0000B5AA0000}"/>
    <cellStyle name="Prosent 2 3 7 2 4 2 2 3" xfId="16217" xr:uid="{00000000-0005-0000-0000-0000B6AA0000}"/>
    <cellStyle name="Prosent 2 3 7 2 4 2 2 3 2" xfId="27028" xr:uid="{00000000-0005-0000-0000-0000B7AA0000}"/>
    <cellStyle name="Prosent 2 3 7 2 4 2 2 3 2 2" xfId="42773" xr:uid="{00000000-0005-0000-0000-0000B8AA0000}"/>
    <cellStyle name="Prosent 2 3 7 2 4 2 2 3 3" xfId="45609" xr:uid="{00000000-0005-0000-0000-0000B9AA0000}"/>
    <cellStyle name="Prosent 2 3 7 2 4 2 2_Avviksanalyse løpende RNB15 (1)" xfId="17533" xr:uid="{00000000-0005-0000-0000-0000BAAA0000}"/>
    <cellStyle name="Prosent 2 3 7 2 4 2 3" xfId="14306" xr:uid="{00000000-0005-0000-0000-0000BBAA0000}"/>
    <cellStyle name="Prosent 2 3 7 2 4 3" xfId="14308" xr:uid="{00000000-0005-0000-0000-0000BCAA0000}"/>
    <cellStyle name="Prosent 2 3 7 2 4 3 2" xfId="18960" xr:uid="{00000000-0005-0000-0000-0000BDAA0000}"/>
    <cellStyle name="Prosent 2 3 7 2 4 3 3" xfId="16216" xr:uid="{00000000-0005-0000-0000-0000BEAA0000}"/>
    <cellStyle name="Prosent 2 3 7 2 4 3 3 2" xfId="27029" xr:uid="{00000000-0005-0000-0000-0000BFAA0000}"/>
    <cellStyle name="Prosent 2 3 7 2 4 3 3 2 2" xfId="42772" xr:uid="{00000000-0005-0000-0000-0000C0AA0000}"/>
    <cellStyle name="Prosent 2 3 7 2 4 3 3 3" xfId="45610" xr:uid="{00000000-0005-0000-0000-0000C1AA0000}"/>
    <cellStyle name="Prosent 2 3 7 2 4 3_Avviksanalyse løpende RNB15 (1)" xfId="17534" xr:uid="{00000000-0005-0000-0000-0000C2AA0000}"/>
    <cellStyle name="Prosent 2 3 7 2 4 4" xfId="14305" xr:uid="{00000000-0005-0000-0000-0000C3AA0000}"/>
    <cellStyle name="Prosent 2 3 7 2 5" xfId="14309" xr:uid="{00000000-0005-0000-0000-0000C4AA0000}"/>
    <cellStyle name="Prosent 2 3 7 2 5 2" xfId="18961" xr:uid="{00000000-0005-0000-0000-0000C5AA0000}"/>
    <cellStyle name="Prosent 2 3 7 2 5 3" xfId="15939" xr:uid="{00000000-0005-0000-0000-0000C6AA0000}"/>
    <cellStyle name="Prosent 2 3 7 2 5 3 2" xfId="27030" xr:uid="{00000000-0005-0000-0000-0000C7AA0000}"/>
    <cellStyle name="Prosent 2 3 7 2 5 3 2 2" xfId="42495" xr:uid="{00000000-0005-0000-0000-0000C8AA0000}"/>
    <cellStyle name="Prosent 2 3 7 2 5 3 3" xfId="45611" xr:uid="{00000000-0005-0000-0000-0000C9AA0000}"/>
    <cellStyle name="Prosent 2 3 7 2 5_Avviksanalyse løpende RNB15 (1)" xfId="17535" xr:uid="{00000000-0005-0000-0000-0000CAAA0000}"/>
    <cellStyle name="Prosent 2 3 7 2 6" xfId="14298" xr:uid="{00000000-0005-0000-0000-0000CBAA0000}"/>
    <cellStyle name="Prosent 2 3 7 3" xfId="3125" xr:uid="{00000000-0005-0000-0000-0000CCAA0000}"/>
    <cellStyle name="Prosent 2 3 7 3 2" xfId="14311" xr:uid="{00000000-0005-0000-0000-0000CDAA0000}"/>
    <cellStyle name="Prosent 2 3 7 3 2 2" xfId="18962" xr:uid="{00000000-0005-0000-0000-0000CEAA0000}"/>
    <cellStyle name="Prosent 2 3 7 3 2 3" xfId="15941" xr:uid="{00000000-0005-0000-0000-0000CFAA0000}"/>
    <cellStyle name="Prosent 2 3 7 3 2 3 2" xfId="27031" xr:uid="{00000000-0005-0000-0000-0000D0AA0000}"/>
    <cellStyle name="Prosent 2 3 7 3 2 3 2 2" xfId="42497" xr:uid="{00000000-0005-0000-0000-0000D1AA0000}"/>
    <cellStyle name="Prosent 2 3 7 3 2 3 3" xfId="45612" xr:uid="{00000000-0005-0000-0000-0000D2AA0000}"/>
    <cellStyle name="Prosent 2 3 7 3 2_Avviksanalyse løpende RNB15 (1)" xfId="17536" xr:uid="{00000000-0005-0000-0000-0000D3AA0000}"/>
    <cellStyle name="Prosent 2 3 7 3 3" xfId="14310" xr:uid="{00000000-0005-0000-0000-0000D4AA0000}"/>
    <cellStyle name="Prosent 2 3 7 4" xfId="3126" xr:uid="{00000000-0005-0000-0000-0000D5AA0000}"/>
    <cellStyle name="Prosent 2 3 7 4 2" xfId="3127" xr:uid="{00000000-0005-0000-0000-0000D6AA0000}"/>
    <cellStyle name="Prosent 2 3 7 4 2 2" xfId="14314" xr:uid="{00000000-0005-0000-0000-0000D7AA0000}"/>
    <cellStyle name="Prosent 2 3 7 4 2 2 2" xfId="18963" xr:uid="{00000000-0005-0000-0000-0000D8AA0000}"/>
    <cellStyle name="Prosent 2 3 7 4 2 2 3" xfId="16219" xr:uid="{00000000-0005-0000-0000-0000D9AA0000}"/>
    <cellStyle name="Prosent 2 3 7 4 2 2 3 2" xfId="27032" xr:uid="{00000000-0005-0000-0000-0000DAAA0000}"/>
    <cellStyle name="Prosent 2 3 7 4 2 2 3 2 2" xfId="42775" xr:uid="{00000000-0005-0000-0000-0000DBAA0000}"/>
    <cellStyle name="Prosent 2 3 7 4 2 2 3 3" xfId="45613" xr:uid="{00000000-0005-0000-0000-0000DCAA0000}"/>
    <cellStyle name="Prosent 2 3 7 4 2 2_Avviksanalyse løpende RNB15 (1)" xfId="17537" xr:uid="{00000000-0005-0000-0000-0000DDAA0000}"/>
    <cellStyle name="Prosent 2 3 7 4 2 3" xfId="14313" xr:uid="{00000000-0005-0000-0000-0000DEAA0000}"/>
    <cellStyle name="Prosent 2 3 7 4 3" xfId="14315" xr:uid="{00000000-0005-0000-0000-0000DFAA0000}"/>
    <cellStyle name="Prosent 2 3 7 4 3 2" xfId="18964" xr:uid="{00000000-0005-0000-0000-0000E0AA0000}"/>
    <cellStyle name="Prosent 2 3 7 4 3 3" xfId="16218" xr:uid="{00000000-0005-0000-0000-0000E1AA0000}"/>
    <cellStyle name="Prosent 2 3 7 4 3 3 2" xfId="27033" xr:uid="{00000000-0005-0000-0000-0000E2AA0000}"/>
    <cellStyle name="Prosent 2 3 7 4 3 3 2 2" xfId="42774" xr:uid="{00000000-0005-0000-0000-0000E3AA0000}"/>
    <cellStyle name="Prosent 2 3 7 4 3 3 3" xfId="45614" xr:uid="{00000000-0005-0000-0000-0000E4AA0000}"/>
    <cellStyle name="Prosent 2 3 7 4 3_Avviksanalyse løpende RNB15 (1)" xfId="17538" xr:uid="{00000000-0005-0000-0000-0000E5AA0000}"/>
    <cellStyle name="Prosent 2 3 7 4 4" xfId="14312" xr:uid="{00000000-0005-0000-0000-0000E6AA0000}"/>
    <cellStyle name="Prosent 2 3 7 5" xfId="3128" xr:uid="{00000000-0005-0000-0000-0000E7AA0000}"/>
    <cellStyle name="Prosent 2 3 7 5 2" xfId="3129" xr:uid="{00000000-0005-0000-0000-0000E8AA0000}"/>
    <cellStyle name="Prosent 2 3 7 5 2 2" xfId="14318" xr:uid="{00000000-0005-0000-0000-0000E9AA0000}"/>
    <cellStyle name="Prosent 2 3 7 5 2 2 2" xfId="18965" xr:uid="{00000000-0005-0000-0000-0000EAAA0000}"/>
    <cellStyle name="Prosent 2 3 7 5 2 2 3" xfId="16221" xr:uid="{00000000-0005-0000-0000-0000EBAA0000}"/>
    <cellStyle name="Prosent 2 3 7 5 2 2 3 2" xfId="27034" xr:uid="{00000000-0005-0000-0000-0000ECAA0000}"/>
    <cellStyle name="Prosent 2 3 7 5 2 2 3 2 2" xfId="42777" xr:uid="{00000000-0005-0000-0000-0000EDAA0000}"/>
    <cellStyle name="Prosent 2 3 7 5 2 2 3 3" xfId="45615" xr:uid="{00000000-0005-0000-0000-0000EEAA0000}"/>
    <cellStyle name="Prosent 2 3 7 5 2 2_Avviksanalyse løpende RNB15 (1)" xfId="17539" xr:uid="{00000000-0005-0000-0000-0000EFAA0000}"/>
    <cellStyle name="Prosent 2 3 7 5 2 3" xfId="14317" xr:uid="{00000000-0005-0000-0000-0000F0AA0000}"/>
    <cellStyle name="Prosent 2 3 7 5 3" xfId="14319" xr:uid="{00000000-0005-0000-0000-0000F1AA0000}"/>
    <cellStyle name="Prosent 2 3 7 5 3 2" xfId="18966" xr:uid="{00000000-0005-0000-0000-0000F2AA0000}"/>
    <cellStyle name="Prosent 2 3 7 5 3 3" xfId="16220" xr:uid="{00000000-0005-0000-0000-0000F3AA0000}"/>
    <cellStyle name="Prosent 2 3 7 5 3 3 2" xfId="27035" xr:uid="{00000000-0005-0000-0000-0000F4AA0000}"/>
    <cellStyle name="Prosent 2 3 7 5 3 3 2 2" xfId="42776" xr:uid="{00000000-0005-0000-0000-0000F5AA0000}"/>
    <cellStyle name="Prosent 2 3 7 5 3 3 3" xfId="45616" xr:uid="{00000000-0005-0000-0000-0000F6AA0000}"/>
    <cellStyle name="Prosent 2 3 7 5 3_Avviksanalyse løpende RNB15 (1)" xfId="17540" xr:uid="{00000000-0005-0000-0000-0000F7AA0000}"/>
    <cellStyle name="Prosent 2 3 7 5 4" xfId="14316" xr:uid="{00000000-0005-0000-0000-0000F8AA0000}"/>
    <cellStyle name="Prosent 2 3 7 6" xfId="14320" xr:uid="{00000000-0005-0000-0000-0000F9AA0000}"/>
    <cellStyle name="Prosent 2 3 7 6 2" xfId="18967" xr:uid="{00000000-0005-0000-0000-0000FAAA0000}"/>
    <cellStyle name="Prosent 2 3 7 6 3" xfId="15938" xr:uid="{00000000-0005-0000-0000-0000FBAA0000}"/>
    <cellStyle name="Prosent 2 3 7 6 3 2" xfId="27036" xr:uid="{00000000-0005-0000-0000-0000FCAA0000}"/>
    <cellStyle name="Prosent 2 3 7 6 3 2 2" xfId="42494" xr:uid="{00000000-0005-0000-0000-0000FDAA0000}"/>
    <cellStyle name="Prosent 2 3 7 6 3 3" xfId="45617" xr:uid="{00000000-0005-0000-0000-0000FEAA0000}"/>
    <cellStyle name="Prosent 2 3 7 6_Avviksanalyse løpende RNB15 (1)" xfId="17541" xr:uid="{00000000-0005-0000-0000-0000FFAA0000}"/>
    <cellStyle name="Prosent 2 3 7 7" xfId="14297" xr:uid="{00000000-0005-0000-0000-000000AB0000}"/>
    <cellStyle name="Prosent 2 3 8" xfId="3130" xr:uid="{00000000-0005-0000-0000-000001AB0000}"/>
    <cellStyle name="Prosent 2 3 8 2" xfId="3131" xr:uid="{00000000-0005-0000-0000-000002AB0000}"/>
    <cellStyle name="Prosent 2 3 8 2 2" xfId="14323" xr:uid="{00000000-0005-0000-0000-000003AB0000}"/>
    <cellStyle name="Prosent 2 3 8 2 2 2" xfId="18968" xr:uid="{00000000-0005-0000-0000-000004AB0000}"/>
    <cellStyle name="Prosent 2 3 8 2 2 3" xfId="16401" xr:uid="{00000000-0005-0000-0000-000005AB0000}"/>
    <cellStyle name="Prosent 2 3 8 2 2 3 2" xfId="27037" xr:uid="{00000000-0005-0000-0000-000006AB0000}"/>
    <cellStyle name="Prosent 2 3 8 2 2 3 2 2" xfId="42956" xr:uid="{00000000-0005-0000-0000-000007AB0000}"/>
    <cellStyle name="Prosent 2 3 8 2 2 3 3" xfId="45618" xr:uid="{00000000-0005-0000-0000-000008AB0000}"/>
    <cellStyle name="Prosent 2 3 8 2 2_Avviksanalyse løpende RNB15 (1)" xfId="17542" xr:uid="{00000000-0005-0000-0000-000009AB0000}"/>
    <cellStyle name="Prosent 2 3 8 2 3" xfId="14322" xr:uid="{00000000-0005-0000-0000-00000AAB0000}"/>
    <cellStyle name="Prosent 2 3 8 3" xfId="14324" xr:uid="{00000000-0005-0000-0000-00000BAB0000}"/>
    <cellStyle name="Prosent 2 3 8 3 2" xfId="18969" xr:uid="{00000000-0005-0000-0000-00000CAB0000}"/>
    <cellStyle name="Prosent 2 3 8 3 3" xfId="16400" xr:uid="{00000000-0005-0000-0000-00000DAB0000}"/>
    <cellStyle name="Prosent 2 3 8 3 3 2" xfId="27038" xr:uid="{00000000-0005-0000-0000-00000EAB0000}"/>
    <cellStyle name="Prosent 2 3 8 3 3 2 2" xfId="42955" xr:uid="{00000000-0005-0000-0000-00000FAB0000}"/>
    <cellStyle name="Prosent 2 3 8 3 3 3" xfId="45619" xr:uid="{00000000-0005-0000-0000-000010AB0000}"/>
    <cellStyle name="Prosent 2 3 8 3_Avviksanalyse løpende RNB15 (1)" xfId="17543" xr:uid="{00000000-0005-0000-0000-000011AB0000}"/>
    <cellStyle name="Prosent 2 3 8 4" xfId="14321" xr:uid="{00000000-0005-0000-0000-000012AB0000}"/>
    <cellStyle name="Prosent 2 3 9" xfId="14325" xr:uid="{00000000-0005-0000-0000-000013AB0000}"/>
    <cellStyle name="Prosent 2 3 9 2" xfId="14326" xr:uid="{00000000-0005-0000-0000-000014AB0000}"/>
    <cellStyle name="Prosent 2 3 9 2 2" xfId="18970" xr:uid="{00000000-0005-0000-0000-000015AB0000}"/>
    <cellStyle name="Prosent 2 3 9 2 3" xfId="15463" xr:uid="{00000000-0005-0000-0000-000016AB0000}"/>
    <cellStyle name="Prosent 2 3 9 2 3 2" xfId="27039" xr:uid="{00000000-0005-0000-0000-000017AB0000}"/>
    <cellStyle name="Prosent 2 3 9 2 3 2 2" xfId="42019" xr:uid="{00000000-0005-0000-0000-000018AB0000}"/>
    <cellStyle name="Prosent 2 3 9 2 3 3" xfId="45620" xr:uid="{00000000-0005-0000-0000-000019AB0000}"/>
    <cellStyle name="Prosent 2 3 9 2_Avviksanalyse løpende RNB15 (1)" xfId="17544" xr:uid="{00000000-0005-0000-0000-00001AAB0000}"/>
    <cellStyle name="Prosent 2 3_Ark1" xfId="14327" xr:uid="{00000000-0005-0000-0000-00001BAB0000}"/>
    <cellStyle name="Prosent 2 30" xfId="14328" xr:uid="{00000000-0005-0000-0000-00001CAB0000}"/>
    <cellStyle name="Prosent 2 30 2" xfId="14329" xr:uid="{00000000-0005-0000-0000-00001DAB0000}"/>
    <cellStyle name="Prosent 2 30 2 2" xfId="18971" xr:uid="{00000000-0005-0000-0000-00001EAB0000}"/>
    <cellStyle name="Prosent 2 30 2 3" xfId="15570" xr:uid="{00000000-0005-0000-0000-00001FAB0000}"/>
    <cellStyle name="Prosent 2 30 2 3 2" xfId="27040" xr:uid="{00000000-0005-0000-0000-000020AB0000}"/>
    <cellStyle name="Prosent 2 30 2 3 2 2" xfId="42126" xr:uid="{00000000-0005-0000-0000-000021AB0000}"/>
    <cellStyle name="Prosent 2 30 2 3 3" xfId="45621" xr:uid="{00000000-0005-0000-0000-000022AB0000}"/>
    <cellStyle name="Prosent 2 30 2_Avviksanalyse løpende RNB15 (1)" xfId="17545" xr:uid="{00000000-0005-0000-0000-000023AB0000}"/>
    <cellStyle name="Prosent 2 31" xfId="14330" xr:uid="{00000000-0005-0000-0000-000024AB0000}"/>
    <cellStyle name="Prosent 2 31 2" xfId="14331" xr:uid="{00000000-0005-0000-0000-000025AB0000}"/>
    <cellStyle name="Prosent 2 31 2 2" xfId="18972" xr:uid="{00000000-0005-0000-0000-000026AB0000}"/>
    <cellStyle name="Prosent 2 31 2 3" xfId="15571" xr:uid="{00000000-0005-0000-0000-000027AB0000}"/>
    <cellStyle name="Prosent 2 31 2 3 2" xfId="27041" xr:uid="{00000000-0005-0000-0000-000028AB0000}"/>
    <cellStyle name="Prosent 2 31 2 3 2 2" xfId="42127" xr:uid="{00000000-0005-0000-0000-000029AB0000}"/>
    <cellStyle name="Prosent 2 31 2 3 3" xfId="45622" xr:uid="{00000000-0005-0000-0000-00002AAB0000}"/>
    <cellStyle name="Prosent 2 31 2_Avviksanalyse løpende RNB15 (1)" xfId="17546" xr:uid="{00000000-0005-0000-0000-00002BAB0000}"/>
    <cellStyle name="Prosent 2 32" xfId="14332" xr:uid="{00000000-0005-0000-0000-00002CAB0000}"/>
    <cellStyle name="Prosent 2 32 2" xfId="14333" xr:uid="{00000000-0005-0000-0000-00002DAB0000}"/>
    <cellStyle name="Prosent 2 32 2 2" xfId="18973" xr:uid="{00000000-0005-0000-0000-00002EAB0000}"/>
    <cellStyle name="Prosent 2 32 2 3" xfId="15572" xr:uid="{00000000-0005-0000-0000-00002FAB0000}"/>
    <cellStyle name="Prosent 2 32 2 3 2" xfId="27042" xr:uid="{00000000-0005-0000-0000-000030AB0000}"/>
    <cellStyle name="Prosent 2 32 2 3 2 2" xfId="42128" xr:uid="{00000000-0005-0000-0000-000031AB0000}"/>
    <cellStyle name="Prosent 2 32 2 3 3" xfId="45623" xr:uid="{00000000-0005-0000-0000-000032AB0000}"/>
    <cellStyle name="Prosent 2 32 2_Avviksanalyse løpende RNB15 (1)" xfId="17547" xr:uid="{00000000-0005-0000-0000-000033AB0000}"/>
    <cellStyle name="Prosent 2 33" xfId="14334" xr:uid="{00000000-0005-0000-0000-000034AB0000}"/>
    <cellStyle name="Prosent 2 33 2" xfId="14335" xr:uid="{00000000-0005-0000-0000-000035AB0000}"/>
    <cellStyle name="Prosent 2 33 2 2" xfId="18974" xr:uid="{00000000-0005-0000-0000-000036AB0000}"/>
    <cellStyle name="Prosent 2 33 2 3" xfId="15573" xr:uid="{00000000-0005-0000-0000-000037AB0000}"/>
    <cellStyle name="Prosent 2 33 2 3 2" xfId="27043" xr:uid="{00000000-0005-0000-0000-000038AB0000}"/>
    <cellStyle name="Prosent 2 33 2 3 2 2" xfId="42129" xr:uid="{00000000-0005-0000-0000-000039AB0000}"/>
    <cellStyle name="Prosent 2 33 2 3 3" xfId="45624" xr:uid="{00000000-0005-0000-0000-00003AAB0000}"/>
    <cellStyle name="Prosent 2 33 2_Avviksanalyse løpende RNB15 (1)" xfId="17548" xr:uid="{00000000-0005-0000-0000-00003BAB0000}"/>
    <cellStyle name="Prosent 2 34" xfId="14336" xr:uid="{00000000-0005-0000-0000-00003CAB0000}"/>
    <cellStyle name="Prosent 2 34 2" xfId="14337" xr:uid="{00000000-0005-0000-0000-00003DAB0000}"/>
    <cellStyle name="Prosent 2 34 2 2" xfId="18975" xr:uid="{00000000-0005-0000-0000-00003EAB0000}"/>
    <cellStyle name="Prosent 2 34 2 3" xfId="15574" xr:uid="{00000000-0005-0000-0000-00003FAB0000}"/>
    <cellStyle name="Prosent 2 34 2 3 2" xfId="27044" xr:uid="{00000000-0005-0000-0000-000040AB0000}"/>
    <cellStyle name="Prosent 2 34 2 3 2 2" xfId="42130" xr:uid="{00000000-0005-0000-0000-000041AB0000}"/>
    <cellStyle name="Prosent 2 34 2 3 3" xfId="45625" xr:uid="{00000000-0005-0000-0000-000042AB0000}"/>
    <cellStyle name="Prosent 2 34 2_Avviksanalyse løpende RNB15 (1)" xfId="17549" xr:uid="{00000000-0005-0000-0000-000043AB0000}"/>
    <cellStyle name="Prosent 2 35" xfId="14338" xr:uid="{00000000-0005-0000-0000-000044AB0000}"/>
    <cellStyle name="Prosent 2 35 2" xfId="14339" xr:uid="{00000000-0005-0000-0000-000045AB0000}"/>
    <cellStyle name="Prosent 2 35 2 2" xfId="18976" xr:uid="{00000000-0005-0000-0000-000046AB0000}"/>
    <cellStyle name="Prosent 2 35 2 3" xfId="15575" xr:uid="{00000000-0005-0000-0000-000047AB0000}"/>
    <cellStyle name="Prosent 2 35 2 3 2" xfId="27045" xr:uid="{00000000-0005-0000-0000-000048AB0000}"/>
    <cellStyle name="Prosent 2 35 2 3 2 2" xfId="42131" xr:uid="{00000000-0005-0000-0000-000049AB0000}"/>
    <cellStyle name="Prosent 2 35 2 3 3" xfId="45626" xr:uid="{00000000-0005-0000-0000-00004AAB0000}"/>
    <cellStyle name="Prosent 2 35 2_Avviksanalyse løpende RNB15 (1)" xfId="17550" xr:uid="{00000000-0005-0000-0000-00004BAB0000}"/>
    <cellStyle name="Prosent 2 36" xfId="14340" xr:uid="{00000000-0005-0000-0000-00004CAB0000}"/>
    <cellStyle name="Prosent 2 36 2" xfId="14341" xr:uid="{00000000-0005-0000-0000-00004DAB0000}"/>
    <cellStyle name="Prosent 2 36 2 2" xfId="18977" xr:uid="{00000000-0005-0000-0000-00004EAB0000}"/>
    <cellStyle name="Prosent 2 36 2 3" xfId="15576" xr:uid="{00000000-0005-0000-0000-00004FAB0000}"/>
    <cellStyle name="Prosent 2 36 2 3 2" xfId="27046" xr:uid="{00000000-0005-0000-0000-000050AB0000}"/>
    <cellStyle name="Prosent 2 36 2 3 2 2" xfId="42132" xr:uid="{00000000-0005-0000-0000-000051AB0000}"/>
    <cellStyle name="Prosent 2 36 2 3 3" xfId="45627" xr:uid="{00000000-0005-0000-0000-000052AB0000}"/>
    <cellStyle name="Prosent 2 36 2_Avviksanalyse løpende RNB15 (1)" xfId="17551" xr:uid="{00000000-0005-0000-0000-000053AB0000}"/>
    <cellStyle name="Prosent 2 37" xfId="14342" xr:uid="{00000000-0005-0000-0000-000054AB0000}"/>
    <cellStyle name="Prosent 2 37 2" xfId="14343" xr:uid="{00000000-0005-0000-0000-000055AB0000}"/>
    <cellStyle name="Prosent 2 37 2 2" xfId="18978" xr:uid="{00000000-0005-0000-0000-000056AB0000}"/>
    <cellStyle name="Prosent 2 37 2 3" xfId="15459" xr:uid="{00000000-0005-0000-0000-000057AB0000}"/>
    <cellStyle name="Prosent 2 37 2 3 2" xfId="27047" xr:uid="{00000000-0005-0000-0000-000058AB0000}"/>
    <cellStyle name="Prosent 2 37 2 3 2 2" xfId="42015" xr:uid="{00000000-0005-0000-0000-000059AB0000}"/>
    <cellStyle name="Prosent 2 37 2 3 3" xfId="45628" xr:uid="{00000000-0005-0000-0000-00005AAB0000}"/>
    <cellStyle name="Prosent 2 37 2_Avviksanalyse løpende RNB15 (1)" xfId="17552" xr:uid="{00000000-0005-0000-0000-00005BAB0000}"/>
    <cellStyle name="Prosent 2 38" xfId="14344" xr:uid="{00000000-0005-0000-0000-00005CAB0000}"/>
    <cellStyle name="Prosent 2 38 2" xfId="18979" xr:uid="{00000000-0005-0000-0000-00005DAB0000}"/>
    <cellStyle name="Prosent 2 38 3" xfId="15446" xr:uid="{00000000-0005-0000-0000-00005EAB0000}"/>
    <cellStyle name="Prosent 2 38 3 2" xfId="27048" xr:uid="{00000000-0005-0000-0000-00005FAB0000}"/>
    <cellStyle name="Prosent 2 38 3 2 2" xfId="42002" xr:uid="{00000000-0005-0000-0000-000060AB0000}"/>
    <cellStyle name="Prosent 2 38 3 3" xfId="45629" xr:uid="{00000000-0005-0000-0000-000061AB0000}"/>
    <cellStyle name="Prosent 2 38_Avviksanalyse løpende RNB15 (1)" xfId="17553" xr:uid="{00000000-0005-0000-0000-000062AB0000}"/>
    <cellStyle name="Prosent 2 39" xfId="14345" xr:uid="{00000000-0005-0000-0000-000063AB0000}"/>
    <cellStyle name="Prosent 2 39 2" xfId="18980" xr:uid="{00000000-0005-0000-0000-000064AB0000}"/>
    <cellStyle name="Prosent 2 39 3" xfId="15949" xr:uid="{00000000-0005-0000-0000-000065AB0000}"/>
    <cellStyle name="Prosent 2 39 3 2" xfId="27049" xr:uid="{00000000-0005-0000-0000-000066AB0000}"/>
    <cellStyle name="Prosent 2 39 3 2 2" xfId="42505" xr:uid="{00000000-0005-0000-0000-000067AB0000}"/>
    <cellStyle name="Prosent 2 39 3 3" xfId="45630" xr:uid="{00000000-0005-0000-0000-000068AB0000}"/>
    <cellStyle name="Prosent 2 39_Avviksanalyse løpende RNB15 (1)" xfId="17554" xr:uid="{00000000-0005-0000-0000-000069AB0000}"/>
    <cellStyle name="Prosent 2 4" xfId="3132" xr:uid="{00000000-0005-0000-0000-00006AAB0000}"/>
    <cellStyle name="Prosent 2 4 10" xfId="14346" xr:uid="{00000000-0005-0000-0000-00006BAB0000}"/>
    <cellStyle name="Prosent 2 4 2" xfId="3133" xr:uid="{00000000-0005-0000-0000-00006CAB0000}"/>
    <cellStyle name="Prosent 2 4 2 2" xfId="14348" xr:uid="{00000000-0005-0000-0000-00006DAB0000}"/>
    <cellStyle name="Prosent 2 4 2 2 2" xfId="14349" xr:uid="{00000000-0005-0000-0000-00006EAB0000}"/>
    <cellStyle name="Prosent 2 4 2 2 2 2" xfId="18981" xr:uid="{00000000-0005-0000-0000-00006FAB0000}"/>
    <cellStyle name="Prosent 2 4 2 2 2 3" xfId="15577" xr:uid="{00000000-0005-0000-0000-000070AB0000}"/>
    <cellStyle name="Prosent 2 4 2 2 2 3 2" xfId="27050" xr:uid="{00000000-0005-0000-0000-000071AB0000}"/>
    <cellStyle name="Prosent 2 4 2 2 2 3 2 2" xfId="42133" xr:uid="{00000000-0005-0000-0000-000072AB0000}"/>
    <cellStyle name="Prosent 2 4 2 2 2 3 3" xfId="45631" xr:uid="{00000000-0005-0000-0000-000073AB0000}"/>
    <cellStyle name="Prosent 2 4 2 2 2_Avviksanalyse løpende RNB15 (1)" xfId="17555" xr:uid="{00000000-0005-0000-0000-000074AB0000}"/>
    <cellStyle name="Prosent 2 4 2 3" xfId="14350" xr:uid="{00000000-0005-0000-0000-000075AB0000}"/>
    <cellStyle name="Prosent 2 4 2 3 2" xfId="14351" xr:uid="{00000000-0005-0000-0000-000076AB0000}"/>
    <cellStyle name="Prosent 2 4 2 3 2 2" xfId="18982" xr:uid="{00000000-0005-0000-0000-000077AB0000}"/>
    <cellStyle name="Prosent 2 4 2 3 2 3" xfId="16231" xr:uid="{00000000-0005-0000-0000-000078AB0000}"/>
    <cellStyle name="Prosent 2 4 2 3 2 3 2" xfId="27051" xr:uid="{00000000-0005-0000-0000-000079AB0000}"/>
    <cellStyle name="Prosent 2 4 2 3 2 3 2 2" xfId="42787" xr:uid="{00000000-0005-0000-0000-00007AAB0000}"/>
    <cellStyle name="Prosent 2 4 2 3 2 3 3" xfId="45632" xr:uid="{00000000-0005-0000-0000-00007BAB0000}"/>
    <cellStyle name="Prosent 2 4 2 3 2_Avviksanalyse løpende RNB15 (1)" xfId="17556" xr:uid="{00000000-0005-0000-0000-00007CAB0000}"/>
    <cellStyle name="Prosent 2 4 2 4" xfId="14352" xr:uid="{00000000-0005-0000-0000-00007DAB0000}"/>
    <cellStyle name="Prosent 2 4 2 4 2" xfId="18983" xr:uid="{00000000-0005-0000-0000-00007EAB0000}"/>
    <cellStyle name="Prosent 2 4 2 4 3" xfId="15470" xr:uid="{00000000-0005-0000-0000-00007FAB0000}"/>
    <cellStyle name="Prosent 2 4 2 4 3 2" xfId="27052" xr:uid="{00000000-0005-0000-0000-000080AB0000}"/>
    <cellStyle name="Prosent 2 4 2 4 3 2 2" xfId="42026" xr:uid="{00000000-0005-0000-0000-000081AB0000}"/>
    <cellStyle name="Prosent 2 4 2 4 3 3" xfId="45633" xr:uid="{00000000-0005-0000-0000-000082AB0000}"/>
    <cellStyle name="Prosent 2 4 2 4_Avviksanalyse løpende RNB15 (1)" xfId="17557" xr:uid="{00000000-0005-0000-0000-000083AB0000}"/>
    <cellStyle name="Prosent 2 4 2 5" xfId="14347" xr:uid="{00000000-0005-0000-0000-000084AB0000}"/>
    <cellStyle name="Prosent 2 4 3" xfId="3134" xr:uid="{00000000-0005-0000-0000-000085AB0000}"/>
    <cellStyle name="Prosent 2 4 3 2" xfId="14354" xr:uid="{00000000-0005-0000-0000-000086AB0000}"/>
    <cellStyle name="Prosent 2 4 3 2 2" xfId="18984" xr:uid="{00000000-0005-0000-0000-000087AB0000}"/>
    <cellStyle name="Prosent 2 4 3 2 3" xfId="15471" xr:uid="{00000000-0005-0000-0000-000088AB0000}"/>
    <cellStyle name="Prosent 2 4 3 2 3 2" xfId="27053" xr:uid="{00000000-0005-0000-0000-000089AB0000}"/>
    <cellStyle name="Prosent 2 4 3 2 3 2 2" xfId="42027" xr:uid="{00000000-0005-0000-0000-00008AAB0000}"/>
    <cellStyle name="Prosent 2 4 3 2 3 3" xfId="45634" xr:uid="{00000000-0005-0000-0000-00008BAB0000}"/>
    <cellStyle name="Prosent 2 4 3 2_Avviksanalyse løpende RNB15 (1)" xfId="17558" xr:uid="{00000000-0005-0000-0000-00008CAB0000}"/>
    <cellStyle name="Prosent 2 4 3 3" xfId="14353" xr:uid="{00000000-0005-0000-0000-00008DAB0000}"/>
    <cellStyle name="Prosent 2 4 4" xfId="3135" xr:uid="{00000000-0005-0000-0000-00008EAB0000}"/>
    <cellStyle name="Prosent 2 4 4 2" xfId="14356" xr:uid="{00000000-0005-0000-0000-00008FAB0000}"/>
    <cellStyle name="Prosent 2 4 4 2 2" xfId="18985" xr:uid="{00000000-0005-0000-0000-000090AB0000}"/>
    <cellStyle name="Prosent 2 4 4 2 3" xfId="16402" xr:uid="{00000000-0005-0000-0000-000091AB0000}"/>
    <cellStyle name="Prosent 2 4 4 2 3 2" xfId="27054" xr:uid="{00000000-0005-0000-0000-000092AB0000}"/>
    <cellStyle name="Prosent 2 4 4 2 3 2 2" xfId="42957" xr:uid="{00000000-0005-0000-0000-000093AB0000}"/>
    <cellStyle name="Prosent 2 4 4 2 3 3" xfId="45635" xr:uid="{00000000-0005-0000-0000-000094AB0000}"/>
    <cellStyle name="Prosent 2 4 4 2_Avviksanalyse løpende RNB15 (1)" xfId="17559" xr:uid="{00000000-0005-0000-0000-000095AB0000}"/>
    <cellStyle name="Prosent 2 4 4 3" xfId="14355" xr:uid="{00000000-0005-0000-0000-000096AB0000}"/>
    <cellStyle name="Prosent 2 4 5" xfId="14357" xr:uid="{00000000-0005-0000-0000-000097AB0000}"/>
    <cellStyle name="Prosent 2 4 5 2" xfId="14358" xr:uid="{00000000-0005-0000-0000-000098AB0000}"/>
    <cellStyle name="Prosent 2 4 5 2 2" xfId="18986" xr:uid="{00000000-0005-0000-0000-000099AB0000}"/>
    <cellStyle name="Prosent 2 4 5 2 3" xfId="15469" xr:uid="{00000000-0005-0000-0000-00009AAB0000}"/>
    <cellStyle name="Prosent 2 4 5 2 3 2" xfId="27055" xr:uid="{00000000-0005-0000-0000-00009BAB0000}"/>
    <cellStyle name="Prosent 2 4 5 2 3 2 2" xfId="42025" xr:uid="{00000000-0005-0000-0000-00009CAB0000}"/>
    <cellStyle name="Prosent 2 4 5 2 3 3" xfId="45636" xr:uid="{00000000-0005-0000-0000-00009DAB0000}"/>
    <cellStyle name="Prosent 2 4 5 2_Avviksanalyse løpende RNB15 (1)" xfId="17560" xr:uid="{00000000-0005-0000-0000-00009EAB0000}"/>
    <cellStyle name="Prosent 2 4 6" xfId="15135" xr:uid="{00000000-0005-0000-0000-00009FAB0000}"/>
    <cellStyle name="Prosent 2 4 6 2" xfId="27056" xr:uid="{00000000-0005-0000-0000-0000A0AB0000}"/>
    <cellStyle name="Prosent 2 4 6 2 2" xfId="41693" xr:uid="{00000000-0005-0000-0000-0000A1AB0000}"/>
    <cellStyle name="Prosent 2 4 6 3" xfId="45637" xr:uid="{00000000-0005-0000-0000-0000A2AB0000}"/>
    <cellStyle name="Prosent 2 4 7" xfId="15438" xr:uid="{00000000-0005-0000-0000-0000A3AB0000}"/>
    <cellStyle name="Prosent 2 4 7 2" xfId="27057" xr:uid="{00000000-0005-0000-0000-0000A4AB0000}"/>
    <cellStyle name="Prosent 2 4 7 2 2" xfId="41994" xr:uid="{00000000-0005-0000-0000-0000A5AB0000}"/>
    <cellStyle name="Prosent 2 4 7 3" xfId="45638" xr:uid="{00000000-0005-0000-0000-0000A6AB0000}"/>
    <cellStyle name="Prosent 2 4 8" xfId="19380" xr:uid="{00000000-0005-0000-0000-0000A7AB0000}"/>
    <cellStyle name="Prosent 2 4 8 2" xfId="27058" xr:uid="{00000000-0005-0000-0000-0000A8AB0000}"/>
    <cellStyle name="Prosent 2 4 8 2 2" xfId="43135" xr:uid="{00000000-0005-0000-0000-0000A9AB0000}"/>
    <cellStyle name="Prosent 2 4 8 3" xfId="45639" xr:uid="{00000000-0005-0000-0000-0000AAAB0000}"/>
    <cellStyle name="Prosent 2 4 9" xfId="15171" xr:uid="{00000000-0005-0000-0000-0000ABAB0000}"/>
    <cellStyle name="Prosent 2 4 9 2" xfId="27059" xr:uid="{00000000-0005-0000-0000-0000ACAB0000}"/>
    <cellStyle name="Prosent 2 4 9 2 2" xfId="41727" xr:uid="{00000000-0005-0000-0000-0000ADAB0000}"/>
    <cellStyle name="Prosent 2 4 9 3" xfId="45640" xr:uid="{00000000-0005-0000-0000-0000AEAB0000}"/>
    <cellStyle name="Prosent 2 4_Ark1" xfId="14359" xr:uid="{00000000-0005-0000-0000-0000AFAB0000}"/>
    <cellStyle name="Prosent 2 40" xfId="14360" xr:uid="{00000000-0005-0000-0000-0000B0AB0000}"/>
    <cellStyle name="Prosent 2 40 2" xfId="18987" xr:uid="{00000000-0005-0000-0000-0000B1AB0000}"/>
    <cellStyle name="Prosent 2 40 3" xfId="15534" xr:uid="{00000000-0005-0000-0000-0000B2AB0000}"/>
    <cellStyle name="Prosent 2 40 3 2" xfId="27060" xr:uid="{00000000-0005-0000-0000-0000B3AB0000}"/>
    <cellStyle name="Prosent 2 40 3 2 2" xfId="42090" xr:uid="{00000000-0005-0000-0000-0000B4AB0000}"/>
    <cellStyle name="Prosent 2 40 3 3" xfId="45641" xr:uid="{00000000-0005-0000-0000-0000B5AB0000}"/>
    <cellStyle name="Prosent 2 40_Avviksanalyse løpende RNB15 (1)" xfId="17561" xr:uid="{00000000-0005-0000-0000-0000B6AB0000}"/>
    <cellStyle name="Prosent 2 41" xfId="14361" xr:uid="{00000000-0005-0000-0000-0000B7AB0000}"/>
    <cellStyle name="Prosent 2 41 2" xfId="18988" xr:uid="{00000000-0005-0000-0000-0000B8AB0000}"/>
    <cellStyle name="Prosent 2 41 3" xfId="16557" xr:uid="{00000000-0005-0000-0000-0000B9AB0000}"/>
    <cellStyle name="Prosent 2 41 3 2" xfId="27061" xr:uid="{00000000-0005-0000-0000-0000BAAB0000}"/>
    <cellStyle name="Prosent 2 41 3 2 2" xfId="43112" xr:uid="{00000000-0005-0000-0000-0000BBAB0000}"/>
    <cellStyle name="Prosent 2 41 3 3" xfId="45642" xr:uid="{00000000-0005-0000-0000-0000BCAB0000}"/>
    <cellStyle name="Prosent 2 41_Avviksanalyse løpende RNB15 (1)" xfId="17562" xr:uid="{00000000-0005-0000-0000-0000BDAB0000}"/>
    <cellStyle name="Prosent 2 42" xfId="14362" xr:uid="{00000000-0005-0000-0000-0000BEAB0000}"/>
    <cellStyle name="Prosent 2 42 2" xfId="18989" xr:uid="{00000000-0005-0000-0000-0000BFAB0000}"/>
    <cellStyle name="Prosent 2 42 3" xfId="15537" xr:uid="{00000000-0005-0000-0000-0000C0AB0000}"/>
    <cellStyle name="Prosent 2 42 3 2" xfId="27062" xr:uid="{00000000-0005-0000-0000-0000C1AB0000}"/>
    <cellStyle name="Prosent 2 42 3 2 2" xfId="42093" xr:uid="{00000000-0005-0000-0000-0000C2AB0000}"/>
    <cellStyle name="Prosent 2 42 3 3" xfId="45643" xr:uid="{00000000-0005-0000-0000-0000C3AB0000}"/>
    <cellStyle name="Prosent 2 42_Avviksanalyse løpende RNB15 (1)" xfId="17563" xr:uid="{00000000-0005-0000-0000-0000C4AB0000}"/>
    <cellStyle name="Prosent 2 43" xfId="14363" xr:uid="{00000000-0005-0000-0000-0000C5AB0000}"/>
    <cellStyle name="Prosent 2 43 2" xfId="18990" xr:uid="{00000000-0005-0000-0000-0000C6AB0000}"/>
    <cellStyle name="Prosent 2 43 3" xfId="15448" xr:uid="{00000000-0005-0000-0000-0000C7AB0000}"/>
    <cellStyle name="Prosent 2 43 3 2" xfId="27063" xr:uid="{00000000-0005-0000-0000-0000C8AB0000}"/>
    <cellStyle name="Prosent 2 43 3 2 2" xfId="42004" xr:uid="{00000000-0005-0000-0000-0000C9AB0000}"/>
    <cellStyle name="Prosent 2 43 3 3" xfId="45644" xr:uid="{00000000-0005-0000-0000-0000CAAB0000}"/>
    <cellStyle name="Prosent 2 43_Avviksanalyse løpende RNB15 (1)" xfId="17564" xr:uid="{00000000-0005-0000-0000-0000CBAB0000}"/>
    <cellStyle name="Prosent 2 44" xfId="14364" xr:uid="{00000000-0005-0000-0000-0000CCAB0000}"/>
    <cellStyle name="Prosent 2 44 2" xfId="18991" xr:uid="{00000000-0005-0000-0000-0000CDAB0000}"/>
    <cellStyle name="Prosent 2 44 3" xfId="15536" xr:uid="{00000000-0005-0000-0000-0000CEAB0000}"/>
    <cellStyle name="Prosent 2 44 3 2" xfId="27064" xr:uid="{00000000-0005-0000-0000-0000CFAB0000}"/>
    <cellStyle name="Prosent 2 44 3 2 2" xfId="42092" xr:uid="{00000000-0005-0000-0000-0000D0AB0000}"/>
    <cellStyle name="Prosent 2 44 3 3" xfId="45645" xr:uid="{00000000-0005-0000-0000-0000D1AB0000}"/>
    <cellStyle name="Prosent 2 44_Avviksanalyse løpende RNB15 (1)" xfId="17565" xr:uid="{00000000-0005-0000-0000-0000D2AB0000}"/>
    <cellStyle name="Prosent 2 45" xfId="27065" xr:uid="{00000000-0005-0000-0000-0000D3AB0000}"/>
    <cellStyle name="Prosent 2 45 2" xfId="45646" xr:uid="{00000000-0005-0000-0000-0000D4AB0000}"/>
    <cellStyle name="Prosent 2 45 3" xfId="43865" xr:uid="{00000000-0005-0000-0000-0000D5AB0000}"/>
    <cellStyle name="Prosent 2 46" xfId="41600" xr:uid="{00000000-0005-0000-0000-0000D6AB0000}"/>
    <cellStyle name="Prosent 2 5" xfId="3136" xr:uid="{00000000-0005-0000-0000-0000D7AB0000}"/>
    <cellStyle name="Prosent 2 5 10" xfId="14365" xr:uid="{00000000-0005-0000-0000-0000D8AB0000}"/>
    <cellStyle name="Prosent 2 5 2" xfId="3137" xr:uid="{00000000-0005-0000-0000-0000D9AB0000}"/>
    <cellStyle name="Prosent 2 5 2 2" xfId="3138" xr:uid="{00000000-0005-0000-0000-0000DAAB0000}"/>
    <cellStyle name="Prosent 2 5 2 2 2" xfId="14368" xr:uid="{00000000-0005-0000-0000-0000DBAB0000}"/>
    <cellStyle name="Prosent 2 5 2 2 2 2" xfId="18992" xr:uid="{00000000-0005-0000-0000-0000DCAB0000}"/>
    <cellStyle name="Prosent 2 5 2 2 2 3" xfId="16404" xr:uid="{00000000-0005-0000-0000-0000DDAB0000}"/>
    <cellStyle name="Prosent 2 5 2 2 2 3 2" xfId="27066" xr:uid="{00000000-0005-0000-0000-0000DEAB0000}"/>
    <cellStyle name="Prosent 2 5 2 2 2 3 2 2" xfId="42959" xr:uid="{00000000-0005-0000-0000-0000DFAB0000}"/>
    <cellStyle name="Prosent 2 5 2 2 2 3 3" xfId="45647" xr:uid="{00000000-0005-0000-0000-0000E0AB0000}"/>
    <cellStyle name="Prosent 2 5 2 2 2_Avviksanalyse løpende RNB15 (1)" xfId="17566" xr:uid="{00000000-0005-0000-0000-0000E1AB0000}"/>
    <cellStyle name="Prosent 2 5 2 2 3" xfId="14367" xr:uid="{00000000-0005-0000-0000-0000E2AB0000}"/>
    <cellStyle name="Prosent 2 5 2 3" xfId="14369" xr:uid="{00000000-0005-0000-0000-0000E3AB0000}"/>
    <cellStyle name="Prosent 2 5 2 3 2" xfId="14370" xr:uid="{00000000-0005-0000-0000-0000E4AB0000}"/>
    <cellStyle name="Prosent 2 5 2 3 2 2" xfId="18993" xr:uid="{00000000-0005-0000-0000-0000E5AB0000}"/>
    <cellStyle name="Prosent 2 5 2 3 2 3" xfId="16403" xr:uid="{00000000-0005-0000-0000-0000E6AB0000}"/>
    <cellStyle name="Prosent 2 5 2 3 2 3 2" xfId="27067" xr:uid="{00000000-0005-0000-0000-0000E7AB0000}"/>
    <cellStyle name="Prosent 2 5 2 3 2 3 2 2" xfId="42958" xr:uid="{00000000-0005-0000-0000-0000E8AB0000}"/>
    <cellStyle name="Prosent 2 5 2 3 2 3 3" xfId="45648" xr:uid="{00000000-0005-0000-0000-0000E9AB0000}"/>
    <cellStyle name="Prosent 2 5 2 3 2_Avviksanalyse løpende RNB15 (1)" xfId="17567" xr:uid="{00000000-0005-0000-0000-0000EAAB0000}"/>
    <cellStyle name="Prosent 2 5 2 4" xfId="14371" xr:uid="{00000000-0005-0000-0000-0000EBAB0000}"/>
    <cellStyle name="Prosent 2 5 2 4 2" xfId="18994" xr:uid="{00000000-0005-0000-0000-0000ECAB0000}"/>
    <cellStyle name="Prosent 2 5 2 4 3" xfId="15579" xr:uid="{00000000-0005-0000-0000-0000EDAB0000}"/>
    <cellStyle name="Prosent 2 5 2 4 3 2" xfId="27068" xr:uid="{00000000-0005-0000-0000-0000EEAB0000}"/>
    <cellStyle name="Prosent 2 5 2 4 3 2 2" xfId="42135" xr:uid="{00000000-0005-0000-0000-0000EFAB0000}"/>
    <cellStyle name="Prosent 2 5 2 4 3 3" xfId="45649" xr:uid="{00000000-0005-0000-0000-0000F0AB0000}"/>
    <cellStyle name="Prosent 2 5 2 4_Avviksanalyse løpende RNB15 (1)" xfId="17568" xr:uid="{00000000-0005-0000-0000-0000F1AB0000}"/>
    <cellStyle name="Prosent 2 5 2 5" xfId="14366" xr:uid="{00000000-0005-0000-0000-0000F2AB0000}"/>
    <cellStyle name="Prosent 2 5 3" xfId="14372" xr:uid="{00000000-0005-0000-0000-0000F3AB0000}"/>
    <cellStyle name="Prosent 2 5 3 2" xfId="14373" xr:uid="{00000000-0005-0000-0000-0000F4AB0000}"/>
    <cellStyle name="Prosent 2 5 3 2 2" xfId="18995" xr:uid="{00000000-0005-0000-0000-0000F5AB0000}"/>
    <cellStyle name="Prosent 2 5 3 2 3" xfId="15578" xr:uid="{00000000-0005-0000-0000-0000F6AB0000}"/>
    <cellStyle name="Prosent 2 5 3 2 3 2" xfId="27069" xr:uid="{00000000-0005-0000-0000-0000F7AB0000}"/>
    <cellStyle name="Prosent 2 5 3 2 3 2 2" xfId="42134" xr:uid="{00000000-0005-0000-0000-0000F8AB0000}"/>
    <cellStyle name="Prosent 2 5 3 2 3 3" xfId="45650" xr:uid="{00000000-0005-0000-0000-0000F9AB0000}"/>
    <cellStyle name="Prosent 2 5 3 2_Avviksanalyse løpende RNB15 (1)" xfId="17569" xr:uid="{00000000-0005-0000-0000-0000FAAB0000}"/>
    <cellStyle name="Prosent 2 5 4" xfId="14374" xr:uid="{00000000-0005-0000-0000-0000FBAB0000}"/>
    <cellStyle name="Prosent 2 5 4 2" xfId="14375" xr:uid="{00000000-0005-0000-0000-0000FCAB0000}"/>
    <cellStyle name="Prosent 2 5 4 2 2" xfId="18996" xr:uid="{00000000-0005-0000-0000-0000FDAB0000}"/>
    <cellStyle name="Prosent 2 5 4 2 3" xfId="16232" xr:uid="{00000000-0005-0000-0000-0000FEAB0000}"/>
    <cellStyle name="Prosent 2 5 4 2 3 2" xfId="27070" xr:uid="{00000000-0005-0000-0000-0000FFAB0000}"/>
    <cellStyle name="Prosent 2 5 4 2 3 2 2" xfId="42788" xr:uid="{00000000-0005-0000-0000-000000AC0000}"/>
    <cellStyle name="Prosent 2 5 4 2 3 3" xfId="45651" xr:uid="{00000000-0005-0000-0000-000001AC0000}"/>
    <cellStyle name="Prosent 2 5 4 2_Avviksanalyse løpende RNB15 (1)" xfId="17570" xr:uid="{00000000-0005-0000-0000-000002AC0000}"/>
    <cellStyle name="Prosent 2 5 5" xfId="14376" xr:uid="{00000000-0005-0000-0000-000003AC0000}"/>
    <cellStyle name="Prosent 2 5 5 2" xfId="18997" xr:uid="{00000000-0005-0000-0000-000004AC0000}"/>
    <cellStyle name="Prosent 2 5 5 3" xfId="15472" xr:uid="{00000000-0005-0000-0000-000005AC0000}"/>
    <cellStyle name="Prosent 2 5 5 3 2" xfId="27071" xr:uid="{00000000-0005-0000-0000-000006AC0000}"/>
    <cellStyle name="Prosent 2 5 5 3 2 2" xfId="42028" xr:uid="{00000000-0005-0000-0000-000007AC0000}"/>
    <cellStyle name="Prosent 2 5 5 3 3" xfId="45652" xr:uid="{00000000-0005-0000-0000-000008AC0000}"/>
    <cellStyle name="Prosent 2 5 5_Avviksanalyse løpende RNB15 (1)" xfId="17571" xr:uid="{00000000-0005-0000-0000-000009AC0000}"/>
    <cellStyle name="Prosent 2 5 6" xfId="15133" xr:uid="{00000000-0005-0000-0000-00000AAC0000}"/>
    <cellStyle name="Prosent 2 5 6 2" xfId="27072" xr:uid="{00000000-0005-0000-0000-00000BAC0000}"/>
    <cellStyle name="Prosent 2 5 6 2 2" xfId="41690" xr:uid="{00000000-0005-0000-0000-00000CAC0000}"/>
    <cellStyle name="Prosent 2 5 6 3" xfId="45653" xr:uid="{00000000-0005-0000-0000-00000DAC0000}"/>
    <cellStyle name="Prosent 2 5 7" xfId="15439" xr:uid="{00000000-0005-0000-0000-00000EAC0000}"/>
    <cellStyle name="Prosent 2 5 7 2" xfId="27073" xr:uid="{00000000-0005-0000-0000-00000FAC0000}"/>
    <cellStyle name="Prosent 2 5 7 2 2" xfId="41995" xr:uid="{00000000-0005-0000-0000-000010AC0000}"/>
    <cellStyle name="Prosent 2 5 7 3" xfId="45654" xr:uid="{00000000-0005-0000-0000-000011AC0000}"/>
    <cellStyle name="Prosent 2 5 8" xfId="19376" xr:uid="{00000000-0005-0000-0000-000012AC0000}"/>
    <cellStyle name="Prosent 2 5 8 2" xfId="27074" xr:uid="{00000000-0005-0000-0000-000013AC0000}"/>
    <cellStyle name="Prosent 2 5 8 2 2" xfId="43131" xr:uid="{00000000-0005-0000-0000-000014AC0000}"/>
    <cellStyle name="Prosent 2 5 8 3" xfId="45655" xr:uid="{00000000-0005-0000-0000-000015AC0000}"/>
    <cellStyle name="Prosent 2 5 9" xfId="15168" xr:uid="{00000000-0005-0000-0000-000016AC0000}"/>
    <cellStyle name="Prosent 2 5 9 2" xfId="27075" xr:uid="{00000000-0005-0000-0000-000017AC0000}"/>
    <cellStyle name="Prosent 2 5 9 2 2" xfId="41724" xr:uid="{00000000-0005-0000-0000-000018AC0000}"/>
    <cellStyle name="Prosent 2 5 9 3" xfId="45656" xr:uid="{00000000-0005-0000-0000-000019AC0000}"/>
    <cellStyle name="Prosent 2 5_Ark1" xfId="14377" xr:uid="{00000000-0005-0000-0000-00001AAC0000}"/>
    <cellStyle name="Prosent 2 6" xfId="3139" xr:uid="{00000000-0005-0000-0000-00001BAC0000}"/>
    <cellStyle name="Prosent 2 6 2" xfId="14379" xr:uid="{00000000-0005-0000-0000-00001CAC0000}"/>
    <cellStyle name="Prosent 2 6 2 2" xfId="14380" xr:uid="{00000000-0005-0000-0000-00001DAC0000}"/>
    <cellStyle name="Prosent 2 6 2 2 2" xfId="18998" xr:uid="{00000000-0005-0000-0000-00001EAC0000}"/>
    <cellStyle name="Prosent 2 6 2 2 3" xfId="15581" xr:uid="{00000000-0005-0000-0000-00001FAC0000}"/>
    <cellStyle name="Prosent 2 6 2 2 3 2" xfId="27076" xr:uid="{00000000-0005-0000-0000-000020AC0000}"/>
    <cellStyle name="Prosent 2 6 2 2 3 2 2" xfId="42137" xr:uid="{00000000-0005-0000-0000-000021AC0000}"/>
    <cellStyle name="Prosent 2 6 2 2 3 3" xfId="45657" xr:uid="{00000000-0005-0000-0000-000022AC0000}"/>
    <cellStyle name="Prosent 2 6 2 2_Avviksanalyse løpende RNB15 (1)" xfId="17572" xr:uid="{00000000-0005-0000-0000-000023AC0000}"/>
    <cellStyle name="Prosent 2 6 3" xfId="14381" xr:uid="{00000000-0005-0000-0000-000024AC0000}"/>
    <cellStyle name="Prosent 2 6 3 2" xfId="14382" xr:uid="{00000000-0005-0000-0000-000025AC0000}"/>
    <cellStyle name="Prosent 2 6 3 2 2" xfId="18999" xr:uid="{00000000-0005-0000-0000-000026AC0000}"/>
    <cellStyle name="Prosent 2 6 3 2 3" xfId="15580" xr:uid="{00000000-0005-0000-0000-000027AC0000}"/>
    <cellStyle name="Prosent 2 6 3 2 3 2" xfId="27077" xr:uid="{00000000-0005-0000-0000-000028AC0000}"/>
    <cellStyle name="Prosent 2 6 3 2 3 2 2" xfId="42136" xr:uid="{00000000-0005-0000-0000-000029AC0000}"/>
    <cellStyle name="Prosent 2 6 3 2 3 3" xfId="45658" xr:uid="{00000000-0005-0000-0000-00002AAC0000}"/>
    <cellStyle name="Prosent 2 6 3 2_Avviksanalyse løpende RNB15 (1)" xfId="17573" xr:uid="{00000000-0005-0000-0000-00002BAC0000}"/>
    <cellStyle name="Prosent 2 6 4" xfId="14383" xr:uid="{00000000-0005-0000-0000-00002CAC0000}"/>
    <cellStyle name="Prosent 2 6 4 2" xfId="14384" xr:uid="{00000000-0005-0000-0000-00002DAC0000}"/>
    <cellStyle name="Prosent 2 6 4 2 2" xfId="19000" xr:uid="{00000000-0005-0000-0000-00002EAC0000}"/>
    <cellStyle name="Prosent 2 6 4 2 3" xfId="16233" xr:uid="{00000000-0005-0000-0000-00002FAC0000}"/>
    <cellStyle name="Prosent 2 6 4 2 3 2" xfId="27078" xr:uid="{00000000-0005-0000-0000-000030AC0000}"/>
    <cellStyle name="Prosent 2 6 4 2 3 2 2" xfId="42789" xr:uid="{00000000-0005-0000-0000-000031AC0000}"/>
    <cellStyle name="Prosent 2 6 4 2 3 3" xfId="45659" xr:uid="{00000000-0005-0000-0000-000032AC0000}"/>
    <cellStyle name="Prosent 2 6 4 2_Avviksanalyse løpende RNB15 (1)" xfId="17574" xr:uid="{00000000-0005-0000-0000-000033AC0000}"/>
    <cellStyle name="Prosent 2 6 5" xfId="15151" xr:uid="{00000000-0005-0000-0000-000034AC0000}"/>
    <cellStyle name="Prosent 2 6 5 2" xfId="27079" xr:uid="{00000000-0005-0000-0000-000035AC0000}"/>
    <cellStyle name="Prosent 2 6 5 2 2" xfId="41708" xr:uid="{00000000-0005-0000-0000-000036AC0000}"/>
    <cellStyle name="Prosent 2 6 5 3" xfId="45660" xr:uid="{00000000-0005-0000-0000-000037AC0000}"/>
    <cellStyle name="Prosent 2 6 6" xfId="15435" xr:uid="{00000000-0005-0000-0000-000038AC0000}"/>
    <cellStyle name="Prosent 2 6 6 2" xfId="27080" xr:uid="{00000000-0005-0000-0000-000039AC0000}"/>
    <cellStyle name="Prosent 2 6 6 2 2" xfId="41991" xr:uid="{00000000-0005-0000-0000-00003AAC0000}"/>
    <cellStyle name="Prosent 2 6 6 3" xfId="45661" xr:uid="{00000000-0005-0000-0000-00003BAC0000}"/>
    <cellStyle name="Prosent 2 6 7" xfId="19372" xr:uid="{00000000-0005-0000-0000-00003CAC0000}"/>
    <cellStyle name="Prosent 2 6 7 2" xfId="27081" xr:uid="{00000000-0005-0000-0000-00003DAC0000}"/>
    <cellStyle name="Prosent 2 6 7 2 2" xfId="43127" xr:uid="{00000000-0005-0000-0000-00003EAC0000}"/>
    <cellStyle name="Prosent 2 6 7 3" xfId="45662" xr:uid="{00000000-0005-0000-0000-00003FAC0000}"/>
    <cellStyle name="Prosent 2 6 8" xfId="15136" xr:uid="{00000000-0005-0000-0000-000040AC0000}"/>
    <cellStyle name="Prosent 2 6 8 2" xfId="27082" xr:uid="{00000000-0005-0000-0000-000041AC0000}"/>
    <cellStyle name="Prosent 2 6 8 2 2" xfId="41694" xr:uid="{00000000-0005-0000-0000-000042AC0000}"/>
    <cellStyle name="Prosent 2 6 8 3" xfId="45663" xr:uid="{00000000-0005-0000-0000-000043AC0000}"/>
    <cellStyle name="Prosent 2 6 9" xfId="14378" xr:uid="{00000000-0005-0000-0000-000044AC0000}"/>
    <cellStyle name="Prosent 2 6_Ark1" xfId="14385" xr:uid="{00000000-0005-0000-0000-000045AC0000}"/>
    <cellStyle name="Prosent 2 7" xfId="3140" xr:uid="{00000000-0005-0000-0000-000046AC0000}"/>
    <cellStyle name="Prosent 2 7 2" xfId="14387" xr:uid="{00000000-0005-0000-0000-000047AC0000}"/>
    <cellStyle name="Prosent 2 7 2 2" xfId="14388" xr:uid="{00000000-0005-0000-0000-000048AC0000}"/>
    <cellStyle name="Prosent 2 7 2 2 2" xfId="19001" xr:uid="{00000000-0005-0000-0000-000049AC0000}"/>
    <cellStyle name="Prosent 2 7 2 2 3" xfId="15583" xr:uid="{00000000-0005-0000-0000-00004AAC0000}"/>
    <cellStyle name="Prosent 2 7 2 2 3 2" xfId="27083" xr:uid="{00000000-0005-0000-0000-00004BAC0000}"/>
    <cellStyle name="Prosent 2 7 2 2 3 2 2" xfId="42139" xr:uid="{00000000-0005-0000-0000-00004CAC0000}"/>
    <cellStyle name="Prosent 2 7 2 2 3 3" xfId="45664" xr:uid="{00000000-0005-0000-0000-00004DAC0000}"/>
    <cellStyle name="Prosent 2 7 2 2_Avviksanalyse løpende RNB15 (1)" xfId="17575" xr:uid="{00000000-0005-0000-0000-00004EAC0000}"/>
    <cellStyle name="Prosent 2 7 3" xfId="14389" xr:uid="{00000000-0005-0000-0000-00004FAC0000}"/>
    <cellStyle name="Prosent 2 7 3 2" xfId="14390" xr:uid="{00000000-0005-0000-0000-000050AC0000}"/>
    <cellStyle name="Prosent 2 7 3 2 2" xfId="19002" xr:uid="{00000000-0005-0000-0000-000051AC0000}"/>
    <cellStyle name="Prosent 2 7 3 2 3" xfId="15582" xr:uid="{00000000-0005-0000-0000-000052AC0000}"/>
    <cellStyle name="Prosent 2 7 3 2 3 2" xfId="27084" xr:uid="{00000000-0005-0000-0000-000053AC0000}"/>
    <cellStyle name="Prosent 2 7 3 2 3 2 2" xfId="42138" xr:uid="{00000000-0005-0000-0000-000054AC0000}"/>
    <cellStyle name="Prosent 2 7 3 2 3 3" xfId="45665" xr:uid="{00000000-0005-0000-0000-000055AC0000}"/>
    <cellStyle name="Prosent 2 7 3 2_Avviksanalyse løpende RNB15 (1)" xfId="17576" xr:uid="{00000000-0005-0000-0000-000056AC0000}"/>
    <cellStyle name="Prosent 2 7 4" xfId="14391" xr:uid="{00000000-0005-0000-0000-000057AC0000}"/>
    <cellStyle name="Prosent 2 7 4 2" xfId="14392" xr:uid="{00000000-0005-0000-0000-000058AC0000}"/>
    <cellStyle name="Prosent 2 7 4 2 2" xfId="19003" xr:uid="{00000000-0005-0000-0000-000059AC0000}"/>
    <cellStyle name="Prosent 2 7 4 2 3" xfId="16234" xr:uid="{00000000-0005-0000-0000-00005AAC0000}"/>
    <cellStyle name="Prosent 2 7 4 2 3 2" xfId="27085" xr:uid="{00000000-0005-0000-0000-00005BAC0000}"/>
    <cellStyle name="Prosent 2 7 4 2 3 2 2" xfId="42790" xr:uid="{00000000-0005-0000-0000-00005CAC0000}"/>
    <cellStyle name="Prosent 2 7 4 2 3 3" xfId="45666" xr:uid="{00000000-0005-0000-0000-00005DAC0000}"/>
    <cellStyle name="Prosent 2 7 4 2_Avviksanalyse løpende RNB15 (1)" xfId="17577" xr:uid="{00000000-0005-0000-0000-00005EAC0000}"/>
    <cellStyle name="Prosent 2 7 5" xfId="14393" xr:uid="{00000000-0005-0000-0000-00005FAC0000}"/>
    <cellStyle name="Prosent 2 7 5 2" xfId="19004" xr:uid="{00000000-0005-0000-0000-000060AC0000}"/>
    <cellStyle name="Prosent 2 7 5 3" xfId="15473" xr:uid="{00000000-0005-0000-0000-000061AC0000}"/>
    <cellStyle name="Prosent 2 7 5 3 2" xfId="27086" xr:uid="{00000000-0005-0000-0000-000062AC0000}"/>
    <cellStyle name="Prosent 2 7 5 3 2 2" xfId="42029" xr:uid="{00000000-0005-0000-0000-000063AC0000}"/>
    <cellStyle name="Prosent 2 7 5 3 3" xfId="45667" xr:uid="{00000000-0005-0000-0000-000064AC0000}"/>
    <cellStyle name="Prosent 2 7 5_Avviksanalyse løpende RNB15 (1)" xfId="17578" xr:uid="{00000000-0005-0000-0000-000065AC0000}"/>
    <cellStyle name="Prosent 2 7 6" xfId="14386" xr:uid="{00000000-0005-0000-0000-000066AC0000}"/>
    <cellStyle name="Prosent 2 8" xfId="3141" xr:uid="{00000000-0005-0000-0000-000067AC0000}"/>
    <cellStyle name="Prosent 2 8 2" xfId="14395" xr:uid="{00000000-0005-0000-0000-000068AC0000}"/>
    <cellStyle name="Prosent 2 8 2 2" xfId="14396" xr:uid="{00000000-0005-0000-0000-000069AC0000}"/>
    <cellStyle name="Prosent 2 8 2 2 2" xfId="19005" xr:uid="{00000000-0005-0000-0000-00006AAC0000}"/>
    <cellStyle name="Prosent 2 8 2 2 3" xfId="15585" xr:uid="{00000000-0005-0000-0000-00006BAC0000}"/>
    <cellStyle name="Prosent 2 8 2 2 3 2" xfId="27087" xr:uid="{00000000-0005-0000-0000-00006CAC0000}"/>
    <cellStyle name="Prosent 2 8 2 2 3 2 2" xfId="42141" xr:uid="{00000000-0005-0000-0000-00006DAC0000}"/>
    <cellStyle name="Prosent 2 8 2 2 3 3" xfId="45668" xr:uid="{00000000-0005-0000-0000-00006EAC0000}"/>
    <cellStyle name="Prosent 2 8 2 2_Avviksanalyse løpende RNB15 (1)" xfId="17579" xr:uid="{00000000-0005-0000-0000-00006FAC0000}"/>
    <cellStyle name="Prosent 2 8 3" xfId="14397" xr:uid="{00000000-0005-0000-0000-000070AC0000}"/>
    <cellStyle name="Prosent 2 8 3 2" xfId="14398" xr:uid="{00000000-0005-0000-0000-000071AC0000}"/>
    <cellStyle name="Prosent 2 8 3 2 2" xfId="19006" xr:uid="{00000000-0005-0000-0000-000072AC0000}"/>
    <cellStyle name="Prosent 2 8 3 2 3" xfId="15584" xr:uid="{00000000-0005-0000-0000-000073AC0000}"/>
    <cellStyle name="Prosent 2 8 3 2 3 2" xfId="27088" xr:uid="{00000000-0005-0000-0000-000074AC0000}"/>
    <cellStyle name="Prosent 2 8 3 2 3 2 2" xfId="42140" xr:uid="{00000000-0005-0000-0000-000075AC0000}"/>
    <cellStyle name="Prosent 2 8 3 2 3 3" xfId="45670" xr:uid="{00000000-0005-0000-0000-000076AC0000}"/>
    <cellStyle name="Prosent 2 8 3 2_Avviksanalyse løpende RNB15 (1)" xfId="17580" xr:uid="{00000000-0005-0000-0000-000077AC0000}"/>
    <cellStyle name="Prosent 2 8 4" xfId="14399" xr:uid="{00000000-0005-0000-0000-000078AC0000}"/>
    <cellStyle name="Prosent 2 8 4 2" xfId="14400" xr:uid="{00000000-0005-0000-0000-000079AC0000}"/>
    <cellStyle name="Prosent 2 8 4 2 2" xfId="19007" xr:uid="{00000000-0005-0000-0000-00007AAC0000}"/>
    <cellStyle name="Prosent 2 8 4 2 3" xfId="16235" xr:uid="{00000000-0005-0000-0000-00007BAC0000}"/>
    <cellStyle name="Prosent 2 8 4 2 3 2" xfId="27089" xr:uid="{00000000-0005-0000-0000-00007CAC0000}"/>
    <cellStyle name="Prosent 2 8 4 2 3 2 2" xfId="42791" xr:uid="{00000000-0005-0000-0000-00007DAC0000}"/>
    <cellStyle name="Prosent 2 8 4 2 3 3" xfId="45671" xr:uid="{00000000-0005-0000-0000-00007EAC0000}"/>
    <cellStyle name="Prosent 2 8 4 2_Avviksanalyse løpende RNB15 (1)" xfId="17581" xr:uid="{00000000-0005-0000-0000-00007FAC0000}"/>
    <cellStyle name="Prosent 2 8 5" xfId="14401" xr:uid="{00000000-0005-0000-0000-000080AC0000}"/>
    <cellStyle name="Prosent 2 8 5 2" xfId="19008" xr:uid="{00000000-0005-0000-0000-000081AC0000}"/>
    <cellStyle name="Prosent 2 8 5 3" xfId="15474" xr:uid="{00000000-0005-0000-0000-000082AC0000}"/>
    <cellStyle name="Prosent 2 8 5 3 2" xfId="27090" xr:uid="{00000000-0005-0000-0000-000083AC0000}"/>
    <cellStyle name="Prosent 2 8 5 3 2 2" xfId="42030" xr:uid="{00000000-0005-0000-0000-000084AC0000}"/>
    <cellStyle name="Prosent 2 8 5 3 3" xfId="45672" xr:uid="{00000000-0005-0000-0000-000085AC0000}"/>
    <cellStyle name="Prosent 2 8 5_Avviksanalyse løpende RNB15 (1)" xfId="17582" xr:uid="{00000000-0005-0000-0000-000086AC0000}"/>
    <cellStyle name="Prosent 2 8 6" xfId="14394" xr:uid="{00000000-0005-0000-0000-000087AC0000}"/>
    <cellStyle name="Prosent 2 9" xfId="3142" xr:uid="{00000000-0005-0000-0000-000088AC0000}"/>
    <cellStyle name="Prosent 2 9 2" xfId="14403" xr:uid="{00000000-0005-0000-0000-000089AC0000}"/>
    <cellStyle name="Prosent 2 9 2 2" xfId="14404" xr:uid="{00000000-0005-0000-0000-00008AAC0000}"/>
    <cellStyle name="Prosent 2 9 2 2 2" xfId="19009" xr:uid="{00000000-0005-0000-0000-00008BAC0000}"/>
    <cellStyle name="Prosent 2 9 2 2 3" xfId="15587" xr:uid="{00000000-0005-0000-0000-00008CAC0000}"/>
    <cellStyle name="Prosent 2 9 2 2 3 2" xfId="27091" xr:uid="{00000000-0005-0000-0000-00008DAC0000}"/>
    <cellStyle name="Prosent 2 9 2 2 3 2 2" xfId="42143" xr:uid="{00000000-0005-0000-0000-00008EAC0000}"/>
    <cellStyle name="Prosent 2 9 2 2 3 3" xfId="45673" xr:uid="{00000000-0005-0000-0000-00008FAC0000}"/>
    <cellStyle name="Prosent 2 9 2 2_Avviksanalyse løpende RNB15 (1)" xfId="17583" xr:uid="{00000000-0005-0000-0000-000090AC0000}"/>
    <cellStyle name="Prosent 2 9 3" xfId="14405" xr:uid="{00000000-0005-0000-0000-000091AC0000}"/>
    <cellStyle name="Prosent 2 9 3 2" xfId="14406" xr:uid="{00000000-0005-0000-0000-000092AC0000}"/>
    <cellStyle name="Prosent 2 9 3 2 2" xfId="19010" xr:uid="{00000000-0005-0000-0000-000093AC0000}"/>
    <cellStyle name="Prosent 2 9 3 2 3" xfId="15586" xr:uid="{00000000-0005-0000-0000-000094AC0000}"/>
    <cellStyle name="Prosent 2 9 3 2 3 2" xfId="27092" xr:uid="{00000000-0005-0000-0000-000095AC0000}"/>
    <cellStyle name="Prosent 2 9 3 2 3 2 2" xfId="42142" xr:uid="{00000000-0005-0000-0000-000096AC0000}"/>
    <cellStyle name="Prosent 2 9 3 2 3 3" xfId="45674" xr:uid="{00000000-0005-0000-0000-000097AC0000}"/>
    <cellStyle name="Prosent 2 9 3 2_Avviksanalyse løpende RNB15 (1)" xfId="17584" xr:uid="{00000000-0005-0000-0000-000098AC0000}"/>
    <cellStyle name="Prosent 2 9 4" xfId="14407" xr:uid="{00000000-0005-0000-0000-000099AC0000}"/>
    <cellStyle name="Prosent 2 9 4 2" xfId="14408" xr:uid="{00000000-0005-0000-0000-00009AAC0000}"/>
    <cellStyle name="Prosent 2 9 4 2 2" xfId="19011" xr:uid="{00000000-0005-0000-0000-00009BAC0000}"/>
    <cellStyle name="Prosent 2 9 4 2 3" xfId="16236" xr:uid="{00000000-0005-0000-0000-00009CAC0000}"/>
    <cellStyle name="Prosent 2 9 4 2 3 2" xfId="27093" xr:uid="{00000000-0005-0000-0000-00009DAC0000}"/>
    <cellStyle name="Prosent 2 9 4 2 3 2 2" xfId="42792" xr:uid="{00000000-0005-0000-0000-00009EAC0000}"/>
    <cellStyle name="Prosent 2 9 4 2 3 3" xfId="45675" xr:uid="{00000000-0005-0000-0000-00009FAC0000}"/>
    <cellStyle name="Prosent 2 9 4 2_Avviksanalyse løpende RNB15 (1)" xfId="17585" xr:uid="{00000000-0005-0000-0000-0000A0AC0000}"/>
    <cellStyle name="Prosent 2 9 5" xfId="14409" xr:uid="{00000000-0005-0000-0000-0000A1AC0000}"/>
    <cellStyle name="Prosent 2 9 5 2" xfId="19012" xr:uid="{00000000-0005-0000-0000-0000A2AC0000}"/>
    <cellStyle name="Prosent 2 9 5 3" xfId="15475" xr:uid="{00000000-0005-0000-0000-0000A3AC0000}"/>
    <cellStyle name="Prosent 2 9 5 3 2" xfId="27094" xr:uid="{00000000-0005-0000-0000-0000A4AC0000}"/>
    <cellStyle name="Prosent 2 9 5 3 2 2" xfId="42031" xr:uid="{00000000-0005-0000-0000-0000A5AC0000}"/>
    <cellStyle name="Prosent 2 9 5 3 3" xfId="45676" xr:uid="{00000000-0005-0000-0000-0000A6AC0000}"/>
    <cellStyle name="Prosent 2 9 5_Avviksanalyse løpende RNB15 (1)" xfId="17586" xr:uid="{00000000-0005-0000-0000-0000A7AC0000}"/>
    <cellStyle name="Prosent 2 9 6" xfId="14402" xr:uid="{00000000-0005-0000-0000-0000A8AC0000}"/>
    <cellStyle name="Prosent 2_Ark1" xfId="3678" xr:uid="{00000000-0005-0000-0000-0000A9AC0000}"/>
    <cellStyle name="Prosent 3" xfId="3143" xr:uid="{00000000-0005-0000-0000-0000AAAC0000}"/>
    <cellStyle name="Prosent 3 10" xfId="43447" xr:uid="{00000000-0005-0000-0000-0000ABAC0000}"/>
    <cellStyle name="Prosent 3 2" xfId="3144" xr:uid="{00000000-0005-0000-0000-0000ACAC0000}"/>
    <cellStyle name="Prosent 3 2 10" xfId="14411" xr:uid="{00000000-0005-0000-0000-0000ADAC0000}"/>
    <cellStyle name="Prosent 3 2 11" xfId="43454" xr:uid="{00000000-0005-0000-0000-0000AEAC0000}"/>
    <cellStyle name="Prosent 3 2 2" xfId="3145" xr:uid="{00000000-0005-0000-0000-0000AFAC0000}"/>
    <cellStyle name="Prosent 3 2 2 2" xfId="14413" xr:uid="{00000000-0005-0000-0000-0000B0AC0000}"/>
    <cellStyle name="Prosent 3 2 2 2 2" xfId="14414" xr:uid="{00000000-0005-0000-0000-0000B1AC0000}"/>
    <cellStyle name="Prosent 3 2 2 2 2 2" xfId="19013" xr:uid="{00000000-0005-0000-0000-0000B2AC0000}"/>
    <cellStyle name="Prosent 3 2 2 2 2 3" xfId="16239" xr:uid="{00000000-0005-0000-0000-0000B3AC0000}"/>
    <cellStyle name="Prosent 3 2 2 2 2 3 2" xfId="27095" xr:uid="{00000000-0005-0000-0000-0000B4AC0000}"/>
    <cellStyle name="Prosent 3 2 2 2 2 3 2 2" xfId="42795" xr:uid="{00000000-0005-0000-0000-0000B5AC0000}"/>
    <cellStyle name="Prosent 3 2 2 2 2 3 3" xfId="45677" xr:uid="{00000000-0005-0000-0000-0000B6AC0000}"/>
    <cellStyle name="Prosent 3 2 2 2 2_Avviksanalyse løpende RNB15 (1)" xfId="17587" xr:uid="{00000000-0005-0000-0000-0000B7AC0000}"/>
    <cellStyle name="Prosent 3 2 2 3" xfId="14415" xr:uid="{00000000-0005-0000-0000-0000B8AC0000}"/>
    <cellStyle name="Prosent 3 2 2 3 2" xfId="19014" xr:uid="{00000000-0005-0000-0000-0000B9AC0000}"/>
    <cellStyle name="Prosent 3 2 2 3 3" xfId="15478" xr:uid="{00000000-0005-0000-0000-0000BAAC0000}"/>
    <cellStyle name="Prosent 3 2 2 3 3 2" xfId="27096" xr:uid="{00000000-0005-0000-0000-0000BBAC0000}"/>
    <cellStyle name="Prosent 3 2 2 3 3 2 2" xfId="42034" xr:uid="{00000000-0005-0000-0000-0000BCAC0000}"/>
    <cellStyle name="Prosent 3 2 2 3 3 3" xfId="45678" xr:uid="{00000000-0005-0000-0000-0000BDAC0000}"/>
    <cellStyle name="Prosent 3 2 2 3_Avviksanalyse løpende RNB15 (1)" xfId="17588" xr:uid="{00000000-0005-0000-0000-0000BEAC0000}"/>
    <cellStyle name="Prosent 3 2 2 4" xfId="14412" xr:uid="{00000000-0005-0000-0000-0000BFAC0000}"/>
    <cellStyle name="Prosent 3 2 3" xfId="3146" xr:uid="{00000000-0005-0000-0000-0000C0AC0000}"/>
    <cellStyle name="Prosent 3 2 3 2" xfId="3147" xr:uid="{00000000-0005-0000-0000-0000C1AC0000}"/>
    <cellStyle name="Prosent 3 2 3 2 2" xfId="14418" xr:uid="{00000000-0005-0000-0000-0000C2AC0000}"/>
    <cellStyle name="Prosent 3 2 3 2 2 2" xfId="14419" xr:uid="{00000000-0005-0000-0000-0000C3AC0000}"/>
    <cellStyle name="Prosent 3 2 3 2 2 2 2" xfId="19015" xr:uid="{00000000-0005-0000-0000-0000C4AC0000}"/>
    <cellStyle name="Prosent 3 2 3 2 2 2 3" xfId="16241" xr:uid="{00000000-0005-0000-0000-0000C5AC0000}"/>
    <cellStyle name="Prosent 3 2 3 2 2 2 3 2" xfId="27097" xr:uid="{00000000-0005-0000-0000-0000C6AC0000}"/>
    <cellStyle name="Prosent 3 2 3 2 2 2 3 2 2" xfId="42797" xr:uid="{00000000-0005-0000-0000-0000C7AC0000}"/>
    <cellStyle name="Prosent 3 2 3 2 2 2 3 3" xfId="45679" xr:uid="{00000000-0005-0000-0000-0000C8AC0000}"/>
    <cellStyle name="Prosent 3 2 3 2 2 2_Avviksanalyse løpende RNB15 (1)" xfId="17589" xr:uid="{00000000-0005-0000-0000-0000C9AC0000}"/>
    <cellStyle name="Prosent 3 2 3 2 3" xfId="14420" xr:uid="{00000000-0005-0000-0000-0000CAAC0000}"/>
    <cellStyle name="Prosent 3 2 3 2 3 2" xfId="19016" xr:uid="{00000000-0005-0000-0000-0000CBAC0000}"/>
    <cellStyle name="Prosent 3 2 3 2 3 3" xfId="15769" xr:uid="{00000000-0005-0000-0000-0000CCAC0000}"/>
    <cellStyle name="Prosent 3 2 3 2 3 3 2" xfId="27098" xr:uid="{00000000-0005-0000-0000-0000CDAC0000}"/>
    <cellStyle name="Prosent 3 2 3 2 3 3 2 2" xfId="42325" xr:uid="{00000000-0005-0000-0000-0000CEAC0000}"/>
    <cellStyle name="Prosent 3 2 3 2 3 3 3" xfId="45680" xr:uid="{00000000-0005-0000-0000-0000CFAC0000}"/>
    <cellStyle name="Prosent 3 2 3 2 3_Avviksanalyse løpende RNB15 (1)" xfId="17590" xr:uid="{00000000-0005-0000-0000-0000D0AC0000}"/>
    <cellStyle name="Prosent 3 2 3 2 4" xfId="14417" xr:uid="{00000000-0005-0000-0000-0000D1AC0000}"/>
    <cellStyle name="Prosent 3 2 3 3" xfId="14421" xr:uid="{00000000-0005-0000-0000-0000D2AC0000}"/>
    <cellStyle name="Prosent 3 2 3 3 2" xfId="14422" xr:uid="{00000000-0005-0000-0000-0000D3AC0000}"/>
    <cellStyle name="Prosent 3 2 3 3 2 2" xfId="19017" xr:uid="{00000000-0005-0000-0000-0000D4AC0000}"/>
    <cellStyle name="Prosent 3 2 3 3 2 3" xfId="16240" xr:uid="{00000000-0005-0000-0000-0000D5AC0000}"/>
    <cellStyle name="Prosent 3 2 3 3 2 3 2" xfId="27099" xr:uid="{00000000-0005-0000-0000-0000D6AC0000}"/>
    <cellStyle name="Prosent 3 2 3 3 2 3 2 2" xfId="42796" xr:uid="{00000000-0005-0000-0000-0000D7AC0000}"/>
    <cellStyle name="Prosent 3 2 3 3 2 3 3" xfId="45681" xr:uid="{00000000-0005-0000-0000-0000D8AC0000}"/>
    <cellStyle name="Prosent 3 2 3 3 2_Avviksanalyse løpende RNB15 (1)" xfId="17591" xr:uid="{00000000-0005-0000-0000-0000D9AC0000}"/>
    <cellStyle name="Prosent 3 2 3 4" xfId="14423" xr:uid="{00000000-0005-0000-0000-0000DAAC0000}"/>
    <cellStyle name="Prosent 3 2 3 4 2" xfId="19018" xr:uid="{00000000-0005-0000-0000-0000DBAC0000}"/>
    <cellStyle name="Prosent 3 2 3 4 3" xfId="15768" xr:uid="{00000000-0005-0000-0000-0000DCAC0000}"/>
    <cellStyle name="Prosent 3 2 3 4 3 2" xfId="27100" xr:uid="{00000000-0005-0000-0000-0000DDAC0000}"/>
    <cellStyle name="Prosent 3 2 3 4 3 2 2" xfId="42324" xr:uid="{00000000-0005-0000-0000-0000DEAC0000}"/>
    <cellStyle name="Prosent 3 2 3 4 3 3" xfId="45682" xr:uid="{00000000-0005-0000-0000-0000DFAC0000}"/>
    <cellStyle name="Prosent 3 2 3 4_Avviksanalyse løpende RNB15 (1)" xfId="17592" xr:uid="{00000000-0005-0000-0000-0000E0AC0000}"/>
    <cellStyle name="Prosent 3 2 3 5" xfId="14416" xr:uid="{00000000-0005-0000-0000-0000E1AC0000}"/>
    <cellStyle name="Prosent 3 2 4" xfId="3679" xr:uid="{00000000-0005-0000-0000-0000E2AC0000}"/>
    <cellStyle name="Prosent 3 2 4 2" xfId="14425" xr:uid="{00000000-0005-0000-0000-0000E3AC0000}"/>
    <cellStyle name="Prosent 3 2 4 2 2" xfId="19019" xr:uid="{00000000-0005-0000-0000-0000E4AC0000}"/>
    <cellStyle name="Prosent 3 2 4 2 3" xfId="16238" xr:uid="{00000000-0005-0000-0000-0000E5AC0000}"/>
    <cellStyle name="Prosent 3 2 4 2 3 2" xfId="27101" xr:uid="{00000000-0005-0000-0000-0000E6AC0000}"/>
    <cellStyle name="Prosent 3 2 4 2 3 2 2" xfId="42794" xr:uid="{00000000-0005-0000-0000-0000E7AC0000}"/>
    <cellStyle name="Prosent 3 2 4 2 3 3" xfId="45683" xr:uid="{00000000-0005-0000-0000-0000E8AC0000}"/>
    <cellStyle name="Prosent 3 2 4 2_Avviksanalyse løpende RNB15 (1)" xfId="17593" xr:uid="{00000000-0005-0000-0000-0000E9AC0000}"/>
    <cellStyle name="Prosent 3 2 4 3" xfId="14424" xr:uid="{00000000-0005-0000-0000-0000EAAC0000}"/>
    <cellStyle name="Prosent 3 2 5" xfId="14426" xr:uid="{00000000-0005-0000-0000-0000EBAC0000}"/>
    <cellStyle name="Prosent 3 2 5 2" xfId="19020" xr:uid="{00000000-0005-0000-0000-0000ECAC0000}"/>
    <cellStyle name="Prosent 3 2 5 3" xfId="15477" xr:uid="{00000000-0005-0000-0000-0000EDAC0000}"/>
    <cellStyle name="Prosent 3 2 5 3 2" xfId="27102" xr:uid="{00000000-0005-0000-0000-0000EEAC0000}"/>
    <cellStyle name="Prosent 3 2 5 3 2 2" xfId="42033" xr:uid="{00000000-0005-0000-0000-0000EFAC0000}"/>
    <cellStyle name="Prosent 3 2 5 3 3" xfId="45684" xr:uid="{00000000-0005-0000-0000-0000F0AC0000}"/>
    <cellStyle name="Prosent 3 2 5_Avviksanalyse løpende RNB15 (1)" xfId="17594" xr:uid="{00000000-0005-0000-0000-0000F1AC0000}"/>
    <cellStyle name="Prosent 3 2 6" xfId="15152" xr:uid="{00000000-0005-0000-0000-0000F2AC0000}"/>
    <cellStyle name="Prosent 3 2 6 2" xfId="27103" xr:uid="{00000000-0005-0000-0000-0000F3AC0000}"/>
    <cellStyle name="Prosent 3 2 6 2 2" xfId="41709" xr:uid="{00000000-0005-0000-0000-0000F4AC0000}"/>
    <cellStyle name="Prosent 3 2 6 3" xfId="45685" xr:uid="{00000000-0005-0000-0000-0000F5AC0000}"/>
    <cellStyle name="Prosent 3 2 7" xfId="15434" xr:uid="{00000000-0005-0000-0000-0000F6AC0000}"/>
    <cellStyle name="Prosent 3 2 7 2" xfId="27104" xr:uid="{00000000-0005-0000-0000-0000F7AC0000}"/>
    <cellStyle name="Prosent 3 2 7 2 2" xfId="41990" xr:uid="{00000000-0005-0000-0000-0000F8AC0000}"/>
    <cellStyle name="Prosent 3 2 7 3" xfId="45686" xr:uid="{00000000-0005-0000-0000-0000F9AC0000}"/>
    <cellStyle name="Prosent 3 2 8" xfId="19379" xr:uid="{00000000-0005-0000-0000-0000FAAC0000}"/>
    <cellStyle name="Prosent 3 2 8 2" xfId="27105" xr:uid="{00000000-0005-0000-0000-0000FBAC0000}"/>
    <cellStyle name="Prosent 3 2 8 2 2" xfId="43134" xr:uid="{00000000-0005-0000-0000-0000FCAC0000}"/>
    <cellStyle name="Prosent 3 2 8 3" xfId="45687" xr:uid="{00000000-0005-0000-0000-0000FDAC0000}"/>
    <cellStyle name="Prosent 3 2 9" xfId="15170" xr:uid="{00000000-0005-0000-0000-0000FEAC0000}"/>
    <cellStyle name="Prosent 3 2 9 2" xfId="27106" xr:uid="{00000000-0005-0000-0000-0000FFAC0000}"/>
    <cellStyle name="Prosent 3 2 9 2 2" xfId="41726" xr:uid="{00000000-0005-0000-0000-000000AD0000}"/>
    <cellStyle name="Prosent 3 2 9 3" xfId="45688" xr:uid="{00000000-0005-0000-0000-000001AD0000}"/>
    <cellStyle name="Prosent 3 2_Ark1" xfId="14427" xr:uid="{00000000-0005-0000-0000-000002AD0000}"/>
    <cellStyle name="Prosent 3 3" xfId="3148" xr:uid="{00000000-0005-0000-0000-000003AD0000}"/>
    <cellStyle name="Prosent 3 3 2" xfId="3149" xr:uid="{00000000-0005-0000-0000-000004AD0000}"/>
    <cellStyle name="Prosent 3 3 2 2" xfId="14430" xr:uid="{00000000-0005-0000-0000-000005AD0000}"/>
    <cellStyle name="Prosent 3 3 2 2 2" xfId="19021" xr:uid="{00000000-0005-0000-0000-000006AD0000}"/>
    <cellStyle name="Prosent 3 3 2 2 3" xfId="16406" xr:uid="{00000000-0005-0000-0000-000007AD0000}"/>
    <cellStyle name="Prosent 3 3 2 2 3 2" xfId="27107" xr:uid="{00000000-0005-0000-0000-000008AD0000}"/>
    <cellStyle name="Prosent 3 3 2 2 3 2 2" xfId="42961" xr:uid="{00000000-0005-0000-0000-000009AD0000}"/>
    <cellStyle name="Prosent 3 3 2 2 3 3" xfId="45689" xr:uid="{00000000-0005-0000-0000-00000AAD0000}"/>
    <cellStyle name="Prosent 3 3 2 2_Avviksanalyse løpende RNB15 (1)" xfId="17595" xr:uid="{00000000-0005-0000-0000-00000BAD0000}"/>
    <cellStyle name="Prosent 3 3 2 3" xfId="14429" xr:uid="{00000000-0005-0000-0000-00000CAD0000}"/>
    <cellStyle name="Prosent 3 3 3" xfId="14431" xr:uid="{00000000-0005-0000-0000-00000DAD0000}"/>
    <cellStyle name="Prosent 3 3 3 2" xfId="14432" xr:uid="{00000000-0005-0000-0000-00000EAD0000}"/>
    <cellStyle name="Prosent 3 3 3 2 2" xfId="19022" xr:uid="{00000000-0005-0000-0000-00000FAD0000}"/>
    <cellStyle name="Prosent 3 3 3 2 3" xfId="16405" xr:uid="{00000000-0005-0000-0000-000010AD0000}"/>
    <cellStyle name="Prosent 3 3 3 2 3 2" xfId="27108" xr:uid="{00000000-0005-0000-0000-000011AD0000}"/>
    <cellStyle name="Prosent 3 3 3 2 3 2 2" xfId="42960" xr:uid="{00000000-0005-0000-0000-000012AD0000}"/>
    <cellStyle name="Prosent 3 3 3 2 3 3" xfId="45690" xr:uid="{00000000-0005-0000-0000-000013AD0000}"/>
    <cellStyle name="Prosent 3 3 3 2_Avviksanalyse løpende RNB15 (1)" xfId="17596" xr:uid="{00000000-0005-0000-0000-000014AD0000}"/>
    <cellStyle name="Prosent 3 3 4" xfId="14433" xr:uid="{00000000-0005-0000-0000-000015AD0000}"/>
    <cellStyle name="Prosent 3 3 4 2" xfId="19023" xr:uid="{00000000-0005-0000-0000-000016AD0000}"/>
    <cellStyle name="Prosent 3 3 4 3" xfId="16237" xr:uid="{00000000-0005-0000-0000-000017AD0000}"/>
    <cellStyle name="Prosent 3 3 4 3 2" xfId="27109" xr:uid="{00000000-0005-0000-0000-000018AD0000}"/>
    <cellStyle name="Prosent 3 3 4 3 2 2" xfId="42793" xr:uid="{00000000-0005-0000-0000-000019AD0000}"/>
    <cellStyle name="Prosent 3 3 4 3 3" xfId="45691" xr:uid="{00000000-0005-0000-0000-00001AAD0000}"/>
    <cellStyle name="Prosent 3 3 4_Avviksanalyse løpende RNB15 (1)" xfId="17597" xr:uid="{00000000-0005-0000-0000-00001BAD0000}"/>
    <cellStyle name="Prosent 3 3 5" xfId="14428" xr:uid="{00000000-0005-0000-0000-00001CAD0000}"/>
    <cellStyle name="Prosent 3 4" xfId="14434" xr:uid="{00000000-0005-0000-0000-00001DAD0000}"/>
    <cellStyle name="Prosent 3 4 2" xfId="14435" xr:uid="{00000000-0005-0000-0000-00001EAD0000}"/>
    <cellStyle name="Prosent 3 4 2 2" xfId="19024" xr:uid="{00000000-0005-0000-0000-00001FAD0000}"/>
    <cellStyle name="Prosent 3 4 2 3" xfId="15476" xr:uid="{00000000-0005-0000-0000-000020AD0000}"/>
    <cellStyle name="Prosent 3 4 2 3 2" xfId="27110" xr:uid="{00000000-0005-0000-0000-000021AD0000}"/>
    <cellStyle name="Prosent 3 4 2 3 2 2" xfId="42032" xr:uid="{00000000-0005-0000-0000-000022AD0000}"/>
    <cellStyle name="Prosent 3 4 2 3 3" xfId="45692" xr:uid="{00000000-0005-0000-0000-000023AD0000}"/>
    <cellStyle name="Prosent 3 4 2_Avviksanalyse løpende RNB15 (1)" xfId="17598" xr:uid="{00000000-0005-0000-0000-000024AD0000}"/>
    <cellStyle name="Prosent 3 5" xfId="15138" xr:uid="{00000000-0005-0000-0000-000025AD0000}"/>
    <cellStyle name="Prosent 3 5 2" xfId="27111" xr:uid="{00000000-0005-0000-0000-000026AD0000}"/>
    <cellStyle name="Prosent 3 5 2 2" xfId="41695" xr:uid="{00000000-0005-0000-0000-000027AD0000}"/>
    <cellStyle name="Prosent 3 5 3" xfId="45693" xr:uid="{00000000-0005-0000-0000-000028AD0000}"/>
    <cellStyle name="Prosent 3 6" xfId="15436" xr:uid="{00000000-0005-0000-0000-000029AD0000}"/>
    <cellStyle name="Prosent 3 6 2" xfId="27112" xr:uid="{00000000-0005-0000-0000-00002AAD0000}"/>
    <cellStyle name="Prosent 3 6 2 2" xfId="41992" xr:uid="{00000000-0005-0000-0000-00002BAD0000}"/>
    <cellStyle name="Prosent 3 6 3" xfId="45694" xr:uid="{00000000-0005-0000-0000-00002CAD0000}"/>
    <cellStyle name="Prosent 3 7" xfId="19373" xr:uid="{00000000-0005-0000-0000-00002DAD0000}"/>
    <cellStyle name="Prosent 3 7 2" xfId="27113" xr:uid="{00000000-0005-0000-0000-00002EAD0000}"/>
    <cellStyle name="Prosent 3 7 2 2" xfId="43128" xr:uid="{00000000-0005-0000-0000-00002FAD0000}"/>
    <cellStyle name="Prosent 3 7 3" xfId="45695" xr:uid="{00000000-0005-0000-0000-000030AD0000}"/>
    <cellStyle name="Prosent 3 8" xfId="15167" xr:uid="{00000000-0005-0000-0000-000031AD0000}"/>
    <cellStyle name="Prosent 3 8 2" xfId="27114" xr:uid="{00000000-0005-0000-0000-000032AD0000}"/>
    <cellStyle name="Prosent 3 8 2 2" xfId="41723" xr:uid="{00000000-0005-0000-0000-000033AD0000}"/>
    <cellStyle name="Prosent 3 8 3" xfId="45696" xr:uid="{00000000-0005-0000-0000-000034AD0000}"/>
    <cellStyle name="Prosent 3 9" xfId="14410" xr:uid="{00000000-0005-0000-0000-000035AD0000}"/>
    <cellStyle name="Prosent 3_Ark1" xfId="3680" xr:uid="{00000000-0005-0000-0000-000036AD0000}"/>
    <cellStyle name="Prosent 4" xfId="3150" xr:uid="{00000000-0005-0000-0000-000037AD0000}"/>
    <cellStyle name="Prosent 4 2" xfId="3151" xr:uid="{00000000-0005-0000-0000-000038AD0000}"/>
    <cellStyle name="Prosent 4 2 2" xfId="14438" xr:uid="{00000000-0005-0000-0000-000039AD0000}"/>
    <cellStyle name="Prosent 4 2 2 2" xfId="14439" xr:uid="{00000000-0005-0000-0000-00003AAD0000}"/>
    <cellStyle name="Prosent 4 2 2 2 2" xfId="19025" xr:uid="{00000000-0005-0000-0000-00003BAD0000}"/>
    <cellStyle name="Prosent 4 2 2 2 3" xfId="16243" xr:uid="{00000000-0005-0000-0000-00003CAD0000}"/>
    <cellStyle name="Prosent 4 2 2 2 3 2" xfId="27115" xr:uid="{00000000-0005-0000-0000-00003DAD0000}"/>
    <cellStyle name="Prosent 4 2 2 2 3 2 2" xfId="42799" xr:uid="{00000000-0005-0000-0000-00003EAD0000}"/>
    <cellStyle name="Prosent 4 2 2 2 3 3" xfId="45697" xr:uid="{00000000-0005-0000-0000-00003FAD0000}"/>
    <cellStyle name="Prosent 4 2 2 2_Avviksanalyse løpende RNB15 (1)" xfId="17599" xr:uid="{00000000-0005-0000-0000-000040AD0000}"/>
    <cellStyle name="Prosent 4 2 3" xfId="14440" xr:uid="{00000000-0005-0000-0000-000041AD0000}"/>
    <cellStyle name="Prosent 4 2 3 2" xfId="19026" xr:uid="{00000000-0005-0000-0000-000042AD0000}"/>
    <cellStyle name="Prosent 4 2 3 3" xfId="15480" xr:uid="{00000000-0005-0000-0000-000043AD0000}"/>
    <cellStyle name="Prosent 4 2 3 3 2" xfId="27116" xr:uid="{00000000-0005-0000-0000-000044AD0000}"/>
    <cellStyle name="Prosent 4 2 3 3 2 2" xfId="42036" xr:uid="{00000000-0005-0000-0000-000045AD0000}"/>
    <cellStyle name="Prosent 4 2 3 3 3" xfId="45698" xr:uid="{00000000-0005-0000-0000-000046AD0000}"/>
    <cellStyle name="Prosent 4 2 3_Avviksanalyse løpende RNB15 (1)" xfId="17600" xr:uid="{00000000-0005-0000-0000-000047AD0000}"/>
    <cellStyle name="Prosent 4 2 4" xfId="14437" xr:uid="{00000000-0005-0000-0000-000048AD0000}"/>
    <cellStyle name="Prosent 4 3" xfId="3152" xr:uid="{00000000-0005-0000-0000-000049AD0000}"/>
    <cellStyle name="Prosent 4 3 2" xfId="3153" xr:uid="{00000000-0005-0000-0000-00004AAD0000}"/>
    <cellStyle name="Prosent 4 3 2 2" xfId="14443" xr:uid="{00000000-0005-0000-0000-00004BAD0000}"/>
    <cellStyle name="Prosent 4 3 2 2 2" xfId="14444" xr:uid="{00000000-0005-0000-0000-00004CAD0000}"/>
    <cellStyle name="Prosent 4 3 2 2 2 2" xfId="19027" xr:uid="{00000000-0005-0000-0000-00004DAD0000}"/>
    <cellStyle name="Prosent 4 3 2 2 2 3" xfId="16245" xr:uid="{00000000-0005-0000-0000-00004EAD0000}"/>
    <cellStyle name="Prosent 4 3 2 2 2 3 2" xfId="27117" xr:uid="{00000000-0005-0000-0000-00004FAD0000}"/>
    <cellStyle name="Prosent 4 3 2 2 2 3 2 2" xfId="42801" xr:uid="{00000000-0005-0000-0000-000050AD0000}"/>
    <cellStyle name="Prosent 4 3 2 2 2 3 3" xfId="45699" xr:uid="{00000000-0005-0000-0000-000051AD0000}"/>
    <cellStyle name="Prosent 4 3 2 2 2_Avviksanalyse løpende RNB15 (1)" xfId="17601" xr:uid="{00000000-0005-0000-0000-000052AD0000}"/>
    <cellStyle name="Prosent 4 3 2 3" xfId="14445" xr:uid="{00000000-0005-0000-0000-000053AD0000}"/>
    <cellStyle name="Prosent 4 3 2 3 2" xfId="19028" xr:uid="{00000000-0005-0000-0000-000054AD0000}"/>
    <cellStyle name="Prosent 4 3 2 3 3" xfId="15482" xr:uid="{00000000-0005-0000-0000-000055AD0000}"/>
    <cellStyle name="Prosent 4 3 2 3 3 2" xfId="27118" xr:uid="{00000000-0005-0000-0000-000056AD0000}"/>
    <cellStyle name="Prosent 4 3 2 3 3 2 2" xfId="42038" xr:uid="{00000000-0005-0000-0000-000057AD0000}"/>
    <cellStyle name="Prosent 4 3 2 3 3 3" xfId="45700" xr:uid="{00000000-0005-0000-0000-000058AD0000}"/>
    <cellStyle name="Prosent 4 3 2 3_Avviksanalyse løpende RNB15 (1)" xfId="17602" xr:uid="{00000000-0005-0000-0000-000059AD0000}"/>
    <cellStyle name="Prosent 4 3 2 4" xfId="14442" xr:uid="{00000000-0005-0000-0000-00005AAD0000}"/>
    <cellStyle name="Prosent 4 3 3" xfId="3154" xr:uid="{00000000-0005-0000-0000-00005BAD0000}"/>
    <cellStyle name="Prosent 4 3 3 2" xfId="3155" xr:uid="{00000000-0005-0000-0000-00005CAD0000}"/>
    <cellStyle name="Prosent 4 3 3 2 2" xfId="14448" xr:uid="{00000000-0005-0000-0000-00005DAD0000}"/>
    <cellStyle name="Prosent 4 3 3 2 2 2" xfId="14449" xr:uid="{00000000-0005-0000-0000-00005EAD0000}"/>
    <cellStyle name="Prosent 4 3 3 2 2 2 2" xfId="19029" xr:uid="{00000000-0005-0000-0000-00005FAD0000}"/>
    <cellStyle name="Prosent 4 3 3 2 2 2 3" xfId="16247" xr:uid="{00000000-0005-0000-0000-000060AD0000}"/>
    <cellStyle name="Prosent 4 3 3 2 2 2 3 2" xfId="27119" xr:uid="{00000000-0005-0000-0000-000061AD0000}"/>
    <cellStyle name="Prosent 4 3 3 2 2 2 3 2 2" xfId="42803" xr:uid="{00000000-0005-0000-0000-000062AD0000}"/>
    <cellStyle name="Prosent 4 3 3 2 2 2 3 3" xfId="45701" xr:uid="{00000000-0005-0000-0000-000063AD0000}"/>
    <cellStyle name="Prosent 4 3 3 2 2 2_Avviksanalyse løpende RNB15 (1)" xfId="17603" xr:uid="{00000000-0005-0000-0000-000064AD0000}"/>
    <cellStyle name="Prosent 4 3 3 2 3" xfId="14450" xr:uid="{00000000-0005-0000-0000-000065AD0000}"/>
    <cellStyle name="Prosent 4 3 3 2 3 2" xfId="19030" xr:uid="{00000000-0005-0000-0000-000066AD0000}"/>
    <cellStyle name="Prosent 4 3 3 2 3 3" xfId="15484" xr:uid="{00000000-0005-0000-0000-000067AD0000}"/>
    <cellStyle name="Prosent 4 3 3 2 3 3 2" xfId="27120" xr:uid="{00000000-0005-0000-0000-000068AD0000}"/>
    <cellStyle name="Prosent 4 3 3 2 3 3 2 2" xfId="42040" xr:uid="{00000000-0005-0000-0000-000069AD0000}"/>
    <cellStyle name="Prosent 4 3 3 2 3 3 3" xfId="45702" xr:uid="{00000000-0005-0000-0000-00006AAD0000}"/>
    <cellStyle name="Prosent 4 3 3 2 3_Avviksanalyse løpende RNB15 (1)" xfId="17604" xr:uid="{00000000-0005-0000-0000-00006BAD0000}"/>
    <cellStyle name="Prosent 4 3 3 2 4" xfId="14447" xr:uid="{00000000-0005-0000-0000-00006CAD0000}"/>
    <cellStyle name="Prosent 4 3 3 3" xfId="14451" xr:uid="{00000000-0005-0000-0000-00006DAD0000}"/>
    <cellStyle name="Prosent 4 3 3 3 2" xfId="14452" xr:uid="{00000000-0005-0000-0000-00006EAD0000}"/>
    <cellStyle name="Prosent 4 3 3 3 2 2" xfId="19031" xr:uid="{00000000-0005-0000-0000-00006FAD0000}"/>
    <cellStyle name="Prosent 4 3 3 3 2 3" xfId="16246" xr:uid="{00000000-0005-0000-0000-000070AD0000}"/>
    <cellStyle name="Prosent 4 3 3 3 2 3 2" xfId="27121" xr:uid="{00000000-0005-0000-0000-000071AD0000}"/>
    <cellStyle name="Prosent 4 3 3 3 2 3 2 2" xfId="42802" xr:uid="{00000000-0005-0000-0000-000072AD0000}"/>
    <cellStyle name="Prosent 4 3 3 3 2 3 3" xfId="45703" xr:uid="{00000000-0005-0000-0000-000073AD0000}"/>
    <cellStyle name="Prosent 4 3 3 3 2_Avviksanalyse løpende RNB15 (1)" xfId="17605" xr:uid="{00000000-0005-0000-0000-000074AD0000}"/>
    <cellStyle name="Prosent 4 3 3 4" xfId="14453" xr:uid="{00000000-0005-0000-0000-000075AD0000}"/>
    <cellStyle name="Prosent 4 3 3 4 2" xfId="19032" xr:uid="{00000000-0005-0000-0000-000076AD0000}"/>
    <cellStyle name="Prosent 4 3 3 4 3" xfId="15483" xr:uid="{00000000-0005-0000-0000-000077AD0000}"/>
    <cellStyle name="Prosent 4 3 3 4 3 2" xfId="27122" xr:uid="{00000000-0005-0000-0000-000078AD0000}"/>
    <cellStyle name="Prosent 4 3 3 4 3 2 2" xfId="42039" xr:uid="{00000000-0005-0000-0000-000079AD0000}"/>
    <cellStyle name="Prosent 4 3 3 4 3 3" xfId="45704" xr:uid="{00000000-0005-0000-0000-00007AAD0000}"/>
    <cellStyle name="Prosent 4 3 3 4_Avviksanalyse løpende RNB15 (1)" xfId="17606" xr:uid="{00000000-0005-0000-0000-00007BAD0000}"/>
    <cellStyle name="Prosent 4 3 3 5" xfId="14446" xr:uid="{00000000-0005-0000-0000-00007CAD0000}"/>
    <cellStyle name="Prosent 4 3 4" xfId="3156" xr:uid="{00000000-0005-0000-0000-00007DAD0000}"/>
    <cellStyle name="Prosent 4 3 4 2" xfId="3157" xr:uid="{00000000-0005-0000-0000-00007EAD0000}"/>
    <cellStyle name="Prosent 4 3 4 2 2" xfId="14456" xr:uid="{00000000-0005-0000-0000-00007FAD0000}"/>
    <cellStyle name="Prosent 4 3 4 2 2 2" xfId="14457" xr:uid="{00000000-0005-0000-0000-000080AD0000}"/>
    <cellStyle name="Prosent 4 3 4 2 2 2 2" xfId="19033" xr:uid="{00000000-0005-0000-0000-000081AD0000}"/>
    <cellStyle name="Prosent 4 3 4 2 2 2 3" xfId="16249" xr:uid="{00000000-0005-0000-0000-000082AD0000}"/>
    <cellStyle name="Prosent 4 3 4 2 2 2 3 2" xfId="27123" xr:uid="{00000000-0005-0000-0000-000083AD0000}"/>
    <cellStyle name="Prosent 4 3 4 2 2 2 3 2 2" xfId="42805" xr:uid="{00000000-0005-0000-0000-000084AD0000}"/>
    <cellStyle name="Prosent 4 3 4 2 2 2 3 3" xfId="45705" xr:uid="{00000000-0005-0000-0000-000085AD0000}"/>
    <cellStyle name="Prosent 4 3 4 2 2 2_Avviksanalyse løpende RNB15 (1)" xfId="17607" xr:uid="{00000000-0005-0000-0000-000086AD0000}"/>
    <cellStyle name="Prosent 4 3 4 2 3" xfId="14458" xr:uid="{00000000-0005-0000-0000-000087AD0000}"/>
    <cellStyle name="Prosent 4 3 4 2 3 2" xfId="19034" xr:uid="{00000000-0005-0000-0000-000088AD0000}"/>
    <cellStyle name="Prosent 4 3 4 2 3 3" xfId="15770" xr:uid="{00000000-0005-0000-0000-000089AD0000}"/>
    <cellStyle name="Prosent 4 3 4 2 3 3 2" xfId="27124" xr:uid="{00000000-0005-0000-0000-00008AAD0000}"/>
    <cellStyle name="Prosent 4 3 4 2 3 3 2 2" xfId="42326" xr:uid="{00000000-0005-0000-0000-00008BAD0000}"/>
    <cellStyle name="Prosent 4 3 4 2 3 3 3" xfId="45706" xr:uid="{00000000-0005-0000-0000-00008CAD0000}"/>
    <cellStyle name="Prosent 4 3 4 2 3_Avviksanalyse løpende RNB15 (1)" xfId="17608" xr:uid="{00000000-0005-0000-0000-00008DAD0000}"/>
    <cellStyle name="Prosent 4 3 4 2 4" xfId="14455" xr:uid="{00000000-0005-0000-0000-00008EAD0000}"/>
    <cellStyle name="Prosent 4 3 4 3" xfId="3158" xr:uid="{00000000-0005-0000-0000-00008FAD0000}"/>
    <cellStyle name="Prosent 4 3 4 3 2" xfId="14460" xr:uid="{00000000-0005-0000-0000-000090AD0000}"/>
    <cellStyle name="Prosent 4 3 4 3 2 2" xfId="14461" xr:uid="{00000000-0005-0000-0000-000091AD0000}"/>
    <cellStyle name="Prosent 4 3 4 3 2 2 2" xfId="19035" xr:uid="{00000000-0005-0000-0000-000092AD0000}"/>
    <cellStyle name="Prosent 4 3 4 3 2 2 3" xfId="16250" xr:uid="{00000000-0005-0000-0000-000093AD0000}"/>
    <cellStyle name="Prosent 4 3 4 3 2 2 3 2" xfId="27125" xr:uid="{00000000-0005-0000-0000-000094AD0000}"/>
    <cellStyle name="Prosent 4 3 4 3 2 2 3 2 2" xfId="42806" xr:uid="{00000000-0005-0000-0000-000095AD0000}"/>
    <cellStyle name="Prosent 4 3 4 3 2 2 3 3" xfId="45707" xr:uid="{00000000-0005-0000-0000-000096AD0000}"/>
    <cellStyle name="Prosent 4 3 4 3 2 2_Avviksanalyse løpende RNB15 (1)" xfId="17609" xr:uid="{00000000-0005-0000-0000-000097AD0000}"/>
    <cellStyle name="Prosent 4 3 4 3 3" xfId="14462" xr:uid="{00000000-0005-0000-0000-000098AD0000}"/>
    <cellStyle name="Prosent 4 3 4 3 3 2" xfId="19036" xr:uid="{00000000-0005-0000-0000-000099AD0000}"/>
    <cellStyle name="Prosent 4 3 4 3 3 3" xfId="15942" xr:uid="{00000000-0005-0000-0000-00009AAD0000}"/>
    <cellStyle name="Prosent 4 3 4 3 3 3 2" xfId="27126" xr:uid="{00000000-0005-0000-0000-00009BAD0000}"/>
    <cellStyle name="Prosent 4 3 4 3 3 3 2 2" xfId="42498" xr:uid="{00000000-0005-0000-0000-00009CAD0000}"/>
    <cellStyle name="Prosent 4 3 4 3 3 3 3" xfId="45708" xr:uid="{00000000-0005-0000-0000-00009DAD0000}"/>
    <cellStyle name="Prosent 4 3 4 3 3_Avviksanalyse løpende RNB15 (1)" xfId="17610" xr:uid="{00000000-0005-0000-0000-00009EAD0000}"/>
    <cellStyle name="Prosent 4 3 4 3 4" xfId="14459" xr:uid="{00000000-0005-0000-0000-00009FAD0000}"/>
    <cellStyle name="Prosent 4 3 4 4" xfId="14463" xr:uid="{00000000-0005-0000-0000-0000A0AD0000}"/>
    <cellStyle name="Prosent 4 3 4 4 2" xfId="14464" xr:uid="{00000000-0005-0000-0000-0000A1AD0000}"/>
    <cellStyle name="Prosent 4 3 4 4 2 2" xfId="19037" xr:uid="{00000000-0005-0000-0000-0000A2AD0000}"/>
    <cellStyle name="Prosent 4 3 4 4 2 3" xfId="16248" xr:uid="{00000000-0005-0000-0000-0000A3AD0000}"/>
    <cellStyle name="Prosent 4 3 4 4 2 3 2" xfId="27127" xr:uid="{00000000-0005-0000-0000-0000A4AD0000}"/>
    <cellStyle name="Prosent 4 3 4 4 2 3 2 2" xfId="42804" xr:uid="{00000000-0005-0000-0000-0000A5AD0000}"/>
    <cellStyle name="Prosent 4 3 4 4 2 3 3" xfId="45709" xr:uid="{00000000-0005-0000-0000-0000A6AD0000}"/>
    <cellStyle name="Prosent 4 3 4 4 2_Avviksanalyse løpende RNB15 (1)" xfId="17611" xr:uid="{00000000-0005-0000-0000-0000A7AD0000}"/>
    <cellStyle name="Prosent 4 3 4 5" xfId="14465" xr:uid="{00000000-0005-0000-0000-0000A8AD0000}"/>
    <cellStyle name="Prosent 4 3 4 5 2" xfId="19038" xr:uid="{00000000-0005-0000-0000-0000A9AD0000}"/>
    <cellStyle name="Prosent 4 3 4 5 3" xfId="15485" xr:uid="{00000000-0005-0000-0000-0000AAAD0000}"/>
    <cellStyle name="Prosent 4 3 4 5 3 2" xfId="27128" xr:uid="{00000000-0005-0000-0000-0000ABAD0000}"/>
    <cellStyle name="Prosent 4 3 4 5 3 2 2" xfId="42041" xr:uid="{00000000-0005-0000-0000-0000ACAD0000}"/>
    <cellStyle name="Prosent 4 3 4 5 3 3" xfId="45710" xr:uid="{00000000-0005-0000-0000-0000ADAD0000}"/>
    <cellStyle name="Prosent 4 3 4 5_Avviksanalyse løpende RNB15 (1)" xfId="17612" xr:uid="{00000000-0005-0000-0000-0000AEAD0000}"/>
    <cellStyle name="Prosent 4 3 4 6" xfId="14454" xr:uid="{00000000-0005-0000-0000-0000AFAD0000}"/>
    <cellStyle name="Prosent 4 3 5" xfId="3159" xr:uid="{00000000-0005-0000-0000-0000B0AD0000}"/>
    <cellStyle name="Prosent 4 3 5 2" xfId="3160" xr:uid="{00000000-0005-0000-0000-0000B1AD0000}"/>
    <cellStyle name="Prosent 4 3 5 2 2" xfId="14468" xr:uid="{00000000-0005-0000-0000-0000B2AD0000}"/>
    <cellStyle name="Prosent 4 3 5 2 2 2" xfId="14469" xr:uid="{00000000-0005-0000-0000-0000B3AD0000}"/>
    <cellStyle name="Prosent 4 3 5 2 2 2 2" xfId="19039" xr:uid="{00000000-0005-0000-0000-0000B4AD0000}"/>
    <cellStyle name="Prosent 4 3 5 2 2 2 3" xfId="16252" xr:uid="{00000000-0005-0000-0000-0000B5AD0000}"/>
    <cellStyle name="Prosent 4 3 5 2 2 2 3 2" xfId="27129" xr:uid="{00000000-0005-0000-0000-0000B6AD0000}"/>
    <cellStyle name="Prosent 4 3 5 2 2 2 3 2 2" xfId="42808" xr:uid="{00000000-0005-0000-0000-0000B7AD0000}"/>
    <cellStyle name="Prosent 4 3 5 2 2 2 3 3" xfId="45711" xr:uid="{00000000-0005-0000-0000-0000B8AD0000}"/>
    <cellStyle name="Prosent 4 3 5 2 2 2_Avviksanalyse løpende RNB15 (1)" xfId="17613" xr:uid="{00000000-0005-0000-0000-0000B9AD0000}"/>
    <cellStyle name="Prosent 4 3 5 2 3" xfId="14470" xr:uid="{00000000-0005-0000-0000-0000BAAD0000}"/>
    <cellStyle name="Prosent 4 3 5 2 3 2" xfId="19040" xr:uid="{00000000-0005-0000-0000-0000BBAD0000}"/>
    <cellStyle name="Prosent 4 3 5 2 3 3" xfId="15772" xr:uid="{00000000-0005-0000-0000-0000BCAD0000}"/>
    <cellStyle name="Prosent 4 3 5 2 3 3 2" xfId="27130" xr:uid="{00000000-0005-0000-0000-0000BDAD0000}"/>
    <cellStyle name="Prosent 4 3 5 2 3 3 2 2" xfId="42328" xr:uid="{00000000-0005-0000-0000-0000BEAD0000}"/>
    <cellStyle name="Prosent 4 3 5 2 3 3 3" xfId="45712" xr:uid="{00000000-0005-0000-0000-0000BFAD0000}"/>
    <cellStyle name="Prosent 4 3 5 2 3_Avviksanalyse løpende RNB15 (1)" xfId="17614" xr:uid="{00000000-0005-0000-0000-0000C0AD0000}"/>
    <cellStyle name="Prosent 4 3 5 2 4" xfId="14467" xr:uid="{00000000-0005-0000-0000-0000C1AD0000}"/>
    <cellStyle name="Prosent 4 3 5 3" xfId="14471" xr:uid="{00000000-0005-0000-0000-0000C2AD0000}"/>
    <cellStyle name="Prosent 4 3 5 3 2" xfId="14472" xr:uid="{00000000-0005-0000-0000-0000C3AD0000}"/>
    <cellStyle name="Prosent 4 3 5 3 2 2" xfId="19041" xr:uid="{00000000-0005-0000-0000-0000C4AD0000}"/>
    <cellStyle name="Prosent 4 3 5 3 2 3" xfId="16251" xr:uid="{00000000-0005-0000-0000-0000C5AD0000}"/>
    <cellStyle name="Prosent 4 3 5 3 2 3 2" xfId="27131" xr:uid="{00000000-0005-0000-0000-0000C6AD0000}"/>
    <cellStyle name="Prosent 4 3 5 3 2 3 2 2" xfId="42807" xr:uid="{00000000-0005-0000-0000-0000C7AD0000}"/>
    <cellStyle name="Prosent 4 3 5 3 2 3 3" xfId="45713" xr:uid="{00000000-0005-0000-0000-0000C8AD0000}"/>
    <cellStyle name="Prosent 4 3 5 3 2_Avviksanalyse løpende RNB15 (1)" xfId="17615" xr:uid="{00000000-0005-0000-0000-0000C9AD0000}"/>
    <cellStyle name="Prosent 4 3 5 4" xfId="14473" xr:uid="{00000000-0005-0000-0000-0000CAAD0000}"/>
    <cellStyle name="Prosent 4 3 5 4 2" xfId="19042" xr:uid="{00000000-0005-0000-0000-0000CBAD0000}"/>
    <cellStyle name="Prosent 4 3 5 4 3" xfId="15771" xr:uid="{00000000-0005-0000-0000-0000CCAD0000}"/>
    <cellStyle name="Prosent 4 3 5 4 3 2" xfId="27132" xr:uid="{00000000-0005-0000-0000-0000CDAD0000}"/>
    <cellStyle name="Prosent 4 3 5 4 3 2 2" xfId="42327" xr:uid="{00000000-0005-0000-0000-0000CEAD0000}"/>
    <cellStyle name="Prosent 4 3 5 4 3 3" xfId="45714" xr:uid="{00000000-0005-0000-0000-0000CFAD0000}"/>
    <cellStyle name="Prosent 4 3 5 4_Avviksanalyse løpende RNB15 (1)" xfId="17616" xr:uid="{00000000-0005-0000-0000-0000D0AD0000}"/>
    <cellStyle name="Prosent 4 3 5 5" xfId="14466" xr:uid="{00000000-0005-0000-0000-0000D1AD0000}"/>
    <cellStyle name="Prosent 4 3 6" xfId="14474" xr:uid="{00000000-0005-0000-0000-0000D2AD0000}"/>
    <cellStyle name="Prosent 4 3 6 2" xfId="14475" xr:uid="{00000000-0005-0000-0000-0000D3AD0000}"/>
    <cellStyle name="Prosent 4 3 6 2 2" xfId="19043" xr:uid="{00000000-0005-0000-0000-0000D4AD0000}"/>
    <cellStyle name="Prosent 4 3 6 2 3" xfId="16244" xr:uid="{00000000-0005-0000-0000-0000D5AD0000}"/>
    <cellStyle name="Prosent 4 3 6 2 3 2" xfId="27133" xr:uid="{00000000-0005-0000-0000-0000D6AD0000}"/>
    <cellStyle name="Prosent 4 3 6 2 3 2 2" xfId="42800" xr:uid="{00000000-0005-0000-0000-0000D7AD0000}"/>
    <cellStyle name="Prosent 4 3 6 2 3 3" xfId="45715" xr:uid="{00000000-0005-0000-0000-0000D8AD0000}"/>
    <cellStyle name="Prosent 4 3 6 2_Avviksanalyse løpende RNB15 (1)" xfId="17617" xr:uid="{00000000-0005-0000-0000-0000D9AD0000}"/>
    <cellStyle name="Prosent 4 3 7" xfId="14476" xr:uid="{00000000-0005-0000-0000-0000DAAD0000}"/>
    <cellStyle name="Prosent 4 3 7 2" xfId="19044" xr:uid="{00000000-0005-0000-0000-0000DBAD0000}"/>
    <cellStyle name="Prosent 4 3 7 3" xfId="15481" xr:uid="{00000000-0005-0000-0000-0000DCAD0000}"/>
    <cellStyle name="Prosent 4 3 7 3 2" xfId="27134" xr:uid="{00000000-0005-0000-0000-0000DDAD0000}"/>
    <cellStyle name="Prosent 4 3 7 3 2 2" xfId="42037" xr:uid="{00000000-0005-0000-0000-0000DEAD0000}"/>
    <cellStyle name="Prosent 4 3 7 3 3" xfId="45716" xr:uid="{00000000-0005-0000-0000-0000DFAD0000}"/>
    <cellStyle name="Prosent 4 3 7_Avviksanalyse løpende RNB15 (1)" xfId="17618" xr:uid="{00000000-0005-0000-0000-0000E0AD0000}"/>
    <cellStyle name="Prosent 4 3 8" xfId="14441" xr:uid="{00000000-0005-0000-0000-0000E1AD0000}"/>
    <cellStyle name="Prosent 4 4" xfId="3161" xr:uid="{00000000-0005-0000-0000-0000E2AD0000}"/>
    <cellStyle name="Prosent 4 4 2" xfId="14478" xr:uid="{00000000-0005-0000-0000-0000E3AD0000}"/>
    <cellStyle name="Prosent 4 4 2 2" xfId="14479" xr:uid="{00000000-0005-0000-0000-0000E4AD0000}"/>
    <cellStyle name="Prosent 4 4 2 2 2" xfId="19045" xr:uid="{00000000-0005-0000-0000-0000E5AD0000}"/>
    <cellStyle name="Prosent 4 4 2 2 3" xfId="16253" xr:uid="{00000000-0005-0000-0000-0000E6AD0000}"/>
    <cellStyle name="Prosent 4 4 2 2 3 2" xfId="27135" xr:uid="{00000000-0005-0000-0000-0000E7AD0000}"/>
    <cellStyle name="Prosent 4 4 2 2 3 2 2" xfId="42809" xr:uid="{00000000-0005-0000-0000-0000E8AD0000}"/>
    <cellStyle name="Prosent 4 4 2 2 3 3" xfId="45717" xr:uid="{00000000-0005-0000-0000-0000E9AD0000}"/>
    <cellStyle name="Prosent 4 4 2 2_Avviksanalyse løpende RNB15 (1)" xfId="17619" xr:uid="{00000000-0005-0000-0000-0000EAAD0000}"/>
    <cellStyle name="Prosent 4 4 3" xfId="14480" xr:uid="{00000000-0005-0000-0000-0000EBAD0000}"/>
    <cellStyle name="Prosent 4 4 3 2" xfId="19046" xr:uid="{00000000-0005-0000-0000-0000ECAD0000}"/>
    <cellStyle name="Prosent 4 4 3 3" xfId="15486" xr:uid="{00000000-0005-0000-0000-0000EDAD0000}"/>
    <cellStyle name="Prosent 4 4 3 3 2" xfId="27136" xr:uid="{00000000-0005-0000-0000-0000EEAD0000}"/>
    <cellStyle name="Prosent 4 4 3 3 2 2" xfId="42042" xr:uid="{00000000-0005-0000-0000-0000EFAD0000}"/>
    <cellStyle name="Prosent 4 4 3 3 3" xfId="45718" xr:uid="{00000000-0005-0000-0000-0000F0AD0000}"/>
    <cellStyle name="Prosent 4 4 3_Avviksanalyse løpende RNB15 (1)" xfId="17620" xr:uid="{00000000-0005-0000-0000-0000F1AD0000}"/>
    <cellStyle name="Prosent 4 4 4" xfId="14477" xr:uid="{00000000-0005-0000-0000-0000F2AD0000}"/>
    <cellStyle name="Prosent 4 5" xfId="3162" xr:uid="{00000000-0005-0000-0000-0000F3AD0000}"/>
    <cellStyle name="Prosent 4 5 2" xfId="3163" xr:uid="{00000000-0005-0000-0000-0000F4AD0000}"/>
    <cellStyle name="Prosent 4 5 2 2" xfId="14483" xr:uid="{00000000-0005-0000-0000-0000F5AD0000}"/>
    <cellStyle name="Prosent 4 5 2 2 2" xfId="14484" xr:uid="{00000000-0005-0000-0000-0000F6AD0000}"/>
    <cellStyle name="Prosent 4 5 2 2 2 2" xfId="19047" xr:uid="{00000000-0005-0000-0000-0000F7AD0000}"/>
    <cellStyle name="Prosent 4 5 2 2 2 3" xfId="16255" xr:uid="{00000000-0005-0000-0000-0000F8AD0000}"/>
    <cellStyle name="Prosent 4 5 2 2 2 3 2" xfId="27137" xr:uid="{00000000-0005-0000-0000-0000F9AD0000}"/>
    <cellStyle name="Prosent 4 5 2 2 2 3 2 2" xfId="42811" xr:uid="{00000000-0005-0000-0000-0000FAAD0000}"/>
    <cellStyle name="Prosent 4 5 2 2 2 3 3" xfId="45719" xr:uid="{00000000-0005-0000-0000-0000FBAD0000}"/>
    <cellStyle name="Prosent 4 5 2 2 2_Avviksanalyse løpende RNB15 (1)" xfId="17621" xr:uid="{00000000-0005-0000-0000-0000FCAD0000}"/>
    <cellStyle name="Prosent 4 5 2 3" xfId="14485" xr:uid="{00000000-0005-0000-0000-0000FDAD0000}"/>
    <cellStyle name="Prosent 4 5 2 3 2" xfId="19048" xr:uid="{00000000-0005-0000-0000-0000FEAD0000}"/>
    <cellStyle name="Prosent 4 5 2 3 3" xfId="15774" xr:uid="{00000000-0005-0000-0000-0000FFAD0000}"/>
    <cellStyle name="Prosent 4 5 2 3 3 2" xfId="27138" xr:uid="{00000000-0005-0000-0000-000000AE0000}"/>
    <cellStyle name="Prosent 4 5 2 3 3 2 2" xfId="42330" xr:uid="{00000000-0005-0000-0000-000001AE0000}"/>
    <cellStyle name="Prosent 4 5 2 3 3 3" xfId="45720" xr:uid="{00000000-0005-0000-0000-000002AE0000}"/>
    <cellStyle name="Prosent 4 5 2 3_Avviksanalyse løpende RNB15 (1)" xfId="17622" xr:uid="{00000000-0005-0000-0000-000003AE0000}"/>
    <cellStyle name="Prosent 4 5 2 4" xfId="14482" xr:uid="{00000000-0005-0000-0000-000004AE0000}"/>
    <cellStyle name="Prosent 4 5 3" xfId="14486" xr:uid="{00000000-0005-0000-0000-000005AE0000}"/>
    <cellStyle name="Prosent 4 5 3 2" xfId="14487" xr:uid="{00000000-0005-0000-0000-000006AE0000}"/>
    <cellStyle name="Prosent 4 5 3 2 2" xfId="19049" xr:uid="{00000000-0005-0000-0000-000007AE0000}"/>
    <cellStyle name="Prosent 4 5 3 2 3" xfId="16254" xr:uid="{00000000-0005-0000-0000-000008AE0000}"/>
    <cellStyle name="Prosent 4 5 3 2 3 2" xfId="27139" xr:uid="{00000000-0005-0000-0000-000009AE0000}"/>
    <cellStyle name="Prosent 4 5 3 2 3 2 2" xfId="42810" xr:uid="{00000000-0005-0000-0000-00000AAE0000}"/>
    <cellStyle name="Prosent 4 5 3 2 3 3" xfId="45721" xr:uid="{00000000-0005-0000-0000-00000BAE0000}"/>
    <cellStyle name="Prosent 4 5 3 2_Avviksanalyse løpende RNB15 (1)" xfId="17623" xr:uid="{00000000-0005-0000-0000-00000CAE0000}"/>
    <cellStyle name="Prosent 4 5 4" xfId="14488" xr:uid="{00000000-0005-0000-0000-00000DAE0000}"/>
    <cellStyle name="Prosent 4 5 4 2" xfId="19050" xr:uid="{00000000-0005-0000-0000-00000EAE0000}"/>
    <cellStyle name="Prosent 4 5 4 3" xfId="15773" xr:uid="{00000000-0005-0000-0000-00000FAE0000}"/>
    <cellStyle name="Prosent 4 5 4 3 2" xfId="27140" xr:uid="{00000000-0005-0000-0000-000010AE0000}"/>
    <cellStyle name="Prosent 4 5 4 3 2 2" xfId="42329" xr:uid="{00000000-0005-0000-0000-000011AE0000}"/>
    <cellStyle name="Prosent 4 5 4 3 3" xfId="45722" xr:uid="{00000000-0005-0000-0000-000012AE0000}"/>
    <cellStyle name="Prosent 4 5 4_Avviksanalyse løpende RNB15 (1)" xfId="17624" xr:uid="{00000000-0005-0000-0000-000013AE0000}"/>
    <cellStyle name="Prosent 4 5 5" xfId="14481" xr:uid="{00000000-0005-0000-0000-000014AE0000}"/>
    <cellStyle name="Prosent 4 6" xfId="14489" xr:uid="{00000000-0005-0000-0000-000015AE0000}"/>
    <cellStyle name="Prosent 4 6 2" xfId="14490" xr:uid="{00000000-0005-0000-0000-000016AE0000}"/>
    <cellStyle name="Prosent 4 6 2 2" xfId="19051" xr:uid="{00000000-0005-0000-0000-000017AE0000}"/>
    <cellStyle name="Prosent 4 6 2 3" xfId="16242" xr:uid="{00000000-0005-0000-0000-000018AE0000}"/>
    <cellStyle name="Prosent 4 6 2 3 2" xfId="27141" xr:uid="{00000000-0005-0000-0000-000019AE0000}"/>
    <cellStyle name="Prosent 4 6 2 3 2 2" xfId="42798" xr:uid="{00000000-0005-0000-0000-00001AAE0000}"/>
    <cellStyle name="Prosent 4 6 2 3 3" xfId="45723" xr:uid="{00000000-0005-0000-0000-00001BAE0000}"/>
    <cellStyle name="Prosent 4 6 2_Avviksanalyse løpende RNB15 (1)" xfId="17625" xr:uid="{00000000-0005-0000-0000-00001CAE0000}"/>
    <cellStyle name="Prosent 4 7" xfId="14491" xr:uid="{00000000-0005-0000-0000-00001DAE0000}"/>
    <cellStyle name="Prosent 4 7 2" xfId="19052" xr:uid="{00000000-0005-0000-0000-00001EAE0000}"/>
    <cellStyle name="Prosent 4 7 3" xfId="15479" xr:uid="{00000000-0005-0000-0000-00001FAE0000}"/>
    <cellStyle name="Prosent 4 7 3 2" xfId="27142" xr:uid="{00000000-0005-0000-0000-000020AE0000}"/>
    <cellStyle name="Prosent 4 7 3 2 2" xfId="42035" xr:uid="{00000000-0005-0000-0000-000021AE0000}"/>
    <cellStyle name="Prosent 4 7 3 3" xfId="45724" xr:uid="{00000000-0005-0000-0000-000022AE0000}"/>
    <cellStyle name="Prosent 4 7_Avviksanalyse løpende RNB15 (1)" xfId="17626" xr:uid="{00000000-0005-0000-0000-000023AE0000}"/>
    <cellStyle name="Prosent 4 8" xfId="14436" xr:uid="{00000000-0005-0000-0000-000024AE0000}"/>
    <cellStyle name="Prosent 5" xfId="3164" xr:uid="{00000000-0005-0000-0000-000025AE0000}"/>
    <cellStyle name="Prosent 5 2" xfId="14493" xr:uid="{00000000-0005-0000-0000-000026AE0000}"/>
    <cellStyle name="Prosent 5 2 2" xfId="14494" xr:uid="{00000000-0005-0000-0000-000027AE0000}"/>
    <cellStyle name="Prosent 5 2 2 2" xfId="19053" xr:uid="{00000000-0005-0000-0000-000028AE0000}"/>
    <cellStyle name="Prosent 5 2 2 3" xfId="16256" xr:uid="{00000000-0005-0000-0000-000029AE0000}"/>
    <cellStyle name="Prosent 5 2 2 3 2" xfId="27143" xr:uid="{00000000-0005-0000-0000-00002AAE0000}"/>
    <cellStyle name="Prosent 5 2 2 3 2 2" xfId="42812" xr:uid="{00000000-0005-0000-0000-00002BAE0000}"/>
    <cellStyle name="Prosent 5 2 2 3 3" xfId="45725" xr:uid="{00000000-0005-0000-0000-00002CAE0000}"/>
    <cellStyle name="Prosent 5 2 2_Avviksanalyse løpende RNB15 (1)" xfId="17627" xr:uid="{00000000-0005-0000-0000-00002DAE0000}"/>
    <cellStyle name="Prosent 5 3" xfId="14495" xr:uid="{00000000-0005-0000-0000-00002EAE0000}"/>
    <cellStyle name="Prosent 5 3 2" xfId="19054" xr:uid="{00000000-0005-0000-0000-00002FAE0000}"/>
    <cellStyle name="Prosent 5 3 3" xfId="15487" xr:uid="{00000000-0005-0000-0000-000030AE0000}"/>
    <cellStyle name="Prosent 5 3 3 2" xfId="27144" xr:uid="{00000000-0005-0000-0000-000031AE0000}"/>
    <cellStyle name="Prosent 5 3 3 2 2" xfId="42043" xr:uid="{00000000-0005-0000-0000-000032AE0000}"/>
    <cellStyle name="Prosent 5 3 3 3" xfId="45726" xr:uid="{00000000-0005-0000-0000-000033AE0000}"/>
    <cellStyle name="Prosent 5 3_Avviksanalyse løpende RNB15 (1)" xfId="17628" xr:uid="{00000000-0005-0000-0000-000034AE0000}"/>
    <cellStyle name="Prosent 5 4" xfId="14492" xr:uid="{00000000-0005-0000-0000-000035AE0000}"/>
    <cellStyle name="Prosent 6" xfId="3165" xr:uid="{00000000-0005-0000-0000-000036AE0000}"/>
    <cellStyle name="Prosent 6 2" xfId="14497" xr:uid="{00000000-0005-0000-0000-000037AE0000}"/>
    <cellStyle name="Prosent 6 2 2" xfId="14498" xr:uid="{00000000-0005-0000-0000-000038AE0000}"/>
    <cellStyle name="Prosent 6 2 2 2" xfId="19055" xr:uid="{00000000-0005-0000-0000-000039AE0000}"/>
    <cellStyle name="Prosent 6 2 2 3" xfId="16259" xr:uid="{00000000-0005-0000-0000-00003AAE0000}"/>
    <cellStyle name="Prosent 6 2 2 3 2" xfId="27145" xr:uid="{00000000-0005-0000-0000-00003BAE0000}"/>
    <cellStyle name="Prosent 6 2 2 3 2 2" xfId="42814" xr:uid="{00000000-0005-0000-0000-00003CAE0000}"/>
    <cellStyle name="Prosent 6 2 2 3 3" xfId="45727" xr:uid="{00000000-0005-0000-0000-00003DAE0000}"/>
    <cellStyle name="Prosent 6 2 2_Avviksanalyse løpende RNB15 (1)" xfId="17629" xr:uid="{00000000-0005-0000-0000-00003EAE0000}"/>
    <cellStyle name="Prosent 6 3" xfId="14499" xr:uid="{00000000-0005-0000-0000-00003FAE0000}"/>
    <cellStyle name="Prosent 6 3 2" xfId="19056" xr:uid="{00000000-0005-0000-0000-000040AE0000}"/>
    <cellStyle name="Prosent 6 3 3" xfId="15458" xr:uid="{00000000-0005-0000-0000-000041AE0000}"/>
    <cellStyle name="Prosent 6 3 3 2" xfId="27146" xr:uid="{00000000-0005-0000-0000-000042AE0000}"/>
    <cellStyle name="Prosent 6 3 3 2 2" xfId="42014" xr:uid="{00000000-0005-0000-0000-000043AE0000}"/>
    <cellStyle name="Prosent 6 3 3 3" xfId="45728" xr:uid="{00000000-0005-0000-0000-000044AE0000}"/>
    <cellStyle name="Prosent 6 3_Avviksanalyse løpende RNB15 (1)" xfId="17630" xr:uid="{00000000-0005-0000-0000-000045AE0000}"/>
    <cellStyle name="Prosent 6 4" xfId="14496" xr:uid="{00000000-0005-0000-0000-000046AE0000}"/>
    <cellStyle name="Prosent 7" xfId="3166" xr:uid="{00000000-0005-0000-0000-000047AE0000}"/>
    <cellStyle name="Prosent 7 2" xfId="3167" xr:uid="{00000000-0005-0000-0000-000048AE0000}"/>
    <cellStyle name="Prosent 7 2 2" xfId="14502" xr:uid="{00000000-0005-0000-0000-000049AE0000}"/>
    <cellStyle name="Prosent 7 2 2 2" xfId="19057" xr:uid="{00000000-0005-0000-0000-00004AAE0000}"/>
    <cellStyle name="Prosent 7 2 2 3" xfId="16261" xr:uid="{00000000-0005-0000-0000-00004BAE0000}"/>
    <cellStyle name="Prosent 7 2 2 3 2" xfId="27147" xr:uid="{00000000-0005-0000-0000-00004CAE0000}"/>
    <cellStyle name="Prosent 7 2 2 3 2 2" xfId="42816" xr:uid="{00000000-0005-0000-0000-00004DAE0000}"/>
    <cellStyle name="Prosent 7 2 2 3 3" xfId="45729" xr:uid="{00000000-0005-0000-0000-00004EAE0000}"/>
    <cellStyle name="Prosent 7 2 2_Avviksanalyse løpende RNB15 (1)" xfId="17631" xr:uid="{00000000-0005-0000-0000-00004FAE0000}"/>
    <cellStyle name="Prosent 7 2 3" xfId="14501" xr:uid="{00000000-0005-0000-0000-000050AE0000}"/>
    <cellStyle name="Prosent 7 3" xfId="14503" xr:uid="{00000000-0005-0000-0000-000051AE0000}"/>
    <cellStyle name="Prosent 7 3 2" xfId="14504" xr:uid="{00000000-0005-0000-0000-000052AE0000}"/>
    <cellStyle name="Prosent 7 3 2 2" xfId="19058" xr:uid="{00000000-0005-0000-0000-000053AE0000}"/>
    <cellStyle name="Prosent 7 3 2 3" xfId="16260" xr:uid="{00000000-0005-0000-0000-000054AE0000}"/>
    <cellStyle name="Prosent 7 3 2 3 2" xfId="27148" xr:uid="{00000000-0005-0000-0000-000055AE0000}"/>
    <cellStyle name="Prosent 7 3 2 3 2 2" xfId="42815" xr:uid="{00000000-0005-0000-0000-000056AE0000}"/>
    <cellStyle name="Prosent 7 3 2 3 3" xfId="45730" xr:uid="{00000000-0005-0000-0000-000057AE0000}"/>
    <cellStyle name="Prosent 7 3 2_Avviksanalyse løpende RNB15 (1)" xfId="17632" xr:uid="{00000000-0005-0000-0000-000058AE0000}"/>
    <cellStyle name="Prosent 7 4" xfId="14505" xr:uid="{00000000-0005-0000-0000-000059AE0000}"/>
    <cellStyle name="Prosent 7 4 2" xfId="19059" xr:uid="{00000000-0005-0000-0000-00005AAE0000}"/>
    <cellStyle name="Prosent 7 4 3" xfId="16228" xr:uid="{00000000-0005-0000-0000-00005BAE0000}"/>
    <cellStyle name="Prosent 7 4 3 2" xfId="27149" xr:uid="{00000000-0005-0000-0000-00005CAE0000}"/>
    <cellStyle name="Prosent 7 4 3 2 2" xfId="42784" xr:uid="{00000000-0005-0000-0000-00005DAE0000}"/>
    <cellStyle name="Prosent 7 4 3 3" xfId="45731" xr:uid="{00000000-0005-0000-0000-00005EAE0000}"/>
    <cellStyle name="Prosent 7 4_Avviksanalyse løpende RNB15 (1)" xfId="17633" xr:uid="{00000000-0005-0000-0000-00005FAE0000}"/>
    <cellStyle name="Prosent 7 5" xfId="14500" xr:uid="{00000000-0005-0000-0000-000060AE0000}"/>
    <cellStyle name="Prosent 8" xfId="24935" xr:uid="{00000000-0005-0000-0000-000061AE0000}"/>
    <cellStyle name="Prosent 9" xfId="47698" xr:uid="{00000000-0005-0000-0000-000062AE0000}"/>
    <cellStyle name="Protected" xfId="3681" xr:uid="{00000000-0005-0000-0000-000063AE0000}"/>
    <cellStyle name="Protected 2" xfId="19060" xr:uid="{00000000-0005-0000-0000-000064AE0000}"/>
    <cellStyle name="Protected 3" xfId="15153" xr:uid="{00000000-0005-0000-0000-000065AE0000}"/>
    <cellStyle name="Protected 3 2" xfId="27150" xr:uid="{00000000-0005-0000-0000-000066AE0000}"/>
    <cellStyle name="Protected 3 2 2" xfId="41710" xr:uid="{00000000-0005-0000-0000-000067AE0000}"/>
    <cellStyle name="Protected 3 3" xfId="45732" xr:uid="{00000000-0005-0000-0000-000068AE0000}"/>
    <cellStyle name="Protected 4" xfId="14506" xr:uid="{00000000-0005-0000-0000-000069AE0000}"/>
    <cellStyle name="Protected_Avviksanalyse løpende RNB15 (1)" xfId="17634" xr:uid="{00000000-0005-0000-0000-00006AAE0000}"/>
    <cellStyle name="ProtectedDates" xfId="3682" xr:uid="{00000000-0005-0000-0000-00006BAE0000}"/>
    <cellStyle name="ProtectedDates 2" xfId="19061" xr:uid="{00000000-0005-0000-0000-00006CAE0000}"/>
    <cellStyle name="ProtectedDates 3" xfId="15154" xr:uid="{00000000-0005-0000-0000-00006DAE0000}"/>
    <cellStyle name="ProtectedDates 3 2" xfId="27151" xr:uid="{00000000-0005-0000-0000-00006EAE0000}"/>
    <cellStyle name="ProtectedDates 3 2 2" xfId="41711" xr:uid="{00000000-0005-0000-0000-00006FAE0000}"/>
    <cellStyle name="ProtectedDates 3 3" xfId="45733" xr:uid="{00000000-0005-0000-0000-000070AE0000}"/>
    <cellStyle name="ProtectedDates 4" xfId="14507" xr:uid="{00000000-0005-0000-0000-000071AE0000}"/>
    <cellStyle name="ProtectedDates_Avviksanalyse løpende RNB15 (1)" xfId="17635" xr:uid="{00000000-0005-0000-0000-000072AE0000}"/>
    <cellStyle name="SAPBEXstdData" xfId="3168" xr:uid="{00000000-0005-0000-0000-000073AE0000}"/>
    <cellStyle name="SAPBEXstdData 2" xfId="19062" xr:uid="{00000000-0005-0000-0000-000074AE0000}"/>
    <cellStyle name="SAPBEXstdData 3" xfId="15127" xr:uid="{00000000-0005-0000-0000-000075AE0000}"/>
    <cellStyle name="SAPBEXstdData 3 2" xfId="27152" xr:uid="{00000000-0005-0000-0000-000076AE0000}"/>
    <cellStyle name="SAPBEXstdData 3 2 2" xfId="41684" xr:uid="{00000000-0005-0000-0000-000077AE0000}"/>
    <cellStyle name="SAPBEXstdData 3 3" xfId="45734" xr:uid="{00000000-0005-0000-0000-000078AE0000}"/>
    <cellStyle name="SAPBEXstdData 4" xfId="14508" xr:uid="{00000000-0005-0000-0000-000079AE0000}"/>
    <cellStyle name="SAPBEXstdData_Avviksanalyse løpende RNB15 (1)" xfId="17636" xr:uid="{00000000-0005-0000-0000-00007AAE0000}"/>
    <cellStyle name="Stil 1" xfId="3169" xr:uid="{00000000-0005-0000-0000-00007BAE0000}"/>
    <cellStyle name="Stil 1 2" xfId="14510" xr:uid="{00000000-0005-0000-0000-00007CAE0000}"/>
    <cellStyle name="Stil 1 2 2" xfId="19063" xr:uid="{00000000-0005-0000-0000-00007DAE0000}"/>
    <cellStyle name="Stil 1 2 3" xfId="15488" xr:uid="{00000000-0005-0000-0000-00007EAE0000}"/>
    <cellStyle name="Stil 1 2 3 2" xfId="27153" xr:uid="{00000000-0005-0000-0000-00007FAE0000}"/>
    <cellStyle name="Stil 1 2 3 2 2" xfId="42044" xr:uid="{00000000-0005-0000-0000-000080AE0000}"/>
    <cellStyle name="Stil 1 2 3 3" xfId="45735" xr:uid="{00000000-0005-0000-0000-000081AE0000}"/>
    <cellStyle name="Stil 1 2_Avviksanalyse løpende RNB15 (1)" xfId="17637" xr:uid="{00000000-0005-0000-0000-000082AE0000}"/>
    <cellStyle name="Stil 1 3" xfId="14509" xr:uid="{00000000-0005-0000-0000-000083AE0000}"/>
    <cellStyle name="Sub_Title" xfId="3684" xr:uid="{00000000-0005-0000-0000-000084AE0000}"/>
    <cellStyle name="Tabelltittel" xfId="3170" xr:uid="{00000000-0005-0000-0000-000085AE0000}"/>
    <cellStyle name="Tabelltittel 10" xfId="19375" xr:uid="{00000000-0005-0000-0000-000086AE0000}"/>
    <cellStyle name="Tabelltittel 10 2" xfId="27154" xr:uid="{00000000-0005-0000-0000-000087AE0000}"/>
    <cellStyle name="Tabelltittel 10 2 2" xfId="43130" xr:uid="{00000000-0005-0000-0000-000088AE0000}"/>
    <cellStyle name="Tabelltittel 10 3" xfId="45736" xr:uid="{00000000-0005-0000-0000-000089AE0000}"/>
    <cellStyle name="Tabelltittel 11" xfId="14511" xr:uid="{00000000-0005-0000-0000-00008AAE0000}"/>
    <cellStyle name="Tabelltittel 2" xfId="3171" xr:uid="{00000000-0005-0000-0000-00008BAE0000}"/>
    <cellStyle name="Tabelltittel 2 2" xfId="14513" xr:uid="{00000000-0005-0000-0000-00008CAE0000}"/>
    <cellStyle name="Tabelltittel 2 2 2" xfId="19064" xr:uid="{00000000-0005-0000-0000-00008DAE0000}"/>
    <cellStyle name="Tabelltittel 2 2 3" xfId="16408" xr:uid="{00000000-0005-0000-0000-00008EAE0000}"/>
    <cellStyle name="Tabelltittel 2 2 3 2" xfId="27155" xr:uid="{00000000-0005-0000-0000-00008FAE0000}"/>
    <cellStyle name="Tabelltittel 2 2 3 2 2" xfId="42963" xr:uid="{00000000-0005-0000-0000-000090AE0000}"/>
    <cellStyle name="Tabelltittel 2 2 3 3" xfId="45737" xr:uid="{00000000-0005-0000-0000-000091AE0000}"/>
    <cellStyle name="Tabelltittel 2 2_Avviksanalyse løpende RNB15 (1)" xfId="17638" xr:uid="{00000000-0005-0000-0000-000092AE0000}"/>
    <cellStyle name="Tabelltittel 2 3" xfId="14512" xr:uid="{00000000-0005-0000-0000-000093AE0000}"/>
    <cellStyle name="Tabelltittel 3" xfId="3172" xr:uid="{00000000-0005-0000-0000-000094AE0000}"/>
    <cellStyle name="Tabelltittel 3 2" xfId="4430" xr:uid="{00000000-0005-0000-0000-000095AE0000}"/>
    <cellStyle name="Tabelltittel 3 2 2" xfId="19065" xr:uid="{00000000-0005-0000-0000-000096AE0000}"/>
    <cellStyle name="Tabelltittel 3 2 3" xfId="16409" xr:uid="{00000000-0005-0000-0000-000097AE0000}"/>
    <cellStyle name="Tabelltittel 3 2 3 2" xfId="27156" xr:uid="{00000000-0005-0000-0000-000098AE0000}"/>
    <cellStyle name="Tabelltittel 3 2 3 2 2" xfId="42964" xr:uid="{00000000-0005-0000-0000-000099AE0000}"/>
    <cellStyle name="Tabelltittel 3 2 3 3" xfId="45738" xr:uid="{00000000-0005-0000-0000-00009AAE0000}"/>
    <cellStyle name="Tabelltittel 3 2 4" xfId="14515" xr:uid="{00000000-0005-0000-0000-00009BAE0000}"/>
    <cellStyle name="Tabelltittel 3 2_Avviksanalyse løpende RNB15 (1)" xfId="17639" xr:uid="{00000000-0005-0000-0000-00009CAE0000}"/>
    <cellStyle name="Tabelltittel 3 3" xfId="4400" xr:uid="{00000000-0005-0000-0000-00009DAE0000}"/>
    <cellStyle name="Tabelltittel 3 4" xfId="14514" xr:uid="{00000000-0005-0000-0000-00009EAE0000}"/>
    <cellStyle name="Tabelltittel 4" xfId="3173" xr:uid="{00000000-0005-0000-0000-00009FAE0000}"/>
    <cellStyle name="Tabelltittel 4 2" xfId="14517" xr:uid="{00000000-0005-0000-0000-0000A0AE0000}"/>
    <cellStyle name="Tabelltittel 4 2 2" xfId="19066" xr:uid="{00000000-0005-0000-0000-0000A1AE0000}"/>
    <cellStyle name="Tabelltittel 4 2 3" xfId="16410" xr:uid="{00000000-0005-0000-0000-0000A2AE0000}"/>
    <cellStyle name="Tabelltittel 4 2 3 2" xfId="27157" xr:uid="{00000000-0005-0000-0000-0000A3AE0000}"/>
    <cellStyle name="Tabelltittel 4 2 3 2 2" xfId="42965" xr:uid="{00000000-0005-0000-0000-0000A4AE0000}"/>
    <cellStyle name="Tabelltittel 4 2 3 3" xfId="45739" xr:uid="{00000000-0005-0000-0000-0000A5AE0000}"/>
    <cellStyle name="Tabelltittel 4 2_Avviksanalyse løpende RNB15 (1)" xfId="17640" xr:uid="{00000000-0005-0000-0000-0000A6AE0000}"/>
    <cellStyle name="Tabelltittel 4 3" xfId="14516" xr:uid="{00000000-0005-0000-0000-0000A7AE0000}"/>
    <cellStyle name="Tabelltittel 5" xfId="3174" xr:uid="{00000000-0005-0000-0000-0000A8AE0000}"/>
    <cellStyle name="Tabelltittel 5 2" xfId="14519" xr:uid="{00000000-0005-0000-0000-0000A9AE0000}"/>
    <cellStyle name="Tabelltittel 5 2 2" xfId="19067" xr:uid="{00000000-0005-0000-0000-0000AAAE0000}"/>
    <cellStyle name="Tabelltittel 5 2 3" xfId="16411" xr:uid="{00000000-0005-0000-0000-0000ABAE0000}"/>
    <cellStyle name="Tabelltittel 5 2 3 2" xfId="27158" xr:uid="{00000000-0005-0000-0000-0000ACAE0000}"/>
    <cellStyle name="Tabelltittel 5 2 3 2 2" xfId="42966" xr:uid="{00000000-0005-0000-0000-0000ADAE0000}"/>
    <cellStyle name="Tabelltittel 5 2 3 3" xfId="45740" xr:uid="{00000000-0005-0000-0000-0000AEAE0000}"/>
    <cellStyle name="Tabelltittel 5 2_Avviksanalyse løpende RNB15 (1)" xfId="17641" xr:uid="{00000000-0005-0000-0000-0000AFAE0000}"/>
    <cellStyle name="Tabelltittel 5 3" xfId="14518" xr:uid="{00000000-0005-0000-0000-0000B0AE0000}"/>
    <cellStyle name="Tabelltittel 6" xfId="3418" xr:uid="{00000000-0005-0000-0000-0000B1AE0000}"/>
    <cellStyle name="Tabelltittel 6 2" xfId="14521" xr:uid="{00000000-0005-0000-0000-0000B2AE0000}"/>
    <cellStyle name="Tabelltittel 6 2 2" xfId="19068" xr:uid="{00000000-0005-0000-0000-0000B3AE0000}"/>
    <cellStyle name="Tabelltittel 6 2 3" xfId="16407" xr:uid="{00000000-0005-0000-0000-0000B4AE0000}"/>
    <cellStyle name="Tabelltittel 6 2 3 2" xfId="27159" xr:uid="{00000000-0005-0000-0000-0000B5AE0000}"/>
    <cellStyle name="Tabelltittel 6 2 3 2 2" xfId="42962" xr:uid="{00000000-0005-0000-0000-0000B6AE0000}"/>
    <cellStyle name="Tabelltittel 6 2 3 3" xfId="45741" xr:uid="{00000000-0005-0000-0000-0000B7AE0000}"/>
    <cellStyle name="Tabelltittel 6 2_Avviksanalyse løpende RNB15 (1)" xfId="17642" xr:uid="{00000000-0005-0000-0000-0000B8AE0000}"/>
    <cellStyle name="Tabelltittel 6 3" xfId="14520" xr:uid="{00000000-0005-0000-0000-0000B9AE0000}"/>
    <cellStyle name="Tabelltittel 7" xfId="15131" xr:uid="{00000000-0005-0000-0000-0000BAAE0000}"/>
    <cellStyle name="Tabelltittel 7 2" xfId="27160" xr:uid="{00000000-0005-0000-0000-0000BBAE0000}"/>
    <cellStyle name="Tabelltittel 7 2 2" xfId="41688" xr:uid="{00000000-0005-0000-0000-0000BCAE0000}"/>
    <cellStyle name="Tabelltittel 7 3" xfId="45742" xr:uid="{00000000-0005-0000-0000-0000BDAE0000}"/>
    <cellStyle name="Tabelltittel 8" xfId="15441" xr:uid="{00000000-0005-0000-0000-0000BEAE0000}"/>
    <cellStyle name="Tabelltittel 8 2" xfId="27161" xr:uid="{00000000-0005-0000-0000-0000BFAE0000}"/>
    <cellStyle name="Tabelltittel 8 2 2" xfId="41997" xr:uid="{00000000-0005-0000-0000-0000C0AE0000}"/>
    <cellStyle name="Tabelltittel 8 3" xfId="45743" xr:uid="{00000000-0005-0000-0000-0000C1AE0000}"/>
    <cellStyle name="Tabelltittel 9" xfId="15146" xr:uid="{00000000-0005-0000-0000-0000C2AE0000}"/>
    <cellStyle name="Tabelltittel 9 2" xfId="27162" xr:uid="{00000000-0005-0000-0000-0000C3AE0000}"/>
    <cellStyle name="Tabelltittel 9 2 2" xfId="41703" xr:uid="{00000000-0005-0000-0000-0000C4AE0000}"/>
    <cellStyle name="Tabelltittel 9 3" xfId="45744" xr:uid="{00000000-0005-0000-0000-0000C5AE0000}"/>
    <cellStyle name="Tabelltittel_Ark1" xfId="14522" xr:uid="{00000000-0005-0000-0000-0000C6AE0000}"/>
    <cellStyle name="Title" xfId="4072" xr:uid="{00000000-0005-0000-0000-0000C7AE0000}"/>
    <cellStyle name="Title 2" xfId="1082" xr:uid="{00000000-0005-0000-0000-0000C8AE0000}"/>
    <cellStyle name="Title 2 2" xfId="19069" xr:uid="{00000000-0005-0000-0000-0000C9AE0000}"/>
    <cellStyle name="Title 2 3" xfId="15489" xr:uid="{00000000-0005-0000-0000-0000CAAE0000}"/>
    <cellStyle name="Title 2 3 2" xfId="27163" xr:uid="{00000000-0005-0000-0000-0000CBAE0000}"/>
    <cellStyle name="Title 2 3 2 2" xfId="42045" xr:uid="{00000000-0005-0000-0000-0000CCAE0000}"/>
    <cellStyle name="Title 2 3 3" xfId="45745" xr:uid="{00000000-0005-0000-0000-0000CDAE0000}"/>
    <cellStyle name="Title 2 4" xfId="14523" xr:uid="{00000000-0005-0000-0000-0000CEAE0000}"/>
    <cellStyle name="Title 2_Avviksanalyse løpende RNB15 (1)" xfId="17643" xr:uid="{00000000-0005-0000-0000-0000CFAE0000}"/>
    <cellStyle name="Title 3" xfId="4636" xr:uid="{00000000-0005-0000-0000-0000D0AE0000}"/>
    <cellStyle name="Tittel" xfId="4637" xr:uid="{00000000-0005-0000-0000-0000D1AE0000}"/>
    <cellStyle name="Tittel 10" xfId="3177" xr:uid="{00000000-0005-0000-0000-0000D2AE0000}"/>
    <cellStyle name="Tittel 10 2" xfId="3178" xr:uid="{00000000-0005-0000-0000-0000D3AE0000}"/>
    <cellStyle name="Tittel 10 2 2" xfId="14526" xr:uid="{00000000-0005-0000-0000-0000D4AE0000}"/>
    <cellStyle name="Tittel 10 2 2 2" xfId="19070" xr:uid="{00000000-0005-0000-0000-0000D5AE0000}"/>
    <cellStyle name="Tittel 10 2 2 3" xfId="16413" xr:uid="{00000000-0005-0000-0000-0000D6AE0000}"/>
    <cellStyle name="Tittel 10 2 2 3 2" xfId="27164" xr:uid="{00000000-0005-0000-0000-0000D7AE0000}"/>
    <cellStyle name="Tittel 10 2 2 3 2 2" xfId="42968" xr:uid="{00000000-0005-0000-0000-0000D8AE0000}"/>
    <cellStyle name="Tittel 10 2 2 3 3" xfId="45746" xr:uid="{00000000-0005-0000-0000-0000D9AE0000}"/>
    <cellStyle name="Tittel 10 2 2_Avviksanalyse løpende RNB15 (1)" xfId="17644" xr:uid="{00000000-0005-0000-0000-0000DAAE0000}"/>
    <cellStyle name="Tittel 10 2 3" xfId="14525" xr:uid="{00000000-0005-0000-0000-0000DBAE0000}"/>
    <cellStyle name="Tittel 10 3" xfId="4431" xr:uid="{00000000-0005-0000-0000-0000DCAE0000}"/>
    <cellStyle name="Tittel 10 3 2" xfId="14528" xr:uid="{00000000-0005-0000-0000-0000DDAE0000}"/>
    <cellStyle name="Tittel 10 3 2 2" xfId="19071" xr:uid="{00000000-0005-0000-0000-0000DEAE0000}"/>
    <cellStyle name="Tittel 10 3 2 3" xfId="16412" xr:uid="{00000000-0005-0000-0000-0000DFAE0000}"/>
    <cellStyle name="Tittel 10 3 2 3 2" xfId="27165" xr:uid="{00000000-0005-0000-0000-0000E0AE0000}"/>
    <cellStyle name="Tittel 10 3 2 3 2 2" xfId="42967" xr:uid="{00000000-0005-0000-0000-0000E1AE0000}"/>
    <cellStyle name="Tittel 10 3 2 3 3" xfId="45747" xr:uid="{00000000-0005-0000-0000-0000E2AE0000}"/>
    <cellStyle name="Tittel 10 3 2_Avviksanalyse løpende RNB15 (1)" xfId="17645" xr:uid="{00000000-0005-0000-0000-0000E3AE0000}"/>
    <cellStyle name="Tittel 10 3 3" xfId="14527" xr:uid="{00000000-0005-0000-0000-0000E4AE0000}"/>
    <cellStyle name="Tittel 10 4" xfId="4364" xr:uid="{00000000-0005-0000-0000-0000E5AE0000}"/>
    <cellStyle name="Tittel 10 4 2" xfId="19072" xr:uid="{00000000-0005-0000-0000-0000E6AE0000}"/>
    <cellStyle name="Tittel 10 4 3" xfId="15588" xr:uid="{00000000-0005-0000-0000-0000E7AE0000}"/>
    <cellStyle name="Tittel 10 4 3 2" xfId="27166" xr:uid="{00000000-0005-0000-0000-0000E8AE0000}"/>
    <cellStyle name="Tittel 10 4 3 2 2" xfId="42144" xr:uid="{00000000-0005-0000-0000-0000E9AE0000}"/>
    <cellStyle name="Tittel 10 4 3 3" xfId="45748" xr:uid="{00000000-0005-0000-0000-0000EAAE0000}"/>
    <cellStyle name="Tittel 10 4 4" xfId="14529" xr:uid="{00000000-0005-0000-0000-0000EBAE0000}"/>
    <cellStyle name="Tittel 10 4_Avviksanalyse løpende RNB15 (1)" xfId="17646" xr:uid="{00000000-0005-0000-0000-0000ECAE0000}"/>
    <cellStyle name="Tittel 10 5" xfId="14524" xr:uid="{00000000-0005-0000-0000-0000EDAE0000}"/>
    <cellStyle name="Tittel 11" xfId="3179" xr:uid="{00000000-0005-0000-0000-0000EEAE0000}"/>
    <cellStyle name="Tittel 11 2" xfId="3406" xr:uid="{00000000-0005-0000-0000-0000EFAE0000}"/>
    <cellStyle name="Tittel 11 2 2" xfId="14532" xr:uid="{00000000-0005-0000-0000-0000F0AE0000}"/>
    <cellStyle name="Tittel 11 2 2 2" xfId="19073" xr:uid="{00000000-0005-0000-0000-0000F1AE0000}"/>
    <cellStyle name="Tittel 11 2 2 3" xfId="16555" xr:uid="{00000000-0005-0000-0000-0000F2AE0000}"/>
    <cellStyle name="Tittel 11 2 2 3 2" xfId="27167" xr:uid="{00000000-0005-0000-0000-0000F3AE0000}"/>
    <cellStyle name="Tittel 11 2 2 3 2 2" xfId="43110" xr:uid="{00000000-0005-0000-0000-0000F4AE0000}"/>
    <cellStyle name="Tittel 11 2 2 3 3" xfId="45749" xr:uid="{00000000-0005-0000-0000-0000F5AE0000}"/>
    <cellStyle name="Tittel 11 2 2_Avviksanalyse løpende RNB15 (1)" xfId="17647" xr:uid="{00000000-0005-0000-0000-0000F6AE0000}"/>
    <cellStyle name="Tittel 11 2 3" xfId="14531" xr:uid="{00000000-0005-0000-0000-0000F7AE0000}"/>
    <cellStyle name="Tittel 11 3" xfId="14533" xr:uid="{00000000-0005-0000-0000-0000F8AE0000}"/>
    <cellStyle name="Tittel 11 3 2" xfId="14534" xr:uid="{00000000-0005-0000-0000-0000F9AE0000}"/>
    <cellStyle name="Tittel 11 3 2 2" xfId="19074" xr:uid="{00000000-0005-0000-0000-0000FAAE0000}"/>
    <cellStyle name="Tittel 11 3 2 3" xfId="16414" xr:uid="{00000000-0005-0000-0000-0000FBAE0000}"/>
    <cellStyle name="Tittel 11 3 2 3 2" xfId="27168" xr:uid="{00000000-0005-0000-0000-0000FCAE0000}"/>
    <cellStyle name="Tittel 11 3 2 3 2 2" xfId="42969" xr:uid="{00000000-0005-0000-0000-0000FDAE0000}"/>
    <cellStyle name="Tittel 11 3 2 3 3" xfId="45750" xr:uid="{00000000-0005-0000-0000-0000FEAE0000}"/>
    <cellStyle name="Tittel 11 3 2_Avviksanalyse løpende RNB15 (1)" xfId="17648" xr:uid="{00000000-0005-0000-0000-0000FFAE0000}"/>
    <cellStyle name="Tittel 11 4" xfId="14535" xr:uid="{00000000-0005-0000-0000-000000AF0000}"/>
    <cellStyle name="Tittel 11 4 2" xfId="19075" xr:uid="{00000000-0005-0000-0000-000001AF0000}"/>
    <cellStyle name="Tittel 11 4 3" xfId="15589" xr:uid="{00000000-0005-0000-0000-000002AF0000}"/>
    <cellStyle name="Tittel 11 4 3 2" xfId="27169" xr:uid="{00000000-0005-0000-0000-000003AF0000}"/>
    <cellStyle name="Tittel 11 4 3 2 2" xfId="42145" xr:uid="{00000000-0005-0000-0000-000004AF0000}"/>
    <cellStyle name="Tittel 11 4 3 3" xfId="45751" xr:uid="{00000000-0005-0000-0000-000005AF0000}"/>
    <cellStyle name="Tittel 11 4_Avviksanalyse løpende RNB15 (1)" xfId="17649" xr:uid="{00000000-0005-0000-0000-000006AF0000}"/>
    <cellStyle name="Tittel 11 5" xfId="14530" xr:uid="{00000000-0005-0000-0000-000007AF0000}"/>
    <cellStyle name="Tittel 12" xfId="3180" xr:uid="{00000000-0005-0000-0000-000008AF0000}"/>
    <cellStyle name="Tittel 12 2" xfId="3407" xr:uid="{00000000-0005-0000-0000-000009AF0000}"/>
    <cellStyle name="Tittel 12 2 2" xfId="14538" xr:uid="{00000000-0005-0000-0000-00000AAF0000}"/>
    <cellStyle name="Tittel 12 2 2 2" xfId="19076" xr:uid="{00000000-0005-0000-0000-00000BAF0000}"/>
    <cellStyle name="Tittel 12 2 2 3" xfId="16556" xr:uid="{00000000-0005-0000-0000-00000CAF0000}"/>
    <cellStyle name="Tittel 12 2 2 3 2" xfId="27170" xr:uid="{00000000-0005-0000-0000-00000DAF0000}"/>
    <cellStyle name="Tittel 12 2 2 3 2 2" xfId="43111" xr:uid="{00000000-0005-0000-0000-00000EAF0000}"/>
    <cellStyle name="Tittel 12 2 2 3 3" xfId="45752" xr:uid="{00000000-0005-0000-0000-00000FAF0000}"/>
    <cellStyle name="Tittel 12 2 2_Avviksanalyse løpende RNB15 (1)" xfId="17650" xr:uid="{00000000-0005-0000-0000-000010AF0000}"/>
    <cellStyle name="Tittel 12 2 3" xfId="14537" xr:uid="{00000000-0005-0000-0000-000011AF0000}"/>
    <cellStyle name="Tittel 12 3" xfId="3540" xr:uid="{00000000-0005-0000-0000-000012AF0000}"/>
    <cellStyle name="Tittel 12 3 2" xfId="14540" xr:uid="{00000000-0005-0000-0000-000013AF0000}"/>
    <cellStyle name="Tittel 12 3 2 2" xfId="19077" xr:uid="{00000000-0005-0000-0000-000014AF0000}"/>
    <cellStyle name="Tittel 12 3 2 3" xfId="16415" xr:uid="{00000000-0005-0000-0000-000015AF0000}"/>
    <cellStyle name="Tittel 12 3 2 3 2" xfId="27171" xr:uid="{00000000-0005-0000-0000-000016AF0000}"/>
    <cellStyle name="Tittel 12 3 2 3 2 2" xfId="42970" xr:uid="{00000000-0005-0000-0000-000017AF0000}"/>
    <cellStyle name="Tittel 12 3 2 3 3" xfId="45753" xr:uid="{00000000-0005-0000-0000-000018AF0000}"/>
    <cellStyle name="Tittel 12 3 2_Avviksanalyse løpende RNB15 (1)" xfId="17651" xr:uid="{00000000-0005-0000-0000-000019AF0000}"/>
    <cellStyle name="Tittel 12 3 3" xfId="14539" xr:uid="{00000000-0005-0000-0000-00001AAF0000}"/>
    <cellStyle name="Tittel 12 4" xfId="14541" xr:uid="{00000000-0005-0000-0000-00001BAF0000}"/>
    <cellStyle name="Tittel 12 4 2" xfId="19078" xr:uid="{00000000-0005-0000-0000-00001CAF0000}"/>
    <cellStyle name="Tittel 12 4 3" xfId="15590" xr:uid="{00000000-0005-0000-0000-00001DAF0000}"/>
    <cellStyle name="Tittel 12 4 3 2" xfId="27172" xr:uid="{00000000-0005-0000-0000-00001EAF0000}"/>
    <cellStyle name="Tittel 12 4 3 2 2" xfId="42146" xr:uid="{00000000-0005-0000-0000-00001FAF0000}"/>
    <cellStyle name="Tittel 12 4 3 3" xfId="45754" xr:uid="{00000000-0005-0000-0000-000020AF0000}"/>
    <cellStyle name="Tittel 12 4_Avviksanalyse løpende RNB15 (1)" xfId="17652" xr:uid="{00000000-0005-0000-0000-000021AF0000}"/>
    <cellStyle name="Tittel 12 5" xfId="14536" xr:uid="{00000000-0005-0000-0000-000022AF0000}"/>
    <cellStyle name="Tittel 12 6" xfId="22538" xr:uid="{00000000-0005-0000-0000-000023AF0000}"/>
    <cellStyle name="Tittel 12 7" xfId="34184" xr:uid="{00000000-0005-0000-0000-000024AF0000}"/>
    <cellStyle name="Tittel 13" xfId="3419" xr:uid="{00000000-0005-0000-0000-000025AF0000}"/>
    <cellStyle name="Tittel 13 2" xfId="14543" xr:uid="{00000000-0005-0000-0000-000026AF0000}"/>
    <cellStyle name="Tittel 13 2 2" xfId="19079" xr:uid="{00000000-0005-0000-0000-000027AF0000}"/>
    <cellStyle name="Tittel 13 2 3" xfId="15591" xr:uid="{00000000-0005-0000-0000-000028AF0000}"/>
    <cellStyle name="Tittel 13 2 3 2" xfId="27173" xr:uid="{00000000-0005-0000-0000-000029AF0000}"/>
    <cellStyle name="Tittel 13 2 3 2 2" xfId="42147" xr:uid="{00000000-0005-0000-0000-00002AAF0000}"/>
    <cellStyle name="Tittel 13 2 3 3" xfId="45755" xr:uid="{00000000-0005-0000-0000-00002BAF0000}"/>
    <cellStyle name="Tittel 13 2_Avviksanalyse løpende RNB15 (1)" xfId="17653" xr:uid="{00000000-0005-0000-0000-00002CAF0000}"/>
    <cellStyle name="Tittel 13 3" xfId="14542" xr:uid="{00000000-0005-0000-0000-00002DAF0000}"/>
    <cellStyle name="Tittel 14" xfId="14544" xr:uid="{00000000-0005-0000-0000-00002EAF0000}"/>
    <cellStyle name="Tittel 14 2" xfId="14545" xr:uid="{00000000-0005-0000-0000-00002FAF0000}"/>
    <cellStyle name="Tittel 14 2 2" xfId="19080" xr:uid="{00000000-0005-0000-0000-000030AF0000}"/>
    <cellStyle name="Tittel 14 2 3" xfId="15592" xr:uid="{00000000-0005-0000-0000-000031AF0000}"/>
    <cellStyle name="Tittel 14 2 3 2" xfId="27174" xr:uid="{00000000-0005-0000-0000-000032AF0000}"/>
    <cellStyle name="Tittel 14 2 3 2 2" xfId="42148" xr:uid="{00000000-0005-0000-0000-000033AF0000}"/>
    <cellStyle name="Tittel 14 2 3 3" xfId="45756" xr:uid="{00000000-0005-0000-0000-000034AF0000}"/>
    <cellStyle name="Tittel 14 2_Avviksanalyse løpende RNB15 (1)" xfId="17654" xr:uid="{00000000-0005-0000-0000-000035AF0000}"/>
    <cellStyle name="Tittel 15" xfId="40931" xr:uid="{00000000-0005-0000-0000-000036AF0000}"/>
    <cellStyle name="Tittel 16" xfId="40791" xr:uid="{00000000-0005-0000-0000-000037AF0000}"/>
    <cellStyle name="Tittel 17" xfId="40887" xr:uid="{00000000-0005-0000-0000-000038AF0000}"/>
    <cellStyle name="Tittel 18" xfId="40825" xr:uid="{00000000-0005-0000-0000-000039AF0000}"/>
    <cellStyle name="Tittel 19" xfId="40923" xr:uid="{00000000-0005-0000-0000-00003AAF0000}"/>
    <cellStyle name="Tittel 2" xfId="3181" xr:uid="{00000000-0005-0000-0000-00003BAF0000}"/>
    <cellStyle name="Tittel 2 10" xfId="14547" xr:uid="{00000000-0005-0000-0000-00003CAF0000}"/>
    <cellStyle name="Tittel 2 10 2" xfId="19082" xr:uid="{00000000-0005-0000-0000-00003DAF0000}"/>
    <cellStyle name="Tittel 2 10 3" xfId="15491" xr:uid="{00000000-0005-0000-0000-00003EAF0000}"/>
    <cellStyle name="Tittel 2 10 3 2" xfId="27175" xr:uid="{00000000-0005-0000-0000-00003FAF0000}"/>
    <cellStyle name="Tittel 2 10 3 2 2" xfId="42047" xr:uid="{00000000-0005-0000-0000-000040AF0000}"/>
    <cellStyle name="Tittel 2 10 3 3" xfId="45757" xr:uid="{00000000-0005-0000-0000-000041AF0000}"/>
    <cellStyle name="Tittel 2 10_Avviksanalyse løpende RNB15 (1)" xfId="17655" xr:uid="{00000000-0005-0000-0000-000042AF0000}"/>
    <cellStyle name="Tittel 2 11" xfId="19081" xr:uid="{00000000-0005-0000-0000-000043AF0000}"/>
    <cellStyle name="Tittel 2 12" xfId="15155" xr:uid="{00000000-0005-0000-0000-000044AF0000}"/>
    <cellStyle name="Tittel 2 12 2" xfId="27176" xr:uid="{00000000-0005-0000-0000-000045AF0000}"/>
    <cellStyle name="Tittel 2 12 2 2" xfId="41712" xr:uid="{00000000-0005-0000-0000-000046AF0000}"/>
    <cellStyle name="Tittel 2 12 3" xfId="45758" xr:uid="{00000000-0005-0000-0000-000047AF0000}"/>
    <cellStyle name="Tittel 2 13" xfId="15433" xr:uid="{00000000-0005-0000-0000-000048AF0000}"/>
    <cellStyle name="Tittel 2 13 2" xfId="27177" xr:uid="{00000000-0005-0000-0000-000049AF0000}"/>
    <cellStyle name="Tittel 2 13 2 2" xfId="41989" xr:uid="{00000000-0005-0000-0000-00004AAF0000}"/>
    <cellStyle name="Tittel 2 13 3" xfId="45759" xr:uid="{00000000-0005-0000-0000-00004BAF0000}"/>
    <cellStyle name="Tittel 2 14" xfId="19378" xr:uid="{00000000-0005-0000-0000-00004CAF0000}"/>
    <cellStyle name="Tittel 2 14 2" xfId="27178" xr:uid="{00000000-0005-0000-0000-00004DAF0000}"/>
    <cellStyle name="Tittel 2 14 2 2" xfId="43133" xr:uid="{00000000-0005-0000-0000-00004EAF0000}"/>
    <cellStyle name="Tittel 2 14 3" xfId="45760" xr:uid="{00000000-0005-0000-0000-00004FAF0000}"/>
    <cellStyle name="Tittel 2 15" xfId="15169" xr:uid="{00000000-0005-0000-0000-000050AF0000}"/>
    <cellStyle name="Tittel 2 15 2" xfId="27179" xr:uid="{00000000-0005-0000-0000-000051AF0000}"/>
    <cellStyle name="Tittel 2 15 2 2" xfId="41725" xr:uid="{00000000-0005-0000-0000-000052AF0000}"/>
    <cellStyle name="Tittel 2 15 3" xfId="45761" xr:uid="{00000000-0005-0000-0000-000053AF0000}"/>
    <cellStyle name="Tittel 2 16" xfId="14546" xr:uid="{00000000-0005-0000-0000-000054AF0000}"/>
    <cellStyle name="Tittel 2 17" xfId="43455" xr:uid="{00000000-0005-0000-0000-000055AF0000}"/>
    <cellStyle name="Tittel 2 18" xfId="43657" xr:uid="{00000000-0005-0000-0000-000056AF0000}"/>
    <cellStyle name="Tittel 2 19" xfId="43654" xr:uid="{00000000-0005-0000-0000-000057AF0000}"/>
    <cellStyle name="Tittel 2 2" xfId="3685" xr:uid="{00000000-0005-0000-0000-000058AF0000}"/>
    <cellStyle name="Tittel 2 2 2" xfId="14549" xr:uid="{00000000-0005-0000-0000-000059AF0000}"/>
    <cellStyle name="Tittel 2 2 2 2" xfId="19083" xr:uid="{00000000-0005-0000-0000-00005AAF0000}"/>
    <cellStyle name="Tittel 2 2 2 3" xfId="15593" xr:uid="{00000000-0005-0000-0000-00005BAF0000}"/>
    <cellStyle name="Tittel 2 2 2 3 2" xfId="27180" xr:uid="{00000000-0005-0000-0000-00005CAF0000}"/>
    <cellStyle name="Tittel 2 2 2 3 2 2" xfId="42149" xr:uid="{00000000-0005-0000-0000-00005DAF0000}"/>
    <cellStyle name="Tittel 2 2 2 3 3" xfId="45762" xr:uid="{00000000-0005-0000-0000-00005EAF0000}"/>
    <cellStyle name="Tittel 2 2 2_Avviksanalyse løpende RNB15 (1)" xfId="17656" xr:uid="{00000000-0005-0000-0000-00005FAF0000}"/>
    <cellStyle name="Tittel 2 2 3" xfId="14548" xr:uid="{00000000-0005-0000-0000-000060AF0000}"/>
    <cellStyle name="Tittel 2 20" xfId="46287" xr:uid="{00000000-0005-0000-0000-000061AF0000}"/>
    <cellStyle name="Tittel 2 21" xfId="46338" xr:uid="{00000000-0005-0000-0000-000062AF0000}"/>
    <cellStyle name="Tittel 2 22" xfId="46388" xr:uid="{00000000-0005-0000-0000-000063AF0000}"/>
    <cellStyle name="Tittel 2 23" xfId="46804" xr:uid="{00000000-0005-0000-0000-000064AF0000}"/>
    <cellStyle name="Tittel 2 24" xfId="46344" xr:uid="{00000000-0005-0000-0000-000065AF0000}"/>
    <cellStyle name="Tittel 2 25" xfId="46629" xr:uid="{00000000-0005-0000-0000-000066AF0000}"/>
    <cellStyle name="Tittel 2 26" xfId="46822" xr:uid="{00000000-0005-0000-0000-000067AF0000}"/>
    <cellStyle name="Tittel 2 27" xfId="47051" xr:uid="{00000000-0005-0000-0000-000068AF0000}"/>
    <cellStyle name="Tittel 2 28" xfId="47220" xr:uid="{00000000-0005-0000-0000-000069AF0000}"/>
    <cellStyle name="Tittel 2 29" xfId="47416" xr:uid="{00000000-0005-0000-0000-00006AAF0000}"/>
    <cellStyle name="Tittel 2 3" xfId="14550" xr:uid="{00000000-0005-0000-0000-00006BAF0000}"/>
    <cellStyle name="Tittel 2 3 2" xfId="14551" xr:uid="{00000000-0005-0000-0000-00006CAF0000}"/>
    <cellStyle name="Tittel 2 3 2 2" xfId="19084" xr:uid="{00000000-0005-0000-0000-00006DAF0000}"/>
    <cellStyle name="Tittel 2 3 2 3" xfId="15594" xr:uid="{00000000-0005-0000-0000-00006EAF0000}"/>
    <cellStyle name="Tittel 2 3 2 3 2" xfId="27181" xr:uid="{00000000-0005-0000-0000-00006FAF0000}"/>
    <cellStyle name="Tittel 2 3 2 3 2 2" xfId="42150" xr:uid="{00000000-0005-0000-0000-000070AF0000}"/>
    <cellStyle name="Tittel 2 3 2 3 3" xfId="45763" xr:uid="{00000000-0005-0000-0000-000071AF0000}"/>
    <cellStyle name="Tittel 2 3 2_Avviksanalyse løpende RNB15 (1)" xfId="17657" xr:uid="{00000000-0005-0000-0000-000072AF0000}"/>
    <cellStyle name="Tittel 2 4" xfId="14552" xr:uid="{00000000-0005-0000-0000-000073AF0000}"/>
    <cellStyle name="Tittel 2 4 2" xfId="14553" xr:uid="{00000000-0005-0000-0000-000074AF0000}"/>
    <cellStyle name="Tittel 2 4 2 2" xfId="19085" xr:uid="{00000000-0005-0000-0000-000075AF0000}"/>
    <cellStyle name="Tittel 2 4 2 3" xfId="15595" xr:uid="{00000000-0005-0000-0000-000076AF0000}"/>
    <cellStyle name="Tittel 2 4 2 3 2" xfId="27182" xr:uid="{00000000-0005-0000-0000-000077AF0000}"/>
    <cellStyle name="Tittel 2 4 2 3 2 2" xfId="42151" xr:uid="{00000000-0005-0000-0000-000078AF0000}"/>
    <cellStyle name="Tittel 2 4 2 3 3" xfId="45764" xr:uid="{00000000-0005-0000-0000-000079AF0000}"/>
    <cellStyle name="Tittel 2 4 2_Avviksanalyse løpende RNB15 (1)" xfId="17658" xr:uid="{00000000-0005-0000-0000-00007AAF0000}"/>
    <cellStyle name="Tittel 2 5" xfId="14554" xr:uid="{00000000-0005-0000-0000-00007BAF0000}"/>
    <cellStyle name="Tittel 2 5 2" xfId="14555" xr:uid="{00000000-0005-0000-0000-00007CAF0000}"/>
    <cellStyle name="Tittel 2 5 2 2" xfId="19086" xr:uid="{00000000-0005-0000-0000-00007DAF0000}"/>
    <cellStyle name="Tittel 2 5 2 3" xfId="15596" xr:uid="{00000000-0005-0000-0000-00007EAF0000}"/>
    <cellStyle name="Tittel 2 5 2 3 2" xfId="27183" xr:uid="{00000000-0005-0000-0000-00007FAF0000}"/>
    <cellStyle name="Tittel 2 5 2 3 2 2" xfId="42152" xr:uid="{00000000-0005-0000-0000-000080AF0000}"/>
    <cellStyle name="Tittel 2 5 2 3 3" xfId="45765" xr:uid="{00000000-0005-0000-0000-000081AF0000}"/>
    <cellStyle name="Tittel 2 5 2_Avviksanalyse løpende RNB15 (1)" xfId="17659" xr:uid="{00000000-0005-0000-0000-000082AF0000}"/>
    <cellStyle name="Tittel 2 6" xfId="14556" xr:uid="{00000000-0005-0000-0000-000083AF0000}"/>
    <cellStyle name="Tittel 2 6 2" xfId="14557" xr:uid="{00000000-0005-0000-0000-000084AF0000}"/>
    <cellStyle name="Tittel 2 6 2 2" xfId="19087" xr:uid="{00000000-0005-0000-0000-000085AF0000}"/>
    <cellStyle name="Tittel 2 6 2 3" xfId="15597" xr:uid="{00000000-0005-0000-0000-000086AF0000}"/>
    <cellStyle name="Tittel 2 6 2 3 2" xfId="27184" xr:uid="{00000000-0005-0000-0000-000087AF0000}"/>
    <cellStyle name="Tittel 2 6 2 3 2 2" xfId="42153" xr:uid="{00000000-0005-0000-0000-000088AF0000}"/>
    <cellStyle name="Tittel 2 6 2 3 3" xfId="45766" xr:uid="{00000000-0005-0000-0000-000089AF0000}"/>
    <cellStyle name="Tittel 2 6 2_Avviksanalyse løpende RNB15 (1)" xfId="17660" xr:uid="{00000000-0005-0000-0000-00008AAF0000}"/>
    <cellStyle name="Tittel 2 7" xfId="14558" xr:uid="{00000000-0005-0000-0000-00008BAF0000}"/>
    <cellStyle name="Tittel 2 7 2" xfId="14559" xr:uid="{00000000-0005-0000-0000-00008CAF0000}"/>
    <cellStyle name="Tittel 2 7 2 2" xfId="19088" xr:uid="{00000000-0005-0000-0000-00008DAF0000}"/>
    <cellStyle name="Tittel 2 7 2 3" xfId="15598" xr:uid="{00000000-0005-0000-0000-00008EAF0000}"/>
    <cellStyle name="Tittel 2 7 2 3 2" xfId="27185" xr:uid="{00000000-0005-0000-0000-00008FAF0000}"/>
    <cellStyle name="Tittel 2 7 2 3 2 2" xfId="42154" xr:uid="{00000000-0005-0000-0000-000090AF0000}"/>
    <cellStyle name="Tittel 2 7 2 3 3" xfId="45767" xr:uid="{00000000-0005-0000-0000-000091AF0000}"/>
    <cellStyle name="Tittel 2 7 2_Avviksanalyse løpende RNB15 (1)" xfId="17661" xr:uid="{00000000-0005-0000-0000-000092AF0000}"/>
    <cellStyle name="Tittel 2 8" xfId="14560" xr:uid="{00000000-0005-0000-0000-000093AF0000}"/>
    <cellStyle name="Tittel 2 8 2" xfId="14561" xr:uid="{00000000-0005-0000-0000-000094AF0000}"/>
    <cellStyle name="Tittel 2 8 2 2" xfId="19089" xr:uid="{00000000-0005-0000-0000-000095AF0000}"/>
    <cellStyle name="Tittel 2 8 2 3" xfId="15599" xr:uid="{00000000-0005-0000-0000-000096AF0000}"/>
    <cellStyle name="Tittel 2 8 2 3 2" xfId="27186" xr:uid="{00000000-0005-0000-0000-000097AF0000}"/>
    <cellStyle name="Tittel 2 8 2 3 2 2" xfId="42155" xr:uid="{00000000-0005-0000-0000-000098AF0000}"/>
    <cellStyle name="Tittel 2 8 2 3 3" xfId="45768" xr:uid="{00000000-0005-0000-0000-000099AF0000}"/>
    <cellStyle name="Tittel 2 8 2_Avviksanalyse løpende RNB15 (1)" xfId="17662" xr:uid="{00000000-0005-0000-0000-00009AAF0000}"/>
    <cellStyle name="Tittel 2 9" xfId="14562" xr:uid="{00000000-0005-0000-0000-00009BAF0000}"/>
    <cellStyle name="Tittel 2 9 2" xfId="14563" xr:uid="{00000000-0005-0000-0000-00009CAF0000}"/>
    <cellStyle name="Tittel 2 9 2 2" xfId="19090" xr:uid="{00000000-0005-0000-0000-00009DAF0000}"/>
    <cellStyle name="Tittel 2 9 2 3" xfId="15600" xr:uid="{00000000-0005-0000-0000-00009EAF0000}"/>
    <cellStyle name="Tittel 2 9 2 3 2" xfId="27187" xr:uid="{00000000-0005-0000-0000-00009FAF0000}"/>
    <cellStyle name="Tittel 2 9 2 3 2 2" xfId="42156" xr:uid="{00000000-0005-0000-0000-0000A0AF0000}"/>
    <cellStyle name="Tittel 2 9 2 3 3" xfId="45769" xr:uid="{00000000-0005-0000-0000-0000A1AF0000}"/>
    <cellStyle name="Tittel 2 9 2_Avviksanalyse løpende RNB15 (1)" xfId="17663" xr:uid="{00000000-0005-0000-0000-0000A2AF0000}"/>
    <cellStyle name="Tittel 2_Ark1" xfId="14564" xr:uid="{00000000-0005-0000-0000-0000A3AF0000}"/>
    <cellStyle name="Tittel 20" xfId="40796" xr:uid="{00000000-0005-0000-0000-0000A4AF0000}"/>
    <cellStyle name="Tittel 21" xfId="40883" xr:uid="{00000000-0005-0000-0000-0000A5AF0000}"/>
    <cellStyle name="Tittel 22" xfId="43192" xr:uid="{00000000-0005-0000-0000-0000A6AF0000}"/>
    <cellStyle name="Tittel 23" xfId="43406" xr:uid="{00000000-0005-0000-0000-0000A7AF0000}"/>
    <cellStyle name="Tittel 24" xfId="43677" xr:uid="{00000000-0005-0000-0000-0000A8AF0000}"/>
    <cellStyle name="Tittel 25" xfId="46285" xr:uid="{00000000-0005-0000-0000-0000A9AF0000}"/>
    <cellStyle name="Tittel 26" xfId="43710" xr:uid="{00000000-0005-0000-0000-0000AAAF0000}"/>
    <cellStyle name="Tittel 27" xfId="46294" xr:uid="{00000000-0005-0000-0000-0000ABAF0000}"/>
    <cellStyle name="Tittel 28" xfId="46843" xr:uid="{00000000-0005-0000-0000-0000ACAF0000}"/>
    <cellStyle name="Tittel 29" xfId="46350" xr:uid="{00000000-0005-0000-0000-0000ADAF0000}"/>
    <cellStyle name="Tittel 3" xfId="3182" xr:uid="{00000000-0005-0000-0000-0000AEAF0000}"/>
    <cellStyle name="Tittel 3 2" xfId="14566" xr:uid="{00000000-0005-0000-0000-0000AFAF0000}"/>
    <cellStyle name="Tittel 3 2 2" xfId="19091" xr:uid="{00000000-0005-0000-0000-0000B0AF0000}"/>
    <cellStyle name="Tittel 3 2 3" xfId="15492" xr:uid="{00000000-0005-0000-0000-0000B1AF0000}"/>
    <cellStyle name="Tittel 3 2 3 2" xfId="27188" xr:uid="{00000000-0005-0000-0000-0000B2AF0000}"/>
    <cellStyle name="Tittel 3 2 3 2 2" xfId="42048" xr:uid="{00000000-0005-0000-0000-0000B3AF0000}"/>
    <cellStyle name="Tittel 3 2 3 3" xfId="45770" xr:uid="{00000000-0005-0000-0000-0000B4AF0000}"/>
    <cellStyle name="Tittel 3 2_Avviksanalyse løpende RNB15 (1)" xfId="17664" xr:uid="{00000000-0005-0000-0000-0000B5AF0000}"/>
    <cellStyle name="Tittel 3 3" xfId="14565" xr:uid="{00000000-0005-0000-0000-0000B6AF0000}"/>
    <cellStyle name="Tittel 30" xfId="46386" xr:uid="{00000000-0005-0000-0000-0000B7AF0000}"/>
    <cellStyle name="Tittel 31" xfId="46866" xr:uid="{00000000-0005-0000-0000-0000B8AF0000}"/>
    <cellStyle name="Tittel 32" xfId="46577" xr:uid="{00000000-0005-0000-0000-0000B9AF0000}"/>
    <cellStyle name="Tittel 4" xfId="3183" xr:uid="{00000000-0005-0000-0000-0000BAAF0000}"/>
    <cellStyle name="Tittel 4 2" xfId="14568" xr:uid="{00000000-0005-0000-0000-0000BBAF0000}"/>
    <cellStyle name="Tittel 4 2 2" xfId="19092" xr:uid="{00000000-0005-0000-0000-0000BCAF0000}"/>
    <cellStyle name="Tittel 4 2 3" xfId="15493" xr:uid="{00000000-0005-0000-0000-0000BDAF0000}"/>
    <cellStyle name="Tittel 4 2 3 2" xfId="27189" xr:uid="{00000000-0005-0000-0000-0000BEAF0000}"/>
    <cellStyle name="Tittel 4 2 3 2 2" xfId="42049" xr:uid="{00000000-0005-0000-0000-0000BFAF0000}"/>
    <cellStyle name="Tittel 4 2 3 3" xfId="45771" xr:uid="{00000000-0005-0000-0000-0000C0AF0000}"/>
    <cellStyle name="Tittel 4 2_Avviksanalyse løpende RNB15 (1)" xfId="17665" xr:uid="{00000000-0005-0000-0000-0000C1AF0000}"/>
    <cellStyle name="Tittel 4 3" xfId="14567" xr:uid="{00000000-0005-0000-0000-0000C2AF0000}"/>
    <cellStyle name="Tittel 5" xfId="3184" xr:uid="{00000000-0005-0000-0000-0000C3AF0000}"/>
    <cellStyle name="Tittel 5 2" xfId="14570" xr:uid="{00000000-0005-0000-0000-0000C4AF0000}"/>
    <cellStyle name="Tittel 5 2 2" xfId="19093" xr:uid="{00000000-0005-0000-0000-0000C5AF0000}"/>
    <cellStyle name="Tittel 5 2 3" xfId="15490" xr:uid="{00000000-0005-0000-0000-0000C6AF0000}"/>
    <cellStyle name="Tittel 5 2 3 2" xfId="27190" xr:uid="{00000000-0005-0000-0000-0000C7AF0000}"/>
    <cellStyle name="Tittel 5 2 3 2 2" xfId="42046" xr:uid="{00000000-0005-0000-0000-0000C8AF0000}"/>
    <cellStyle name="Tittel 5 2 3 3" xfId="45772" xr:uid="{00000000-0005-0000-0000-0000C9AF0000}"/>
    <cellStyle name="Tittel 5 2_Avviksanalyse løpende RNB15 (1)" xfId="17666" xr:uid="{00000000-0005-0000-0000-0000CAAF0000}"/>
    <cellStyle name="Tittel 5 3" xfId="14569" xr:uid="{00000000-0005-0000-0000-0000CBAF0000}"/>
    <cellStyle name="Tittel 6" xfId="3185" xr:uid="{00000000-0005-0000-0000-0000CCAF0000}"/>
    <cellStyle name="Tittel 6 2" xfId="14572" xr:uid="{00000000-0005-0000-0000-0000CDAF0000}"/>
    <cellStyle name="Tittel 6 2 2" xfId="19094" xr:uid="{00000000-0005-0000-0000-0000CEAF0000}"/>
    <cellStyle name="Tittel 6 2 3" xfId="15601" xr:uid="{00000000-0005-0000-0000-0000CFAF0000}"/>
    <cellStyle name="Tittel 6 2 3 2" xfId="27191" xr:uid="{00000000-0005-0000-0000-0000D0AF0000}"/>
    <cellStyle name="Tittel 6 2 3 2 2" xfId="42157" xr:uid="{00000000-0005-0000-0000-0000D1AF0000}"/>
    <cellStyle name="Tittel 6 2 3 3" xfId="45773" xr:uid="{00000000-0005-0000-0000-0000D2AF0000}"/>
    <cellStyle name="Tittel 6 2_Avviksanalyse løpende RNB15 (1)" xfId="17667" xr:uid="{00000000-0005-0000-0000-0000D3AF0000}"/>
    <cellStyle name="Tittel 6 3" xfId="14571" xr:uid="{00000000-0005-0000-0000-0000D4AF0000}"/>
    <cellStyle name="Tittel 7" xfId="3186" xr:uid="{00000000-0005-0000-0000-0000D5AF0000}"/>
    <cellStyle name="Tittel 7 2" xfId="14574" xr:uid="{00000000-0005-0000-0000-0000D6AF0000}"/>
    <cellStyle name="Tittel 7 2 2" xfId="19095" xr:uid="{00000000-0005-0000-0000-0000D7AF0000}"/>
    <cellStyle name="Tittel 7 2 3" xfId="15602" xr:uid="{00000000-0005-0000-0000-0000D8AF0000}"/>
    <cellStyle name="Tittel 7 2 3 2" xfId="27192" xr:uid="{00000000-0005-0000-0000-0000D9AF0000}"/>
    <cellStyle name="Tittel 7 2 3 2 2" xfId="42158" xr:uid="{00000000-0005-0000-0000-0000DAAF0000}"/>
    <cellStyle name="Tittel 7 2 3 3" xfId="45774" xr:uid="{00000000-0005-0000-0000-0000DBAF0000}"/>
    <cellStyle name="Tittel 7 2_Avviksanalyse løpende RNB15 (1)" xfId="17668" xr:uid="{00000000-0005-0000-0000-0000DCAF0000}"/>
    <cellStyle name="Tittel 7 3" xfId="14573" xr:uid="{00000000-0005-0000-0000-0000DDAF0000}"/>
    <cellStyle name="Tittel 8" xfId="3187" xr:uid="{00000000-0005-0000-0000-0000DEAF0000}"/>
    <cellStyle name="Tittel 8 2" xfId="3188" xr:uid="{00000000-0005-0000-0000-0000DFAF0000}"/>
    <cellStyle name="Tittel 8 2 2" xfId="14577" xr:uid="{00000000-0005-0000-0000-0000E0AF0000}"/>
    <cellStyle name="Tittel 8 2 2 2" xfId="19096" xr:uid="{00000000-0005-0000-0000-0000E1AF0000}"/>
    <cellStyle name="Tittel 8 2 2 3" xfId="16417" xr:uid="{00000000-0005-0000-0000-0000E2AF0000}"/>
    <cellStyle name="Tittel 8 2 2 3 2" xfId="27193" xr:uid="{00000000-0005-0000-0000-0000E3AF0000}"/>
    <cellStyle name="Tittel 8 2 2 3 2 2" xfId="42972" xr:uid="{00000000-0005-0000-0000-0000E4AF0000}"/>
    <cellStyle name="Tittel 8 2 2 3 3" xfId="45775" xr:uid="{00000000-0005-0000-0000-0000E5AF0000}"/>
    <cellStyle name="Tittel 8 2 2_Avviksanalyse løpende RNB15 (1)" xfId="17669" xr:uid="{00000000-0005-0000-0000-0000E6AF0000}"/>
    <cellStyle name="Tittel 8 2 3" xfId="14576" xr:uid="{00000000-0005-0000-0000-0000E7AF0000}"/>
    <cellStyle name="Tittel 8 3" xfId="14578" xr:uid="{00000000-0005-0000-0000-0000E8AF0000}"/>
    <cellStyle name="Tittel 8 3 2" xfId="14579" xr:uid="{00000000-0005-0000-0000-0000E9AF0000}"/>
    <cellStyle name="Tittel 8 3 2 2" xfId="19097" xr:uid="{00000000-0005-0000-0000-0000EAAF0000}"/>
    <cellStyle name="Tittel 8 3 2 3" xfId="16416" xr:uid="{00000000-0005-0000-0000-0000EBAF0000}"/>
    <cellStyle name="Tittel 8 3 2 3 2" xfId="27194" xr:uid="{00000000-0005-0000-0000-0000ECAF0000}"/>
    <cellStyle name="Tittel 8 3 2 3 2 2" xfId="42971" xr:uid="{00000000-0005-0000-0000-0000EDAF0000}"/>
    <cellStyle name="Tittel 8 3 2 3 3" xfId="45776" xr:uid="{00000000-0005-0000-0000-0000EEAF0000}"/>
    <cellStyle name="Tittel 8 3 2_Avviksanalyse løpende RNB15 (1)" xfId="17670" xr:uid="{00000000-0005-0000-0000-0000EFAF0000}"/>
    <cellStyle name="Tittel 8 4" xfId="14580" xr:uid="{00000000-0005-0000-0000-0000F0AF0000}"/>
    <cellStyle name="Tittel 8 4 2" xfId="19098" xr:uid="{00000000-0005-0000-0000-0000F1AF0000}"/>
    <cellStyle name="Tittel 8 4 3" xfId="15603" xr:uid="{00000000-0005-0000-0000-0000F2AF0000}"/>
    <cellStyle name="Tittel 8 4 3 2" xfId="27195" xr:uid="{00000000-0005-0000-0000-0000F3AF0000}"/>
    <cellStyle name="Tittel 8 4 3 2 2" xfId="42159" xr:uid="{00000000-0005-0000-0000-0000F4AF0000}"/>
    <cellStyle name="Tittel 8 4 3 3" xfId="45777" xr:uid="{00000000-0005-0000-0000-0000F5AF0000}"/>
    <cellStyle name="Tittel 8 4_Avviksanalyse løpende RNB15 (1)" xfId="17671" xr:uid="{00000000-0005-0000-0000-0000F6AF0000}"/>
    <cellStyle name="Tittel 8 5" xfId="14575" xr:uid="{00000000-0005-0000-0000-0000F7AF0000}"/>
    <cellStyle name="Tittel 9" xfId="3189" xr:uid="{00000000-0005-0000-0000-0000F8AF0000}"/>
    <cellStyle name="Tittel 9 2" xfId="3190" xr:uid="{00000000-0005-0000-0000-0000F9AF0000}"/>
    <cellStyle name="Tittel 9 2 2" xfId="14583" xr:uid="{00000000-0005-0000-0000-0000FAAF0000}"/>
    <cellStyle name="Tittel 9 2 2 2" xfId="19099" xr:uid="{00000000-0005-0000-0000-0000FBAF0000}"/>
    <cellStyle name="Tittel 9 2 2 3" xfId="16419" xr:uid="{00000000-0005-0000-0000-0000FCAF0000}"/>
    <cellStyle name="Tittel 9 2 2 3 2" xfId="27196" xr:uid="{00000000-0005-0000-0000-0000FDAF0000}"/>
    <cellStyle name="Tittel 9 2 2 3 2 2" xfId="42974" xr:uid="{00000000-0005-0000-0000-0000FEAF0000}"/>
    <cellStyle name="Tittel 9 2 2 3 3" xfId="45778" xr:uid="{00000000-0005-0000-0000-0000FFAF0000}"/>
    <cellStyle name="Tittel 9 2 2_Avviksanalyse løpende RNB15 (1)" xfId="17672" xr:uid="{00000000-0005-0000-0000-000000B00000}"/>
    <cellStyle name="Tittel 9 2 3" xfId="14582" xr:uid="{00000000-0005-0000-0000-000001B00000}"/>
    <cellStyle name="Tittel 9 3" xfId="14584" xr:uid="{00000000-0005-0000-0000-000002B00000}"/>
    <cellStyle name="Tittel 9 3 2" xfId="14585" xr:uid="{00000000-0005-0000-0000-000003B00000}"/>
    <cellStyle name="Tittel 9 3 2 2" xfId="19100" xr:uid="{00000000-0005-0000-0000-000004B00000}"/>
    <cellStyle name="Tittel 9 3 2 3" xfId="16418" xr:uid="{00000000-0005-0000-0000-000005B00000}"/>
    <cellStyle name="Tittel 9 3 2 3 2" xfId="27197" xr:uid="{00000000-0005-0000-0000-000006B00000}"/>
    <cellStyle name="Tittel 9 3 2 3 2 2" xfId="42973" xr:uid="{00000000-0005-0000-0000-000007B00000}"/>
    <cellStyle name="Tittel 9 3 2 3 3" xfId="45779" xr:uid="{00000000-0005-0000-0000-000008B00000}"/>
    <cellStyle name="Tittel 9 3 2_Avviksanalyse løpende RNB15 (1)" xfId="17673" xr:uid="{00000000-0005-0000-0000-000009B00000}"/>
    <cellStyle name="Tittel 9 4" xfId="14586" xr:uid="{00000000-0005-0000-0000-00000AB00000}"/>
    <cellStyle name="Tittel 9 4 2" xfId="19101" xr:uid="{00000000-0005-0000-0000-00000BB00000}"/>
    <cellStyle name="Tittel 9 4 3" xfId="15604" xr:uid="{00000000-0005-0000-0000-00000CB00000}"/>
    <cellStyle name="Tittel 9 4 3 2" xfId="27198" xr:uid="{00000000-0005-0000-0000-00000DB00000}"/>
    <cellStyle name="Tittel 9 4 3 2 2" xfId="42160" xr:uid="{00000000-0005-0000-0000-00000EB00000}"/>
    <cellStyle name="Tittel 9 4 3 3" xfId="45780" xr:uid="{00000000-0005-0000-0000-00000FB00000}"/>
    <cellStyle name="Tittel 9 4_Avviksanalyse løpende RNB15 (1)" xfId="17674" xr:uid="{00000000-0005-0000-0000-000010B00000}"/>
    <cellStyle name="Tittel 9 5" xfId="14581" xr:uid="{00000000-0005-0000-0000-000011B00000}"/>
    <cellStyle name="Total" xfId="4082" xr:uid="{00000000-0005-0000-0000-000012B00000}"/>
    <cellStyle name="Total 2" xfId="3192" xr:uid="{00000000-0005-0000-0000-000013B00000}"/>
    <cellStyle name="Total 2 2" xfId="14588" xr:uid="{00000000-0005-0000-0000-000014B00000}"/>
    <cellStyle name="Total 2 2 2" xfId="19102" xr:uid="{00000000-0005-0000-0000-000015B00000}"/>
    <cellStyle name="Total 2 2 3" xfId="16223" xr:uid="{00000000-0005-0000-0000-000016B00000}"/>
    <cellStyle name="Total 2 2 3 2" xfId="27199" xr:uid="{00000000-0005-0000-0000-000017B00000}"/>
    <cellStyle name="Total 2 2 3 2 2" xfId="42779" xr:uid="{00000000-0005-0000-0000-000018B00000}"/>
    <cellStyle name="Total 2 2 3 3" xfId="45781" xr:uid="{00000000-0005-0000-0000-000019B00000}"/>
    <cellStyle name="Total 2 2_Avviksanalyse løpende RNB15 (1)" xfId="17675" xr:uid="{00000000-0005-0000-0000-00001AB00000}"/>
    <cellStyle name="Total 2 3" xfId="14587" xr:uid="{00000000-0005-0000-0000-00001BB00000}"/>
    <cellStyle name="Total 3" xfId="1087" xr:uid="{00000000-0005-0000-0000-00001CB00000}"/>
    <cellStyle name="Total 3 2" xfId="19103" xr:uid="{00000000-0005-0000-0000-00001DB00000}"/>
    <cellStyle name="Total 3 3" xfId="15494" xr:uid="{00000000-0005-0000-0000-00001EB00000}"/>
    <cellStyle name="Total 3 3 2" xfId="27200" xr:uid="{00000000-0005-0000-0000-00001FB00000}"/>
    <cellStyle name="Total 3 3 2 2" xfId="42050" xr:uid="{00000000-0005-0000-0000-000020B00000}"/>
    <cellStyle name="Total 3 3 3" xfId="45782" xr:uid="{00000000-0005-0000-0000-000021B00000}"/>
    <cellStyle name="Total 3 4" xfId="14589" xr:uid="{00000000-0005-0000-0000-000022B00000}"/>
    <cellStyle name="Total 3_Avviksanalyse løpende RNB15 (1)" xfId="17676" xr:uid="{00000000-0005-0000-0000-000023B00000}"/>
    <cellStyle name="Totals" xfId="3686" xr:uid="{00000000-0005-0000-0000-000024B00000}"/>
    <cellStyle name="Totals 2" xfId="19104" xr:uid="{00000000-0005-0000-0000-000025B00000}"/>
    <cellStyle name="Totals 3" xfId="15156" xr:uid="{00000000-0005-0000-0000-000026B00000}"/>
    <cellStyle name="Totals 3 2" xfId="27201" xr:uid="{00000000-0005-0000-0000-000027B00000}"/>
    <cellStyle name="Totals 3 2 2" xfId="41713" xr:uid="{00000000-0005-0000-0000-000028B00000}"/>
    <cellStyle name="Totals 3 3" xfId="45783" xr:uid="{00000000-0005-0000-0000-000029B00000}"/>
    <cellStyle name="Totals 4" xfId="14590" xr:uid="{00000000-0005-0000-0000-00002AB00000}"/>
    <cellStyle name="Totals_Avviksanalyse løpende RNB15 (1)" xfId="17677" xr:uid="{00000000-0005-0000-0000-00002BB00000}"/>
    <cellStyle name="Totalt" xfId="4638" xr:uid="{00000000-0005-0000-0000-00002CB00000}"/>
    <cellStyle name="Totalt 10" xfId="3193" xr:uid="{00000000-0005-0000-0000-00002DB00000}"/>
    <cellStyle name="Totalt 10 2" xfId="14592" xr:uid="{00000000-0005-0000-0000-00002EB00000}"/>
    <cellStyle name="Totalt 10 2 2" xfId="14593" xr:uid="{00000000-0005-0000-0000-00002FB00000}"/>
    <cellStyle name="Totalt 10 2 2 2" xfId="19105" xr:uid="{00000000-0005-0000-0000-000030B00000}"/>
    <cellStyle name="Totalt 10 2 2 3" xfId="16420" xr:uid="{00000000-0005-0000-0000-000031B00000}"/>
    <cellStyle name="Totalt 10 2 2 3 2" xfId="27202" xr:uid="{00000000-0005-0000-0000-000032B00000}"/>
    <cellStyle name="Totalt 10 2 2 3 2 2" xfId="42975" xr:uid="{00000000-0005-0000-0000-000033B00000}"/>
    <cellStyle name="Totalt 10 2 2 3 3" xfId="45784" xr:uid="{00000000-0005-0000-0000-000034B00000}"/>
    <cellStyle name="Totalt 10 2 2_Avviksanalyse løpende RNB15 (1)" xfId="17678" xr:uid="{00000000-0005-0000-0000-000035B00000}"/>
    <cellStyle name="Totalt 10 3" xfId="14594" xr:uid="{00000000-0005-0000-0000-000036B00000}"/>
    <cellStyle name="Totalt 10 3 2" xfId="19106" xr:uid="{00000000-0005-0000-0000-000037B00000}"/>
    <cellStyle name="Totalt 10 3 3" xfId="15605" xr:uid="{00000000-0005-0000-0000-000038B00000}"/>
    <cellStyle name="Totalt 10 3 3 2" xfId="27203" xr:uid="{00000000-0005-0000-0000-000039B00000}"/>
    <cellStyle name="Totalt 10 3 3 2 2" xfId="42161" xr:uid="{00000000-0005-0000-0000-00003AB00000}"/>
    <cellStyle name="Totalt 10 3 3 3" xfId="45785" xr:uid="{00000000-0005-0000-0000-00003BB00000}"/>
    <cellStyle name="Totalt 10 3_Avviksanalyse løpende RNB15 (1)" xfId="17679" xr:uid="{00000000-0005-0000-0000-00003CB00000}"/>
    <cellStyle name="Totalt 10 4" xfId="14591" xr:uid="{00000000-0005-0000-0000-00003DB00000}"/>
    <cellStyle name="Totalt 11" xfId="3194" xr:uid="{00000000-0005-0000-0000-00003EB00000}"/>
    <cellStyle name="Totalt 11 2" xfId="4432" xr:uid="{00000000-0005-0000-0000-00003FB00000}"/>
    <cellStyle name="Totalt 11 2 2" xfId="14597" xr:uid="{00000000-0005-0000-0000-000040B00000}"/>
    <cellStyle name="Totalt 11 2 2 2" xfId="19107" xr:uid="{00000000-0005-0000-0000-000041B00000}"/>
    <cellStyle name="Totalt 11 2 2 3" xfId="16421" xr:uid="{00000000-0005-0000-0000-000042B00000}"/>
    <cellStyle name="Totalt 11 2 2 3 2" xfId="27204" xr:uid="{00000000-0005-0000-0000-000043B00000}"/>
    <cellStyle name="Totalt 11 2 2 3 2 2" xfId="42976" xr:uid="{00000000-0005-0000-0000-000044B00000}"/>
    <cellStyle name="Totalt 11 2 2 3 3" xfId="45786" xr:uid="{00000000-0005-0000-0000-000045B00000}"/>
    <cellStyle name="Totalt 11 2 2_Avviksanalyse løpende RNB15 (1)" xfId="17680" xr:uid="{00000000-0005-0000-0000-000046B00000}"/>
    <cellStyle name="Totalt 11 2 3" xfId="14596" xr:uid="{00000000-0005-0000-0000-000047B00000}"/>
    <cellStyle name="Totalt 11 3" xfId="4377" xr:uid="{00000000-0005-0000-0000-000048B00000}"/>
    <cellStyle name="Totalt 11 3 2" xfId="19108" xr:uid="{00000000-0005-0000-0000-000049B00000}"/>
    <cellStyle name="Totalt 11 3 3" xfId="15606" xr:uid="{00000000-0005-0000-0000-00004AB00000}"/>
    <cellStyle name="Totalt 11 3 3 2" xfId="27205" xr:uid="{00000000-0005-0000-0000-00004BB00000}"/>
    <cellStyle name="Totalt 11 3 3 2 2" xfId="42162" xr:uid="{00000000-0005-0000-0000-00004CB00000}"/>
    <cellStyle name="Totalt 11 3 3 3" xfId="45787" xr:uid="{00000000-0005-0000-0000-00004DB00000}"/>
    <cellStyle name="Totalt 11 3 4" xfId="14598" xr:uid="{00000000-0005-0000-0000-00004EB00000}"/>
    <cellStyle name="Totalt 11 3_Avviksanalyse løpende RNB15 (1)" xfId="17681" xr:uid="{00000000-0005-0000-0000-00004FB00000}"/>
    <cellStyle name="Totalt 11 4" xfId="14595" xr:uid="{00000000-0005-0000-0000-000050B00000}"/>
    <cellStyle name="Totalt 12" xfId="3195" xr:uid="{00000000-0005-0000-0000-000051B00000}"/>
    <cellStyle name="Totalt 12 2" xfId="14600" xr:uid="{00000000-0005-0000-0000-000052B00000}"/>
    <cellStyle name="Totalt 12 2 2" xfId="14601" xr:uid="{00000000-0005-0000-0000-000053B00000}"/>
    <cellStyle name="Totalt 12 2 2 2" xfId="19109" xr:uid="{00000000-0005-0000-0000-000054B00000}"/>
    <cellStyle name="Totalt 12 2 2 3" xfId="16422" xr:uid="{00000000-0005-0000-0000-000055B00000}"/>
    <cellStyle name="Totalt 12 2 2 3 2" xfId="27206" xr:uid="{00000000-0005-0000-0000-000056B00000}"/>
    <cellStyle name="Totalt 12 2 2 3 2 2" xfId="42977" xr:uid="{00000000-0005-0000-0000-000057B00000}"/>
    <cellStyle name="Totalt 12 2 2 3 3" xfId="45788" xr:uid="{00000000-0005-0000-0000-000058B00000}"/>
    <cellStyle name="Totalt 12 2 2_Avviksanalyse løpende RNB15 (1)" xfId="17682" xr:uid="{00000000-0005-0000-0000-000059B00000}"/>
    <cellStyle name="Totalt 12 3" xfId="14602" xr:uid="{00000000-0005-0000-0000-00005AB00000}"/>
    <cellStyle name="Totalt 12 3 2" xfId="19110" xr:uid="{00000000-0005-0000-0000-00005BB00000}"/>
    <cellStyle name="Totalt 12 3 3" xfId="15607" xr:uid="{00000000-0005-0000-0000-00005CB00000}"/>
    <cellStyle name="Totalt 12 3 3 2" xfId="27207" xr:uid="{00000000-0005-0000-0000-00005DB00000}"/>
    <cellStyle name="Totalt 12 3 3 2 2" xfId="42163" xr:uid="{00000000-0005-0000-0000-00005EB00000}"/>
    <cellStyle name="Totalt 12 3 3 3" xfId="45789" xr:uid="{00000000-0005-0000-0000-00005FB00000}"/>
    <cellStyle name="Totalt 12 3_Avviksanalyse løpende RNB15 (1)" xfId="17683" xr:uid="{00000000-0005-0000-0000-000060B00000}"/>
    <cellStyle name="Totalt 12 4" xfId="14599" xr:uid="{00000000-0005-0000-0000-000061B00000}"/>
    <cellStyle name="Totalt 13" xfId="3196" xr:uid="{00000000-0005-0000-0000-000062B00000}"/>
    <cellStyle name="Totalt 13 2" xfId="14604" xr:uid="{00000000-0005-0000-0000-000063B00000}"/>
    <cellStyle name="Totalt 13 2 2" xfId="14605" xr:uid="{00000000-0005-0000-0000-000064B00000}"/>
    <cellStyle name="Totalt 13 2 2 2" xfId="19111" xr:uid="{00000000-0005-0000-0000-000065B00000}"/>
    <cellStyle name="Totalt 13 2 2 3" xfId="16423" xr:uid="{00000000-0005-0000-0000-000066B00000}"/>
    <cellStyle name="Totalt 13 2 2 3 2" xfId="27208" xr:uid="{00000000-0005-0000-0000-000067B00000}"/>
    <cellStyle name="Totalt 13 2 2 3 2 2" xfId="42978" xr:uid="{00000000-0005-0000-0000-000068B00000}"/>
    <cellStyle name="Totalt 13 2 2 3 3" xfId="45790" xr:uid="{00000000-0005-0000-0000-000069B00000}"/>
    <cellStyle name="Totalt 13 2 2_Avviksanalyse løpende RNB15 (1)" xfId="17684" xr:uid="{00000000-0005-0000-0000-00006AB00000}"/>
    <cellStyle name="Totalt 13 3" xfId="14606" xr:uid="{00000000-0005-0000-0000-00006BB00000}"/>
    <cellStyle name="Totalt 13 3 2" xfId="19112" xr:uid="{00000000-0005-0000-0000-00006CB00000}"/>
    <cellStyle name="Totalt 13 3 3" xfId="15608" xr:uid="{00000000-0005-0000-0000-00006DB00000}"/>
    <cellStyle name="Totalt 13 3 3 2" xfId="27209" xr:uid="{00000000-0005-0000-0000-00006EB00000}"/>
    <cellStyle name="Totalt 13 3 3 2 2" xfId="42164" xr:uid="{00000000-0005-0000-0000-00006FB00000}"/>
    <cellStyle name="Totalt 13 3 3 3" xfId="45791" xr:uid="{00000000-0005-0000-0000-000070B00000}"/>
    <cellStyle name="Totalt 13 3_Avviksanalyse løpende RNB15 (1)" xfId="17685" xr:uid="{00000000-0005-0000-0000-000071B00000}"/>
    <cellStyle name="Totalt 13 4" xfId="14603" xr:uid="{00000000-0005-0000-0000-000072B00000}"/>
    <cellStyle name="Totalt 14" xfId="3432" xr:uid="{00000000-0005-0000-0000-000073B00000}"/>
    <cellStyle name="Totalt 14 2" xfId="14608" xr:uid="{00000000-0005-0000-0000-000074B00000}"/>
    <cellStyle name="Totalt 14 2 2" xfId="19113" xr:uid="{00000000-0005-0000-0000-000075B00000}"/>
    <cellStyle name="Totalt 14 2 3" xfId="15609" xr:uid="{00000000-0005-0000-0000-000076B00000}"/>
    <cellStyle name="Totalt 14 2 3 2" xfId="27210" xr:uid="{00000000-0005-0000-0000-000077B00000}"/>
    <cellStyle name="Totalt 14 2 3 2 2" xfId="42165" xr:uid="{00000000-0005-0000-0000-000078B00000}"/>
    <cellStyle name="Totalt 14 2 3 3" xfId="45792" xr:uid="{00000000-0005-0000-0000-000079B00000}"/>
    <cellStyle name="Totalt 14 2_Avviksanalyse løpende RNB15 (1)" xfId="17686" xr:uid="{00000000-0005-0000-0000-00007AB00000}"/>
    <cellStyle name="Totalt 14 3" xfId="14607" xr:uid="{00000000-0005-0000-0000-00007BB00000}"/>
    <cellStyle name="Totalt 15" xfId="40940" xr:uid="{00000000-0005-0000-0000-00007CB00000}"/>
    <cellStyle name="Totalt 16" xfId="43140" xr:uid="{00000000-0005-0000-0000-00007DB00000}"/>
    <cellStyle name="Totalt 17" xfId="40896" xr:uid="{00000000-0005-0000-0000-00007EB00000}"/>
    <cellStyle name="Totalt 18" xfId="40817" xr:uid="{00000000-0005-0000-0000-00007FB00000}"/>
    <cellStyle name="Totalt 19" xfId="40865" xr:uid="{00000000-0005-0000-0000-000080B00000}"/>
    <cellStyle name="Totalt 2" xfId="3197" xr:uid="{00000000-0005-0000-0000-000081B00000}"/>
    <cellStyle name="Totalt 2 10" xfId="14610" xr:uid="{00000000-0005-0000-0000-000082B00000}"/>
    <cellStyle name="Totalt 2 10 2" xfId="19114" xr:uid="{00000000-0005-0000-0000-000083B00000}"/>
    <cellStyle name="Totalt 2 10 3" xfId="15496" xr:uid="{00000000-0005-0000-0000-000084B00000}"/>
    <cellStyle name="Totalt 2 10 3 2" xfId="27211" xr:uid="{00000000-0005-0000-0000-000085B00000}"/>
    <cellStyle name="Totalt 2 10 3 2 2" xfId="42052" xr:uid="{00000000-0005-0000-0000-000086B00000}"/>
    <cellStyle name="Totalt 2 10 3 3" xfId="45793" xr:uid="{00000000-0005-0000-0000-000087B00000}"/>
    <cellStyle name="Totalt 2 10_Avviksanalyse løpende RNB15 (1)" xfId="17687" xr:uid="{00000000-0005-0000-0000-000088B00000}"/>
    <cellStyle name="Totalt 2 11" xfId="14609" xr:uid="{00000000-0005-0000-0000-000089B00000}"/>
    <cellStyle name="Totalt 2 2" xfId="3198" xr:uid="{00000000-0005-0000-0000-00008AB00000}"/>
    <cellStyle name="Totalt 2 2 2" xfId="14612" xr:uid="{00000000-0005-0000-0000-00008BB00000}"/>
    <cellStyle name="Totalt 2 2 2 2" xfId="19115" xr:uid="{00000000-0005-0000-0000-00008CB00000}"/>
    <cellStyle name="Totalt 2 2 2 3" xfId="15610" xr:uid="{00000000-0005-0000-0000-00008DB00000}"/>
    <cellStyle name="Totalt 2 2 2 3 2" xfId="27212" xr:uid="{00000000-0005-0000-0000-00008EB00000}"/>
    <cellStyle name="Totalt 2 2 2 3 2 2" xfId="42166" xr:uid="{00000000-0005-0000-0000-00008FB00000}"/>
    <cellStyle name="Totalt 2 2 2 3 3" xfId="45794" xr:uid="{00000000-0005-0000-0000-000090B00000}"/>
    <cellStyle name="Totalt 2 2 2_Avviksanalyse løpende RNB15 (1)" xfId="17688" xr:uid="{00000000-0005-0000-0000-000091B00000}"/>
    <cellStyle name="Totalt 2 2 3" xfId="14611" xr:uid="{00000000-0005-0000-0000-000092B00000}"/>
    <cellStyle name="Totalt 2 3" xfId="14613" xr:uid="{00000000-0005-0000-0000-000093B00000}"/>
    <cellStyle name="Totalt 2 3 2" xfId="14614" xr:uid="{00000000-0005-0000-0000-000094B00000}"/>
    <cellStyle name="Totalt 2 3 2 2" xfId="19116" xr:uid="{00000000-0005-0000-0000-000095B00000}"/>
    <cellStyle name="Totalt 2 3 2 3" xfId="15611" xr:uid="{00000000-0005-0000-0000-000096B00000}"/>
    <cellStyle name="Totalt 2 3 2 3 2" xfId="27213" xr:uid="{00000000-0005-0000-0000-000097B00000}"/>
    <cellStyle name="Totalt 2 3 2 3 2 2" xfId="42167" xr:uid="{00000000-0005-0000-0000-000098B00000}"/>
    <cellStyle name="Totalt 2 3 2 3 3" xfId="45795" xr:uid="{00000000-0005-0000-0000-000099B00000}"/>
    <cellStyle name="Totalt 2 3 2_Avviksanalyse løpende RNB15 (1)" xfId="17689" xr:uid="{00000000-0005-0000-0000-00009AB00000}"/>
    <cellStyle name="Totalt 2 4" xfId="14615" xr:uid="{00000000-0005-0000-0000-00009BB00000}"/>
    <cellStyle name="Totalt 2 4 2" xfId="14616" xr:uid="{00000000-0005-0000-0000-00009CB00000}"/>
    <cellStyle name="Totalt 2 4 2 2" xfId="19117" xr:uid="{00000000-0005-0000-0000-00009DB00000}"/>
    <cellStyle name="Totalt 2 4 2 3" xfId="15612" xr:uid="{00000000-0005-0000-0000-00009EB00000}"/>
    <cellStyle name="Totalt 2 4 2 3 2" xfId="27214" xr:uid="{00000000-0005-0000-0000-00009FB00000}"/>
    <cellStyle name="Totalt 2 4 2 3 2 2" xfId="42168" xr:uid="{00000000-0005-0000-0000-0000A0B00000}"/>
    <cellStyle name="Totalt 2 4 2 3 3" xfId="45796" xr:uid="{00000000-0005-0000-0000-0000A1B00000}"/>
    <cellStyle name="Totalt 2 4 2_Avviksanalyse løpende RNB15 (1)" xfId="17690" xr:uid="{00000000-0005-0000-0000-0000A2B00000}"/>
    <cellStyle name="Totalt 2 5" xfId="14617" xr:uid="{00000000-0005-0000-0000-0000A3B00000}"/>
    <cellStyle name="Totalt 2 5 2" xfId="14618" xr:uid="{00000000-0005-0000-0000-0000A4B00000}"/>
    <cellStyle name="Totalt 2 5 2 2" xfId="19118" xr:uid="{00000000-0005-0000-0000-0000A5B00000}"/>
    <cellStyle name="Totalt 2 5 2 3" xfId="15613" xr:uid="{00000000-0005-0000-0000-0000A6B00000}"/>
    <cellStyle name="Totalt 2 5 2 3 2" xfId="27215" xr:uid="{00000000-0005-0000-0000-0000A7B00000}"/>
    <cellStyle name="Totalt 2 5 2 3 2 2" xfId="42169" xr:uid="{00000000-0005-0000-0000-0000A8B00000}"/>
    <cellStyle name="Totalt 2 5 2 3 3" xfId="45797" xr:uid="{00000000-0005-0000-0000-0000A9B00000}"/>
    <cellStyle name="Totalt 2 5 2_Avviksanalyse løpende RNB15 (1)" xfId="17691" xr:uid="{00000000-0005-0000-0000-0000AAB00000}"/>
    <cellStyle name="Totalt 2 6" xfId="14619" xr:uid="{00000000-0005-0000-0000-0000ABB00000}"/>
    <cellStyle name="Totalt 2 6 2" xfId="14620" xr:uid="{00000000-0005-0000-0000-0000ACB00000}"/>
    <cellStyle name="Totalt 2 6 2 2" xfId="19119" xr:uid="{00000000-0005-0000-0000-0000ADB00000}"/>
    <cellStyle name="Totalt 2 6 2 3" xfId="15614" xr:uid="{00000000-0005-0000-0000-0000AEB00000}"/>
    <cellStyle name="Totalt 2 6 2 3 2" xfId="27216" xr:uid="{00000000-0005-0000-0000-0000AFB00000}"/>
    <cellStyle name="Totalt 2 6 2 3 2 2" xfId="42170" xr:uid="{00000000-0005-0000-0000-0000B0B00000}"/>
    <cellStyle name="Totalt 2 6 2 3 3" xfId="45798" xr:uid="{00000000-0005-0000-0000-0000B1B00000}"/>
    <cellStyle name="Totalt 2 6 2_Avviksanalyse løpende RNB15 (1)" xfId="17692" xr:uid="{00000000-0005-0000-0000-0000B2B00000}"/>
    <cellStyle name="Totalt 2 7" xfId="14621" xr:uid="{00000000-0005-0000-0000-0000B3B00000}"/>
    <cellStyle name="Totalt 2 7 2" xfId="14622" xr:uid="{00000000-0005-0000-0000-0000B4B00000}"/>
    <cellStyle name="Totalt 2 7 2 2" xfId="19120" xr:uid="{00000000-0005-0000-0000-0000B5B00000}"/>
    <cellStyle name="Totalt 2 7 2 3" xfId="15615" xr:uid="{00000000-0005-0000-0000-0000B6B00000}"/>
    <cellStyle name="Totalt 2 7 2 3 2" xfId="27217" xr:uid="{00000000-0005-0000-0000-0000B7B00000}"/>
    <cellStyle name="Totalt 2 7 2 3 2 2" xfId="42171" xr:uid="{00000000-0005-0000-0000-0000B8B00000}"/>
    <cellStyle name="Totalt 2 7 2 3 3" xfId="45799" xr:uid="{00000000-0005-0000-0000-0000B9B00000}"/>
    <cellStyle name="Totalt 2 7 2_Avviksanalyse løpende RNB15 (1)" xfId="17693" xr:uid="{00000000-0005-0000-0000-0000BAB00000}"/>
    <cellStyle name="Totalt 2 8" xfId="14623" xr:uid="{00000000-0005-0000-0000-0000BBB00000}"/>
    <cellStyle name="Totalt 2 8 2" xfId="14624" xr:uid="{00000000-0005-0000-0000-0000BCB00000}"/>
    <cellStyle name="Totalt 2 8 2 2" xfId="19121" xr:uid="{00000000-0005-0000-0000-0000BDB00000}"/>
    <cellStyle name="Totalt 2 8 2 3" xfId="15616" xr:uid="{00000000-0005-0000-0000-0000BEB00000}"/>
    <cellStyle name="Totalt 2 8 2 3 2" xfId="27218" xr:uid="{00000000-0005-0000-0000-0000BFB00000}"/>
    <cellStyle name="Totalt 2 8 2 3 2 2" xfId="42172" xr:uid="{00000000-0005-0000-0000-0000C0B00000}"/>
    <cellStyle name="Totalt 2 8 2 3 3" xfId="45800" xr:uid="{00000000-0005-0000-0000-0000C1B00000}"/>
    <cellStyle name="Totalt 2 8 2_Avviksanalyse løpende RNB15 (1)" xfId="17694" xr:uid="{00000000-0005-0000-0000-0000C2B00000}"/>
    <cellStyle name="Totalt 2 9" xfId="14625" xr:uid="{00000000-0005-0000-0000-0000C3B00000}"/>
    <cellStyle name="Totalt 2 9 2" xfId="14626" xr:uid="{00000000-0005-0000-0000-0000C4B00000}"/>
    <cellStyle name="Totalt 2 9 2 2" xfId="19122" xr:uid="{00000000-0005-0000-0000-0000C5B00000}"/>
    <cellStyle name="Totalt 2 9 2 3" xfId="15617" xr:uid="{00000000-0005-0000-0000-0000C6B00000}"/>
    <cellStyle name="Totalt 2 9 2 3 2" xfId="27219" xr:uid="{00000000-0005-0000-0000-0000C7B00000}"/>
    <cellStyle name="Totalt 2 9 2 3 2 2" xfId="42173" xr:uid="{00000000-0005-0000-0000-0000C8B00000}"/>
    <cellStyle name="Totalt 2 9 2 3 3" xfId="45801" xr:uid="{00000000-0005-0000-0000-0000C9B00000}"/>
    <cellStyle name="Totalt 2 9 2_Avviksanalyse løpende RNB15 (1)" xfId="17695" xr:uid="{00000000-0005-0000-0000-0000CAB00000}"/>
    <cellStyle name="Totalt 20" xfId="40844" xr:uid="{00000000-0005-0000-0000-0000CBB00000}"/>
    <cellStyle name="Totalt 21" xfId="40853" xr:uid="{00000000-0005-0000-0000-0000CCB00000}"/>
    <cellStyle name="Totalt 22" xfId="43201" xr:uid="{00000000-0005-0000-0000-0000CDB00000}"/>
    <cellStyle name="Totalt 23" xfId="43415" xr:uid="{00000000-0005-0000-0000-0000CEB00000}"/>
    <cellStyle name="Totalt 24" xfId="43673" xr:uid="{00000000-0005-0000-0000-0000CFB00000}"/>
    <cellStyle name="Totalt 25" xfId="43469" xr:uid="{00000000-0005-0000-0000-0000D0B00000}"/>
    <cellStyle name="Totalt 26" xfId="43471" xr:uid="{00000000-0005-0000-0000-0000D1B00000}"/>
    <cellStyle name="Totalt 27" xfId="46303" xr:uid="{00000000-0005-0000-0000-0000D2B00000}"/>
    <cellStyle name="Totalt 28" xfId="46788" xr:uid="{00000000-0005-0000-0000-0000D3B00000}"/>
    <cellStyle name="Totalt 29" xfId="46371" xr:uid="{00000000-0005-0000-0000-0000D4B00000}"/>
    <cellStyle name="Totalt 3" xfId="3199" xr:uid="{00000000-0005-0000-0000-0000D5B00000}"/>
    <cellStyle name="Totalt 3 2" xfId="3200" xr:uid="{00000000-0005-0000-0000-0000D6B00000}"/>
    <cellStyle name="Totalt 3 2 2" xfId="14629" xr:uid="{00000000-0005-0000-0000-0000D7B00000}"/>
    <cellStyle name="Totalt 3 2 2 2" xfId="19123" xr:uid="{00000000-0005-0000-0000-0000D8B00000}"/>
    <cellStyle name="Totalt 3 2 2 3" xfId="16224" xr:uid="{00000000-0005-0000-0000-0000D9B00000}"/>
    <cellStyle name="Totalt 3 2 2 3 2" xfId="27220" xr:uid="{00000000-0005-0000-0000-0000DAB00000}"/>
    <cellStyle name="Totalt 3 2 2 3 2 2" xfId="42780" xr:uid="{00000000-0005-0000-0000-0000DBB00000}"/>
    <cellStyle name="Totalt 3 2 2 3 3" xfId="45802" xr:uid="{00000000-0005-0000-0000-0000DCB00000}"/>
    <cellStyle name="Totalt 3 2 2_Avviksanalyse løpende RNB15 (1)" xfId="17696" xr:uid="{00000000-0005-0000-0000-0000DDB00000}"/>
    <cellStyle name="Totalt 3 2 3" xfId="14628" xr:uid="{00000000-0005-0000-0000-0000DEB00000}"/>
    <cellStyle name="Totalt 3 3" xfId="14630" xr:uid="{00000000-0005-0000-0000-0000DFB00000}"/>
    <cellStyle name="Totalt 3 3 2" xfId="19124" xr:uid="{00000000-0005-0000-0000-0000E0B00000}"/>
    <cellStyle name="Totalt 3 3 3" xfId="15497" xr:uid="{00000000-0005-0000-0000-0000E1B00000}"/>
    <cellStyle name="Totalt 3 3 3 2" xfId="27221" xr:uid="{00000000-0005-0000-0000-0000E2B00000}"/>
    <cellStyle name="Totalt 3 3 3 2 2" xfId="42053" xr:uid="{00000000-0005-0000-0000-0000E3B00000}"/>
    <cellStyle name="Totalt 3 3 3 3" xfId="45803" xr:uid="{00000000-0005-0000-0000-0000E4B00000}"/>
    <cellStyle name="Totalt 3 3_Avviksanalyse løpende RNB15 (1)" xfId="17697" xr:uid="{00000000-0005-0000-0000-0000E5B00000}"/>
    <cellStyle name="Totalt 3 4" xfId="14627" xr:uid="{00000000-0005-0000-0000-0000E6B00000}"/>
    <cellStyle name="Totalt 30" xfId="46808" xr:uid="{00000000-0005-0000-0000-0000E7B00000}"/>
    <cellStyle name="Totalt 31" xfId="46379" xr:uid="{00000000-0005-0000-0000-0000E8B00000}"/>
    <cellStyle name="Totalt 32" xfId="46342" xr:uid="{00000000-0005-0000-0000-0000E9B00000}"/>
    <cellStyle name="Totalt 4" xfId="3201" xr:uid="{00000000-0005-0000-0000-0000EAB00000}"/>
    <cellStyle name="Totalt 4 2" xfId="3202" xr:uid="{00000000-0005-0000-0000-0000EBB00000}"/>
    <cellStyle name="Totalt 4 2 2" xfId="14633" xr:uid="{00000000-0005-0000-0000-0000ECB00000}"/>
    <cellStyle name="Totalt 4 2 2 2" xfId="19125" xr:uid="{00000000-0005-0000-0000-0000EDB00000}"/>
    <cellStyle name="Totalt 4 2 2 3" xfId="16225" xr:uid="{00000000-0005-0000-0000-0000EEB00000}"/>
    <cellStyle name="Totalt 4 2 2 3 2" xfId="27222" xr:uid="{00000000-0005-0000-0000-0000EFB00000}"/>
    <cellStyle name="Totalt 4 2 2 3 2 2" xfId="42781" xr:uid="{00000000-0005-0000-0000-0000F0B00000}"/>
    <cellStyle name="Totalt 4 2 2 3 3" xfId="45804" xr:uid="{00000000-0005-0000-0000-0000F1B00000}"/>
    <cellStyle name="Totalt 4 2 2_Avviksanalyse løpende RNB15 (1)" xfId="17698" xr:uid="{00000000-0005-0000-0000-0000F2B00000}"/>
    <cellStyle name="Totalt 4 2 3" xfId="14632" xr:uid="{00000000-0005-0000-0000-0000F3B00000}"/>
    <cellStyle name="Totalt 4 3" xfId="14634" xr:uid="{00000000-0005-0000-0000-0000F4B00000}"/>
    <cellStyle name="Totalt 4 3 2" xfId="19126" xr:uid="{00000000-0005-0000-0000-0000F5B00000}"/>
    <cellStyle name="Totalt 4 3 3" xfId="15498" xr:uid="{00000000-0005-0000-0000-0000F6B00000}"/>
    <cellStyle name="Totalt 4 3 3 2" xfId="27223" xr:uid="{00000000-0005-0000-0000-0000F7B00000}"/>
    <cellStyle name="Totalt 4 3 3 2 2" xfId="42054" xr:uid="{00000000-0005-0000-0000-0000F8B00000}"/>
    <cellStyle name="Totalt 4 3 3 3" xfId="45805" xr:uid="{00000000-0005-0000-0000-0000F9B00000}"/>
    <cellStyle name="Totalt 4 3_Avviksanalyse løpende RNB15 (1)" xfId="17699" xr:uid="{00000000-0005-0000-0000-0000FAB00000}"/>
    <cellStyle name="Totalt 4 4" xfId="14631" xr:uid="{00000000-0005-0000-0000-0000FBB00000}"/>
    <cellStyle name="Totalt 5" xfId="3203" xr:uid="{00000000-0005-0000-0000-0000FCB00000}"/>
    <cellStyle name="Totalt 5 2" xfId="14636" xr:uid="{00000000-0005-0000-0000-0000FDB00000}"/>
    <cellStyle name="Totalt 5 2 2" xfId="19127" xr:uid="{00000000-0005-0000-0000-0000FEB00000}"/>
    <cellStyle name="Totalt 5 2 3" xfId="15495" xr:uid="{00000000-0005-0000-0000-0000FFB00000}"/>
    <cellStyle name="Totalt 5 2 3 2" xfId="27224" xr:uid="{00000000-0005-0000-0000-000000B10000}"/>
    <cellStyle name="Totalt 5 2 3 2 2" xfId="42051" xr:uid="{00000000-0005-0000-0000-000001B10000}"/>
    <cellStyle name="Totalt 5 2 3 3" xfId="45806" xr:uid="{00000000-0005-0000-0000-000002B10000}"/>
    <cellStyle name="Totalt 5 2_Avviksanalyse løpende RNB15 (1)" xfId="17700" xr:uid="{00000000-0005-0000-0000-000003B10000}"/>
    <cellStyle name="Totalt 5 3" xfId="14635" xr:uid="{00000000-0005-0000-0000-000004B10000}"/>
    <cellStyle name="Totalt 6" xfId="3204" xr:uid="{00000000-0005-0000-0000-000005B10000}"/>
    <cellStyle name="Totalt 6 2" xfId="14638" xr:uid="{00000000-0005-0000-0000-000006B10000}"/>
    <cellStyle name="Totalt 6 2 2" xfId="19128" xr:uid="{00000000-0005-0000-0000-000007B10000}"/>
    <cellStyle name="Totalt 6 2 3" xfId="15618" xr:uid="{00000000-0005-0000-0000-000008B10000}"/>
    <cellStyle name="Totalt 6 2 3 2" xfId="27225" xr:uid="{00000000-0005-0000-0000-000009B10000}"/>
    <cellStyle name="Totalt 6 2 3 2 2" xfId="42174" xr:uid="{00000000-0005-0000-0000-00000AB10000}"/>
    <cellStyle name="Totalt 6 2 3 3" xfId="45807" xr:uid="{00000000-0005-0000-0000-00000BB10000}"/>
    <cellStyle name="Totalt 6 2_Avviksanalyse løpende RNB15 (1)" xfId="17701" xr:uid="{00000000-0005-0000-0000-00000CB10000}"/>
    <cellStyle name="Totalt 6 3" xfId="14637" xr:uid="{00000000-0005-0000-0000-00000DB10000}"/>
    <cellStyle name="Totalt 7" xfId="3205" xr:uid="{00000000-0005-0000-0000-00000EB10000}"/>
    <cellStyle name="Totalt 7 2" xfId="14640" xr:uid="{00000000-0005-0000-0000-00000FB10000}"/>
    <cellStyle name="Totalt 7 2 2" xfId="19129" xr:uid="{00000000-0005-0000-0000-000010B10000}"/>
    <cellStyle name="Totalt 7 2 3" xfId="15619" xr:uid="{00000000-0005-0000-0000-000011B10000}"/>
    <cellStyle name="Totalt 7 2 3 2" xfId="27226" xr:uid="{00000000-0005-0000-0000-000012B10000}"/>
    <cellStyle name="Totalt 7 2 3 2 2" xfId="42175" xr:uid="{00000000-0005-0000-0000-000013B10000}"/>
    <cellStyle name="Totalt 7 2 3 3" xfId="45808" xr:uid="{00000000-0005-0000-0000-000014B10000}"/>
    <cellStyle name="Totalt 7 2_Avviksanalyse løpende RNB15 (1)" xfId="17702" xr:uid="{00000000-0005-0000-0000-000015B10000}"/>
    <cellStyle name="Totalt 7 3" xfId="14639" xr:uid="{00000000-0005-0000-0000-000016B10000}"/>
    <cellStyle name="Totalt 8" xfId="3206" xr:uid="{00000000-0005-0000-0000-000017B10000}"/>
    <cellStyle name="Totalt 8 2" xfId="14642" xr:uid="{00000000-0005-0000-0000-000018B10000}"/>
    <cellStyle name="Totalt 8 2 2" xfId="19130" xr:uid="{00000000-0005-0000-0000-000019B10000}"/>
    <cellStyle name="Totalt 8 2 3" xfId="15620" xr:uid="{00000000-0005-0000-0000-00001AB10000}"/>
    <cellStyle name="Totalt 8 2 3 2" xfId="27227" xr:uid="{00000000-0005-0000-0000-00001BB10000}"/>
    <cellStyle name="Totalt 8 2 3 2 2" xfId="42176" xr:uid="{00000000-0005-0000-0000-00001CB10000}"/>
    <cellStyle name="Totalt 8 2 3 3" xfId="45809" xr:uid="{00000000-0005-0000-0000-00001DB10000}"/>
    <cellStyle name="Totalt 8 2_Avviksanalyse løpende RNB15 (1)" xfId="17703" xr:uid="{00000000-0005-0000-0000-00001EB10000}"/>
    <cellStyle name="Totalt 8 3" xfId="14641" xr:uid="{00000000-0005-0000-0000-00001FB10000}"/>
    <cellStyle name="Totalt 9" xfId="3207" xr:uid="{00000000-0005-0000-0000-000020B10000}"/>
    <cellStyle name="Totalt 9 2" xfId="3208" xr:uid="{00000000-0005-0000-0000-000021B10000}"/>
    <cellStyle name="Totalt 9 2 2" xfId="14645" xr:uid="{00000000-0005-0000-0000-000022B10000}"/>
    <cellStyle name="Totalt 9 2 2 2" xfId="19131" xr:uid="{00000000-0005-0000-0000-000023B10000}"/>
    <cellStyle name="Totalt 9 2 2 3" xfId="16425" xr:uid="{00000000-0005-0000-0000-000024B10000}"/>
    <cellStyle name="Totalt 9 2 2 3 2" xfId="27228" xr:uid="{00000000-0005-0000-0000-000025B10000}"/>
    <cellStyle name="Totalt 9 2 2 3 2 2" xfId="42980" xr:uid="{00000000-0005-0000-0000-000026B10000}"/>
    <cellStyle name="Totalt 9 2 2 3 3" xfId="45810" xr:uid="{00000000-0005-0000-0000-000027B10000}"/>
    <cellStyle name="Totalt 9 2 2_Avviksanalyse løpende RNB15 (1)" xfId="17704" xr:uid="{00000000-0005-0000-0000-000028B10000}"/>
    <cellStyle name="Totalt 9 2 3" xfId="14644" xr:uid="{00000000-0005-0000-0000-000029B10000}"/>
    <cellStyle name="Totalt 9 3" xfId="14646" xr:uid="{00000000-0005-0000-0000-00002AB10000}"/>
    <cellStyle name="Totalt 9 3 2" xfId="14647" xr:uid="{00000000-0005-0000-0000-00002BB10000}"/>
    <cellStyle name="Totalt 9 3 2 2" xfId="19132" xr:uid="{00000000-0005-0000-0000-00002CB10000}"/>
    <cellStyle name="Totalt 9 3 2 3" xfId="16424" xr:uid="{00000000-0005-0000-0000-00002DB10000}"/>
    <cellStyle name="Totalt 9 3 2 3 2" xfId="27229" xr:uid="{00000000-0005-0000-0000-00002EB10000}"/>
    <cellStyle name="Totalt 9 3 2 3 2 2" xfId="42979" xr:uid="{00000000-0005-0000-0000-00002FB10000}"/>
    <cellStyle name="Totalt 9 3 2 3 3" xfId="45811" xr:uid="{00000000-0005-0000-0000-000030B10000}"/>
    <cellStyle name="Totalt 9 3 2_Avviksanalyse løpende RNB15 (1)" xfId="17705" xr:uid="{00000000-0005-0000-0000-000031B10000}"/>
    <cellStyle name="Totalt 9 4" xfId="14648" xr:uid="{00000000-0005-0000-0000-000032B10000}"/>
    <cellStyle name="Totalt 9 4 2" xfId="19133" xr:uid="{00000000-0005-0000-0000-000033B10000}"/>
    <cellStyle name="Totalt 9 4 3" xfId="15621" xr:uid="{00000000-0005-0000-0000-000034B10000}"/>
    <cellStyle name="Totalt 9 4 3 2" xfId="27230" xr:uid="{00000000-0005-0000-0000-000035B10000}"/>
    <cellStyle name="Totalt 9 4 3 2 2" xfId="42177" xr:uid="{00000000-0005-0000-0000-000036B10000}"/>
    <cellStyle name="Totalt 9 4 3 3" xfId="45812" xr:uid="{00000000-0005-0000-0000-000037B10000}"/>
    <cellStyle name="Totalt 9 4_Avviksanalyse løpende RNB15 (1)" xfId="17706" xr:uid="{00000000-0005-0000-0000-000038B10000}"/>
    <cellStyle name="Totalt 9 5" xfId="14643" xr:uid="{00000000-0005-0000-0000-000039B10000}"/>
    <cellStyle name="Tusenskille 2" xfId="3209" xr:uid="{00000000-0005-0000-0000-00003AB10000}"/>
    <cellStyle name="Tusenskille 2 10" xfId="14650" xr:uid="{00000000-0005-0000-0000-00003BB10000}"/>
    <cellStyle name="Tusenskille 2 10 2" xfId="19135" xr:uid="{00000000-0005-0000-0000-00003CB10000}"/>
    <cellStyle name="Tusenskille 2 10 3" xfId="16558" xr:uid="{00000000-0005-0000-0000-00003DB10000}"/>
    <cellStyle name="Tusenskille 2 10 3 2" xfId="27231" xr:uid="{00000000-0005-0000-0000-00003EB10000}"/>
    <cellStyle name="Tusenskille 2 10 3 2 2" xfId="43113" xr:uid="{00000000-0005-0000-0000-00003FB10000}"/>
    <cellStyle name="Tusenskille 2 10 3 2 2 2" xfId="47691" xr:uid="{00000000-0005-0000-0000-000040B10000}"/>
    <cellStyle name="Tusenskille 2 10 3 2 3" xfId="47605" xr:uid="{00000000-0005-0000-0000-000041B10000}"/>
    <cellStyle name="Tusenskille 2 10 3 3" xfId="45813" xr:uid="{00000000-0005-0000-0000-000042B10000}"/>
    <cellStyle name="Tusenskille 2 10 3 4" xfId="47670" xr:uid="{00000000-0005-0000-0000-000043B10000}"/>
    <cellStyle name="Tusenskille 2 10 3 5" xfId="47409" xr:uid="{00000000-0005-0000-0000-000044B10000}"/>
    <cellStyle name="Tusenskille 2 10 4" xfId="47643" xr:uid="{00000000-0005-0000-0000-000045B10000}"/>
    <cellStyle name="Tusenskille 2 10 5" xfId="47219" xr:uid="{00000000-0005-0000-0000-000046B10000}"/>
    <cellStyle name="Tusenskille 2 10_Avviksanalyse løpende RNB15 (1)" xfId="17707" xr:uid="{00000000-0005-0000-0000-000047B10000}"/>
    <cellStyle name="Tusenskille 2 11" xfId="19134" xr:uid="{00000000-0005-0000-0000-000048B10000}"/>
    <cellStyle name="Tusenskille 2 12" xfId="15125" xr:uid="{00000000-0005-0000-0000-000049B10000}"/>
    <cellStyle name="Tusenskille 2 12 2" xfId="27232" xr:uid="{00000000-0005-0000-0000-00004AB10000}"/>
    <cellStyle name="Tusenskille 2 12 2 2" xfId="41682" xr:uid="{00000000-0005-0000-0000-00004BB10000}"/>
    <cellStyle name="Tusenskille 2 12 3" xfId="45814" xr:uid="{00000000-0005-0000-0000-00004CB10000}"/>
    <cellStyle name="Tusenskille 2 12 4" xfId="47644" xr:uid="{00000000-0005-0000-0000-00004DB10000}"/>
    <cellStyle name="Tusenskille 2 13" xfId="15444" xr:uid="{00000000-0005-0000-0000-00004EB10000}"/>
    <cellStyle name="Tusenskille 2 13 2" xfId="27233" xr:uid="{00000000-0005-0000-0000-00004FB10000}"/>
    <cellStyle name="Tusenskille 2 13 2 2" xfId="42000" xr:uid="{00000000-0005-0000-0000-000050B10000}"/>
    <cellStyle name="Tusenskille 2 13 3" xfId="45815" xr:uid="{00000000-0005-0000-0000-000051B10000}"/>
    <cellStyle name="Tusenskille 2 13 4" xfId="47655" xr:uid="{00000000-0005-0000-0000-000052B10000}"/>
    <cellStyle name="Tusenskille 2 14" xfId="15429" xr:uid="{00000000-0005-0000-0000-000053B10000}"/>
    <cellStyle name="Tusenskille 2 14 2" xfId="27234" xr:uid="{00000000-0005-0000-0000-000054B10000}"/>
    <cellStyle name="Tusenskille 2 14 2 2" xfId="41985" xr:uid="{00000000-0005-0000-0000-000055B10000}"/>
    <cellStyle name="Tusenskille 2 14 3" xfId="45816" xr:uid="{00000000-0005-0000-0000-000056B10000}"/>
    <cellStyle name="Tusenskille 2 14 4" xfId="47652" xr:uid="{00000000-0005-0000-0000-000057B10000}"/>
    <cellStyle name="Tusenskille 2 15" xfId="19377" xr:uid="{00000000-0005-0000-0000-000058B10000}"/>
    <cellStyle name="Tusenskille 2 15 2" xfId="27235" xr:uid="{00000000-0005-0000-0000-000059B10000}"/>
    <cellStyle name="Tusenskille 2 15 2 2" xfId="43132" xr:uid="{00000000-0005-0000-0000-00005AB10000}"/>
    <cellStyle name="Tusenskille 2 15 3" xfId="45817" xr:uid="{00000000-0005-0000-0000-00005BB10000}"/>
    <cellStyle name="Tusenskille 2 15 4" xfId="47671" xr:uid="{00000000-0005-0000-0000-00005CB10000}"/>
    <cellStyle name="Tusenskille 2 16" xfId="14649" xr:uid="{00000000-0005-0000-0000-00005DB10000}"/>
    <cellStyle name="Tusenskille 2 16 2" xfId="47612" xr:uid="{00000000-0005-0000-0000-00005EB10000}"/>
    <cellStyle name="Tusenskille 2 2" xfId="3210" xr:uid="{00000000-0005-0000-0000-00005FB10000}"/>
    <cellStyle name="Tusenskille 2 2 2" xfId="4485" xr:uid="{00000000-0005-0000-0000-000060B10000}"/>
    <cellStyle name="Tusenskille 2 2 2 2" xfId="14653" xr:uid="{00000000-0005-0000-0000-000061B10000}"/>
    <cellStyle name="Tusenskille 2 2 2 2 2" xfId="19136" xr:uid="{00000000-0005-0000-0000-000062B10000}"/>
    <cellStyle name="Tusenskille 2 2 2 2 3" xfId="16426" xr:uid="{00000000-0005-0000-0000-000063B10000}"/>
    <cellStyle name="Tusenskille 2 2 2 2 3 2" xfId="27236" xr:uid="{00000000-0005-0000-0000-000064B10000}"/>
    <cellStyle name="Tusenskille 2 2 2 2 3 2 2" xfId="42981" xr:uid="{00000000-0005-0000-0000-000065B10000}"/>
    <cellStyle name="Tusenskille 2 2 2 2 3 2 2 2" xfId="47689" xr:uid="{00000000-0005-0000-0000-000066B10000}"/>
    <cellStyle name="Tusenskille 2 2 2 2 3 2 3" xfId="47524" xr:uid="{00000000-0005-0000-0000-000067B10000}"/>
    <cellStyle name="Tusenskille 2 2 2 2 3 3" xfId="45818" xr:uid="{00000000-0005-0000-0000-000068B10000}"/>
    <cellStyle name="Tusenskille 2 2 2 2 3 4" xfId="47667" xr:uid="{00000000-0005-0000-0000-000069B10000}"/>
    <cellStyle name="Tusenskille 2 2 2 2 3 5" xfId="47328" xr:uid="{00000000-0005-0000-0000-00006AB10000}"/>
    <cellStyle name="Tusenskille 2 2 2 2 4" xfId="47640" xr:uid="{00000000-0005-0000-0000-00006BB10000}"/>
    <cellStyle name="Tusenskille 2 2 2 2 5" xfId="47138" xr:uid="{00000000-0005-0000-0000-00006CB10000}"/>
    <cellStyle name="Tusenskille 2 2 2 2_Avviksanalyse løpende RNB15 (1)" xfId="17708" xr:uid="{00000000-0005-0000-0000-00006DB10000}"/>
    <cellStyle name="Tusenskille 2 2 2 3" xfId="14652" xr:uid="{00000000-0005-0000-0000-00006EB10000}"/>
    <cellStyle name="Tusenskille 2 2 3" xfId="4727" xr:uid="{00000000-0005-0000-0000-00006FB10000}"/>
    <cellStyle name="Tusenskille 2 2 3 2" xfId="6889" xr:uid="{00000000-0005-0000-0000-000070B10000}"/>
    <cellStyle name="Tusenskille 2 2 3 2 2" xfId="19137" xr:uid="{00000000-0005-0000-0000-000071B10000}"/>
    <cellStyle name="Tusenskille 2 2 3 2 3" xfId="16257" xr:uid="{00000000-0005-0000-0000-000072B10000}"/>
    <cellStyle name="Tusenskille 2 2 3 2 3 2" xfId="27237" xr:uid="{00000000-0005-0000-0000-000073B10000}"/>
    <cellStyle name="Tusenskille 2 2 3 2 3 2 2" xfId="42813" xr:uid="{00000000-0005-0000-0000-000074B10000}"/>
    <cellStyle name="Tusenskille 2 2 3 2 3 3" xfId="45819" xr:uid="{00000000-0005-0000-0000-000075B10000}"/>
    <cellStyle name="Tusenskille 2 2 3 2 3 4" xfId="47665" xr:uid="{00000000-0005-0000-0000-000076B10000}"/>
    <cellStyle name="Tusenskille 2 2 3 2 4" xfId="14655" xr:uid="{00000000-0005-0000-0000-000077B10000}"/>
    <cellStyle name="Tusenskille 2 2 3 2 4 2" xfId="47638" xr:uid="{00000000-0005-0000-0000-000078B10000}"/>
    <cellStyle name="Tusenskille 2 2 3 2_Avviksanalyse løpende RNB15 (1)" xfId="17709" xr:uid="{00000000-0005-0000-0000-000079B10000}"/>
    <cellStyle name="Tusenskille 2 2 3 3" xfId="6447" xr:uid="{00000000-0005-0000-0000-00007AB10000}"/>
    <cellStyle name="Tusenskille 2 2 3 4" xfId="14654" xr:uid="{00000000-0005-0000-0000-00007BB10000}"/>
    <cellStyle name="Tusenskille 2 2 4" xfId="6226" xr:uid="{00000000-0005-0000-0000-00007CB10000}"/>
    <cellStyle name="Tusenskille 2 2 4 2" xfId="15140" xr:uid="{00000000-0005-0000-0000-00007DB10000}"/>
    <cellStyle name="Tusenskille 2 2 4 2 2" xfId="47676" xr:uid="{00000000-0005-0000-0000-00007EB10000}"/>
    <cellStyle name="Tusenskille 2 2 4 2 3" xfId="47423" xr:uid="{00000000-0005-0000-0000-00007FB10000}"/>
    <cellStyle name="Tusenskille 2 2 4 3" xfId="27238" xr:uid="{00000000-0005-0000-0000-000080B10000}"/>
    <cellStyle name="Tusenskille 2 2 4 4" xfId="47647" xr:uid="{00000000-0005-0000-0000-000081B10000}"/>
    <cellStyle name="Tusenskille 2 2 5" xfId="5214" xr:uid="{00000000-0005-0000-0000-000082B10000}"/>
    <cellStyle name="Tusenskille 2 2 5 2" xfId="47614" xr:uid="{00000000-0005-0000-0000-000083B10000}"/>
    <cellStyle name="Tusenskille 2 2 6" xfId="14651" xr:uid="{00000000-0005-0000-0000-000084B10000}"/>
    <cellStyle name="Tusenskille 2 2_Ark1" xfId="14656" xr:uid="{00000000-0005-0000-0000-000085B10000}"/>
    <cellStyle name="Tusenskille 2 3" xfId="3211" xr:uid="{00000000-0005-0000-0000-000086B10000}"/>
    <cellStyle name="Tusenskille 2 3 2" xfId="4486" xr:uid="{00000000-0005-0000-0000-000087B10000}"/>
    <cellStyle name="Tusenskille 2 3 2 2" xfId="19138" xr:uid="{00000000-0005-0000-0000-000088B10000}"/>
    <cellStyle name="Tusenskille 2 3 3" xfId="4728" xr:uid="{00000000-0005-0000-0000-000089B10000}"/>
    <cellStyle name="Tusenskille 2 3 3 2" xfId="6890" xr:uid="{00000000-0005-0000-0000-00008AB10000}"/>
    <cellStyle name="Tusenskille 2 3 3 2 2" xfId="41698" xr:uid="{00000000-0005-0000-0000-00008BB10000}"/>
    <cellStyle name="Tusenskille 2 3 3 2 2 2" xfId="47677" xr:uid="{00000000-0005-0000-0000-00008CB10000}"/>
    <cellStyle name="Tusenskille 2 3 3 3" xfId="6448" xr:uid="{00000000-0005-0000-0000-00008DB10000}"/>
    <cellStyle name="Tusenskille 2 3 3 3 2" xfId="45820" xr:uid="{00000000-0005-0000-0000-00008EB10000}"/>
    <cellStyle name="Tusenskille 2 3 3 4" xfId="27239" xr:uid="{00000000-0005-0000-0000-00008FB10000}"/>
    <cellStyle name="Tusenskille 2 3 3 4 2" xfId="47648" xr:uid="{00000000-0005-0000-0000-000090B10000}"/>
    <cellStyle name="Tusenskille 2 3 4" xfId="6227" xr:uid="{00000000-0005-0000-0000-000091B10000}"/>
    <cellStyle name="Tusenskille 2 3 5" xfId="5215" xr:uid="{00000000-0005-0000-0000-000092B10000}"/>
    <cellStyle name="Tusenskille 2 3 6" xfId="14657" xr:uid="{00000000-0005-0000-0000-000093B10000}"/>
    <cellStyle name="Tusenskille 2 3_Avviksanalyse løpende RNB15 (1)" xfId="17710" xr:uid="{00000000-0005-0000-0000-000094B10000}"/>
    <cellStyle name="Tusenskille 2 4" xfId="3212" xr:uid="{00000000-0005-0000-0000-000095B10000}"/>
    <cellStyle name="Tusenskille 2 4 2" xfId="4477" xr:uid="{00000000-0005-0000-0000-000096B10000}"/>
    <cellStyle name="Tusenskille 2 4 2 2" xfId="19139" xr:uid="{00000000-0005-0000-0000-000097B10000}"/>
    <cellStyle name="Tusenskille 2 4 3" xfId="4729" xr:uid="{00000000-0005-0000-0000-000098B10000}"/>
    <cellStyle name="Tusenskille 2 4 3 2" xfId="6891" xr:uid="{00000000-0005-0000-0000-000099B10000}"/>
    <cellStyle name="Tusenskille 2 4 3 2 2" xfId="41692" xr:uid="{00000000-0005-0000-0000-00009AB10000}"/>
    <cellStyle name="Tusenskille 2 4 3 2 2 2" xfId="47674" xr:uid="{00000000-0005-0000-0000-00009BB10000}"/>
    <cellStyle name="Tusenskille 2 4 3 3" xfId="6449" xr:uid="{00000000-0005-0000-0000-00009CB10000}"/>
    <cellStyle name="Tusenskille 2 4 3 3 2" xfId="45821" xr:uid="{00000000-0005-0000-0000-00009DB10000}"/>
    <cellStyle name="Tusenskille 2 4 3 4" xfId="27240" xr:uid="{00000000-0005-0000-0000-00009EB10000}"/>
    <cellStyle name="Tusenskille 2 4 3 4 2" xfId="47645" xr:uid="{00000000-0005-0000-0000-00009FB10000}"/>
    <cellStyle name="Tusenskille 2 4 4" xfId="6228" xr:uid="{00000000-0005-0000-0000-0000A0B10000}"/>
    <cellStyle name="Tusenskille 2 4 5" xfId="5216" xr:uid="{00000000-0005-0000-0000-0000A1B10000}"/>
    <cellStyle name="Tusenskille 2 4 6" xfId="14658" xr:uid="{00000000-0005-0000-0000-0000A2B10000}"/>
    <cellStyle name="Tusenskille 2 4_Avviksanalyse løpende RNB15 (1)" xfId="17711" xr:uid="{00000000-0005-0000-0000-0000A3B10000}"/>
    <cellStyle name="Tusenskille 2 5" xfId="3687" xr:uid="{00000000-0005-0000-0000-0000A4B10000}"/>
    <cellStyle name="Tusenskille 2 5 2" xfId="4552" xr:uid="{00000000-0005-0000-0000-0000A5B10000}"/>
    <cellStyle name="Tusenskille 2 5 2 2" xfId="19140" xr:uid="{00000000-0005-0000-0000-0000A6B10000}"/>
    <cellStyle name="Tusenskille 2 5 3" xfId="15157" xr:uid="{00000000-0005-0000-0000-0000A7B10000}"/>
    <cellStyle name="Tusenskille 2 5 3 2" xfId="27241" xr:uid="{00000000-0005-0000-0000-0000A8B10000}"/>
    <cellStyle name="Tusenskille 2 5 3 2 2" xfId="41714" xr:uid="{00000000-0005-0000-0000-0000A9B10000}"/>
    <cellStyle name="Tusenskille 2 5 3 3" xfId="45822" xr:uid="{00000000-0005-0000-0000-0000AAB10000}"/>
    <cellStyle name="Tusenskille 2 5 3 4" xfId="47650" xr:uid="{00000000-0005-0000-0000-0000ABB10000}"/>
    <cellStyle name="Tusenskille 2 5 4" xfId="14659" xr:uid="{00000000-0005-0000-0000-0000ACB10000}"/>
    <cellStyle name="Tusenskille 2 5 4 2" xfId="47615" xr:uid="{00000000-0005-0000-0000-0000ADB10000}"/>
    <cellStyle name="Tusenskille 2 5_Avviksanalyse løpende RNB15 (1)" xfId="17712" xr:uid="{00000000-0005-0000-0000-0000AEB10000}"/>
    <cellStyle name="Tusenskille 2 6" xfId="4639" xr:uid="{00000000-0005-0000-0000-0000AFB10000}"/>
    <cellStyle name="Tusenskille 2 6 2" xfId="19141" xr:uid="{00000000-0005-0000-0000-0000B0B10000}"/>
    <cellStyle name="Tusenskille 2 6 3" xfId="15447" xr:uid="{00000000-0005-0000-0000-0000B1B10000}"/>
    <cellStyle name="Tusenskille 2 6 3 2" xfId="27242" xr:uid="{00000000-0005-0000-0000-0000B2B10000}"/>
    <cellStyle name="Tusenskille 2 6 3 2 2" xfId="42003" xr:uid="{00000000-0005-0000-0000-0000B3B10000}"/>
    <cellStyle name="Tusenskille 2 6 3 2 2 2" xfId="47683" xr:uid="{00000000-0005-0000-0000-0000B4B10000}"/>
    <cellStyle name="Tusenskille 2 6 3 2 3" xfId="47438" xr:uid="{00000000-0005-0000-0000-0000B5B10000}"/>
    <cellStyle name="Tusenskille 2 6 3 3" xfId="45823" xr:uid="{00000000-0005-0000-0000-0000B6B10000}"/>
    <cellStyle name="Tusenskille 2 6 3 4" xfId="47657" xr:uid="{00000000-0005-0000-0000-0000B7B10000}"/>
    <cellStyle name="Tusenskille 2 6 3 5" xfId="47242" xr:uid="{00000000-0005-0000-0000-0000B8B10000}"/>
    <cellStyle name="Tusenskille 2 6 4" xfId="14660" xr:uid="{00000000-0005-0000-0000-0000B9B10000}"/>
    <cellStyle name="Tusenskille 2 6 4 2" xfId="47630" xr:uid="{00000000-0005-0000-0000-0000BAB10000}"/>
    <cellStyle name="Tusenskille 2 6_Avviksanalyse løpende RNB15 (1)" xfId="17713" xr:uid="{00000000-0005-0000-0000-0000BBB10000}"/>
    <cellStyle name="Tusenskille 2 7" xfId="14661" xr:uid="{00000000-0005-0000-0000-0000BCB10000}"/>
    <cellStyle name="Tusenskille 2 7 2" xfId="19142" xr:uid="{00000000-0005-0000-0000-0000BDB10000}"/>
    <cellStyle name="Tusenskille 2 7 3" xfId="15948" xr:uid="{00000000-0005-0000-0000-0000BEB10000}"/>
    <cellStyle name="Tusenskille 2 7 3 2" xfId="27243" xr:uid="{00000000-0005-0000-0000-0000BFB10000}"/>
    <cellStyle name="Tusenskille 2 7 3 2 2" xfId="42504" xr:uid="{00000000-0005-0000-0000-0000C0B10000}"/>
    <cellStyle name="Tusenskille 2 7 3 2 2 2" xfId="47687" xr:uid="{00000000-0005-0000-0000-0000C1B10000}"/>
    <cellStyle name="Tusenskille 2 7 3 2 3" xfId="47457" xr:uid="{00000000-0005-0000-0000-0000C2B10000}"/>
    <cellStyle name="Tusenskille 2 7 3 3" xfId="45824" xr:uid="{00000000-0005-0000-0000-0000C3B10000}"/>
    <cellStyle name="Tusenskille 2 7 3 4" xfId="47664" xr:uid="{00000000-0005-0000-0000-0000C4B10000}"/>
    <cellStyle name="Tusenskille 2 7 3 5" xfId="47261" xr:uid="{00000000-0005-0000-0000-0000C5B10000}"/>
    <cellStyle name="Tusenskille 2 7 4" xfId="47637" xr:uid="{00000000-0005-0000-0000-0000C6B10000}"/>
    <cellStyle name="Tusenskille 2 7 5" xfId="47071" xr:uid="{00000000-0005-0000-0000-0000C7B10000}"/>
    <cellStyle name="Tusenskille 2 7_Avviksanalyse løpende RNB15 (1)" xfId="17714" xr:uid="{00000000-0005-0000-0000-0000C8B10000}"/>
    <cellStyle name="Tusenskille 2 8" xfId="14662" xr:uid="{00000000-0005-0000-0000-0000C9B10000}"/>
    <cellStyle name="Tusenskille 2 8 2" xfId="19143" xr:uid="{00000000-0005-0000-0000-0000CAB10000}"/>
    <cellStyle name="Tusenskille 2 8 3" xfId="15535" xr:uid="{00000000-0005-0000-0000-0000CBB10000}"/>
    <cellStyle name="Tusenskille 2 8 3 2" xfId="27244" xr:uid="{00000000-0005-0000-0000-0000CCB10000}"/>
    <cellStyle name="Tusenskille 2 8 3 2 2" xfId="42091" xr:uid="{00000000-0005-0000-0000-0000CDB10000}"/>
    <cellStyle name="Tusenskille 2 8 3 2 2 2" xfId="47685" xr:uid="{00000000-0005-0000-0000-0000CEB10000}"/>
    <cellStyle name="Tusenskille 2 8 3 2 3" xfId="47451" xr:uid="{00000000-0005-0000-0000-0000CFB10000}"/>
    <cellStyle name="Tusenskille 2 8 3 3" xfId="45825" xr:uid="{00000000-0005-0000-0000-0000D0B10000}"/>
    <cellStyle name="Tusenskille 2 8 3 4" xfId="47661" xr:uid="{00000000-0005-0000-0000-0000D1B10000}"/>
    <cellStyle name="Tusenskille 2 8 3 5" xfId="47255" xr:uid="{00000000-0005-0000-0000-0000D2B10000}"/>
    <cellStyle name="Tusenskille 2 8 4" xfId="47634" xr:uid="{00000000-0005-0000-0000-0000D3B10000}"/>
    <cellStyle name="Tusenskille 2 8 5" xfId="47065" xr:uid="{00000000-0005-0000-0000-0000D4B10000}"/>
    <cellStyle name="Tusenskille 2 8_Avviksanalyse løpende RNB15 (1)" xfId="17715" xr:uid="{00000000-0005-0000-0000-0000D5B10000}"/>
    <cellStyle name="Tusenskille 2 9" xfId="14663" xr:uid="{00000000-0005-0000-0000-0000D6B10000}"/>
    <cellStyle name="Tusenskille 2 9 2" xfId="19144" xr:uid="{00000000-0005-0000-0000-0000D7B10000}"/>
    <cellStyle name="Tusenskille 2 9 3" xfId="15457" xr:uid="{00000000-0005-0000-0000-0000D8B10000}"/>
    <cellStyle name="Tusenskille 2 9 3 2" xfId="27245" xr:uid="{00000000-0005-0000-0000-0000D9B10000}"/>
    <cellStyle name="Tusenskille 2 9 3 2 2" xfId="42013" xr:uid="{00000000-0005-0000-0000-0000DAB10000}"/>
    <cellStyle name="Tusenskille 2 9 3 2 2 2" xfId="47684" xr:uid="{00000000-0005-0000-0000-0000DBB10000}"/>
    <cellStyle name="Tusenskille 2 9 3 2 3" xfId="47447" xr:uid="{00000000-0005-0000-0000-0000DCB10000}"/>
    <cellStyle name="Tusenskille 2 9 3 3" xfId="45826" xr:uid="{00000000-0005-0000-0000-0000DDB10000}"/>
    <cellStyle name="Tusenskille 2 9 3 4" xfId="47658" xr:uid="{00000000-0005-0000-0000-0000DEB10000}"/>
    <cellStyle name="Tusenskille 2 9 3 5" xfId="47251" xr:uid="{00000000-0005-0000-0000-0000DFB10000}"/>
    <cellStyle name="Tusenskille 2 9 4" xfId="47631" xr:uid="{00000000-0005-0000-0000-0000E0B10000}"/>
    <cellStyle name="Tusenskille 2 9 5" xfId="47061" xr:uid="{00000000-0005-0000-0000-0000E1B10000}"/>
    <cellStyle name="Tusenskille 2 9_Avviksanalyse løpende RNB15 (1)" xfId="17716" xr:uid="{00000000-0005-0000-0000-0000E2B10000}"/>
    <cellStyle name="Tusenskille 2_Ark1" xfId="3688" xr:uid="{00000000-0005-0000-0000-0000E3B10000}"/>
    <cellStyle name="Tusenskille 27" xfId="14664" xr:uid="{00000000-0005-0000-0000-0000E4B10000}"/>
    <cellStyle name="Tusenskille 27 2" xfId="14665" xr:uid="{00000000-0005-0000-0000-0000E5B10000}"/>
    <cellStyle name="Tusenskille 27 2 2" xfId="19145" xr:uid="{00000000-0005-0000-0000-0000E6B10000}"/>
    <cellStyle name="Tusenskille 27 2 3" xfId="15623" xr:uid="{00000000-0005-0000-0000-0000E7B10000}"/>
    <cellStyle name="Tusenskille 27 2 3 2" xfId="27246" xr:uid="{00000000-0005-0000-0000-0000E8B10000}"/>
    <cellStyle name="Tusenskille 27 2 3 2 2" xfId="42179" xr:uid="{00000000-0005-0000-0000-0000E9B10000}"/>
    <cellStyle name="Tusenskille 27 2 3 3" xfId="45827" xr:uid="{00000000-0005-0000-0000-0000EAB10000}"/>
    <cellStyle name="Tusenskille 27 2 3 4" xfId="47663" xr:uid="{00000000-0005-0000-0000-0000EBB10000}"/>
    <cellStyle name="Tusenskille 27 2 4" xfId="47636" xr:uid="{00000000-0005-0000-0000-0000ECB10000}"/>
    <cellStyle name="Tusenskille 27 2_Avviksanalyse løpende RNB15 (1)" xfId="17717" xr:uid="{00000000-0005-0000-0000-0000EDB10000}"/>
    <cellStyle name="Tusenskille 3" xfId="3213" xr:uid="{00000000-0005-0000-0000-0000EEB10000}"/>
    <cellStyle name="Tusenskille 3 2" xfId="3214" xr:uid="{00000000-0005-0000-0000-0000EFB10000}"/>
    <cellStyle name="Tusenskille 3 2 10" xfId="43456" xr:uid="{00000000-0005-0000-0000-0000F0B10000}"/>
    <cellStyle name="Tusenskille 3 2 2" xfId="3215" xr:uid="{00000000-0005-0000-0000-0000F1B10000}"/>
    <cellStyle name="Tusenskille 3 2 2 2" xfId="14669" xr:uid="{00000000-0005-0000-0000-0000F2B10000}"/>
    <cellStyle name="Tusenskille 3 2 2 2 2" xfId="19146" xr:uid="{00000000-0005-0000-0000-0000F3B10000}"/>
    <cellStyle name="Tusenskille 3 2 2 2 3" xfId="16428" xr:uid="{00000000-0005-0000-0000-0000F4B10000}"/>
    <cellStyle name="Tusenskille 3 2 2 2 3 2" xfId="27247" xr:uid="{00000000-0005-0000-0000-0000F5B10000}"/>
    <cellStyle name="Tusenskille 3 2 2 2 3 2 2" xfId="42983" xr:uid="{00000000-0005-0000-0000-0000F6B10000}"/>
    <cellStyle name="Tusenskille 3 2 2 2 3 3" xfId="45828" xr:uid="{00000000-0005-0000-0000-0000F7B10000}"/>
    <cellStyle name="Tusenskille 3 2 2 2 3 4" xfId="47669" xr:uid="{00000000-0005-0000-0000-0000F8B10000}"/>
    <cellStyle name="Tusenskille 3 2 2 2 4" xfId="47642" xr:uid="{00000000-0005-0000-0000-0000F9B10000}"/>
    <cellStyle name="Tusenskille 3 2 2 2_Avviksanalyse løpende RNB15 (1)" xfId="17718" xr:uid="{00000000-0005-0000-0000-0000FAB10000}"/>
    <cellStyle name="Tusenskille 3 2 2 3" xfId="14668" xr:uid="{00000000-0005-0000-0000-0000FBB10000}"/>
    <cellStyle name="Tusenskille 3 2 3" xfId="4496" xr:uid="{00000000-0005-0000-0000-0000FCB10000}"/>
    <cellStyle name="Tusenskille 3 2 3 2" xfId="14671" xr:uid="{00000000-0005-0000-0000-0000FDB10000}"/>
    <cellStyle name="Tusenskille 3 2 3 2 2" xfId="19147" xr:uid="{00000000-0005-0000-0000-0000FEB10000}"/>
    <cellStyle name="Tusenskille 3 2 3 2 3" xfId="16427" xr:uid="{00000000-0005-0000-0000-0000FFB10000}"/>
    <cellStyle name="Tusenskille 3 2 3 2 3 2" xfId="27248" xr:uid="{00000000-0005-0000-0000-000000B20000}"/>
    <cellStyle name="Tusenskille 3 2 3 2 3 2 2" xfId="42982" xr:uid="{00000000-0005-0000-0000-000001B20000}"/>
    <cellStyle name="Tusenskille 3 2 3 2 3 2 2 2" xfId="47690" xr:uid="{00000000-0005-0000-0000-000002B20000}"/>
    <cellStyle name="Tusenskille 3 2 3 2 3 2 3" xfId="47525" xr:uid="{00000000-0005-0000-0000-000003B20000}"/>
    <cellStyle name="Tusenskille 3 2 3 2 3 3" xfId="45829" xr:uid="{00000000-0005-0000-0000-000004B20000}"/>
    <cellStyle name="Tusenskille 3 2 3 2 3 4" xfId="47668" xr:uid="{00000000-0005-0000-0000-000005B20000}"/>
    <cellStyle name="Tusenskille 3 2 3 2 3 5" xfId="47329" xr:uid="{00000000-0005-0000-0000-000006B20000}"/>
    <cellStyle name="Tusenskille 3 2 3 2 4" xfId="47641" xr:uid="{00000000-0005-0000-0000-000007B20000}"/>
    <cellStyle name="Tusenskille 3 2 3 2 5" xfId="47139" xr:uid="{00000000-0005-0000-0000-000008B20000}"/>
    <cellStyle name="Tusenskille 3 2 3 2_Avviksanalyse løpende RNB15 (1)" xfId="17719" xr:uid="{00000000-0005-0000-0000-000009B20000}"/>
    <cellStyle name="Tusenskille 3 2 3 3" xfId="14670" xr:uid="{00000000-0005-0000-0000-00000AB20000}"/>
    <cellStyle name="Tusenskille 3 2 4" xfId="4730" xr:uid="{00000000-0005-0000-0000-00000BB20000}"/>
    <cellStyle name="Tusenskille 3 2 4 2" xfId="6892" xr:uid="{00000000-0005-0000-0000-00000CB20000}"/>
    <cellStyle name="Tusenskille 3 2 4 2 2" xfId="19148" xr:uid="{00000000-0005-0000-0000-00000DB20000}"/>
    <cellStyle name="Tusenskille 3 2 4 3" xfId="6450" xr:uid="{00000000-0005-0000-0000-00000EB20000}"/>
    <cellStyle name="Tusenskille 3 2 4 3 2" xfId="16258" xr:uid="{00000000-0005-0000-0000-00000FB20000}"/>
    <cellStyle name="Tusenskille 3 2 4 3 2 2" xfId="47688" xr:uid="{00000000-0005-0000-0000-000010B20000}"/>
    <cellStyle name="Tusenskille 3 2 4 3 3" xfId="27249" xr:uid="{00000000-0005-0000-0000-000011B20000}"/>
    <cellStyle name="Tusenskille 3 2 4 3 4" xfId="47666" xr:uid="{00000000-0005-0000-0000-000012B20000}"/>
    <cellStyle name="Tusenskille 3 2 4 4" xfId="14672" xr:uid="{00000000-0005-0000-0000-000013B20000}"/>
    <cellStyle name="Tusenskille 3 2 4 4 2" xfId="47639" xr:uid="{00000000-0005-0000-0000-000014B20000}"/>
    <cellStyle name="Tusenskille 3 2 4_Avviksanalyse løpende RNB15 (1)" xfId="17720" xr:uid="{00000000-0005-0000-0000-000015B20000}"/>
    <cellStyle name="Tusenskille 3 2 5" xfId="6229" xr:uid="{00000000-0005-0000-0000-000016B20000}"/>
    <cellStyle name="Tusenskille 3 2 5 2" xfId="15158" xr:uid="{00000000-0005-0000-0000-000017B20000}"/>
    <cellStyle name="Tusenskille 3 2 5 2 2" xfId="47679" xr:uid="{00000000-0005-0000-0000-000018B20000}"/>
    <cellStyle name="Tusenskille 3 2 5 2 3" xfId="47430" xr:uid="{00000000-0005-0000-0000-000019B20000}"/>
    <cellStyle name="Tusenskille 3 2 5 3" xfId="27250" xr:uid="{00000000-0005-0000-0000-00001AB20000}"/>
    <cellStyle name="Tusenskille 3 2 5 4" xfId="47651" xr:uid="{00000000-0005-0000-0000-00001BB20000}"/>
    <cellStyle name="Tusenskille 3 2 6" xfId="5217" xr:uid="{00000000-0005-0000-0000-00001CB20000}"/>
    <cellStyle name="Tusenskille 3 2 6 2" xfId="27251" xr:uid="{00000000-0005-0000-0000-00001DB20000}"/>
    <cellStyle name="Tusenskille 3 2 6 2 2" xfId="41988" xr:uid="{00000000-0005-0000-0000-00001EB20000}"/>
    <cellStyle name="Tusenskille 3 2 6 2 2 2" xfId="47680" xr:uid="{00000000-0005-0000-0000-00001FB20000}"/>
    <cellStyle name="Tusenskille 3 2 6 2 3" xfId="47432" xr:uid="{00000000-0005-0000-0000-000020B20000}"/>
    <cellStyle name="Tusenskille 3 2 6 3" xfId="45830" xr:uid="{00000000-0005-0000-0000-000021B20000}"/>
    <cellStyle name="Tusenskille 3 2 6 4" xfId="47653" xr:uid="{00000000-0005-0000-0000-000022B20000}"/>
    <cellStyle name="Tusenskille 3 2 6 5" xfId="47236" xr:uid="{00000000-0005-0000-0000-000023B20000}"/>
    <cellStyle name="Tusenskille 3 2 7" xfId="19381" xr:uid="{00000000-0005-0000-0000-000024B20000}"/>
    <cellStyle name="Tusenskille 3 2 7 2" xfId="27252" xr:uid="{00000000-0005-0000-0000-000025B20000}"/>
    <cellStyle name="Tusenskille 3 2 7 2 2" xfId="43136" xr:uid="{00000000-0005-0000-0000-000026B20000}"/>
    <cellStyle name="Tusenskille 3 2 7 2 2 2" xfId="47692" xr:uid="{00000000-0005-0000-0000-000027B20000}"/>
    <cellStyle name="Tusenskille 3 2 7 2 3" xfId="47608" xr:uid="{00000000-0005-0000-0000-000028B20000}"/>
    <cellStyle name="Tusenskille 3 2 7 3" xfId="45831" xr:uid="{00000000-0005-0000-0000-000029B20000}"/>
    <cellStyle name="Tusenskille 3 2 7 4" xfId="47672" xr:uid="{00000000-0005-0000-0000-00002AB20000}"/>
    <cellStyle name="Tusenskille 3 2 7 5" xfId="47412" xr:uid="{00000000-0005-0000-0000-00002BB20000}"/>
    <cellStyle name="Tusenskille 3 2 8" xfId="15145" xr:uid="{00000000-0005-0000-0000-00002CB20000}"/>
    <cellStyle name="Tusenskille 3 2 8 2" xfId="27253" xr:uid="{00000000-0005-0000-0000-00002DB20000}"/>
    <cellStyle name="Tusenskille 3 2 8 2 2" xfId="41702" xr:uid="{00000000-0005-0000-0000-00002EB20000}"/>
    <cellStyle name="Tusenskille 3 2 8 2 2 2" xfId="47678" xr:uid="{00000000-0005-0000-0000-00002FB20000}"/>
    <cellStyle name="Tusenskille 3 2 8 2 3" xfId="47427" xr:uid="{00000000-0005-0000-0000-000030B20000}"/>
    <cellStyle name="Tusenskille 3 2 8 3" xfId="45832" xr:uid="{00000000-0005-0000-0000-000031B20000}"/>
    <cellStyle name="Tusenskille 3 2 8 4" xfId="47649" xr:uid="{00000000-0005-0000-0000-000032B20000}"/>
    <cellStyle name="Tusenskille 3 2 8 5" xfId="47232" xr:uid="{00000000-0005-0000-0000-000033B20000}"/>
    <cellStyle name="Tusenskille 3 2 9" xfId="14667" xr:uid="{00000000-0005-0000-0000-000034B20000}"/>
    <cellStyle name="Tusenskille 3 2 9 2" xfId="47616" xr:uid="{00000000-0005-0000-0000-000035B20000}"/>
    <cellStyle name="Tusenskille 3 2_Ark1" xfId="14673" xr:uid="{00000000-0005-0000-0000-000036B20000}"/>
    <cellStyle name="Tusenskille 3 3" xfId="4483" xr:uid="{00000000-0005-0000-0000-000037B20000}"/>
    <cellStyle name="Tusenskille 3 3 2" xfId="14675" xr:uid="{00000000-0005-0000-0000-000038B20000}"/>
    <cellStyle name="Tusenskille 3 3 2 2" xfId="19149" xr:uid="{00000000-0005-0000-0000-000039B20000}"/>
    <cellStyle name="Tusenskille 3 3 2 3" xfId="15500" xr:uid="{00000000-0005-0000-0000-00003AB20000}"/>
    <cellStyle name="Tusenskille 3 3 2 3 2" xfId="27254" xr:uid="{00000000-0005-0000-0000-00003BB20000}"/>
    <cellStyle name="Tusenskille 3 3 2 3 2 2" xfId="42056" xr:uid="{00000000-0005-0000-0000-00003CB20000}"/>
    <cellStyle name="Tusenskille 3 3 2 3 3" xfId="45833" xr:uid="{00000000-0005-0000-0000-00003DB20000}"/>
    <cellStyle name="Tusenskille 3 3 2 3 4" xfId="47660" xr:uid="{00000000-0005-0000-0000-00003EB20000}"/>
    <cellStyle name="Tusenskille 3 3 2 4" xfId="47633" xr:uid="{00000000-0005-0000-0000-00003FB20000}"/>
    <cellStyle name="Tusenskille 3 3 2_Avviksanalyse løpende RNB15 (1)" xfId="17721" xr:uid="{00000000-0005-0000-0000-000040B20000}"/>
    <cellStyle name="Tusenskille 3 3 3" xfId="14674" xr:uid="{00000000-0005-0000-0000-000041B20000}"/>
    <cellStyle name="Tusenskille 3 4" xfId="4640" xr:uid="{00000000-0005-0000-0000-000042B20000}"/>
    <cellStyle name="Tusenskille 3 4 2" xfId="15137" xr:uid="{00000000-0005-0000-0000-000043B20000}"/>
    <cellStyle name="Tusenskille 3 4 2 2" xfId="47675" xr:uid="{00000000-0005-0000-0000-000044B20000}"/>
    <cellStyle name="Tusenskille 3 4 2 3" xfId="47421" xr:uid="{00000000-0005-0000-0000-000045B20000}"/>
    <cellStyle name="Tusenskille 3 4 3" xfId="27255" xr:uid="{00000000-0005-0000-0000-000046B20000}"/>
    <cellStyle name="Tusenskille 3 4 4" xfId="47646" xr:uid="{00000000-0005-0000-0000-000047B20000}"/>
    <cellStyle name="Tusenskille 3 4 5" xfId="47227" xr:uid="{00000000-0005-0000-0000-000048B20000}"/>
    <cellStyle name="Tusenskille 3 5" xfId="15437" xr:uid="{00000000-0005-0000-0000-000049B20000}"/>
    <cellStyle name="Tusenskille 3 5 2" xfId="27256" xr:uid="{00000000-0005-0000-0000-00004AB20000}"/>
    <cellStyle name="Tusenskille 3 5 2 2" xfId="41993" xr:uid="{00000000-0005-0000-0000-00004BB20000}"/>
    <cellStyle name="Tusenskille 3 5 2 2 2" xfId="47681" xr:uid="{00000000-0005-0000-0000-00004CB20000}"/>
    <cellStyle name="Tusenskille 3 5 2 3" xfId="47433" xr:uid="{00000000-0005-0000-0000-00004DB20000}"/>
    <cellStyle name="Tusenskille 3 5 3" xfId="45834" xr:uid="{00000000-0005-0000-0000-00004EB20000}"/>
    <cellStyle name="Tusenskille 3 5 4" xfId="47654" xr:uid="{00000000-0005-0000-0000-00004FB20000}"/>
    <cellStyle name="Tusenskille 3 5 5" xfId="47237" xr:uid="{00000000-0005-0000-0000-000050B20000}"/>
    <cellStyle name="Tusenskille 3 6" xfId="19382" xr:uid="{00000000-0005-0000-0000-000051B20000}"/>
    <cellStyle name="Tusenskille 3 6 2" xfId="27257" xr:uid="{00000000-0005-0000-0000-000052B20000}"/>
    <cellStyle name="Tusenskille 3 6 2 2" xfId="43137" xr:uid="{00000000-0005-0000-0000-000053B20000}"/>
    <cellStyle name="Tusenskille 3 6 2 2 2" xfId="47693" xr:uid="{00000000-0005-0000-0000-000054B20000}"/>
    <cellStyle name="Tusenskille 3 6 2 3" xfId="47609" xr:uid="{00000000-0005-0000-0000-000055B20000}"/>
    <cellStyle name="Tusenskille 3 6 3" xfId="45835" xr:uid="{00000000-0005-0000-0000-000056B20000}"/>
    <cellStyle name="Tusenskille 3 6 4" xfId="47673" xr:uid="{00000000-0005-0000-0000-000057B20000}"/>
    <cellStyle name="Tusenskille 3 6 5" xfId="47413" xr:uid="{00000000-0005-0000-0000-000058B20000}"/>
    <cellStyle name="Tusenskille 3 7" xfId="15445" xr:uid="{00000000-0005-0000-0000-000059B20000}"/>
    <cellStyle name="Tusenskille 3 7 2" xfId="27258" xr:uid="{00000000-0005-0000-0000-00005AB20000}"/>
    <cellStyle name="Tusenskille 3 7 2 2" xfId="42001" xr:uid="{00000000-0005-0000-0000-00005BB20000}"/>
    <cellStyle name="Tusenskille 3 7 2 2 2" xfId="47682" xr:uid="{00000000-0005-0000-0000-00005CB20000}"/>
    <cellStyle name="Tusenskille 3 7 2 3" xfId="47437" xr:uid="{00000000-0005-0000-0000-00005DB20000}"/>
    <cellStyle name="Tusenskille 3 7 3" xfId="45836" xr:uid="{00000000-0005-0000-0000-00005EB20000}"/>
    <cellStyle name="Tusenskille 3 7 4" xfId="47656" xr:uid="{00000000-0005-0000-0000-00005FB20000}"/>
    <cellStyle name="Tusenskille 3 7 5" xfId="47241" xr:uid="{00000000-0005-0000-0000-000060B20000}"/>
    <cellStyle name="Tusenskille 3 8" xfId="14666" xr:uid="{00000000-0005-0000-0000-000061B20000}"/>
    <cellStyle name="Tusenskille 3 8 2" xfId="47613" xr:uid="{00000000-0005-0000-0000-000062B20000}"/>
    <cellStyle name="Tusenskille 3 9" xfId="43446" xr:uid="{00000000-0005-0000-0000-000063B20000}"/>
    <cellStyle name="Tusenskille 3_Ark1" xfId="3690" xr:uid="{00000000-0005-0000-0000-000064B20000}"/>
    <cellStyle name="Tusenskille 4" xfId="14676" xr:uid="{00000000-0005-0000-0000-000065B20000}"/>
    <cellStyle name="Tusenskille 4 2" xfId="14677" xr:uid="{00000000-0005-0000-0000-000066B20000}"/>
    <cellStyle name="Tusenskille 4 2 2" xfId="19150" xr:uid="{00000000-0005-0000-0000-000067B20000}"/>
    <cellStyle name="Tusenskille 4 2 3" xfId="15499" xr:uid="{00000000-0005-0000-0000-000068B20000}"/>
    <cellStyle name="Tusenskille 4 2 3 2" xfId="27259" xr:uid="{00000000-0005-0000-0000-000069B20000}"/>
    <cellStyle name="Tusenskille 4 2 3 2 2" xfId="42055" xr:uid="{00000000-0005-0000-0000-00006AB20000}"/>
    <cellStyle name="Tusenskille 4 2 3 3" xfId="45837" xr:uid="{00000000-0005-0000-0000-00006BB20000}"/>
    <cellStyle name="Tusenskille 4 2 3 4" xfId="47659" xr:uid="{00000000-0005-0000-0000-00006CB20000}"/>
    <cellStyle name="Tusenskille 4 2 4" xfId="47632" xr:uid="{00000000-0005-0000-0000-00006DB20000}"/>
    <cellStyle name="Tusenskille 4 2_Avviksanalyse løpende RNB15 (1)" xfId="17722" xr:uid="{00000000-0005-0000-0000-00006EB20000}"/>
    <cellStyle name="Tusenskille 5" xfId="14678" xr:uid="{00000000-0005-0000-0000-00006FB20000}"/>
    <cellStyle name="Tusenskille 5 2" xfId="14679" xr:uid="{00000000-0005-0000-0000-000070B20000}"/>
    <cellStyle name="Tusenskille 5 2 2" xfId="19151" xr:uid="{00000000-0005-0000-0000-000071B20000}"/>
    <cellStyle name="Tusenskille 5 2 3" xfId="15622" xr:uid="{00000000-0005-0000-0000-000072B20000}"/>
    <cellStyle name="Tusenskille 5 2 3 2" xfId="27260" xr:uid="{00000000-0005-0000-0000-000073B20000}"/>
    <cellStyle name="Tusenskille 5 2 3 2 2" xfId="42178" xr:uid="{00000000-0005-0000-0000-000074B20000}"/>
    <cellStyle name="Tusenskille 5 2 3 2 2 2" xfId="47686" xr:uid="{00000000-0005-0000-0000-000075B20000}"/>
    <cellStyle name="Tusenskille 5 2 3 2 3" xfId="47452" xr:uid="{00000000-0005-0000-0000-000076B20000}"/>
    <cellStyle name="Tusenskille 5 2 3 3" xfId="45838" xr:uid="{00000000-0005-0000-0000-000077B20000}"/>
    <cellStyle name="Tusenskille 5 2 3 4" xfId="47662" xr:uid="{00000000-0005-0000-0000-000078B20000}"/>
    <cellStyle name="Tusenskille 5 2 3 5" xfId="47256" xr:uid="{00000000-0005-0000-0000-000079B20000}"/>
    <cellStyle name="Tusenskille 5 2 4" xfId="47635" xr:uid="{00000000-0005-0000-0000-00007AB20000}"/>
    <cellStyle name="Tusenskille 5 2 5" xfId="47066" xr:uid="{00000000-0005-0000-0000-00007BB20000}"/>
    <cellStyle name="Tusenskille 5 2_Avviksanalyse løpende RNB15 (1)" xfId="17723" xr:uid="{00000000-0005-0000-0000-00007CB20000}"/>
    <cellStyle name="UnProtectedCalc" xfId="3691" xr:uid="{00000000-0005-0000-0000-00007DB20000}"/>
    <cellStyle name="UnProtectedCalc 2" xfId="19152" xr:uid="{00000000-0005-0000-0000-00007EB20000}"/>
    <cellStyle name="UnProtectedCalc 3" xfId="15159" xr:uid="{00000000-0005-0000-0000-00007FB20000}"/>
    <cellStyle name="UnProtectedCalc 3 2" xfId="27261" xr:uid="{00000000-0005-0000-0000-000080B20000}"/>
    <cellStyle name="UnProtectedCalc 3 2 2" xfId="41715" xr:uid="{00000000-0005-0000-0000-000081B20000}"/>
    <cellStyle name="UnProtectedCalc 3 3" xfId="45839" xr:uid="{00000000-0005-0000-0000-000082B20000}"/>
    <cellStyle name="UnProtectedCalc 4" xfId="14680" xr:uid="{00000000-0005-0000-0000-000083B20000}"/>
    <cellStyle name="UnProtectedCalc_Avviksanalyse løpende RNB15 (1)" xfId="17724" xr:uid="{00000000-0005-0000-0000-000084B20000}"/>
    <cellStyle name="Utdata" xfId="4641" xr:uid="{00000000-0005-0000-0000-000085B20000}"/>
    <cellStyle name="Utdata 10" xfId="3216" xr:uid="{00000000-0005-0000-0000-000086B20000}"/>
    <cellStyle name="Utdata 10 2" xfId="14682" xr:uid="{00000000-0005-0000-0000-000087B20000}"/>
    <cellStyle name="Utdata 10 2 2" xfId="14683" xr:uid="{00000000-0005-0000-0000-000088B20000}"/>
    <cellStyle name="Utdata 10 2 2 2" xfId="19153" xr:uid="{00000000-0005-0000-0000-000089B20000}"/>
    <cellStyle name="Utdata 10 2 2 3" xfId="16429" xr:uid="{00000000-0005-0000-0000-00008AB20000}"/>
    <cellStyle name="Utdata 10 2 2 3 2" xfId="27262" xr:uid="{00000000-0005-0000-0000-00008BB20000}"/>
    <cellStyle name="Utdata 10 2 2 3 2 2" xfId="42984" xr:uid="{00000000-0005-0000-0000-00008CB20000}"/>
    <cellStyle name="Utdata 10 2 2 3 3" xfId="45840" xr:uid="{00000000-0005-0000-0000-00008DB20000}"/>
    <cellStyle name="Utdata 10 2 2_Avviksanalyse løpende RNB15 (1)" xfId="17725" xr:uid="{00000000-0005-0000-0000-00008EB20000}"/>
    <cellStyle name="Utdata 10 3" xfId="14684" xr:uid="{00000000-0005-0000-0000-00008FB20000}"/>
    <cellStyle name="Utdata 10 3 2" xfId="19154" xr:uid="{00000000-0005-0000-0000-000090B20000}"/>
    <cellStyle name="Utdata 10 3 3" xfId="15624" xr:uid="{00000000-0005-0000-0000-000091B20000}"/>
    <cellStyle name="Utdata 10 3 3 2" xfId="27263" xr:uid="{00000000-0005-0000-0000-000092B20000}"/>
    <cellStyle name="Utdata 10 3 3 2 2" xfId="42180" xr:uid="{00000000-0005-0000-0000-000093B20000}"/>
    <cellStyle name="Utdata 10 3 3 3" xfId="45841" xr:uid="{00000000-0005-0000-0000-000094B20000}"/>
    <cellStyle name="Utdata 10 3_Avviksanalyse løpende RNB15 (1)" xfId="17726" xr:uid="{00000000-0005-0000-0000-000095B20000}"/>
    <cellStyle name="Utdata 10 4" xfId="14681" xr:uid="{00000000-0005-0000-0000-000096B20000}"/>
    <cellStyle name="Utdata 11" xfId="3217" xr:uid="{00000000-0005-0000-0000-000097B20000}"/>
    <cellStyle name="Utdata 11 2" xfId="4433" xr:uid="{00000000-0005-0000-0000-000098B20000}"/>
    <cellStyle name="Utdata 11 2 2" xfId="14687" xr:uid="{00000000-0005-0000-0000-000099B20000}"/>
    <cellStyle name="Utdata 11 2 2 2" xfId="19155" xr:uid="{00000000-0005-0000-0000-00009AB20000}"/>
    <cellStyle name="Utdata 11 2 2 3" xfId="16430" xr:uid="{00000000-0005-0000-0000-00009BB20000}"/>
    <cellStyle name="Utdata 11 2 2 3 2" xfId="27264" xr:uid="{00000000-0005-0000-0000-00009CB20000}"/>
    <cellStyle name="Utdata 11 2 2 3 2 2" xfId="42985" xr:uid="{00000000-0005-0000-0000-00009DB20000}"/>
    <cellStyle name="Utdata 11 2 2 3 3" xfId="45842" xr:uid="{00000000-0005-0000-0000-00009EB20000}"/>
    <cellStyle name="Utdata 11 2 2_Avviksanalyse løpende RNB15 (1)" xfId="17727" xr:uid="{00000000-0005-0000-0000-00009FB20000}"/>
    <cellStyle name="Utdata 11 2 3" xfId="14686" xr:uid="{00000000-0005-0000-0000-0000A0B20000}"/>
    <cellStyle name="Utdata 11 3" xfId="4373" xr:uid="{00000000-0005-0000-0000-0000A1B20000}"/>
    <cellStyle name="Utdata 11 3 2" xfId="19156" xr:uid="{00000000-0005-0000-0000-0000A2B20000}"/>
    <cellStyle name="Utdata 11 3 3" xfId="15625" xr:uid="{00000000-0005-0000-0000-0000A3B20000}"/>
    <cellStyle name="Utdata 11 3 3 2" xfId="27265" xr:uid="{00000000-0005-0000-0000-0000A4B20000}"/>
    <cellStyle name="Utdata 11 3 3 2 2" xfId="42181" xr:uid="{00000000-0005-0000-0000-0000A5B20000}"/>
    <cellStyle name="Utdata 11 3 3 3" xfId="45843" xr:uid="{00000000-0005-0000-0000-0000A6B20000}"/>
    <cellStyle name="Utdata 11 3 4" xfId="14688" xr:uid="{00000000-0005-0000-0000-0000A7B20000}"/>
    <cellStyle name="Utdata 11 3_Avviksanalyse løpende RNB15 (1)" xfId="17728" xr:uid="{00000000-0005-0000-0000-0000A8B20000}"/>
    <cellStyle name="Utdata 11 4" xfId="14685" xr:uid="{00000000-0005-0000-0000-0000A9B20000}"/>
    <cellStyle name="Utdata 12" xfId="3218" xr:uid="{00000000-0005-0000-0000-0000AAB20000}"/>
    <cellStyle name="Utdata 12 2" xfId="14690" xr:uid="{00000000-0005-0000-0000-0000ABB20000}"/>
    <cellStyle name="Utdata 12 2 2" xfId="14691" xr:uid="{00000000-0005-0000-0000-0000ACB20000}"/>
    <cellStyle name="Utdata 12 2 2 2" xfId="19157" xr:uid="{00000000-0005-0000-0000-0000ADB20000}"/>
    <cellStyle name="Utdata 12 2 2 3" xfId="16431" xr:uid="{00000000-0005-0000-0000-0000AEB20000}"/>
    <cellStyle name="Utdata 12 2 2 3 2" xfId="27266" xr:uid="{00000000-0005-0000-0000-0000AFB20000}"/>
    <cellStyle name="Utdata 12 2 2 3 2 2" xfId="42986" xr:uid="{00000000-0005-0000-0000-0000B0B20000}"/>
    <cellStyle name="Utdata 12 2 2 3 3" xfId="45844" xr:uid="{00000000-0005-0000-0000-0000B1B20000}"/>
    <cellStyle name="Utdata 12 2 2_Avviksanalyse løpende RNB15 (1)" xfId="17729" xr:uid="{00000000-0005-0000-0000-0000B2B20000}"/>
    <cellStyle name="Utdata 12 3" xfId="14692" xr:uid="{00000000-0005-0000-0000-0000B3B20000}"/>
    <cellStyle name="Utdata 12 3 2" xfId="19158" xr:uid="{00000000-0005-0000-0000-0000B4B20000}"/>
    <cellStyle name="Utdata 12 3 3" xfId="15626" xr:uid="{00000000-0005-0000-0000-0000B5B20000}"/>
    <cellStyle name="Utdata 12 3 3 2" xfId="27267" xr:uid="{00000000-0005-0000-0000-0000B6B20000}"/>
    <cellStyle name="Utdata 12 3 3 2 2" xfId="42182" xr:uid="{00000000-0005-0000-0000-0000B7B20000}"/>
    <cellStyle name="Utdata 12 3 3 3" xfId="45845" xr:uid="{00000000-0005-0000-0000-0000B8B20000}"/>
    <cellStyle name="Utdata 12 3_Avviksanalyse løpende RNB15 (1)" xfId="17730" xr:uid="{00000000-0005-0000-0000-0000B9B20000}"/>
    <cellStyle name="Utdata 12 4" xfId="14689" xr:uid="{00000000-0005-0000-0000-0000BAB20000}"/>
    <cellStyle name="Utdata 13" xfId="3219" xr:uid="{00000000-0005-0000-0000-0000BBB20000}"/>
    <cellStyle name="Utdata 13 2" xfId="14694" xr:uid="{00000000-0005-0000-0000-0000BCB20000}"/>
    <cellStyle name="Utdata 13 2 2" xfId="14695" xr:uid="{00000000-0005-0000-0000-0000BDB20000}"/>
    <cellStyle name="Utdata 13 2 2 2" xfId="19159" xr:uid="{00000000-0005-0000-0000-0000BEB20000}"/>
    <cellStyle name="Utdata 13 2 2 3" xfId="16432" xr:uid="{00000000-0005-0000-0000-0000BFB20000}"/>
    <cellStyle name="Utdata 13 2 2 3 2" xfId="27268" xr:uid="{00000000-0005-0000-0000-0000C0B20000}"/>
    <cellStyle name="Utdata 13 2 2 3 2 2" xfId="42987" xr:uid="{00000000-0005-0000-0000-0000C1B20000}"/>
    <cellStyle name="Utdata 13 2 2 3 3" xfId="45846" xr:uid="{00000000-0005-0000-0000-0000C2B20000}"/>
    <cellStyle name="Utdata 13 2 2_Avviksanalyse løpende RNB15 (1)" xfId="17731" xr:uid="{00000000-0005-0000-0000-0000C3B20000}"/>
    <cellStyle name="Utdata 13 3" xfId="14696" xr:uid="{00000000-0005-0000-0000-0000C4B20000}"/>
    <cellStyle name="Utdata 13 3 2" xfId="19160" xr:uid="{00000000-0005-0000-0000-0000C5B20000}"/>
    <cellStyle name="Utdata 13 3 3" xfId="15627" xr:uid="{00000000-0005-0000-0000-0000C6B20000}"/>
    <cellStyle name="Utdata 13 3 3 2" xfId="27269" xr:uid="{00000000-0005-0000-0000-0000C7B20000}"/>
    <cellStyle name="Utdata 13 3 3 2 2" xfId="42183" xr:uid="{00000000-0005-0000-0000-0000C8B20000}"/>
    <cellStyle name="Utdata 13 3 3 3" xfId="45847" xr:uid="{00000000-0005-0000-0000-0000C9B20000}"/>
    <cellStyle name="Utdata 13 3_Avviksanalyse løpende RNB15 (1)" xfId="17732" xr:uid="{00000000-0005-0000-0000-0000CAB20000}"/>
    <cellStyle name="Utdata 13 4" xfId="14693" xr:uid="{00000000-0005-0000-0000-0000CBB20000}"/>
    <cellStyle name="Utdata 14" xfId="3428" xr:uid="{00000000-0005-0000-0000-0000CCB20000}"/>
    <cellStyle name="Utdata 14 2" xfId="14698" xr:uid="{00000000-0005-0000-0000-0000CDB20000}"/>
    <cellStyle name="Utdata 14 2 2" xfId="19161" xr:uid="{00000000-0005-0000-0000-0000CEB20000}"/>
    <cellStyle name="Utdata 14 2 3" xfId="15628" xr:uid="{00000000-0005-0000-0000-0000CFB20000}"/>
    <cellStyle name="Utdata 14 2 3 2" xfId="27270" xr:uid="{00000000-0005-0000-0000-0000D0B20000}"/>
    <cellStyle name="Utdata 14 2 3 2 2" xfId="42184" xr:uid="{00000000-0005-0000-0000-0000D1B20000}"/>
    <cellStyle name="Utdata 14 2 3 3" xfId="45848" xr:uid="{00000000-0005-0000-0000-0000D2B20000}"/>
    <cellStyle name="Utdata 14 2_Avviksanalyse løpende RNB15 (1)" xfId="17733" xr:uid="{00000000-0005-0000-0000-0000D3B20000}"/>
    <cellStyle name="Utdata 14 3" xfId="14697" xr:uid="{00000000-0005-0000-0000-0000D4B20000}"/>
    <cellStyle name="Utdata 15" xfId="40936" xr:uid="{00000000-0005-0000-0000-0000D5B20000}"/>
    <cellStyle name="Utdata 16" xfId="40786" xr:uid="{00000000-0005-0000-0000-0000D6B20000}"/>
    <cellStyle name="Utdata 17" xfId="40892" xr:uid="{00000000-0005-0000-0000-0000D7B20000}"/>
    <cellStyle name="Utdata 18" xfId="40821" xr:uid="{00000000-0005-0000-0000-0000D8B20000}"/>
    <cellStyle name="Utdata 19" xfId="40862" xr:uid="{00000000-0005-0000-0000-0000D9B20000}"/>
    <cellStyle name="Utdata 2" xfId="3220" xr:uid="{00000000-0005-0000-0000-0000DAB20000}"/>
    <cellStyle name="Utdata 2 10" xfId="14700" xr:uid="{00000000-0005-0000-0000-0000DBB20000}"/>
    <cellStyle name="Utdata 2 10 2" xfId="19162" xr:uid="{00000000-0005-0000-0000-0000DCB20000}"/>
    <cellStyle name="Utdata 2 10 3" xfId="15502" xr:uid="{00000000-0005-0000-0000-0000DDB20000}"/>
    <cellStyle name="Utdata 2 10 3 2" xfId="27271" xr:uid="{00000000-0005-0000-0000-0000DEB20000}"/>
    <cellStyle name="Utdata 2 10 3 2 2" xfId="42058" xr:uid="{00000000-0005-0000-0000-0000DFB20000}"/>
    <cellStyle name="Utdata 2 10 3 3" xfId="45849" xr:uid="{00000000-0005-0000-0000-0000E0B20000}"/>
    <cellStyle name="Utdata 2 10_Avviksanalyse løpende RNB15 (1)" xfId="17734" xr:uid="{00000000-0005-0000-0000-0000E1B20000}"/>
    <cellStyle name="Utdata 2 11" xfId="14699" xr:uid="{00000000-0005-0000-0000-0000E2B20000}"/>
    <cellStyle name="Utdata 2 2" xfId="3221" xr:uid="{00000000-0005-0000-0000-0000E3B20000}"/>
    <cellStyle name="Utdata 2 2 2" xfId="14702" xr:uid="{00000000-0005-0000-0000-0000E4B20000}"/>
    <cellStyle name="Utdata 2 2 2 2" xfId="19163" xr:uid="{00000000-0005-0000-0000-0000E5B20000}"/>
    <cellStyle name="Utdata 2 2 2 3" xfId="15629" xr:uid="{00000000-0005-0000-0000-0000E6B20000}"/>
    <cellStyle name="Utdata 2 2 2 3 2" xfId="27272" xr:uid="{00000000-0005-0000-0000-0000E7B20000}"/>
    <cellStyle name="Utdata 2 2 2 3 2 2" xfId="42185" xr:uid="{00000000-0005-0000-0000-0000E8B20000}"/>
    <cellStyle name="Utdata 2 2 2 3 3" xfId="45850" xr:uid="{00000000-0005-0000-0000-0000E9B20000}"/>
    <cellStyle name="Utdata 2 2 2_Avviksanalyse løpende RNB15 (1)" xfId="17735" xr:uid="{00000000-0005-0000-0000-0000EAB20000}"/>
    <cellStyle name="Utdata 2 2 3" xfId="14701" xr:uid="{00000000-0005-0000-0000-0000EBB20000}"/>
    <cellStyle name="Utdata 2 3" xfId="14703" xr:uid="{00000000-0005-0000-0000-0000ECB20000}"/>
    <cellStyle name="Utdata 2 3 2" xfId="14704" xr:uid="{00000000-0005-0000-0000-0000EDB20000}"/>
    <cellStyle name="Utdata 2 3 2 2" xfId="19164" xr:uid="{00000000-0005-0000-0000-0000EEB20000}"/>
    <cellStyle name="Utdata 2 3 2 3" xfId="15630" xr:uid="{00000000-0005-0000-0000-0000EFB20000}"/>
    <cellStyle name="Utdata 2 3 2 3 2" xfId="27273" xr:uid="{00000000-0005-0000-0000-0000F0B20000}"/>
    <cellStyle name="Utdata 2 3 2 3 2 2" xfId="42186" xr:uid="{00000000-0005-0000-0000-0000F1B20000}"/>
    <cellStyle name="Utdata 2 3 2 3 3" xfId="45851" xr:uid="{00000000-0005-0000-0000-0000F2B20000}"/>
    <cellStyle name="Utdata 2 3 2_Avviksanalyse løpende RNB15 (1)" xfId="17736" xr:uid="{00000000-0005-0000-0000-0000F3B20000}"/>
    <cellStyle name="Utdata 2 4" xfId="14705" xr:uid="{00000000-0005-0000-0000-0000F4B20000}"/>
    <cellStyle name="Utdata 2 4 2" xfId="14706" xr:uid="{00000000-0005-0000-0000-0000F5B20000}"/>
    <cellStyle name="Utdata 2 4 2 2" xfId="19165" xr:uid="{00000000-0005-0000-0000-0000F6B20000}"/>
    <cellStyle name="Utdata 2 4 2 3" xfId="15631" xr:uid="{00000000-0005-0000-0000-0000F7B20000}"/>
    <cellStyle name="Utdata 2 4 2 3 2" xfId="27274" xr:uid="{00000000-0005-0000-0000-0000F8B20000}"/>
    <cellStyle name="Utdata 2 4 2 3 2 2" xfId="42187" xr:uid="{00000000-0005-0000-0000-0000F9B20000}"/>
    <cellStyle name="Utdata 2 4 2 3 3" xfId="45852" xr:uid="{00000000-0005-0000-0000-0000FAB20000}"/>
    <cellStyle name="Utdata 2 4 2_Avviksanalyse løpende RNB15 (1)" xfId="17737" xr:uid="{00000000-0005-0000-0000-0000FBB20000}"/>
    <cellStyle name="Utdata 2 5" xfId="14707" xr:uid="{00000000-0005-0000-0000-0000FCB20000}"/>
    <cellStyle name="Utdata 2 5 2" xfId="14708" xr:uid="{00000000-0005-0000-0000-0000FDB20000}"/>
    <cellStyle name="Utdata 2 5 2 2" xfId="19166" xr:uid="{00000000-0005-0000-0000-0000FEB20000}"/>
    <cellStyle name="Utdata 2 5 2 3" xfId="15632" xr:uid="{00000000-0005-0000-0000-0000FFB20000}"/>
    <cellStyle name="Utdata 2 5 2 3 2" xfId="27275" xr:uid="{00000000-0005-0000-0000-000000B30000}"/>
    <cellStyle name="Utdata 2 5 2 3 2 2" xfId="42188" xr:uid="{00000000-0005-0000-0000-000001B30000}"/>
    <cellStyle name="Utdata 2 5 2 3 3" xfId="45853" xr:uid="{00000000-0005-0000-0000-000002B30000}"/>
    <cellStyle name="Utdata 2 5 2_Avviksanalyse løpende RNB15 (1)" xfId="17738" xr:uid="{00000000-0005-0000-0000-000003B30000}"/>
    <cellStyle name="Utdata 2 6" xfId="14709" xr:uid="{00000000-0005-0000-0000-000004B30000}"/>
    <cellStyle name="Utdata 2 6 2" xfId="14710" xr:uid="{00000000-0005-0000-0000-000005B30000}"/>
    <cellStyle name="Utdata 2 6 2 2" xfId="19167" xr:uid="{00000000-0005-0000-0000-000006B30000}"/>
    <cellStyle name="Utdata 2 6 2 3" xfId="15633" xr:uid="{00000000-0005-0000-0000-000007B30000}"/>
    <cellStyle name="Utdata 2 6 2 3 2" xfId="27276" xr:uid="{00000000-0005-0000-0000-000008B30000}"/>
    <cellStyle name="Utdata 2 6 2 3 2 2" xfId="42189" xr:uid="{00000000-0005-0000-0000-000009B30000}"/>
    <cellStyle name="Utdata 2 6 2 3 3" xfId="45854" xr:uid="{00000000-0005-0000-0000-00000AB30000}"/>
    <cellStyle name="Utdata 2 6 2_Avviksanalyse løpende RNB15 (1)" xfId="17739" xr:uid="{00000000-0005-0000-0000-00000BB30000}"/>
    <cellStyle name="Utdata 2 7" xfId="14711" xr:uid="{00000000-0005-0000-0000-00000CB30000}"/>
    <cellStyle name="Utdata 2 7 2" xfId="14712" xr:uid="{00000000-0005-0000-0000-00000DB30000}"/>
    <cellStyle name="Utdata 2 7 2 2" xfId="19168" xr:uid="{00000000-0005-0000-0000-00000EB30000}"/>
    <cellStyle name="Utdata 2 7 2 3" xfId="15634" xr:uid="{00000000-0005-0000-0000-00000FB30000}"/>
    <cellStyle name="Utdata 2 7 2 3 2" xfId="27277" xr:uid="{00000000-0005-0000-0000-000010B30000}"/>
    <cellStyle name="Utdata 2 7 2 3 2 2" xfId="42190" xr:uid="{00000000-0005-0000-0000-000011B30000}"/>
    <cellStyle name="Utdata 2 7 2 3 3" xfId="45855" xr:uid="{00000000-0005-0000-0000-000012B30000}"/>
    <cellStyle name="Utdata 2 7 2_Avviksanalyse løpende RNB15 (1)" xfId="17740" xr:uid="{00000000-0005-0000-0000-000013B30000}"/>
    <cellStyle name="Utdata 2 8" xfId="14713" xr:uid="{00000000-0005-0000-0000-000014B30000}"/>
    <cellStyle name="Utdata 2 8 2" xfId="14714" xr:uid="{00000000-0005-0000-0000-000015B30000}"/>
    <cellStyle name="Utdata 2 8 2 2" xfId="19169" xr:uid="{00000000-0005-0000-0000-000016B30000}"/>
    <cellStyle name="Utdata 2 8 2 3" xfId="15635" xr:uid="{00000000-0005-0000-0000-000017B30000}"/>
    <cellStyle name="Utdata 2 8 2 3 2" xfId="27278" xr:uid="{00000000-0005-0000-0000-000018B30000}"/>
    <cellStyle name="Utdata 2 8 2 3 2 2" xfId="42191" xr:uid="{00000000-0005-0000-0000-000019B30000}"/>
    <cellStyle name="Utdata 2 8 2 3 3" xfId="45856" xr:uid="{00000000-0005-0000-0000-00001AB30000}"/>
    <cellStyle name="Utdata 2 8 2_Avviksanalyse løpende RNB15 (1)" xfId="17741" xr:uid="{00000000-0005-0000-0000-00001BB30000}"/>
    <cellStyle name="Utdata 2 9" xfId="14715" xr:uid="{00000000-0005-0000-0000-00001CB30000}"/>
    <cellStyle name="Utdata 2 9 2" xfId="14716" xr:uid="{00000000-0005-0000-0000-00001DB30000}"/>
    <cellStyle name="Utdata 2 9 2 2" xfId="19170" xr:uid="{00000000-0005-0000-0000-00001EB30000}"/>
    <cellStyle name="Utdata 2 9 2 3" xfId="15636" xr:uid="{00000000-0005-0000-0000-00001FB30000}"/>
    <cellStyle name="Utdata 2 9 2 3 2" xfId="27279" xr:uid="{00000000-0005-0000-0000-000020B30000}"/>
    <cellStyle name="Utdata 2 9 2 3 2 2" xfId="42192" xr:uid="{00000000-0005-0000-0000-000021B30000}"/>
    <cellStyle name="Utdata 2 9 2 3 3" xfId="45857" xr:uid="{00000000-0005-0000-0000-000022B30000}"/>
    <cellStyle name="Utdata 2 9 2_Avviksanalyse løpende RNB15 (1)" xfId="17742" xr:uid="{00000000-0005-0000-0000-000023B30000}"/>
    <cellStyle name="Utdata 20" xfId="40846" xr:uid="{00000000-0005-0000-0000-000024B30000}"/>
    <cellStyle name="Utdata 21" xfId="43170" xr:uid="{00000000-0005-0000-0000-000025B30000}"/>
    <cellStyle name="Utdata 22" xfId="43197" xr:uid="{00000000-0005-0000-0000-000026B30000}"/>
    <cellStyle name="Utdata 23" xfId="43411" xr:uid="{00000000-0005-0000-0000-000027B30000}"/>
    <cellStyle name="Utdata 24" xfId="43690" xr:uid="{00000000-0005-0000-0000-000028B30000}"/>
    <cellStyle name="Utdata 25" xfId="43488" xr:uid="{00000000-0005-0000-0000-000029B30000}"/>
    <cellStyle name="Utdata 26" xfId="43474" xr:uid="{00000000-0005-0000-0000-00002AB30000}"/>
    <cellStyle name="Utdata 27" xfId="46299" xr:uid="{00000000-0005-0000-0000-00002BB30000}"/>
    <cellStyle name="Utdata 28" xfId="46340" xr:uid="{00000000-0005-0000-0000-00002CB30000}"/>
    <cellStyle name="Utdata 29" xfId="46630" xr:uid="{00000000-0005-0000-0000-00002DB30000}"/>
    <cellStyle name="Utdata 3" xfId="3222" xr:uid="{00000000-0005-0000-0000-00002EB30000}"/>
    <cellStyle name="Utdata 3 2" xfId="3223" xr:uid="{00000000-0005-0000-0000-00002FB30000}"/>
    <cellStyle name="Utdata 3 2 2" xfId="14719" xr:uid="{00000000-0005-0000-0000-000030B30000}"/>
    <cellStyle name="Utdata 3 2 2 2" xfId="19171" xr:uid="{00000000-0005-0000-0000-000031B30000}"/>
    <cellStyle name="Utdata 3 2 2 3" xfId="16226" xr:uid="{00000000-0005-0000-0000-000032B30000}"/>
    <cellStyle name="Utdata 3 2 2 3 2" xfId="27280" xr:uid="{00000000-0005-0000-0000-000033B30000}"/>
    <cellStyle name="Utdata 3 2 2 3 2 2" xfId="42782" xr:uid="{00000000-0005-0000-0000-000034B30000}"/>
    <cellStyle name="Utdata 3 2 2 3 3" xfId="45858" xr:uid="{00000000-0005-0000-0000-000035B30000}"/>
    <cellStyle name="Utdata 3 2 2_Avviksanalyse løpende RNB15 (1)" xfId="17743" xr:uid="{00000000-0005-0000-0000-000036B30000}"/>
    <cellStyle name="Utdata 3 2 3" xfId="14718" xr:uid="{00000000-0005-0000-0000-000037B30000}"/>
    <cellStyle name="Utdata 3 3" xfId="14720" xr:uid="{00000000-0005-0000-0000-000038B30000}"/>
    <cellStyle name="Utdata 3 3 2" xfId="19172" xr:uid="{00000000-0005-0000-0000-000039B30000}"/>
    <cellStyle name="Utdata 3 3 3" xfId="15503" xr:uid="{00000000-0005-0000-0000-00003AB30000}"/>
    <cellStyle name="Utdata 3 3 3 2" xfId="27281" xr:uid="{00000000-0005-0000-0000-00003BB30000}"/>
    <cellStyle name="Utdata 3 3 3 2 2" xfId="42059" xr:uid="{00000000-0005-0000-0000-00003CB30000}"/>
    <cellStyle name="Utdata 3 3 3 3" xfId="45859" xr:uid="{00000000-0005-0000-0000-00003DB30000}"/>
    <cellStyle name="Utdata 3 3_Avviksanalyse løpende RNB15 (1)" xfId="17744" xr:uid="{00000000-0005-0000-0000-00003EB30000}"/>
    <cellStyle name="Utdata 3 4" xfId="14717" xr:uid="{00000000-0005-0000-0000-00003FB30000}"/>
    <cellStyle name="Utdata 30" xfId="46795" xr:uid="{00000000-0005-0000-0000-000040B30000}"/>
    <cellStyle name="Utdata 31" xfId="46368" xr:uid="{00000000-0005-0000-0000-000041B30000}"/>
    <cellStyle name="Utdata 32" xfId="46796" xr:uid="{00000000-0005-0000-0000-000042B30000}"/>
    <cellStyle name="Utdata 4" xfId="3224" xr:uid="{00000000-0005-0000-0000-000043B30000}"/>
    <cellStyle name="Utdata 4 2" xfId="3225" xr:uid="{00000000-0005-0000-0000-000044B30000}"/>
    <cellStyle name="Utdata 4 2 2" xfId="14723" xr:uid="{00000000-0005-0000-0000-000045B30000}"/>
    <cellStyle name="Utdata 4 2 2 2" xfId="19173" xr:uid="{00000000-0005-0000-0000-000046B30000}"/>
    <cellStyle name="Utdata 4 2 2 3" xfId="16227" xr:uid="{00000000-0005-0000-0000-000047B30000}"/>
    <cellStyle name="Utdata 4 2 2 3 2" xfId="27282" xr:uid="{00000000-0005-0000-0000-000048B30000}"/>
    <cellStyle name="Utdata 4 2 2 3 2 2" xfId="42783" xr:uid="{00000000-0005-0000-0000-000049B30000}"/>
    <cellStyle name="Utdata 4 2 2 3 3" xfId="45860" xr:uid="{00000000-0005-0000-0000-00004AB30000}"/>
    <cellStyle name="Utdata 4 2 2_Avviksanalyse løpende RNB15 (1)" xfId="17745" xr:uid="{00000000-0005-0000-0000-00004BB30000}"/>
    <cellStyle name="Utdata 4 2 3" xfId="14722" xr:uid="{00000000-0005-0000-0000-00004CB30000}"/>
    <cellStyle name="Utdata 4 3" xfId="14724" xr:uid="{00000000-0005-0000-0000-00004DB30000}"/>
    <cellStyle name="Utdata 4 3 2" xfId="19174" xr:uid="{00000000-0005-0000-0000-00004EB30000}"/>
    <cellStyle name="Utdata 4 3 3" xfId="15504" xr:uid="{00000000-0005-0000-0000-00004FB30000}"/>
    <cellStyle name="Utdata 4 3 3 2" xfId="27283" xr:uid="{00000000-0005-0000-0000-000050B30000}"/>
    <cellStyle name="Utdata 4 3 3 2 2" xfId="42060" xr:uid="{00000000-0005-0000-0000-000051B30000}"/>
    <cellStyle name="Utdata 4 3 3 3" xfId="45861" xr:uid="{00000000-0005-0000-0000-000052B30000}"/>
    <cellStyle name="Utdata 4 3_Avviksanalyse løpende RNB15 (1)" xfId="17746" xr:uid="{00000000-0005-0000-0000-000053B30000}"/>
    <cellStyle name="Utdata 4 4" xfId="14721" xr:uid="{00000000-0005-0000-0000-000054B30000}"/>
    <cellStyle name="Utdata 5" xfId="3226" xr:uid="{00000000-0005-0000-0000-000055B30000}"/>
    <cellStyle name="Utdata 5 2" xfId="14726" xr:uid="{00000000-0005-0000-0000-000056B30000}"/>
    <cellStyle name="Utdata 5 2 2" xfId="19175" xr:uid="{00000000-0005-0000-0000-000057B30000}"/>
    <cellStyle name="Utdata 5 2 3" xfId="15501" xr:uid="{00000000-0005-0000-0000-000058B30000}"/>
    <cellStyle name="Utdata 5 2 3 2" xfId="27284" xr:uid="{00000000-0005-0000-0000-000059B30000}"/>
    <cellStyle name="Utdata 5 2 3 2 2" xfId="42057" xr:uid="{00000000-0005-0000-0000-00005AB30000}"/>
    <cellStyle name="Utdata 5 2 3 3" xfId="45862" xr:uid="{00000000-0005-0000-0000-00005BB30000}"/>
    <cellStyle name="Utdata 5 2_Avviksanalyse løpende RNB15 (1)" xfId="17747" xr:uid="{00000000-0005-0000-0000-00005CB30000}"/>
    <cellStyle name="Utdata 5 3" xfId="14725" xr:uid="{00000000-0005-0000-0000-00005DB30000}"/>
    <cellStyle name="Utdata 6" xfId="3227" xr:uid="{00000000-0005-0000-0000-00005EB30000}"/>
    <cellStyle name="Utdata 6 2" xfId="14728" xr:uid="{00000000-0005-0000-0000-00005FB30000}"/>
    <cellStyle name="Utdata 6 2 2" xfId="19176" xr:uid="{00000000-0005-0000-0000-000060B30000}"/>
    <cellStyle name="Utdata 6 2 3" xfId="15637" xr:uid="{00000000-0005-0000-0000-000061B30000}"/>
    <cellStyle name="Utdata 6 2 3 2" xfId="27285" xr:uid="{00000000-0005-0000-0000-000062B30000}"/>
    <cellStyle name="Utdata 6 2 3 2 2" xfId="42193" xr:uid="{00000000-0005-0000-0000-000063B30000}"/>
    <cellStyle name="Utdata 6 2 3 3" xfId="45863" xr:uid="{00000000-0005-0000-0000-000064B30000}"/>
    <cellStyle name="Utdata 6 2_Avviksanalyse løpende RNB15 (1)" xfId="17748" xr:uid="{00000000-0005-0000-0000-000065B30000}"/>
    <cellStyle name="Utdata 6 3" xfId="14727" xr:uid="{00000000-0005-0000-0000-000066B30000}"/>
    <cellStyle name="Utdata 7" xfId="3228" xr:uid="{00000000-0005-0000-0000-000067B30000}"/>
    <cellStyle name="Utdata 7 2" xfId="14730" xr:uid="{00000000-0005-0000-0000-000068B30000}"/>
    <cellStyle name="Utdata 7 2 2" xfId="19177" xr:uid="{00000000-0005-0000-0000-000069B30000}"/>
    <cellStyle name="Utdata 7 2 3" xfId="15638" xr:uid="{00000000-0005-0000-0000-00006AB30000}"/>
    <cellStyle name="Utdata 7 2 3 2" xfId="27286" xr:uid="{00000000-0005-0000-0000-00006BB30000}"/>
    <cellStyle name="Utdata 7 2 3 2 2" xfId="42194" xr:uid="{00000000-0005-0000-0000-00006CB30000}"/>
    <cellStyle name="Utdata 7 2 3 3" xfId="45864" xr:uid="{00000000-0005-0000-0000-00006DB30000}"/>
    <cellStyle name="Utdata 7 2_Avviksanalyse løpende RNB15 (1)" xfId="17749" xr:uid="{00000000-0005-0000-0000-00006EB30000}"/>
    <cellStyle name="Utdata 7 3" xfId="14729" xr:uid="{00000000-0005-0000-0000-00006FB30000}"/>
    <cellStyle name="Utdata 8" xfId="3229" xr:uid="{00000000-0005-0000-0000-000070B30000}"/>
    <cellStyle name="Utdata 8 2" xfId="14732" xr:uid="{00000000-0005-0000-0000-000071B30000}"/>
    <cellStyle name="Utdata 8 2 2" xfId="19178" xr:uid="{00000000-0005-0000-0000-000072B30000}"/>
    <cellStyle name="Utdata 8 2 3" xfId="15639" xr:uid="{00000000-0005-0000-0000-000073B30000}"/>
    <cellStyle name="Utdata 8 2 3 2" xfId="27287" xr:uid="{00000000-0005-0000-0000-000074B30000}"/>
    <cellStyle name="Utdata 8 2 3 2 2" xfId="42195" xr:uid="{00000000-0005-0000-0000-000075B30000}"/>
    <cellStyle name="Utdata 8 2 3 3" xfId="45865" xr:uid="{00000000-0005-0000-0000-000076B30000}"/>
    <cellStyle name="Utdata 8 2_Avviksanalyse løpende RNB15 (1)" xfId="17750" xr:uid="{00000000-0005-0000-0000-000077B30000}"/>
    <cellStyle name="Utdata 8 3" xfId="14731" xr:uid="{00000000-0005-0000-0000-000078B30000}"/>
    <cellStyle name="Utdata 9" xfId="3230" xr:uid="{00000000-0005-0000-0000-000079B30000}"/>
    <cellStyle name="Utdata 9 2" xfId="3231" xr:uid="{00000000-0005-0000-0000-00007AB30000}"/>
    <cellStyle name="Utdata 9 2 2" xfId="14735" xr:uid="{00000000-0005-0000-0000-00007BB30000}"/>
    <cellStyle name="Utdata 9 2 2 2" xfId="19179" xr:uid="{00000000-0005-0000-0000-00007CB30000}"/>
    <cellStyle name="Utdata 9 2 2 3" xfId="16434" xr:uid="{00000000-0005-0000-0000-00007DB30000}"/>
    <cellStyle name="Utdata 9 2 2 3 2" xfId="27288" xr:uid="{00000000-0005-0000-0000-00007EB30000}"/>
    <cellStyle name="Utdata 9 2 2 3 2 2" xfId="42989" xr:uid="{00000000-0005-0000-0000-00007FB30000}"/>
    <cellStyle name="Utdata 9 2 2 3 3" xfId="45866" xr:uid="{00000000-0005-0000-0000-000080B30000}"/>
    <cellStyle name="Utdata 9 2 2_Avviksanalyse løpende RNB15 (1)" xfId="17751" xr:uid="{00000000-0005-0000-0000-000081B30000}"/>
    <cellStyle name="Utdata 9 2 3" xfId="14734" xr:uid="{00000000-0005-0000-0000-000082B30000}"/>
    <cellStyle name="Utdata 9 3" xfId="14736" xr:uid="{00000000-0005-0000-0000-000083B30000}"/>
    <cellStyle name="Utdata 9 3 2" xfId="14737" xr:uid="{00000000-0005-0000-0000-000084B30000}"/>
    <cellStyle name="Utdata 9 3 2 2" xfId="19180" xr:uid="{00000000-0005-0000-0000-000085B30000}"/>
    <cellStyle name="Utdata 9 3 2 3" xfId="16433" xr:uid="{00000000-0005-0000-0000-000086B30000}"/>
    <cellStyle name="Utdata 9 3 2 3 2" xfId="27289" xr:uid="{00000000-0005-0000-0000-000087B30000}"/>
    <cellStyle name="Utdata 9 3 2 3 2 2" xfId="42988" xr:uid="{00000000-0005-0000-0000-000088B30000}"/>
    <cellStyle name="Utdata 9 3 2 3 3" xfId="45867" xr:uid="{00000000-0005-0000-0000-000089B30000}"/>
    <cellStyle name="Utdata 9 3 2_Avviksanalyse løpende RNB15 (1)" xfId="17752" xr:uid="{00000000-0005-0000-0000-00008AB30000}"/>
    <cellStyle name="Utdata 9 4" xfId="14738" xr:uid="{00000000-0005-0000-0000-00008BB30000}"/>
    <cellStyle name="Utdata 9 4 2" xfId="19181" xr:uid="{00000000-0005-0000-0000-00008CB30000}"/>
    <cellStyle name="Utdata 9 4 3" xfId="15640" xr:uid="{00000000-0005-0000-0000-00008DB30000}"/>
    <cellStyle name="Utdata 9 4 3 2" xfId="27290" xr:uid="{00000000-0005-0000-0000-00008EB30000}"/>
    <cellStyle name="Utdata 9 4 3 2 2" xfId="42196" xr:uid="{00000000-0005-0000-0000-00008FB30000}"/>
    <cellStyle name="Utdata 9 4 3 3" xfId="45868" xr:uid="{00000000-0005-0000-0000-000090B30000}"/>
    <cellStyle name="Utdata 9 4_Avviksanalyse løpende RNB15 (1)" xfId="17753" xr:uid="{00000000-0005-0000-0000-000091B30000}"/>
    <cellStyle name="Utdata 9 5" xfId="14733" xr:uid="{00000000-0005-0000-0000-000092B30000}"/>
    <cellStyle name="Uthevingsfarge1" xfId="4642" xr:uid="{00000000-0005-0000-0000-000093B30000}"/>
    <cellStyle name="Uthevingsfarge1 10" xfId="3232" xr:uid="{00000000-0005-0000-0000-000094B30000}"/>
    <cellStyle name="Uthevingsfarge1 10 2" xfId="4434" xr:uid="{00000000-0005-0000-0000-000095B30000}"/>
    <cellStyle name="Uthevingsfarge1 10 2 2" xfId="14741" xr:uid="{00000000-0005-0000-0000-000096B30000}"/>
    <cellStyle name="Uthevingsfarge1 10 2 2 2" xfId="19182" xr:uid="{00000000-0005-0000-0000-000097B30000}"/>
    <cellStyle name="Uthevingsfarge1 10 2 2 3" xfId="16435" xr:uid="{00000000-0005-0000-0000-000098B30000}"/>
    <cellStyle name="Uthevingsfarge1 10 2 2 3 2" xfId="27291" xr:uid="{00000000-0005-0000-0000-000099B30000}"/>
    <cellStyle name="Uthevingsfarge1 10 2 2 3 2 2" xfId="42990" xr:uid="{00000000-0005-0000-0000-00009AB30000}"/>
    <cellStyle name="Uthevingsfarge1 10 2 2 3 3" xfId="45869" xr:uid="{00000000-0005-0000-0000-00009BB30000}"/>
    <cellStyle name="Uthevingsfarge1 10 2 2_Avviksanalyse løpende RNB15 (1)" xfId="17754" xr:uid="{00000000-0005-0000-0000-00009CB30000}"/>
    <cellStyle name="Uthevingsfarge1 10 2 3" xfId="14740" xr:uid="{00000000-0005-0000-0000-00009DB30000}"/>
    <cellStyle name="Uthevingsfarge1 10 3" xfId="4378" xr:uid="{00000000-0005-0000-0000-00009EB30000}"/>
    <cellStyle name="Uthevingsfarge1 10 3 2" xfId="19183" xr:uid="{00000000-0005-0000-0000-00009FB30000}"/>
    <cellStyle name="Uthevingsfarge1 10 3 3" xfId="15641" xr:uid="{00000000-0005-0000-0000-0000A0B30000}"/>
    <cellStyle name="Uthevingsfarge1 10 3 3 2" xfId="27292" xr:uid="{00000000-0005-0000-0000-0000A1B30000}"/>
    <cellStyle name="Uthevingsfarge1 10 3 3 2 2" xfId="42197" xr:uid="{00000000-0005-0000-0000-0000A2B30000}"/>
    <cellStyle name="Uthevingsfarge1 10 3 3 3" xfId="45870" xr:uid="{00000000-0005-0000-0000-0000A3B30000}"/>
    <cellStyle name="Uthevingsfarge1 10 3 4" xfId="14742" xr:uid="{00000000-0005-0000-0000-0000A4B30000}"/>
    <cellStyle name="Uthevingsfarge1 10 3_Avviksanalyse løpende RNB15 (1)" xfId="17755" xr:uid="{00000000-0005-0000-0000-0000A5B30000}"/>
    <cellStyle name="Uthevingsfarge1 10 4" xfId="14739" xr:uid="{00000000-0005-0000-0000-0000A6B30000}"/>
    <cellStyle name="Uthevingsfarge1 11" xfId="3233" xr:uid="{00000000-0005-0000-0000-0000A7B30000}"/>
    <cellStyle name="Uthevingsfarge1 11 2" xfId="14744" xr:uid="{00000000-0005-0000-0000-0000A8B30000}"/>
    <cellStyle name="Uthevingsfarge1 11 2 2" xfId="14745" xr:uid="{00000000-0005-0000-0000-0000A9B30000}"/>
    <cellStyle name="Uthevingsfarge1 11 2 2 2" xfId="19184" xr:uid="{00000000-0005-0000-0000-0000AAB30000}"/>
    <cellStyle name="Uthevingsfarge1 11 2 2 3" xfId="16436" xr:uid="{00000000-0005-0000-0000-0000ABB30000}"/>
    <cellStyle name="Uthevingsfarge1 11 2 2 3 2" xfId="27293" xr:uid="{00000000-0005-0000-0000-0000ACB30000}"/>
    <cellStyle name="Uthevingsfarge1 11 2 2 3 2 2" xfId="42991" xr:uid="{00000000-0005-0000-0000-0000ADB30000}"/>
    <cellStyle name="Uthevingsfarge1 11 2 2 3 3" xfId="45871" xr:uid="{00000000-0005-0000-0000-0000AEB30000}"/>
    <cellStyle name="Uthevingsfarge1 11 2 2_Avviksanalyse løpende RNB15 (1)" xfId="17756" xr:uid="{00000000-0005-0000-0000-0000AFB30000}"/>
    <cellStyle name="Uthevingsfarge1 11 3" xfId="14746" xr:uid="{00000000-0005-0000-0000-0000B0B30000}"/>
    <cellStyle name="Uthevingsfarge1 11 3 2" xfId="19185" xr:uid="{00000000-0005-0000-0000-0000B1B30000}"/>
    <cellStyle name="Uthevingsfarge1 11 3 3" xfId="15642" xr:uid="{00000000-0005-0000-0000-0000B2B30000}"/>
    <cellStyle name="Uthevingsfarge1 11 3 3 2" xfId="27294" xr:uid="{00000000-0005-0000-0000-0000B3B30000}"/>
    <cellStyle name="Uthevingsfarge1 11 3 3 2 2" xfId="42198" xr:uid="{00000000-0005-0000-0000-0000B4B30000}"/>
    <cellStyle name="Uthevingsfarge1 11 3 3 3" xfId="45872" xr:uid="{00000000-0005-0000-0000-0000B5B30000}"/>
    <cellStyle name="Uthevingsfarge1 11 3_Avviksanalyse løpende RNB15 (1)" xfId="17757" xr:uid="{00000000-0005-0000-0000-0000B6B30000}"/>
    <cellStyle name="Uthevingsfarge1 11 4" xfId="14743" xr:uid="{00000000-0005-0000-0000-0000B7B30000}"/>
    <cellStyle name="Uthevingsfarge1 12" xfId="3234" xr:uid="{00000000-0005-0000-0000-0000B8B30000}"/>
    <cellStyle name="Uthevingsfarge1 12 2" xfId="14748" xr:uid="{00000000-0005-0000-0000-0000B9B30000}"/>
    <cellStyle name="Uthevingsfarge1 12 2 2" xfId="14749" xr:uid="{00000000-0005-0000-0000-0000BAB30000}"/>
    <cellStyle name="Uthevingsfarge1 12 2 2 2" xfId="19186" xr:uid="{00000000-0005-0000-0000-0000BBB30000}"/>
    <cellStyle name="Uthevingsfarge1 12 2 2 3" xfId="16437" xr:uid="{00000000-0005-0000-0000-0000BCB30000}"/>
    <cellStyle name="Uthevingsfarge1 12 2 2 3 2" xfId="27295" xr:uid="{00000000-0005-0000-0000-0000BDB30000}"/>
    <cellStyle name="Uthevingsfarge1 12 2 2 3 2 2" xfId="42992" xr:uid="{00000000-0005-0000-0000-0000BEB30000}"/>
    <cellStyle name="Uthevingsfarge1 12 2 2 3 3" xfId="45873" xr:uid="{00000000-0005-0000-0000-0000BFB30000}"/>
    <cellStyle name="Uthevingsfarge1 12 2 2_Avviksanalyse løpende RNB15 (1)" xfId="17758" xr:uid="{00000000-0005-0000-0000-0000C0B30000}"/>
    <cellStyle name="Uthevingsfarge1 12 3" xfId="14750" xr:uid="{00000000-0005-0000-0000-0000C1B30000}"/>
    <cellStyle name="Uthevingsfarge1 12 3 2" xfId="19187" xr:uid="{00000000-0005-0000-0000-0000C2B30000}"/>
    <cellStyle name="Uthevingsfarge1 12 3 3" xfId="15643" xr:uid="{00000000-0005-0000-0000-0000C3B30000}"/>
    <cellStyle name="Uthevingsfarge1 12 3 3 2" xfId="27296" xr:uid="{00000000-0005-0000-0000-0000C4B30000}"/>
    <cellStyle name="Uthevingsfarge1 12 3 3 2 2" xfId="42199" xr:uid="{00000000-0005-0000-0000-0000C5B30000}"/>
    <cellStyle name="Uthevingsfarge1 12 3 3 3" xfId="45874" xr:uid="{00000000-0005-0000-0000-0000C6B30000}"/>
    <cellStyle name="Uthevingsfarge1 12 3_Avviksanalyse løpende RNB15 (1)" xfId="17759" xr:uid="{00000000-0005-0000-0000-0000C7B30000}"/>
    <cellStyle name="Uthevingsfarge1 12 4" xfId="14747" xr:uid="{00000000-0005-0000-0000-0000C8B30000}"/>
    <cellStyle name="Uthevingsfarge1 13" xfId="3433" xr:uid="{00000000-0005-0000-0000-0000C9B30000}"/>
    <cellStyle name="Uthevingsfarge1 13 2" xfId="14752" xr:uid="{00000000-0005-0000-0000-0000CAB30000}"/>
    <cellStyle name="Uthevingsfarge1 13 2 2" xfId="19188" xr:uid="{00000000-0005-0000-0000-0000CBB30000}"/>
    <cellStyle name="Uthevingsfarge1 13 2 3" xfId="15644" xr:uid="{00000000-0005-0000-0000-0000CCB30000}"/>
    <cellStyle name="Uthevingsfarge1 13 2 3 2" xfId="27297" xr:uid="{00000000-0005-0000-0000-0000CDB30000}"/>
    <cellStyle name="Uthevingsfarge1 13 2 3 2 2" xfId="42200" xr:uid="{00000000-0005-0000-0000-0000CEB30000}"/>
    <cellStyle name="Uthevingsfarge1 13 2 3 3" xfId="45875" xr:uid="{00000000-0005-0000-0000-0000CFB30000}"/>
    <cellStyle name="Uthevingsfarge1 13 2_Avviksanalyse løpende RNB15 (1)" xfId="17760" xr:uid="{00000000-0005-0000-0000-0000D0B30000}"/>
    <cellStyle name="Uthevingsfarge1 13 3" xfId="14751" xr:uid="{00000000-0005-0000-0000-0000D1B30000}"/>
    <cellStyle name="Uthevingsfarge1 14" xfId="14753" xr:uid="{00000000-0005-0000-0000-0000D2B30000}"/>
    <cellStyle name="Uthevingsfarge1 14 2" xfId="14754" xr:uid="{00000000-0005-0000-0000-0000D3B30000}"/>
    <cellStyle name="Uthevingsfarge1 14 2 2" xfId="19189" xr:uid="{00000000-0005-0000-0000-0000D4B30000}"/>
    <cellStyle name="Uthevingsfarge1 14 2 3" xfId="15645" xr:uid="{00000000-0005-0000-0000-0000D5B30000}"/>
    <cellStyle name="Uthevingsfarge1 14 2 3 2" xfId="27298" xr:uid="{00000000-0005-0000-0000-0000D6B30000}"/>
    <cellStyle name="Uthevingsfarge1 14 2 3 2 2" xfId="42201" xr:uid="{00000000-0005-0000-0000-0000D7B30000}"/>
    <cellStyle name="Uthevingsfarge1 14 2 3 3" xfId="45876" xr:uid="{00000000-0005-0000-0000-0000D8B30000}"/>
    <cellStyle name="Uthevingsfarge1 14 2_Avviksanalyse løpende RNB15 (1)" xfId="17761" xr:uid="{00000000-0005-0000-0000-0000D9B30000}"/>
    <cellStyle name="Uthevingsfarge1 15" xfId="40941" xr:uid="{00000000-0005-0000-0000-0000DAB30000}"/>
    <cellStyle name="Uthevingsfarge1 16" xfId="43141" xr:uid="{00000000-0005-0000-0000-0000DBB30000}"/>
    <cellStyle name="Uthevingsfarge1 17" xfId="40897" xr:uid="{00000000-0005-0000-0000-0000DCB30000}"/>
    <cellStyle name="Uthevingsfarge1 18" xfId="40816" xr:uid="{00000000-0005-0000-0000-0000DDB30000}"/>
    <cellStyle name="Uthevingsfarge1 19" xfId="40866" xr:uid="{00000000-0005-0000-0000-0000DEB30000}"/>
    <cellStyle name="Uthevingsfarge1 2" xfId="3235" xr:uid="{00000000-0005-0000-0000-0000DFB30000}"/>
    <cellStyle name="Uthevingsfarge1 2 10" xfId="14756" xr:uid="{00000000-0005-0000-0000-0000E0B30000}"/>
    <cellStyle name="Uthevingsfarge1 2 10 2" xfId="19190" xr:uid="{00000000-0005-0000-0000-0000E1B30000}"/>
    <cellStyle name="Uthevingsfarge1 2 10 3" xfId="15506" xr:uid="{00000000-0005-0000-0000-0000E2B30000}"/>
    <cellStyle name="Uthevingsfarge1 2 10 3 2" xfId="27299" xr:uid="{00000000-0005-0000-0000-0000E3B30000}"/>
    <cellStyle name="Uthevingsfarge1 2 10 3 2 2" xfId="42062" xr:uid="{00000000-0005-0000-0000-0000E4B30000}"/>
    <cellStyle name="Uthevingsfarge1 2 10 3 3" xfId="45877" xr:uid="{00000000-0005-0000-0000-0000E5B30000}"/>
    <cellStyle name="Uthevingsfarge1 2 10_Avviksanalyse løpende RNB15 (1)" xfId="17762" xr:uid="{00000000-0005-0000-0000-0000E6B30000}"/>
    <cellStyle name="Uthevingsfarge1 2 11" xfId="14755" xr:uid="{00000000-0005-0000-0000-0000E7B30000}"/>
    <cellStyle name="Uthevingsfarge1 2 2" xfId="14757" xr:uid="{00000000-0005-0000-0000-0000E8B30000}"/>
    <cellStyle name="Uthevingsfarge1 2 2 2" xfId="14758" xr:uid="{00000000-0005-0000-0000-0000E9B30000}"/>
    <cellStyle name="Uthevingsfarge1 2 2 2 2" xfId="19191" xr:uid="{00000000-0005-0000-0000-0000EAB30000}"/>
    <cellStyle name="Uthevingsfarge1 2 2 2 3" xfId="15646" xr:uid="{00000000-0005-0000-0000-0000EBB30000}"/>
    <cellStyle name="Uthevingsfarge1 2 2 2 3 2" xfId="27300" xr:uid="{00000000-0005-0000-0000-0000ECB30000}"/>
    <cellStyle name="Uthevingsfarge1 2 2 2 3 2 2" xfId="42202" xr:uid="{00000000-0005-0000-0000-0000EDB30000}"/>
    <cellStyle name="Uthevingsfarge1 2 2 2 3 3" xfId="45878" xr:uid="{00000000-0005-0000-0000-0000EEB30000}"/>
    <cellStyle name="Uthevingsfarge1 2 2 2_Avviksanalyse løpende RNB15 (1)" xfId="17763" xr:uid="{00000000-0005-0000-0000-0000EFB30000}"/>
    <cellStyle name="Uthevingsfarge1 2 3" xfId="14759" xr:uid="{00000000-0005-0000-0000-0000F0B30000}"/>
    <cellStyle name="Uthevingsfarge1 2 3 2" xfId="14760" xr:uid="{00000000-0005-0000-0000-0000F1B30000}"/>
    <cellStyle name="Uthevingsfarge1 2 3 2 2" xfId="19192" xr:uid="{00000000-0005-0000-0000-0000F2B30000}"/>
    <cellStyle name="Uthevingsfarge1 2 3 2 3" xfId="15647" xr:uid="{00000000-0005-0000-0000-0000F3B30000}"/>
    <cellStyle name="Uthevingsfarge1 2 3 2 3 2" xfId="27301" xr:uid="{00000000-0005-0000-0000-0000F4B30000}"/>
    <cellStyle name="Uthevingsfarge1 2 3 2 3 2 2" xfId="42203" xr:uid="{00000000-0005-0000-0000-0000F5B30000}"/>
    <cellStyle name="Uthevingsfarge1 2 3 2 3 3" xfId="45879" xr:uid="{00000000-0005-0000-0000-0000F6B30000}"/>
    <cellStyle name="Uthevingsfarge1 2 3 2_Avviksanalyse løpende RNB15 (1)" xfId="17764" xr:uid="{00000000-0005-0000-0000-0000F7B30000}"/>
    <cellStyle name="Uthevingsfarge1 2 4" xfId="14761" xr:uid="{00000000-0005-0000-0000-0000F8B30000}"/>
    <cellStyle name="Uthevingsfarge1 2 4 2" xfId="14762" xr:uid="{00000000-0005-0000-0000-0000F9B30000}"/>
    <cellStyle name="Uthevingsfarge1 2 4 2 2" xfId="19193" xr:uid="{00000000-0005-0000-0000-0000FAB30000}"/>
    <cellStyle name="Uthevingsfarge1 2 4 2 3" xfId="15648" xr:uid="{00000000-0005-0000-0000-0000FBB30000}"/>
    <cellStyle name="Uthevingsfarge1 2 4 2 3 2" xfId="27302" xr:uid="{00000000-0005-0000-0000-0000FCB30000}"/>
    <cellStyle name="Uthevingsfarge1 2 4 2 3 2 2" xfId="42204" xr:uid="{00000000-0005-0000-0000-0000FDB30000}"/>
    <cellStyle name="Uthevingsfarge1 2 4 2 3 3" xfId="45880" xr:uid="{00000000-0005-0000-0000-0000FEB30000}"/>
    <cellStyle name="Uthevingsfarge1 2 4 2_Avviksanalyse løpende RNB15 (1)" xfId="17765" xr:uid="{00000000-0005-0000-0000-0000FFB30000}"/>
    <cellStyle name="Uthevingsfarge1 2 5" xfId="14763" xr:uid="{00000000-0005-0000-0000-000000B40000}"/>
    <cellStyle name="Uthevingsfarge1 2 5 2" xfId="14764" xr:uid="{00000000-0005-0000-0000-000001B40000}"/>
    <cellStyle name="Uthevingsfarge1 2 5 2 2" xfId="19194" xr:uid="{00000000-0005-0000-0000-000002B40000}"/>
    <cellStyle name="Uthevingsfarge1 2 5 2 3" xfId="15649" xr:uid="{00000000-0005-0000-0000-000003B40000}"/>
    <cellStyle name="Uthevingsfarge1 2 5 2 3 2" xfId="27303" xr:uid="{00000000-0005-0000-0000-000004B40000}"/>
    <cellStyle name="Uthevingsfarge1 2 5 2 3 2 2" xfId="42205" xr:uid="{00000000-0005-0000-0000-000005B40000}"/>
    <cellStyle name="Uthevingsfarge1 2 5 2 3 3" xfId="45881" xr:uid="{00000000-0005-0000-0000-000006B40000}"/>
    <cellStyle name="Uthevingsfarge1 2 5 2_Avviksanalyse løpende RNB15 (1)" xfId="17766" xr:uid="{00000000-0005-0000-0000-000007B40000}"/>
    <cellStyle name="Uthevingsfarge1 2 6" xfId="14765" xr:uid="{00000000-0005-0000-0000-000008B40000}"/>
    <cellStyle name="Uthevingsfarge1 2 6 2" xfId="14766" xr:uid="{00000000-0005-0000-0000-000009B40000}"/>
    <cellStyle name="Uthevingsfarge1 2 6 2 2" xfId="19195" xr:uid="{00000000-0005-0000-0000-00000AB40000}"/>
    <cellStyle name="Uthevingsfarge1 2 6 2 3" xfId="15650" xr:uid="{00000000-0005-0000-0000-00000BB40000}"/>
    <cellStyle name="Uthevingsfarge1 2 6 2 3 2" xfId="27304" xr:uid="{00000000-0005-0000-0000-00000CB40000}"/>
    <cellStyle name="Uthevingsfarge1 2 6 2 3 2 2" xfId="42206" xr:uid="{00000000-0005-0000-0000-00000DB40000}"/>
    <cellStyle name="Uthevingsfarge1 2 6 2 3 3" xfId="45882" xr:uid="{00000000-0005-0000-0000-00000EB40000}"/>
    <cellStyle name="Uthevingsfarge1 2 6 2_Avviksanalyse løpende RNB15 (1)" xfId="17767" xr:uid="{00000000-0005-0000-0000-00000FB40000}"/>
    <cellStyle name="Uthevingsfarge1 2 7" xfId="14767" xr:uid="{00000000-0005-0000-0000-000010B40000}"/>
    <cellStyle name="Uthevingsfarge1 2 7 2" xfId="14768" xr:uid="{00000000-0005-0000-0000-000011B40000}"/>
    <cellStyle name="Uthevingsfarge1 2 7 2 2" xfId="19196" xr:uid="{00000000-0005-0000-0000-000012B40000}"/>
    <cellStyle name="Uthevingsfarge1 2 7 2 3" xfId="15651" xr:uid="{00000000-0005-0000-0000-000013B40000}"/>
    <cellStyle name="Uthevingsfarge1 2 7 2 3 2" xfId="27305" xr:uid="{00000000-0005-0000-0000-000014B40000}"/>
    <cellStyle name="Uthevingsfarge1 2 7 2 3 2 2" xfId="42207" xr:uid="{00000000-0005-0000-0000-000015B40000}"/>
    <cellStyle name="Uthevingsfarge1 2 7 2 3 3" xfId="45883" xr:uid="{00000000-0005-0000-0000-000016B40000}"/>
    <cellStyle name="Uthevingsfarge1 2 7 2_Avviksanalyse løpende RNB15 (1)" xfId="17768" xr:uid="{00000000-0005-0000-0000-000017B40000}"/>
    <cellStyle name="Uthevingsfarge1 2 8" xfId="14769" xr:uid="{00000000-0005-0000-0000-000018B40000}"/>
    <cellStyle name="Uthevingsfarge1 2 8 2" xfId="14770" xr:uid="{00000000-0005-0000-0000-000019B40000}"/>
    <cellStyle name="Uthevingsfarge1 2 8 2 2" xfId="19197" xr:uid="{00000000-0005-0000-0000-00001AB40000}"/>
    <cellStyle name="Uthevingsfarge1 2 8 2 3" xfId="15652" xr:uid="{00000000-0005-0000-0000-00001BB40000}"/>
    <cellStyle name="Uthevingsfarge1 2 8 2 3 2" xfId="27306" xr:uid="{00000000-0005-0000-0000-00001CB40000}"/>
    <cellStyle name="Uthevingsfarge1 2 8 2 3 2 2" xfId="42208" xr:uid="{00000000-0005-0000-0000-00001DB40000}"/>
    <cellStyle name="Uthevingsfarge1 2 8 2 3 3" xfId="45884" xr:uid="{00000000-0005-0000-0000-00001EB40000}"/>
    <cellStyle name="Uthevingsfarge1 2 8 2_Avviksanalyse løpende RNB15 (1)" xfId="17769" xr:uid="{00000000-0005-0000-0000-00001FB40000}"/>
    <cellStyle name="Uthevingsfarge1 2 9" xfId="14771" xr:uid="{00000000-0005-0000-0000-000020B40000}"/>
    <cellStyle name="Uthevingsfarge1 2 9 2" xfId="14772" xr:uid="{00000000-0005-0000-0000-000021B40000}"/>
    <cellStyle name="Uthevingsfarge1 2 9 2 2" xfId="19198" xr:uid="{00000000-0005-0000-0000-000022B40000}"/>
    <cellStyle name="Uthevingsfarge1 2 9 2 3" xfId="15653" xr:uid="{00000000-0005-0000-0000-000023B40000}"/>
    <cellStyle name="Uthevingsfarge1 2 9 2 3 2" xfId="27307" xr:uid="{00000000-0005-0000-0000-000024B40000}"/>
    <cellStyle name="Uthevingsfarge1 2 9 2 3 2 2" xfId="42209" xr:uid="{00000000-0005-0000-0000-000025B40000}"/>
    <cellStyle name="Uthevingsfarge1 2 9 2 3 3" xfId="45885" xr:uid="{00000000-0005-0000-0000-000026B40000}"/>
    <cellStyle name="Uthevingsfarge1 2 9 2_Avviksanalyse løpende RNB15 (1)" xfId="17770" xr:uid="{00000000-0005-0000-0000-000027B40000}"/>
    <cellStyle name="Uthevingsfarge1 20" xfId="40843" xr:uid="{00000000-0005-0000-0000-000028B40000}"/>
    <cellStyle name="Uthevingsfarge1 21" xfId="43169" xr:uid="{00000000-0005-0000-0000-000029B40000}"/>
    <cellStyle name="Uthevingsfarge1 22" xfId="43202" xr:uid="{00000000-0005-0000-0000-00002AB40000}"/>
    <cellStyle name="Uthevingsfarge1 23" xfId="43416" xr:uid="{00000000-0005-0000-0000-00002BB40000}"/>
    <cellStyle name="Uthevingsfarge1 24" xfId="43663" xr:uid="{00000000-0005-0000-0000-00002CB40000}"/>
    <cellStyle name="Uthevingsfarge1 25" xfId="46275" xr:uid="{00000000-0005-0000-0000-00002DB40000}"/>
    <cellStyle name="Uthevingsfarge1 26" xfId="43487" xr:uid="{00000000-0005-0000-0000-00002EB40000}"/>
    <cellStyle name="Uthevingsfarge1 27" xfId="46304" xr:uid="{00000000-0005-0000-0000-00002FB40000}"/>
    <cellStyle name="Uthevingsfarge1 28" xfId="46818" xr:uid="{00000000-0005-0000-0000-000030B40000}"/>
    <cellStyle name="Uthevingsfarge1 29" xfId="46793" xr:uid="{00000000-0005-0000-0000-000031B40000}"/>
    <cellStyle name="Uthevingsfarge1 3" xfId="3236" xr:uid="{00000000-0005-0000-0000-000032B40000}"/>
    <cellStyle name="Uthevingsfarge1 3 2" xfId="14774" xr:uid="{00000000-0005-0000-0000-000033B40000}"/>
    <cellStyle name="Uthevingsfarge1 3 2 2" xfId="19199" xr:uid="{00000000-0005-0000-0000-000034B40000}"/>
    <cellStyle name="Uthevingsfarge1 3 2 3" xfId="15507" xr:uid="{00000000-0005-0000-0000-000035B40000}"/>
    <cellStyle name="Uthevingsfarge1 3 2 3 2" xfId="27308" xr:uid="{00000000-0005-0000-0000-000036B40000}"/>
    <cellStyle name="Uthevingsfarge1 3 2 3 2 2" xfId="42063" xr:uid="{00000000-0005-0000-0000-000037B40000}"/>
    <cellStyle name="Uthevingsfarge1 3 2 3 3" xfId="45886" xr:uid="{00000000-0005-0000-0000-000038B40000}"/>
    <cellStyle name="Uthevingsfarge1 3 2_Avviksanalyse løpende RNB15 (1)" xfId="17771" xr:uid="{00000000-0005-0000-0000-000039B40000}"/>
    <cellStyle name="Uthevingsfarge1 3 3" xfId="14773" xr:uid="{00000000-0005-0000-0000-00003AB40000}"/>
    <cellStyle name="Uthevingsfarge1 30" xfId="47025" xr:uid="{00000000-0005-0000-0000-00003BB40000}"/>
    <cellStyle name="Uthevingsfarge1 31" xfId="46387" xr:uid="{00000000-0005-0000-0000-00003CB40000}"/>
    <cellStyle name="Uthevingsfarge1 32" xfId="46578" xr:uid="{00000000-0005-0000-0000-00003DB40000}"/>
    <cellStyle name="Uthevingsfarge1 4" xfId="3237" xr:uid="{00000000-0005-0000-0000-00003EB40000}"/>
    <cellStyle name="Uthevingsfarge1 4 2" xfId="14776" xr:uid="{00000000-0005-0000-0000-00003FB40000}"/>
    <cellStyle name="Uthevingsfarge1 4 2 2" xfId="19200" xr:uid="{00000000-0005-0000-0000-000040B40000}"/>
    <cellStyle name="Uthevingsfarge1 4 2 3" xfId="15508" xr:uid="{00000000-0005-0000-0000-000041B40000}"/>
    <cellStyle name="Uthevingsfarge1 4 2 3 2" xfId="27309" xr:uid="{00000000-0005-0000-0000-000042B40000}"/>
    <cellStyle name="Uthevingsfarge1 4 2 3 2 2" xfId="42064" xr:uid="{00000000-0005-0000-0000-000043B40000}"/>
    <cellStyle name="Uthevingsfarge1 4 2 3 3" xfId="45887" xr:uid="{00000000-0005-0000-0000-000044B40000}"/>
    <cellStyle name="Uthevingsfarge1 4 2_Avviksanalyse løpende RNB15 (1)" xfId="17772" xr:uid="{00000000-0005-0000-0000-000045B40000}"/>
    <cellStyle name="Uthevingsfarge1 4 3" xfId="14775" xr:uid="{00000000-0005-0000-0000-000046B40000}"/>
    <cellStyle name="Uthevingsfarge1 5" xfId="3238" xr:uid="{00000000-0005-0000-0000-000047B40000}"/>
    <cellStyle name="Uthevingsfarge1 5 2" xfId="14778" xr:uid="{00000000-0005-0000-0000-000048B40000}"/>
    <cellStyle name="Uthevingsfarge1 5 2 2" xfId="19201" xr:uid="{00000000-0005-0000-0000-000049B40000}"/>
    <cellStyle name="Uthevingsfarge1 5 2 3" xfId="15505" xr:uid="{00000000-0005-0000-0000-00004AB40000}"/>
    <cellStyle name="Uthevingsfarge1 5 2 3 2" xfId="27310" xr:uid="{00000000-0005-0000-0000-00004BB40000}"/>
    <cellStyle name="Uthevingsfarge1 5 2 3 2 2" xfId="42061" xr:uid="{00000000-0005-0000-0000-00004CB40000}"/>
    <cellStyle name="Uthevingsfarge1 5 2 3 3" xfId="45888" xr:uid="{00000000-0005-0000-0000-00004DB40000}"/>
    <cellStyle name="Uthevingsfarge1 5 2_Avviksanalyse løpende RNB15 (1)" xfId="17773" xr:uid="{00000000-0005-0000-0000-00004EB40000}"/>
    <cellStyle name="Uthevingsfarge1 5 3" xfId="14777" xr:uid="{00000000-0005-0000-0000-00004FB40000}"/>
    <cellStyle name="Uthevingsfarge1 6" xfId="3239" xr:uid="{00000000-0005-0000-0000-000050B40000}"/>
    <cellStyle name="Uthevingsfarge1 6 2" xfId="14780" xr:uid="{00000000-0005-0000-0000-000051B40000}"/>
    <cellStyle name="Uthevingsfarge1 6 2 2" xfId="19202" xr:uid="{00000000-0005-0000-0000-000052B40000}"/>
    <cellStyle name="Uthevingsfarge1 6 2 3" xfId="15654" xr:uid="{00000000-0005-0000-0000-000053B40000}"/>
    <cellStyle name="Uthevingsfarge1 6 2 3 2" xfId="27311" xr:uid="{00000000-0005-0000-0000-000054B40000}"/>
    <cellStyle name="Uthevingsfarge1 6 2 3 2 2" xfId="42210" xr:uid="{00000000-0005-0000-0000-000055B40000}"/>
    <cellStyle name="Uthevingsfarge1 6 2 3 3" xfId="45889" xr:uid="{00000000-0005-0000-0000-000056B40000}"/>
    <cellStyle name="Uthevingsfarge1 6 2_Avviksanalyse løpende RNB15 (1)" xfId="17774" xr:uid="{00000000-0005-0000-0000-000057B40000}"/>
    <cellStyle name="Uthevingsfarge1 6 3" xfId="14779" xr:uid="{00000000-0005-0000-0000-000058B40000}"/>
    <cellStyle name="Uthevingsfarge1 7" xfId="3240" xr:uid="{00000000-0005-0000-0000-000059B40000}"/>
    <cellStyle name="Uthevingsfarge1 7 2" xfId="14782" xr:uid="{00000000-0005-0000-0000-00005AB40000}"/>
    <cellStyle name="Uthevingsfarge1 7 2 2" xfId="19203" xr:uid="{00000000-0005-0000-0000-00005BB40000}"/>
    <cellStyle name="Uthevingsfarge1 7 2 3" xfId="15655" xr:uid="{00000000-0005-0000-0000-00005CB40000}"/>
    <cellStyle name="Uthevingsfarge1 7 2 3 2" xfId="27312" xr:uid="{00000000-0005-0000-0000-00005DB40000}"/>
    <cellStyle name="Uthevingsfarge1 7 2 3 2 2" xfId="42211" xr:uid="{00000000-0005-0000-0000-00005EB40000}"/>
    <cellStyle name="Uthevingsfarge1 7 2 3 3" xfId="45890" xr:uid="{00000000-0005-0000-0000-00005FB40000}"/>
    <cellStyle name="Uthevingsfarge1 7 2_Avviksanalyse løpende RNB15 (1)" xfId="17775" xr:uid="{00000000-0005-0000-0000-000060B40000}"/>
    <cellStyle name="Uthevingsfarge1 7 3" xfId="14781" xr:uid="{00000000-0005-0000-0000-000061B40000}"/>
    <cellStyle name="Uthevingsfarge1 8" xfId="3241" xr:uid="{00000000-0005-0000-0000-000062B40000}"/>
    <cellStyle name="Uthevingsfarge1 8 2" xfId="3242" xr:uid="{00000000-0005-0000-0000-000063B40000}"/>
    <cellStyle name="Uthevingsfarge1 8 2 2" xfId="14785" xr:uid="{00000000-0005-0000-0000-000064B40000}"/>
    <cellStyle name="Uthevingsfarge1 8 2 2 2" xfId="19204" xr:uid="{00000000-0005-0000-0000-000065B40000}"/>
    <cellStyle name="Uthevingsfarge1 8 2 2 3" xfId="16439" xr:uid="{00000000-0005-0000-0000-000066B40000}"/>
    <cellStyle name="Uthevingsfarge1 8 2 2 3 2" xfId="27313" xr:uid="{00000000-0005-0000-0000-000067B40000}"/>
    <cellStyle name="Uthevingsfarge1 8 2 2 3 2 2" xfId="42994" xr:uid="{00000000-0005-0000-0000-000068B40000}"/>
    <cellStyle name="Uthevingsfarge1 8 2 2 3 3" xfId="45891" xr:uid="{00000000-0005-0000-0000-000069B40000}"/>
    <cellStyle name="Uthevingsfarge1 8 2 2_Avviksanalyse løpende RNB15 (1)" xfId="17776" xr:uid="{00000000-0005-0000-0000-00006AB40000}"/>
    <cellStyle name="Uthevingsfarge1 8 2 3" xfId="14784" xr:uid="{00000000-0005-0000-0000-00006BB40000}"/>
    <cellStyle name="Uthevingsfarge1 8 3" xfId="14786" xr:uid="{00000000-0005-0000-0000-00006CB40000}"/>
    <cellStyle name="Uthevingsfarge1 8 3 2" xfId="14787" xr:uid="{00000000-0005-0000-0000-00006DB40000}"/>
    <cellStyle name="Uthevingsfarge1 8 3 2 2" xfId="19205" xr:uid="{00000000-0005-0000-0000-00006EB40000}"/>
    <cellStyle name="Uthevingsfarge1 8 3 2 3" xfId="16438" xr:uid="{00000000-0005-0000-0000-00006FB40000}"/>
    <cellStyle name="Uthevingsfarge1 8 3 2 3 2" xfId="27314" xr:uid="{00000000-0005-0000-0000-000070B40000}"/>
    <cellStyle name="Uthevingsfarge1 8 3 2 3 2 2" xfId="42993" xr:uid="{00000000-0005-0000-0000-000071B40000}"/>
    <cellStyle name="Uthevingsfarge1 8 3 2 3 3" xfId="45892" xr:uid="{00000000-0005-0000-0000-000072B40000}"/>
    <cellStyle name="Uthevingsfarge1 8 3 2_Avviksanalyse løpende RNB15 (1)" xfId="17777" xr:uid="{00000000-0005-0000-0000-000073B40000}"/>
    <cellStyle name="Uthevingsfarge1 8 4" xfId="14788" xr:uid="{00000000-0005-0000-0000-000074B40000}"/>
    <cellStyle name="Uthevingsfarge1 8 4 2" xfId="19206" xr:uid="{00000000-0005-0000-0000-000075B40000}"/>
    <cellStyle name="Uthevingsfarge1 8 4 3" xfId="15656" xr:uid="{00000000-0005-0000-0000-000076B40000}"/>
    <cellStyle name="Uthevingsfarge1 8 4 3 2" xfId="27315" xr:uid="{00000000-0005-0000-0000-000077B40000}"/>
    <cellStyle name="Uthevingsfarge1 8 4 3 2 2" xfId="42212" xr:uid="{00000000-0005-0000-0000-000078B40000}"/>
    <cellStyle name="Uthevingsfarge1 8 4 3 3" xfId="45893" xr:uid="{00000000-0005-0000-0000-000079B40000}"/>
    <cellStyle name="Uthevingsfarge1 8 4_Avviksanalyse løpende RNB15 (1)" xfId="17778" xr:uid="{00000000-0005-0000-0000-00007AB40000}"/>
    <cellStyle name="Uthevingsfarge1 8 5" xfId="14783" xr:uid="{00000000-0005-0000-0000-00007BB40000}"/>
    <cellStyle name="Uthevingsfarge1 9" xfId="3243" xr:uid="{00000000-0005-0000-0000-00007CB40000}"/>
    <cellStyle name="Uthevingsfarge1 9 2" xfId="14790" xr:uid="{00000000-0005-0000-0000-00007DB40000}"/>
    <cellStyle name="Uthevingsfarge1 9 2 2" xfId="14791" xr:uid="{00000000-0005-0000-0000-00007EB40000}"/>
    <cellStyle name="Uthevingsfarge1 9 2 2 2" xfId="19207" xr:uid="{00000000-0005-0000-0000-00007FB40000}"/>
    <cellStyle name="Uthevingsfarge1 9 2 2 3" xfId="16440" xr:uid="{00000000-0005-0000-0000-000080B40000}"/>
    <cellStyle name="Uthevingsfarge1 9 2 2 3 2" xfId="27316" xr:uid="{00000000-0005-0000-0000-000081B40000}"/>
    <cellStyle name="Uthevingsfarge1 9 2 2 3 2 2" xfId="42995" xr:uid="{00000000-0005-0000-0000-000082B40000}"/>
    <cellStyle name="Uthevingsfarge1 9 2 2 3 3" xfId="45894" xr:uid="{00000000-0005-0000-0000-000083B40000}"/>
    <cellStyle name="Uthevingsfarge1 9 2 2_Avviksanalyse løpende RNB15 (1)" xfId="17779" xr:uid="{00000000-0005-0000-0000-000084B40000}"/>
    <cellStyle name="Uthevingsfarge1 9 3" xfId="14792" xr:uid="{00000000-0005-0000-0000-000085B40000}"/>
    <cellStyle name="Uthevingsfarge1 9 3 2" xfId="19208" xr:uid="{00000000-0005-0000-0000-000086B40000}"/>
    <cellStyle name="Uthevingsfarge1 9 3 3" xfId="15657" xr:uid="{00000000-0005-0000-0000-000087B40000}"/>
    <cellStyle name="Uthevingsfarge1 9 3 3 2" xfId="27317" xr:uid="{00000000-0005-0000-0000-000088B40000}"/>
    <cellStyle name="Uthevingsfarge1 9 3 3 2 2" xfId="42213" xr:uid="{00000000-0005-0000-0000-000089B40000}"/>
    <cellStyle name="Uthevingsfarge1 9 3 3 3" xfId="45895" xr:uid="{00000000-0005-0000-0000-00008AB40000}"/>
    <cellStyle name="Uthevingsfarge1 9 3_Avviksanalyse løpende RNB15 (1)" xfId="17780" xr:uid="{00000000-0005-0000-0000-00008BB40000}"/>
    <cellStyle name="Uthevingsfarge1 9 4" xfId="14789" xr:uid="{00000000-0005-0000-0000-00008CB40000}"/>
    <cellStyle name="Uthevingsfarge2" xfId="4643" xr:uid="{00000000-0005-0000-0000-00008DB40000}"/>
    <cellStyle name="Uthevingsfarge2 10" xfId="3244" xr:uid="{00000000-0005-0000-0000-00008EB40000}"/>
    <cellStyle name="Uthevingsfarge2 10 2" xfId="4435" xr:uid="{00000000-0005-0000-0000-00008FB40000}"/>
    <cellStyle name="Uthevingsfarge2 10 2 2" xfId="14795" xr:uid="{00000000-0005-0000-0000-000090B40000}"/>
    <cellStyle name="Uthevingsfarge2 10 2 2 2" xfId="19209" xr:uid="{00000000-0005-0000-0000-000091B40000}"/>
    <cellStyle name="Uthevingsfarge2 10 2 2 3" xfId="16441" xr:uid="{00000000-0005-0000-0000-000092B40000}"/>
    <cellStyle name="Uthevingsfarge2 10 2 2 3 2" xfId="27318" xr:uid="{00000000-0005-0000-0000-000093B40000}"/>
    <cellStyle name="Uthevingsfarge2 10 2 2 3 2 2" xfId="42996" xr:uid="{00000000-0005-0000-0000-000094B40000}"/>
    <cellStyle name="Uthevingsfarge2 10 2 2 3 3" xfId="45896" xr:uid="{00000000-0005-0000-0000-000095B40000}"/>
    <cellStyle name="Uthevingsfarge2 10 2 2_Avviksanalyse løpende RNB15 (1)" xfId="17781" xr:uid="{00000000-0005-0000-0000-000096B40000}"/>
    <cellStyle name="Uthevingsfarge2 10 2 3" xfId="14794" xr:uid="{00000000-0005-0000-0000-000097B40000}"/>
    <cellStyle name="Uthevingsfarge2 10 3" xfId="4382" xr:uid="{00000000-0005-0000-0000-000098B40000}"/>
    <cellStyle name="Uthevingsfarge2 10 3 2" xfId="19210" xr:uid="{00000000-0005-0000-0000-000099B40000}"/>
    <cellStyle name="Uthevingsfarge2 10 3 3" xfId="15658" xr:uid="{00000000-0005-0000-0000-00009AB40000}"/>
    <cellStyle name="Uthevingsfarge2 10 3 3 2" xfId="27319" xr:uid="{00000000-0005-0000-0000-00009BB40000}"/>
    <cellStyle name="Uthevingsfarge2 10 3 3 2 2" xfId="42214" xr:uid="{00000000-0005-0000-0000-00009CB40000}"/>
    <cellStyle name="Uthevingsfarge2 10 3 3 3" xfId="45897" xr:uid="{00000000-0005-0000-0000-00009DB40000}"/>
    <cellStyle name="Uthevingsfarge2 10 3 4" xfId="14796" xr:uid="{00000000-0005-0000-0000-00009EB40000}"/>
    <cellStyle name="Uthevingsfarge2 10 3_Avviksanalyse løpende RNB15 (1)" xfId="17782" xr:uid="{00000000-0005-0000-0000-00009FB40000}"/>
    <cellStyle name="Uthevingsfarge2 10 4" xfId="14793" xr:uid="{00000000-0005-0000-0000-0000A0B40000}"/>
    <cellStyle name="Uthevingsfarge2 11" xfId="3245" xr:uid="{00000000-0005-0000-0000-0000A1B40000}"/>
    <cellStyle name="Uthevingsfarge2 11 2" xfId="14798" xr:uid="{00000000-0005-0000-0000-0000A2B40000}"/>
    <cellStyle name="Uthevingsfarge2 11 2 2" xfId="14799" xr:uid="{00000000-0005-0000-0000-0000A3B40000}"/>
    <cellStyle name="Uthevingsfarge2 11 2 2 2" xfId="19211" xr:uid="{00000000-0005-0000-0000-0000A4B40000}"/>
    <cellStyle name="Uthevingsfarge2 11 2 2 3" xfId="16442" xr:uid="{00000000-0005-0000-0000-0000A5B40000}"/>
    <cellStyle name="Uthevingsfarge2 11 2 2 3 2" xfId="27320" xr:uid="{00000000-0005-0000-0000-0000A6B40000}"/>
    <cellStyle name="Uthevingsfarge2 11 2 2 3 2 2" xfId="42997" xr:uid="{00000000-0005-0000-0000-0000A7B40000}"/>
    <cellStyle name="Uthevingsfarge2 11 2 2 3 3" xfId="45898" xr:uid="{00000000-0005-0000-0000-0000A8B40000}"/>
    <cellStyle name="Uthevingsfarge2 11 2 2_Avviksanalyse løpende RNB15 (1)" xfId="17783" xr:uid="{00000000-0005-0000-0000-0000A9B40000}"/>
    <cellStyle name="Uthevingsfarge2 11 3" xfId="14800" xr:uid="{00000000-0005-0000-0000-0000AAB40000}"/>
    <cellStyle name="Uthevingsfarge2 11 3 2" xfId="19212" xr:uid="{00000000-0005-0000-0000-0000ABB40000}"/>
    <cellStyle name="Uthevingsfarge2 11 3 3" xfId="15659" xr:uid="{00000000-0005-0000-0000-0000ACB40000}"/>
    <cellStyle name="Uthevingsfarge2 11 3 3 2" xfId="27321" xr:uid="{00000000-0005-0000-0000-0000ADB40000}"/>
    <cellStyle name="Uthevingsfarge2 11 3 3 2 2" xfId="42215" xr:uid="{00000000-0005-0000-0000-0000AEB40000}"/>
    <cellStyle name="Uthevingsfarge2 11 3 3 3" xfId="45899" xr:uid="{00000000-0005-0000-0000-0000AFB40000}"/>
    <cellStyle name="Uthevingsfarge2 11 3_Avviksanalyse løpende RNB15 (1)" xfId="17784" xr:uid="{00000000-0005-0000-0000-0000B0B40000}"/>
    <cellStyle name="Uthevingsfarge2 11 4" xfId="14797" xr:uid="{00000000-0005-0000-0000-0000B1B40000}"/>
    <cellStyle name="Uthevingsfarge2 12" xfId="3246" xr:uid="{00000000-0005-0000-0000-0000B2B40000}"/>
    <cellStyle name="Uthevingsfarge2 12 2" xfId="14802" xr:uid="{00000000-0005-0000-0000-0000B3B40000}"/>
    <cellStyle name="Uthevingsfarge2 12 2 2" xfId="14803" xr:uid="{00000000-0005-0000-0000-0000B4B40000}"/>
    <cellStyle name="Uthevingsfarge2 12 2 2 2" xfId="19213" xr:uid="{00000000-0005-0000-0000-0000B5B40000}"/>
    <cellStyle name="Uthevingsfarge2 12 2 2 3" xfId="16443" xr:uid="{00000000-0005-0000-0000-0000B6B40000}"/>
    <cellStyle name="Uthevingsfarge2 12 2 2 3 2" xfId="27322" xr:uid="{00000000-0005-0000-0000-0000B7B40000}"/>
    <cellStyle name="Uthevingsfarge2 12 2 2 3 2 2" xfId="42998" xr:uid="{00000000-0005-0000-0000-0000B8B40000}"/>
    <cellStyle name="Uthevingsfarge2 12 2 2 3 3" xfId="45900" xr:uid="{00000000-0005-0000-0000-0000B9B40000}"/>
    <cellStyle name="Uthevingsfarge2 12 2 2_Avviksanalyse løpende RNB15 (1)" xfId="17785" xr:uid="{00000000-0005-0000-0000-0000BAB40000}"/>
    <cellStyle name="Uthevingsfarge2 12 3" xfId="14804" xr:uid="{00000000-0005-0000-0000-0000BBB40000}"/>
    <cellStyle name="Uthevingsfarge2 12 3 2" xfId="19214" xr:uid="{00000000-0005-0000-0000-0000BCB40000}"/>
    <cellStyle name="Uthevingsfarge2 12 3 3" xfId="15660" xr:uid="{00000000-0005-0000-0000-0000BDB40000}"/>
    <cellStyle name="Uthevingsfarge2 12 3 3 2" xfId="27323" xr:uid="{00000000-0005-0000-0000-0000BEB40000}"/>
    <cellStyle name="Uthevingsfarge2 12 3 3 2 2" xfId="42216" xr:uid="{00000000-0005-0000-0000-0000BFB40000}"/>
    <cellStyle name="Uthevingsfarge2 12 3 3 3" xfId="45901" xr:uid="{00000000-0005-0000-0000-0000C0B40000}"/>
    <cellStyle name="Uthevingsfarge2 12 3_Avviksanalyse løpende RNB15 (1)" xfId="17786" xr:uid="{00000000-0005-0000-0000-0000C1B40000}"/>
    <cellStyle name="Uthevingsfarge2 12 4" xfId="14801" xr:uid="{00000000-0005-0000-0000-0000C2B40000}"/>
    <cellStyle name="Uthevingsfarge2 13" xfId="3437" xr:uid="{00000000-0005-0000-0000-0000C3B40000}"/>
    <cellStyle name="Uthevingsfarge2 13 2" xfId="14806" xr:uid="{00000000-0005-0000-0000-0000C4B40000}"/>
    <cellStyle name="Uthevingsfarge2 13 2 2" xfId="19215" xr:uid="{00000000-0005-0000-0000-0000C5B40000}"/>
    <cellStyle name="Uthevingsfarge2 13 2 3" xfId="15661" xr:uid="{00000000-0005-0000-0000-0000C6B40000}"/>
    <cellStyle name="Uthevingsfarge2 13 2 3 2" xfId="27324" xr:uid="{00000000-0005-0000-0000-0000C7B40000}"/>
    <cellStyle name="Uthevingsfarge2 13 2 3 2 2" xfId="42217" xr:uid="{00000000-0005-0000-0000-0000C8B40000}"/>
    <cellStyle name="Uthevingsfarge2 13 2 3 3" xfId="45902" xr:uid="{00000000-0005-0000-0000-0000C9B40000}"/>
    <cellStyle name="Uthevingsfarge2 13 2_Avviksanalyse løpende RNB15 (1)" xfId="17787" xr:uid="{00000000-0005-0000-0000-0000CAB40000}"/>
    <cellStyle name="Uthevingsfarge2 13 3" xfId="14805" xr:uid="{00000000-0005-0000-0000-0000CBB40000}"/>
    <cellStyle name="Uthevingsfarge2 14" xfId="14807" xr:uid="{00000000-0005-0000-0000-0000CCB40000}"/>
    <cellStyle name="Uthevingsfarge2 14 2" xfId="14808" xr:uid="{00000000-0005-0000-0000-0000CDB40000}"/>
    <cellStyle name="Uthevingsfarge2 14 2 2" xfId="19216" xr:uid="{00000000-0005-0000-0000-0000CEB40000}"/>
    <cellStyle name="Uthevingsfarge2 14 2 3" xfId="15662" xr:uid="{00000000-0005-0000-0000-0000CFB40000}"/>
    <cellStyle name="Uthevingsfarge2 14 2 3 2" xfId="27325" xr:uid="{00000000-0005-0000-0000-0000D0B40000}"/>
    <cellStyle name="Uthevingsfarge2 14 2 3 2 2" xfId="42218" xr:uid="{00000000-0005-0000-0000-0000D1B40000}"/>
    <cellStyle name="Uthevingsfarge2 14 2 3 3" xfId="45903" xr:uid="{00000000-0005-0000-0000-0000D2B40000}"/>
    <cellStyle name="Uthevingsfarge2 14 2_Avviksanalyse løpende RNB15 (1)" xfId="17788" xr:uid="{00000000-0005-0000-0000-0000D3B40000}"/>
    <cellStyle name="Uthevingsfarge2 15" xfId="40945" xr:uid="{00000000-0005-0000-0000-0000D4B40000}"/>
    <cellStyle name="Uthevingsfarge2 16" xfId="43145" xr:uid="{00000000-0005-0000-0000-0000D5B40000}"/>
    <cellStyle name="Uthevingsfarge2 17" xfId="40900" xr:uid="{00000000-0005-0000-0000-0000D6B40000}"/>
    <cellStyle name="Uthevingsfarge2 18" xfId="40915" xr:uid="{00000000-0005-0000-0000-0000D7B40000}"/>
    <cellStyle name="Uthevingsfarge2 19" xfId="40800" xr:uid="{00000000-0005-0000-0000-0000D8B40000}"/>
    <cellStyle name="Uthevingsfarge2 2" xfId="3247" xr:uid="{00000000-0005-0000-0000-0000D9B40000}"/>
    <cellStyle name="Uthevingsfarge2 2 10" xfId="14810" xr:uid="{00000000-0005-0000-0000-0000DAB40000}"/>
    <cellStyle name="Uthevingsfarge2 2 10 2" xfId="19217" xr:uid="{00000000-0005-0000-0000-0000DBB40000}"/>
    <cellStyle name="Uthevingsfarge2 2 10 3" xfId="15510" xr:uid="{00000000-0005-0000-0000-0000DCB40000}"/>
    <cellStyle name="Uthevingsfarge2 2 10 3 2" xfId="27326" xr:uid="{00000000-0005-0000-0000-0000DDB40000}"/>
    <cellStyle name="Uthevingsfarge2 2 10 3 2 2" xfId="42066" xr:uid="{00000000-0005-0000-0000-0000DEB40000}"/>
    <cellStyle name="Uthevingsfarge2 2 10 3 3" xfId="45904" xr:uid="{00000000-0005-0000-0000-0000DFB40000}"/>
    <cellStyle name="Uthevingsfarge2 2 10_Avviksanalyse løpende RNB15 (1)" xfId="17789" xr:uid="{00000000-0005-0000-0000-0000E0B40000}"/>
    <cellStyle name="Uthevingsfarge2 2 11" xfId="14809" xr:uid="{00000000-0005-0000-0000-0000E1B40000}"/>
    <cellStyle name="Uthevingsfarge2 2 2" xfId="14811" xr:uid="{00000000-0005-0000-0000-0000E2B40000}"/>
    <cellStyle name="Uthevingsfarge2 2 2 2" xfId="14812" xr:uid="{00000000-0005-0000-0000-0000E3B40000}"/>
    <cellStyle name="Uthevingsfarge2 2 2 2 2" xfId="19218" xr:uid="{00000000-0005-0000-0000-0000E4B40000}"/>
    <cellStyle name="Uthevingsfarge2 2 2 2 3" xfId="15663" xr:uid="{00000000-0005-0000-0000-0000E5B40000}"/>
    <cellStyle name="Uthevingsfarge2 2 2 2 3 2" xfId="27327" xr:uid="{00000000-0005-0000-0000-0000E6B40000}"/>
    <cellStyle name="Uthevingsfarge2 2 2 2 3 2 2" xfId="42219" xr:uid="{00000000-0005-0000-0000-0000E7B40000}"/>
    <cellStyle name="Uthevingsfarge2 2 2 2 3 3" xfId="45905" xr:uid="{00000000-0005-0000-0000-0000E8B40000}"/>
    <cellStyle name="Uthevingsfarge2 2 2 2_Avviksanalyse løpende RNB15 (1)" xfId="17790" xr:uid="{00000000-0005-0000-0000-0000E9B40000}"/>
    <cellStyle name="Uthevingsfarge2 2 3" xfId="14813" xr:uid="{00000000-0005-0000-0000-0000EAB40000}"/>
    <cellStyle name="Uthevingsfarge2 2 3 2" xfId="14814" xr:uid="{00000000-0005-0000-0000-0000EBB40000}"/>
    <cellStyle name="Uthevingsfarge2 2 3 2 2" xfId="19219" xr:uid="{00000000-0005-0000-0000-0000ECB40000}"/>
    <cellStyle name="Uthevingsfarge2 2 3 2 3" xfId="15664" xr:uid="{00000000-0005-0000-0000-0000EDB40000}"/>
    <cellStyle name="Uthevingsfarge2 2 3 2 3 2" xfId="27328" xr:uid="{00000000-0005-0000-0000-0000EEB40000}"/>
    <cellStyle name="Uthevingsfarge2 2 3 2 3 2 2" xfId="42220" xr:uid="{00000000-0005-0000-0000-0000EFB40000}"/>
    <cellStyle name="Uthevingsfarge2 2 3 2 3 3" xfId="45906" xr:uid="{00000000-0005-0000-0000-0000F0B40000}"/>
    <cellStyle name="Uthevingsfarge2 2 3 2_Avviksanalyse løpende RNB15 (1)" xfId="17791" xr:uid="{00000000-0005-0000-0000-0000F1B40000}"/>
    <cellStyle name="Uthevingsfarge2 2 4" xfId="14815" xr:uid="{00000000-0005-0000-0000-0000F2B40000}"/>
    <cellStyle name="Uthevingsfarge2 2 4 2" xfId="14816" xr:uid="{00000000-0005-0000-0000-0000F3B40000}"/>
    <cellStyle name="Uthevingsfarge2 2 4 2 2" xfId="19220" xr:uid="{00000000-0005-0000-0000-0000F4B40000}"/>
    <cellStyle name="Uthevingsfarge2 2 4 2 3" xfId="15665" xr:uid="{00000000-0005-0000-0000-0000F5B40000}"/>
    <cellStyle name="Uthevingsfarge2 2 4 2 3 2" xfId="27329" xr:uid="{00000000-0005-0000-0000-0000F6B40000}"/>
    <cellStyle name="Uthevingsfarge2 2 4 2 3 2 2" xfId="42221" xr:uid="{00000000-0005-0000-0000-0000F7B40000}"/>
    <cellStyle name="Uthevingsfarge2 2 4 2 3 3" xfId="45907" xr:uid="{00000000-0005-0000-0000-0000F8B40000}"/>
    <cellStyle name="Uthevingsfarge2 2 4 2_Avviksanalyse løpende RNB15 (1)" xfId="17792" xr:uid="{00000000-0005-0000-0000-0000F9B40000}"/>
    <cellStyle name="Uthevingsfarge2 2 5" xfId="14817" xr:uid="{00000000-0005-0000-0000-0000FAB40000}"/>
    <cellStyle name="Uthevingsfarge2 2 5 2" xfId="14818" xr:uid="{00000000-0005-0000-0000-0000FBB40000}"/>
    <cellStyle name="Uthevingsfarge2 2 5 2 2" xfId="19221" xr:uid="{00000000-0005-0000-0000-0000FCB40000}"/>
    <cellStyle name="Uthevingsfarge2 2 5 2 3" xfId="15666" xr:uid="{00000000-0005-0000-0000-0000FDB40000}"/>
    <cellStyle name="Uthevingsfarge2 2 5 2 3 2" xfId="27330" xr:uid="{00000000-0005-0000-0000-0000FEB40000}"/>
    <cellStyle name="Uthevingsfarge2 2 5 2 3 2 2" xfId="42222" xr:uid="{00000000-0005-0000-0000-0000FFB40000}"/>
    <cellStyle name="Uthevingsfarge2 2 5 2 3 3" xfId="45908" xr:uid="{00000000-0005-0000-0000-000000B50000}"/>
    <cellStyle name="Uthevingsfarge2 2 5 2_Avviksanalyse løpende RNB15 (1)" xfId="17793" xr:uid="{00000000-0005-0000-0000-000001B50000}"/>
    <cellStyle name="Uthevingsfarge2 2 6" xfId="14819" xr:uid="{00000000-0005-0000-0000-000002B50000}"/>
    <cellStyle name="Uthevingsfarge2 2 6 2" xfId="14820" xr:uid="{00000000-0005-0000-0000-000003B50000}"/>
    <cellStyle name="Uthevingsfarge2 2 6 2 2" xfId="19222" xr:uid="{00000000-0005-0000-0000-000004B50000}"/>
    <cellStyle name="Uthevingsfarge2 2 6 2 3" xfId="15667" xr:uid="{00000000-0005-0000-0000-000005B50000}"/>
    <cellStyle name="Uthevingsfarge2 2 6 2 3 2" xfId="27331" xr:uid="{00000000-0005-0000-0000-000006B50000}"/>
    <cellStyle name="Uthevingsfarge2 2 6 2 3 2 2" xfId="42223" xr:uid="{00000000-0005-0000-0000-000007B50000}"/>
    <cellStyle name="Uthevingsfarge2 2 6 2 3 3" xfId="45909" xr:uid="{00000000-0005-0000-0000-000008B50000}"/>
    <cellStyle name="Uthevingsfarge2 2 6 2_Avviksanalyse løpende RNB15 (1)" xfId="17794" xr:uid="{00000000-0005-0000-0000-000009B50000}"/>
    <cellStyle name="Uthevingsfarge2 2 7" xfId="14821" xr:uid="{00000000-0005-0000-0000-00000AB50000}"/>
    <cellStyle name="Uthevingsfarge2 2 7 2" xfId="14822" xr:uid="{00000000-0005-0000-0000-00000BB50000}"/>
    <cellStyle name="Uthevingsfarge2 2 7 2 2" xfId="19223" xr:uid="{00000000-0005-0000-0000-00000CB50000}"/>
    <cellStyle name="Uthevingsfarge2 2 7 2 3" xfId="15668" xr:uid="{00000000-0005-0000-0000-00000DB50000}"/>
    <cellStyle name="Uthevingsfarge2 2 7 2 3 2" xfId="27332" xr:uid="{00000000-0005-0000-0000-00000EB50000}"/>
    <cellStyle name="Uthevingsfarge2 2 7 2 3 2 2" xfId="42224" xr:uid="{00000000-0005-0000-0000-00000FB50000}"/>
    <cellStyle name="Uthevingsfarge2 2 7 2 3 3" xfId="45910" xr:uid="{00000000-0005-0000-0000-000010B50000}"/>
    <cellStyle name="Uthevingsfarge2 2 7 2_Avviksanalyse løpende RNB15 (1)" xfId="17795" xr:uid="{00000000-0005-0000-0000-000011B50000}"/>
    <cellStyle name="Uthevingsfarge2 2 8" xfId="14823" xr:uid="{00000000-0005-0000-0000-000012B50000}"/>
    <cellStyle name="Uthevingsfarge2 2 8 2" xfId="14824" xr:uid="{00000000-0005-0000-0000-000013B50000}"/>
    <cellStyle name="Uthevingsfarge2 2 8 2 2" xfId="19224" xr:uid="{00000000-0005-0000-0000-000014B50000}"/>
    <cellStyle name="Uthevingsfarge2 2 8 2 3" xfId="15669" xr:uid="{00000000-0005-0000-0000-000015B50000}"/>
    <cellStyle name="Uthevingsfarge2 2 8 2 3 2" xfId="27333" xr:uid="{00000000-0005-0000-0000-000016B50000}"/>
    <cellStyle name="Uthevingsfarge2 2 8 2 3 2 2" xfId="42225" xr:uid="{00000000-0005-0000-0000-000017B50000}"/>
    <cellStyle name="Uthevingsfarge2 2 8 2 3 3" xfId="45911" xr:uid="{00000000-0005-0000-0000-000018B50000}"/>
    <cellStyle name="Uthevingsfarge2 2 8 2_Avviksanalyse løpende RNB15 (1)" xfId="17796" xr:uid="{00000000-0005-0000-0000-000019B50000}"/>
    <cellStyle name="Uthevingsfarge2 2 9" xfId="14825" xr:uid="{00000000-0005-0000-0000-00001AB50000}"/>
    <cellStyle name="Uthevingsfarge2 2 9 2" xfId="14826" xr:uid="{00000000-0005-0000-0000-00001BB50000}"/>
    <cellStyle name="Uthevingsfarge2 2 9 2 2" xfId="19225" xr:uid="{00000000-0005-0000-0000-00001CB50000}"/>
    <cellStyle name="Uthevingsfarge2 2 9 2 3" xfId="15670" xr:uid="{00000000-0005-0000-0000-00001DB50000}"/>
    <cellStyle name="Uthevingsfarge2 2 9 2 3 2" xfId="27334" xr:uid="{00000000-0005-0000-0000-00001EB50000}"/>
    <cellStyle name="Uthevingsfarge2 2 9 2 3 2 2" xfId="42226" xr:uid="{00000000-0005-0000-0000-00001FB50000}"/>
    <cellStyle name="Uthevingsfarge2 2 9 2 3 3" xfId="45912" xr:uid="{00000000-0005-0000-0000-000020B50000}"/>
    <cellStyle name="Uthevingsfarge2 2 9 2_Avviksanalyse løpende RNB15 (1)" xfId="17797" xr:uid="{00000000-0005-0000-0000-000021B50000}"/>
    <cellStyle name="Uthevingsfarge2 20" xfId="43187" xr:uid="{00000000-0005-0000-0000-000022B50000}"/>
    <cellStyle name="Uthevingsfarge2 21" xfId="43189" xr:uid="{00000000-0005-0000-0000-000023B50000}"/>
    <cellStyle name="Uthevingsfarge2 22" xfId="43206" xr:uid="{00000000-0005-0000-0000-000024B50000}"/>
    <cellStyle name="Uthevingsfarge2 23" xfId="43420" xr:uid="{00000000-0005-0000-0000-000025B50000}"/>
    <cellStyle name="Uthevingsfarge2 24" xfId="43664" xr:uid="{00000000-0005-0000-0000-000026B50000}"/>
    <cellStyle name="Uthevingsfarge2 25" xfId="46281" xr:uid="{00000000-0005-0000-0000-000027B50000}"/>
    <cellStyle name="Uthevingsfarge2 26" xfId="46278" xr:uid="{00000000-0005-0000-0000-000028B50000}"/>
    <cellStyle name="Uthevingsfarge2 27" xfId="46308" xr:uid="{00000000-0005-0000-0000-000029B50000}"/>
    <cellStyle name="Uthevingsfarge2 28" xfId="46839" xr:uid="{00000000-0005-0000-0000-00002AB50000}"/>
    <cellStyle name="Uthevingsfarge2 29" xfId="46354" xr:uid="{00000000-0005-0000-0000-00002BB50000}"/>
    <cellStyle name="Uthevingsfarge2 3" xfId="3248" xr:uid="{00000000-0005-0000-0000-00002CB50000}"/>
    <cellStyle name="Uthevingsfarge2 3 2" xfId="14828" xr:uid="{00000000-0005-0000-0000-00002DB50000}"/>
    <cellStyle name="Uthevingsfarge2 3 2 2" xfId="19226" xr:uid="{00000000-0005-0000-0000-00002EB50000}"/>
    <cellStyle name="Uthevingsfarge2 3 2 3" xfId="15511" xr:uid="{00000000-0005-0000-0000-00002FB50000}"/>
    <cellStyle name="Uthevingsfarge2 3 2 3 2" xfId="27335" xr:uid="{00000000-0005-0000-0000-000030B50000}"/>
    <cellStyle name="Uthevingsfarge2 3 2 3 2 2" xfId="42067" xr:uid="{00000000-0005-0000-0000-000031B50000}"/>
    <cellStyle name="Uthevingsfarge2 3 2 3 3" xfId="45913" xr:uid="{00000000-0005-0000-0000-000032B50000}"/>
    <cellStyle name="Uthevingsfarge2 3 2_Avviksanalyse løpende RNB15 (1)" xfId="17798" xr:uid="{00000000-0005-0000-0000-000033B50000}"/>
    <cellStyle name="Uthevingsfarge2 3 3" xfId="14827" xr:uid="{00000000-0005-0000-0000-000034B50000}"/>
    <cellStyle name="Uthevingsfarge2 30" xfId="46628" xr:uid="{00000000-0005-0000-0000-000035B50000}"/>
    <cellStyle name="Uthevingsfarge2 31" xfId="46372" xr:uid="{00000000-0005-0000-0000-000036B50000}"/>
    <cellStyle name="Uthevingsfarge2 32" xfId="46361" xr:uid="{00000000-0005-0000-0000-000037B50000}"/>
    <cellStyle name="Uthevingsfarge2 4" xfId="3249" xr:uid="{00000000-0005-0000-0000-000038B50000}"/>
    <cellStyle name="Uthevingsfarge2 4 2" xfId="14830" xr:uid="{00000000-0005-0000-0000-000039B50000}"/>
    <cellStyle name="Uthevingsfarge2 4 2 2" xfId="19227" xr:uid="{00000000-0005-0000-0000-00003AB50000}"/>
    <cellStyle name="Uthevingsfarge2 4 2 3" xfId="15512" xr:uid="{00000000-0005-0000-0000-00003BB50000}"/>
    <cellStyle name="Uthevingsfarge2 4 2 3 2" xfId="27336" xr:uid="{00000000-0005-0000-0000-00003CB50000}"/>
    <cellStyle name="Uthevingsfarge2 4 2 3 2 2" xfId="42068" xr:uid="{00000000-0005-0000-0000-00003DB50000}"/>
    <cellStyle name="Uthevingsfarge2 4 2 3 3" xfId="45914" xr:uid="{00000000-0005-0000-0000-00003EB50000}"/>
    <cellStyle name="Uthevingsfarge2 4 2_Avviksanalyse løpende RNB15 (1)" xfId="17799" xr:uid="{00000000-0005-0000-0000-00003FB50000}"/>
    <cellStyle name="Uthevingsfarge2 4 3" xfId="14829" xr:uid="{00000000-0005-0000-0000-000040B50000}"/>
    <cellStyle name="Uthevingsfarge2 5" xfId="3250" xr:uid="{00000000-0005-0000-0000-000041B50000}"/>
    <cellStyle name="Uthevingsfarge2 5 2" xfId="14832" xr:uid="{00000000-0005-0000-0000-000042B50000}"/>
    <cellStyle name="Uthevingsfarge2 5 2 2" xfId="19228" xr:uid="{00000000-0005-0000-0000-000043B50000}"/>
    <cellStyle name="Uthevingsfarge2 5 2 3" xfId="15509" xr:uid="{00000000-0005-0000-0000-000044B50000}"/>
    <cellStyle name="Uthevingsfarge2 5 2 3 2" xfId="27337" xr:uid="{00000000-0005-0000-0000-000045B50000}"/>
    <cellStyle name="Uthevingsfarge2 5 2 3 2 2" xfId="42065" xr:uid="{00000000-0005-0000-0000-000046B50000}"/>
    <cellStyle name="Uthevingsfarge2 5 2 3 3" xfId="45915" xr:uid="{00000000-0005-0000-0000-000047B50000}"/>
    <cellStyle name="Uthevingsfarge2 5 2_Avviksanalyse løpende RNB15 (1)" xfId="17800" xr:uid="{00000000-0005-0000-0000-000048B50000}"/>
    <cellStyle name="Uthevingsfarge2 5 3" xfId="14831" xr:uid="{00000000-0005-0000-0000-000049B50000}"/>
    <cellStyle name="Uthevingsfarge2 6" xfId="3251" xr:uid="{00000000-0005-0000-0000-00004AB50000}"/>
    <cellStyle name="Uthevingsfarge2 6 2" xfId="14834" xr:uid="{00000000-0005-0000-0000-00004BB50000}"/>
    <cellStyle name="Uthevingsfarge2 6 2 2" xfId="19229" xr:uid="{00000000-0005-0000-0000-00004CB50000}"/>
    <cellStyle name="Uthevingsfarge2 6 2 3" xfId="15671" xr:uid="{00000000-0005-0000-0000-00004DB50000}"/>
    <cellStyle name="Uthevingsfarge2 6 2 3 2" xfId="27338" xr:uid="{00000000-0005-0000-0000-00004EB50000}"/>
    <cellStyle name="Uthevingsfarge2 6 2 3 2 2" xfId="42227" xr:uid="{00000000-0005-0000-0000-00004FB50000}"/>
    <cellStyle name="Uthevingsfarge2 6 2 3 3" xfId="45916" xr:uid="{00000000-0005-0000-0000-000050B50000}"/>
    <cellStyle name="Uthevingsfarge2 6 2_Avviksanalyse løpende RNB15 (1)" xfId="17801" xr:uid="{00000000-0005-0000-0000-000051B50000}"/>
    <cellStyle name="Uthevingsfarge2 6 3" xfId="14833" xr:uid="{00000000-0005-0000-0000-000052B50000}"/>
    <cellStyle name="Uthevingsfarge2 7" xfId="3252" xr:uid="{00000000-0005-0000-0000-000053B50000}"/>
    <cellStyle name="Uthevingsfarge2 7 2" xfId="14836" xr:uid="{00000000-0005-0000-0000-000054B50000}"/>
    <cellStyle name="Uthevingsfarge2 7 2 2" xfId="19230" xr:uid="{00000000-0005-0000-0000-000055B50000}"/>
    <cellStyle name="Uthevingsfarge2 7 2 3" xfId="15672" xr:uid="{00000000-0005-0000-0000-000056B50000}"/>
    <cellStyle name="Uthevingsfarge2 7 2 3 2" xfId="27339" xr:uid="{00000000-0005-0000-0000-000057B50000}"/>
    <cellStyle name="Uthevingsfarge2 7 2 3 2 2" xfId="42228" xr:uid="{00000000-0005-0000-0000-000058B50000}"/>
    <cellStyle name="Uthevingsfarge2 7 2 3 3" xfId="45917" xr:uid="{00000000-0005-0000-0000-000059B50000}"/>
    <cellStyle name="Uthevingsfarge2 7 2_Avviksanalyse løpende RNB15 (1)" xfId="17802" xr:uid="{00000000-0005-0000-0000-00005AB50000}"/>
    <cellStyle name="Uthevingsfarge2 7 3" xfId="14835" xr:uid="{00000000-0005-0000-0000-00005BB50000}"/>
    <cellStyle name="Uthevingsfarge2 8" xfId="3253" xr:uid="{00000000-0005-0000-0000-00005CB50000}"/>
    <cellStyle name="Uthevingsfarge2 8 2" xfId="3254" xr:uid="{00000000-0005-0000-0000-00005DB50000}"/>
    <cellStyle name="Uthevingsfarge2 8 2 2" xfId="14839" xr:uid="{00000000-0005-0000-0000-00005EB50000}"/>
    <cellStyle name="Uthevingsfarge2 8 2 2 2" xfId="19231" xr:uid="{00000000-0005-0000-0000-00005FB50000}"/>
    <cellStyle name="Uthevingsfarge2 8 2 2 3" xfId="16445" xr:uid="{00000000-0005-0000-0000-000060B50000}"/>
    <cellStyle name="Uthevingsfarge2 8 2 2 3 2" xfId="27340" xr:uid="{00000000-0005-0000-0000-000061B50000}"/>
    <cellStyle name="Uthevingsfarge2 8 2 2 3 2 2" xfId="43000" xr:uid="{00000000-0005-0000-0000-000062B50000}"/>
    <cellStyle name="Uthevingsfarge2 8 2 2 3 3" xfId="45918" xr:uid="{00000000-0005-0000-0000-000063B50000}"/>
    <cellStyle name="Uthevingsfarge2 8 2 2_Avviksanalyse løpende RNB15 (1)" xfId="17803" xr:uid="{00000000-0005-0000-0000-000064B50000}"/>
    <cellStyle name="Uthevingsfarge2 8 2 3" xfId="14838" xr:uid="{00000000-0005-0000-0000-000065B50000}"/>
    <cellStyle name="Uthevingsfarge2 8 3" xfId="14840" xr:uid="{00000000-0005-0000-0000-000066B50000}"/>
    <cellStyle name="Uthevingsfarge2 8 3 2" xfId="14841" xr:uid="{00000000-0005-0000-0000-000067B50000}"/>
    <cellStyle name="Uthevingsfarge2 8 3 2 2" xfId="19232" xr:uid="{00000000-0005-0000-0000-000068B50000}"/>
    <cellStyle name="Uthevingsfarge2 8 3 2 3" xfId="16444" xr:uid="{00000000-0005-0000-0000-000069B50000}"/>
    <cellStyle name="Uthevingsfarge2 8 3 2 3 2" xfId="27341" xr:uid="{00000000-0005-0000-0000-00006AB50000}"/>
    <cellStyle name="Uthevingsfarge2 8 3 2 3 2 2" xfId="42999" xr:uid="{00000000-0005-0000-0000-00006BB50000}"/>
    <cellStyle name="Uthevingsfarge2 8 3 2 3 3" xfId="45919" xr:uid="{00000000-0005-0000-0000-00006CB50000}"/>
    <cellStyle name="Uthevingsfarge2 8 3 2_Avviksanalyse løpende RNB15 (1)" xfId="17804" xr:uid="{00000000-0005-0000-0000-00006DB50000}"/>
    <cellStyle name="Uthevingsfarge2 8 4" xfId="14842" xr:uid="{00000000-0005-0000-0000-00006EB50000}"/>
    <cellStyle name="Uthevingsfarge2 8 4 2" xfId="19233" xr:uid="{00000000-0005-0000-0000-00006FB50000}"/>
    <cellStyle name="Uthevingsfarge2 8 4 3" xfId="15673" xr:uid="{00000000-0005-0000-0000-000070B50000}"/>
    <cellStyle name="Uthevingsfarge2 8 4 3 2" xfId="27342" xr:uid="{00000000-0005-0000-0000-000071B50000}"/>
    <cellStyle name="Uthevingsfarge2 8 4 3 2 2" xfId="42229" xr:uid="{00000000-0005-0000-0000-000072B50000}"/>
    <cellStyle name="Uthevingsfarge2 8 4 3 3" xfId="45920" xr:uid="{00000000-0005-0000-0000-000073B50000}"/>
    <cellStyle name="Uthevingsfarge2 8 4_Avviksanalyse løpende RNB15 (1)" xfId="17805" xr:uid="{00000000-0005-0000-0000-000074B50000}"/>
    <cellStyle name="Uthevingsfarge2 8 5" xfId="14837" xr:uid="{00000000-0005-0000-0000-000075B50000}"/>
    <cellStyle name="Uthevingsfarge2 9" xfId="3255" xr:uid="{00000000-0005-0000-0000-000076B50000}"/>
    <cellStyle name="Uthevingsfarge2 9 2" xfId="14844" xr:uid="{00000000-0005-0000-0000-000077B50000}"/>
    <cellStyle name="Uthevingsfarge2 9 2 2" xfId="14845" xr:uid="{00000000-0005-0000-0000-000078B50000}"/>
    <cellStyle name="Uthevingsfarge2 9 2 2 2" xfId="19234" xr:uid="{00000000-0005-0000-0000-000079B50000}"/>
    <cellStyle name="Uthevingsfarge2 9 2 2 3" xfId="16446" xr:uid="{00000000-0005-0000-0000-00007AB50000}"/>
    <cellStyle name="Uthevingsfarge2 9 2 2 3 2" xfId="27343" xr:uid="{00000000-0005-0000-0000-00007BB50000}"/>
    <cellStyle name="Uthevingsfarge2 9 2 2 3 2 2" xfId="43001" xr:uid="{00000000-0005-0000-0000-00007CB50000}"/>
    <cellStyle name="Uthevingsfarge2 9 2 2 3 3" xfId="45921" xr:uid="{00000000-0005-0000-0000-00007DB50000}"/>
    <cellStyle name="Uthevingsfarge2 9 2 2_Avviksanalyse løpende RNB15 (1)" xfId="17806" xr:uid="{00000000-0005-0000-0000-00007EB50000}"/>
    <cellStyle name="Uthevingsfarge2 9 3" xfId="14846" xr:uid="{00000000-0005-0000-0000-00007FB50000}"/>
    <cellStyle name="Uthevingsfarge2 9 3 2" xfId="19235" xr:uid="{00000000-0005-0000-0000-000080B50000}"/>
    <cellStyle name="Uthevingsfarge2 9 3 3" xfId="15674" xr:uid="{00000000-0005-0000-0000-000081B50000}"/>
    <cellStyle name="Uthevingsfarge2 9 3 3 2" xfId="27344" xr:uid="{00000000-0005-0000-0000-000082B50000}"/>
    <cellStyle name="Uthevingsfarge2 9 3 3 2 2" xfId="42230" xr:uid="{00000000-0005-0000-0000-000083B50000}"/>
    <cellStyle name="Uthevingsfarge2 9 3 3 3" xfId="45922" xr:uid="{00000000-0005-0000-0000-000084B50000}"/>
    <cellStyle name="Uthevingsfarge2 9 3_Avviksanalyse løpende RNB15 (1)" xfId="17807" xr:uid="{00000000-0005-0000-0000-000085B50000}"/>
    <cellStyle name="Uthevingsfarge2 9 4" xfId="14843" xr:uid="{00000000-0005-0000-0000-000086B50000}"/>
    <cellStyle name="Uthevingsfarge3" xfId="4644" xr:uid="{00000000-0005-0000-0000-000087B50000}"/>
    <cellStyle name="Uthevingsfarge3 10" xfId="3256" xr:uid="{00000000-0005-0000-0000-000088B50000}"/>
    <cellStyle name="Uthevingsfarge3 10 2" xfId="4436" xr:uid="{00000000-0005-0000-0000-000089B50000}"/>
    <cellStyle name="Uthevingsfarge3 10 2 2" xfId="14849" xr:uid="{00000000-0005-0000-0000-00008AB50000}"/>
    <cellStyle name="Uthevingsfarge3 10 2 2 2" xfId="19236" xr:uid="{00000000-0005-0000-0000-00008BB50000}"/>
    <cellStyle name="Uthevingsfarge3 10 2 2 3" xfId="16447" xr:uid="{00000000-0005-0000-0000-00008CB50000}"/>
    <cellStyle name="Uthevingsfarge3 10 2 2 3 2" xfId="27345" xr:uid="{00000000-0005-0000-0000-00008DB50000}"/>
    <cellStyle name="Uthevingsfarge3 10 2 2 3 2 2" xfId="43002" xr:uid="{00000000-0005-0000-0000-00008EB50000}"/>
    <cellStyle name="Uthevingsfarge3 10 2 2 3 3" xfId="45923" xr:uid="{00000000-0005-0000-0000-00008FB50000}"/>
    <cellStyle name="Uthevingsfarge3 10 2 2_Avviksanalyse løpende RNB15 (1)" xfId="17808" xr:uid="{00000000-0005-0000-0000-000090B50000}"/>
    <cellStyle name="Uthevingsfarge3 10 2 3" xfId="14848" xr:uid="{00000000-0005-0000-0000-000091B50000}"/>
    <cellStyle name="Uthevingsfarge3 10 3" xfId="4385" xr:uid="{00000000-0005-0000-0000-000092B50000}"/>
    <cellStyle name="Uthevingsfarge3 10 3 2" xfId="19237" xr:uid="{00000000-0005-0000-0000-000093B50000}"/>
    <cellStyle name="Uthevingsfarge3 10 3 3" xfId="15675" xr:uid="{00000000-0005-0000-0000-000094B50000}"/>
    <cellStyle name="Uthevingsfarge3 10 3 3 2" xfId="27346" xr:uid="{00000000-0005-0000-0000-000095B50000}"/>
    <cellStyle name="Uthevingsfarge3 10 3 3 2 2" xfId="42231" xr:uid="{00000000-0005-0000-0000-000096B50000}"/>
    <cellStyle name="Uthevingsfarge3 10 3 3 3" xfId="45924" xr:uid="{00000000-0005-0000-0000-000097B50000}"/>
    <cellStyle name="Uthevingsfarge3 10 3 4" xfId="14850" xr:uid="{00000000-0005-0000-0000-000098B50000}"/>
    <cellStyle name="Uthevingsfarge3 10 3_Avviksanalyse løpende RNB15 (1)" xfId="17809" xr:uid="{00000000-0005-0000-0000-000099B50000}"/>
    <cellStyle name="Uthevingsfarge3 10 4" xfId="14847" xr:uid="{00000000-0005-0000-0000-00009AB50000}"/>
    <cellStyle name="Uthevingsfarge3 11" xfId="3257" xr:uid="{00000000-0005-0000-0000-00009BB50000}"/>
    <cellStyle name="Uthevingsfarge3 11 2" xfId="14852" xr:uid="{00000000-0005-0000-0000-00009CB50000}"/>
    <cellStyle name="Uthevingsfarge3 11 2 2" xfId="14853" xr:uid="{00000000-0005-0000-0000-00009DB50000}"/>
    <cellStyle name="Uthevingsfarge3 11 2 2 2" xfId="19238" xr:uid="{00000000-0005-0000-0000-00009EB50000}"/>
    <cellStyle name="Uthevingsfarge3 11 2 2 3" xfId="16448" xr:uid="{00000000-0005-0000-0000-00009FB50000}"/>
    <cellStyle name="Uthevingsfarge3 11 2 2 3 2" xfId="27347" xr:uid="{00000000-0005-0000-0000-0000A0B50000}"/>
    <cellStyle name="Uthevingsfarge3 11 2 2 3 2 2" xfId="43003" xr:uid="{00000000-0005-0000-0000-0000A1B50000}"/>
    <cellStyle name="Uthevingsfarge3 11 2 2 3 3" xfId="45925" xr:uid="{00000000-0005-0000-0000-0000A2B50000}"/>
    <cellStyle name="Uthevingsfarge3 11 2 2_Avviksanalyse løpende RNB15 (1)" xfId="17810" xr:uid="{00000000-0005-0000-0000-0000A3B50000}"/>
    <cellStyle name="Uthevingsfarge3 11 3" xfId="14854" xr:uid="{00000000-0005-0000-0000-0000A4B50000}"/>
    <cellStyle name="Uthevingsfarge3 11 3 2" xfId="19239" xr:uid="{00000000-0005-0000-0000-0000A5B50000}"/>
    <cellStyle name="Uthevingsfarge3 11 3 3" xfId="15676" xr:uid="{00000000-0005-0000-0000-0000A6B50000}"/>
    <cellStyle name="Uthevingsfarge3 11 3 3 2" xfId="27348" xr:uid="{00000000-0005-0000-0000-0000A7B50000}"/>
    <cellStyle name="Uthevingsfarge3 11 3 3 2 2" xfId="42232" xr:uid="{00000000-0005-0000-0000-0000A8B50000}"/>
    <cellStyle name="Uthevingsfarge3 11 3 3 3" xfId="45926" xr:uid="{00000000-0005-0000-0000-0000A9B50000}"/>
    <cellStyle name="Uthevingsfarge3 11 3_Avviksanalyse løpende RNB15 (1)" xfId="17811" xr:uid="{00000000-0005-0000-0000-0000AAB50000}"/>
    <cellStyle name="Uthevingsfarge3 11 4" xfId="14851" xr:uid="{00000000-0005-0000-0000-0000ABB50000}"/>
    <cellStyle name="Uthevingsfarge3 12" xfId="3258" xr:uid="{00000000-0005-0000-0000-0000ACB50000}"/>
    <cellStyle name="Uthevingsfarge3 12 2" xfId="14856" xr:uid="{00000000-0005-0000-0000-0000ADB50000}"/>
    <cellStyle name="Uthevingsfarge3 12 2 2" xfId="14857" xr:uid="{00000000-0005-0000-0000-0000AEB50000}"/>
    <cellStyle name="Uthevingsfarge3 12 2 2 2" xfId="19240" xr:uid="{00000000-0005-0000-0000-0000AFB50000}"/>
    <cellStyle name="Uthevingsfarge3 12 2 2 3" xfId="16449" xr:uid="{00000000-0005-0000-0000-0000B0B50000}"/>
    <cellStyle name="Uthevingsfarge3 12 2 2 3 2" xfId="27349" xr:uid="{00000000-0005-0000-0000-0000B1B50000}"/>
    <cellStyle name="Uthevingsfarge3 12 2 2 3 2 2" xfId="43004" xr:uid="{00000000-0005-0000-0000-0000B2B50000}"/>
    <cellStyle name="Uthevingsfarge3 12 2 2 3 3" xfId="45927" xr:uid="{00000000-0005-0000-0000-0000B3B50000}"/>
    <cellStyle name="Uthevingsfarge3 12 2 2_Avviksanalyse løpende RNB15 (1)" xfId="17812" xr:uid="{00000000-0005-0000-0000-0000B4B50000}"/>
    <cellStyle name="Uthevingsfarge3 12 3" xfId="14858" xr:uid="{00000000-0005-0000-0000-0000B5B50000}"/>
    <cellStyle name="Uthevingsfarge3 12 3 2" xfId="19241" xr:uid="{00000000-0005-0000-0000-0000B6B50000}"/>
    <cellStyle name="Uthevingsfarge3 12 3 3" xfId="15677" xr:uid="{00000000-0005-0000-0000-0000B7B50000}"/>
    <cellStyle name="Uthevingsfarge3 12 3 3 2" xfId="27350" xr:uid="{00000000-0005-0000-0000-0000B8B50000}"/>
    <cellStyle name="Uthevingsfarge3 12 3 3 2 2" xfId="42233" xr:uid="{00000000-0005-0000-0000-0000B9B50000}"/>
    <cellStyle name="Uthevingsfarge3 12 3 3 3" xfId="45928" xr:uid="{00000000-0005-0000-0000-0000BAB50000}"/>
    <cellStyle name="Uthevingsfarge3 12 3_Avviksanalyse løpende RNB15 (1)" xfId="17813" xr:uid="{00000000-0005-0000-0000-0000BBB50000}"/>
    <cellStyle name="Uthevingsfarge3 12 4" xfId="14855" xr:uid="{00000000-0005-0000-0000-0000BCB50000}"/>
    <cellStyle name="Uthevingsfarge3 13" xfId="3441" xr:uid="{00000000-0005-0000-0000-0000BDB50000}"/>
    <cellStyle name="Uthevingsfarge3 13 2" xfId="14860" xr:uid="{00000000-0005-0000-0000-0000BEB50000}"/>
    <cellStyle name="Uthevingsfarge3 13 2 2" xfId="19242" xr:uid="{00000000-0005-0000-0000-0000BFB50000}"/>
    <cellStyle name="Uthevingsfarge3 13 2 3" xfId="15678" xr:uid="{00000000-0005-0000-0000-0000C0B50000}"/>
    <cellStyle name="Uthevingsfarge3 13 2 3 2" xfId="27351" xr:uid="{00000000-0005-0000-0000-0000C1B50000}"/>
    <cellStyle name="Uthevingsfarge3 13 2 3 2 2" xfId="42234" xr:uid="{00000000-0005-0000-0000-0000C2B50000}"/>
    <cellStyle name="Uthevingsfarge3 13 2 3 3" xfId="45929" xr:uid="{00000000-0005-0000-0000-0000C3B50000}"/>
    <cellStyle name="Uthevingsfarge3 13 2_Avviksanalyse løpende RNB15 (1)" xfId="17814" xr:uid="{00000000-0005-0000-0000-0000C4B50000}"/>
    <cellStyle name="Uthevingsfarge3 13 3" xfId="14859" xr:uid="{00000000-0005-0000-0000-0000C5B50000}"/>
    <cellStyle name="Uthevingsfarge3 14" xfId="14861" xr:uid="{00000000-0005-0000-0000-0000C6B50000}"/>
    <cellStyle name="Uthevingsfarge3 14 2" xfId="14862" xr:uid="{00000000-0005-0000-0000-0000C7B50000}"/>
    <cellStyle name="Uthevingsfarge3 14 2 2" xfId="19243" xr:uid="{00000000-0005-0000-0000-0000C8B50000}"/>
    <cellStyle name="Uthevingsfarge3 14 2 3" xfId="15679" xr:uid="{00000000-0005-0000-0000-0000C9B50000}"/>
    <cellStyle name="Uthevingsfarge3 14 2 3 2" xfId="27352" xr:uid="{00000000-0005-0000-0000-0000CAB50000}"/>
    <cellStyle name="Uthevingsfarge3 14 2 3 2 2" xfId="42235" xr:uid="{00000000-0005-0000-0000-0000CBB50000}"/>
    <cellStyle name="Uthevingsfarge3 14 2 3 3" xfId="45930" xr:uid="{00000000-0005-0000-0000-0000CCB50000}"/>
    <cellStyle name="Uthevingsfarge3 14 2_Avviksanalyse løpende RNB15 (1)" xfId="17815" xr:uid="{00000000-0005-0000-0000-0000CDB50000}"/>
    <cellStyle name="Uthevingsfarge3 15" xfId="40949" xr:uid="{00000000-0005-0000-0000-0000CEB50000}"/>
    <cellStyle name="Uthevingsfarge3 16" xfId="43148" xr:uid="{00000000-0005-0000-0000-0000CFB50000}"/>
    <cellStyle name="Uthevingsfarge3 17" xfId="43185" xr:uid="{00000000-0005-0000-0000-0000D0B50000}"/>
    <cellStyle name="Uthevingsfarge3 18" xfId="40811" xr:uid="{00000000-0005-0000-0000-0000D1B50000}"/>
    <cellStyle name="Uthevingsfarge3 19" xfId="40871" xr:uid="{00000000-0005-0000-0000-0000D2B50000}"/>
    <cellStyle name="Uthevingsfarge3 2" xfId="3259" xr:uid="{00000000-0005-0000-0000-0000D3B50000}"/>
    <cellStyle name="Uthevingsfarge3 2 10" xfId="14864" xr:uid="{00000000-0005-0000-0000-0000D4B50000}"/>
    <cellStyle name="Uthevingsfarge3 2 10 2" xfId="19244" xr:uid="{00000000-0005-0000-0000-0000D5B50000}"/>
    <cellStyle name="Uthevingsfarge3 2 10 3" xfId="15514" xr:uid="{00000000-0005-0000-0000-0000D6B50000}"/>
    <cellStyle name="Uthevingsfarge3 2 10 3 2" xfId="27353" xr:uid="{00000000-0005-0000-0000-0000D7B50000}"/>
    <cellStyle name="Uthevingsfarge3 2 10 3 2 2" xfId="42070" xr:uid="{00000000-0005-0000-0000-0000D8B50000}"/>
    <cellStyle name="Uthevingsfarge3 2 10 3 3" xfId="45931" xr:uid="{00000000-0005-0000-0000-0000D9B50000}"/>
    <cellStyle name="Uthevingsfarge3 2 10_Avviksanalyse løpende RNB15 (1)" xfId="17816" xr:uid="{00000000-0005-0000-0000-0000DAB50000}"/>
    <cellStyle name="Uthevingsfarge3 2 11" xfId="14863" xr:uid="{00000000-0005-0000-0000-0000DBB50000}"/>
    <cellStyle name="Uthevingsfarge3 2 2" xfId="14865" xr:uid="{00000000-0005-0000-0000-0000DCB50000}"/>
    <cellStyle name="Uthevingsfarge3 2 2 2" xfId="14866" xr:uid="{00000000-0005-0000-0000-0000DDB50000}"/>
    <cellStyle name="Uthevingsfarge3 2 2 2 2" xfId="19245" xr:uid="{00000000-0005-0000-0000-0000DEB50000}"/>
    <cellStyle name="Uthevingsfarge3 2 2 2 3" xfId="15680" xr:uid="{00000000-0005-0000-0000-0000DFB50000}"/>
    <cellStyle name="Uthevingsfarge3 2 2 2 3 2" xfId="27354" xr:uid="{00000000-0005-0000-0000-0000E0B50000}"/>
    <cellStyle name="Uthevingsfarge3 2 2 2 3 2 2" xfId="42236" xr:uid="{00000000-0005-0000-0000-0000E1B50000}"/>
    <cellStyle name="Uthevingsfarge3 2 2 2 3 3" xfId="45932" xr:uid="{00000000-0005-0000-0000-0000E2B50000}"/>
    <cellStyle name="Uthevingsfarge3 2 2 2_Avviksanalyse løpende RNB15 (1)" xfId="17817" xr:uid="{00000000-0005-0000-0000-0000E3B50000}"/>
    <cellStyle name="Uthevingsfarge3 2 3" xfId="14867" xr:uid="{00000000-0005-0000-0000-0000E4B50000}"/>
    <cellStyle name="Uthevingsfarge3 2 3 2" xfId="14868" xr:uid="{00000000-0005-0000-0000-0000E5B50000}"/>
    <cellStyle name="Uthevingsfarge3 2 3 2 2" xfId="19246" xr:uid="{00000000-0005-0000-0000-0000E6B50000}"/>
    <cellStyle name="Uthevingsfarge3 2 3 2 3" xfId="15681" xr:uid="{00000000-0005-0000-0000-0000E7B50000}"/>
    <cellStyle name="Uthevingsfarge3 2 3 2 3 2" xfId="27355" xr:uid="{00000000-0005-0000-0000-0000E8B50000}"/>
    <cellStyle name="Uthevingsfarge3 2 3 2 3 2 2" xfId="42237" xr:uid="{00000000-0005-0000-0000-0000E9B50000}"/>
    <cellStyle name="Uthevingsfarge3 2 3 2 3 3" xfId="45933" xr:uid="{00000000-0005-0000-0000-0000EAB50000}"/>
    <cellStyle name="Uthevingsfarge3 2 3 2_Avviksanalyse løpende RNB15 (1)" xfId="17818" xr:uid="{00000000-0005-0000-0000-0000EBB50000}"/>
    <cellStyle name="Uthevingsfarge3 2 4" xfId="14869" xr:uid="{00000000-0005-0000-0000-0000ECB50000}"/>
    <cellStyle name="Uthevingsfarge3 2 4 2" xfId="14870" xr:uid="{00000000-0005-0000-0000-0000EDB50000}"/>
    <cellStyle name="Uthevingsfarge3 2 4 2 2" xfId="19247" xr:uid="{00000000-0005-0000-0000-0000EEB50000}"/>
    <cellStyle name="Uthevingsfarge3 2 4 2 3" xfId="15682" xr:uid="{00000000-0005-0000-0000-0000EFB50000}"/>
    <cellStyle name="Uthevingsfarge3 2 4 2 3 2" xfId="27356" xr:uid="{00000000-0005-0000-0000-0000F0B50000}"/>
    <cellStyle name="Uthevingsfarge3 2 4 2 3 2 2" xfId="42238" xr:uid="{00000000-0005-0000-0000-0000F1B50000}"/>
    <cellStyle name="Uthevingsfarge3 2 4 2 3 3" xfId="45934" xr:uid="{00000000-0005-0000-0000-0000F2B50000}"/>
    <cellStyle name="Uthevingsfarge3 2 4 2_Avviksanalyse løpende RNB15 (1)" xfId="17819" xr:uid="{00000000-0005-0000-0000-0000F3B50000}"/>
    <cellStyle name="Uthevingsfarge3 2 5" xfId="14871" xr:uid="{00000000-0005-0000-0000-0000F4B50000}"/>
    <cellStyle name="Uthevingsfarge3 2 5 2" xfId="14872" xr:uid="{00000000-0005-0000-0000-0000F5B50000}"/>
    <cellStyle name="Uthevingsfarge3 2 5 2 2" xfId="19248" xr:uid="{00000000-0005-0000-0000-0000F6B50000}"/>
    <cellStyle name="Uthevingsfarge3 2 5 2 3" xfId="15683" xr:uid="{00000000-0005-0000-0000-0000F7B50000}"/>
    <cellStyle name="Uthevingsfarge3 2 5 2 3 2" xfId="27357" xr:uid="{00000000-0005-0000-0000-0000F8B50000}"/>
    <cellStyle name="Uthevingsfarge3 2 5 2 3 2 2" xfId="42239" xr:uid="{00000000-0005-0000-0000-0000F9B50000}"/>
    <cellStyle name="Uthevingsfarge3 2 5 2 3 3" xfId="45935" xr:uid="{00000000-0005-0000-0000-0000FAB50000}"/>
    <cellStyle name="Uthevingsfarge3 2 5 2_Avviksanalyse løpende RNB15 (1)" xfId="17820" xr:uid="{00000000-0005-0000-0000-0000FBB50000}"/>
    <cellStyle name="Uthevingsfarge3 2 6" xfId="14873" xr:uid="{00000000-0005-0000-0000-0000FCB50000}"/>
    <cellStyle name="Uthevingsfarge3 2 6 2" xfId="14874" xr:uid="{00000000-0005-0000-0000-0000FDB50000}"/>
    <cellStyle name="Uthevingsfarge3 2 6 2 2" xfId="19249" xr:uid="{00000000-0005-0000-0000-0000FEB50000}"/>
    <cellStyle name="Uthevingsfarge3 2 6 2 3" xfId="15684" xr:uid="{00000000-0005-0000-0000-0000FFB50000}"/>
    <cellStyle name="Uthevingsfarge3 2 6 2 3 2" xfId="27358" xr:uid="{00000000-0005-0000-0000-000000B60000}"/>
    <cellStyle name="Uthevingsfarge3 2 6 2 3 2 2" xfId="42240" xr:uid="{00000000-0005-0000-0000-000001B60000}"/>
    <cellStyle name="Uthevingsfarge3 2 6 2 3 3" xfId="45936" xr:uid="{00000000-0005-0000-0000-000002B60000}"/>
    <cellStyle name="Uthevingsfarge3 2 6 2_Avviksanalyse løpende RNB15 (1)" xfId="17821" xr:uid="{00000000-0005-0000-0000-000003B60000}"/>
    <cellStyle name="Uthevingsfarge3 2 7" xfId="14875" xr:uid="{00000000-0005-0000-0000-000004B60000}"/>
    <cellStyle name="Uthevingsfarge3 2 7 2" xfId="14876" xr:uid="{00000000-0005-0000-0000-000005B60000}"/>
    <cellStyle name="Uthevingsfarge3 2 7 2 2" xfId="19250" xr:uid="{00000000-0005-0000-0000-000006B60000}"/>
    <cellStyle name="Uthevingsfarge3 2 7 2 3" xfId="15685" xr:uid="{00000000-0005-0000-0000-000007B60000}"/>
    <cellStyle name="Uthevingsfarge3 2 7 2 3 2" xfId="27359" xr:uid="{00000000-0005-0000-0000-000008B60000}"/>
    <cellStyle name="Uthevingsfarge3 2 7 2 3 2 2" xfId="42241" xr:uid="{00000000-0005-0000-0000-000009B60000}"/>
    <cellStyle name="Uthevingsfarge3 2 7 2 3 3" xfId="45937" xr:uid="{00000000-0005-0000-0000-00000AB60000}"/>
    <cellStyle name="Uthevingsfarge3 2 7 2_Avviksanalyse løpende RNB15 (1)" xfId="17822" xr:uid="{00000000-0005-0000-0000-00000BB60000}"/>
    <cellStyle name="Uthevingsfarge3 2 8" xfId="14877" xr:uid="{00000000-0005-0000-0000-00000CB60000}"/>
    <cellStyle name="Uthevingsfarge3 2 8 2" xfId="14878" xr:uid="{00000000-0005-0000-0000-00000DB60000}"/>
    <cellStyle name="Uthevingsfarge3 2 8 2 2" xfId="19251" xr:uid="{00000000-0005-0000-0000-00000EB60000}"/>
    <cellStyle name="Uthevingsfarge3 2 8 2 3" xfId="15686" xr:uid="{00000000-0005-0000-0000-00000FB60000}"/>
    <cellStyle name="Uthevingsfarge3 2 8 2 3 2" xfId="27360" xr:uid="{00000000-0005-0000-0000-000010B60000}"/>
    <cellStyle name="Uthevingsfarge3 2 8 2 3 2 2" xfId="42242" xr:uid="{00000000-0005-0000-0000-000011B60000}"/>
    <cellStyle name="Uthevingsfarge3 2 8 2 3 3" xfId="45938" xr:uid="{00000000-0005-0000-0000-000012B60000}"/>
    <cellStyle name="Uthevingsfarge3 2 8 2_Avviksanalyse løpende RNB15 (1)" xfId="17823" xr:uid="{00000000-0005-0000-0000-000013B60000}"/>
    <cellStyle name="Uthevingsfarge3 2 9" xfId="14879" xr:uid="{00000000-0005-0000-0000-000014B60000}"/>
    <cellStyle name="Uthevingsfarge3 2 9 2" xfId="14880" xr:uid="{00000000-0005-0000-0000-000015B60000}"/>
    <cellStyle name="Uthevingsfarge3 2 9 2 2" xfId="19252" xr:uid="{00000000-0005-0000-0000-000016B60000}"/>
    <cellStyle name="Uthevingsfarge3 2 9 2 3" xfId="15687" xr:uid="{00000000-0005-0000-0000-000017B60000}"/>
    <cellStyle name="Uthevingsfarge3 2 9 2 3 2" xfId="27361" xr:uid="{00000000-0005-0000-0000-000018B60000}"/>
    <cellStyle name="Uthevingsfarge3 2 9 2 3 2 2" xfId="42243" xr:uid="{00000000-0005-0000-0000-000019B60000}"/>
    <cellStyle name="Uthevingsfarge3 2 9 2 3 3" xfId="45939" xr:uid="{00000000-0005-0000-0000-00001AB60000}"/>
    <cellStyle name="Uthevingsfarge3 2 9 2_Avviksanalyse løpende RNB15 (1)" xfId="17824" xr:uid="{00000000-0005-0000-0000-00001BB60000}"/>
    <cellStyle name="Uthevingsfarge3 20" xfId="40839" xr:uid="{00000000-0005-0000-0000-00001CB60000}"/>
    <cellStyle name="Uthevingsfarge3 21" xfId="40855" xr:uid="{00000000-0005-0000-0000-00001DB60000}"/>
    <cellStyle name="Uthevingsfarge3 22" xfId="43210" xr:uid="{00000000-0005-0000-0000-00001EB60000}"/>
    <cellStyle name="Uthevingsfarge3 23" xfId="43424" xr:uid="{00000000-0005-0000-0000-00001FB60000}"/>
    <cellStyle name="Uthevingsfarge3 24" xfId="43460" xr:uid="{00000000-0005-0000-0000-000020B60000}"/>
    <cellStyle name="Uthevingsfarge3 25" xfId="46273" xr:uid="{00000000-0005-0000-0000-000021B60000}"/>
    <cellStyle name="Uthevingsfarge3 26" xfId="43670" xr:uid="{00000000-0005-0000-0000-000022B60000}"/>
    <cellStyle name="Uthevingsfarge3 27" xfId="46312" xr:uid="{00000000-0005-0000-0000-000023B60000}"/>
    <cellStyle name="Uthevingsfarge3 28" xfId="46816" xr:uid="{00000000-0005-0000-0000-000024B60000}"/>
    <cellStyle name="Uthevingsfarge3 29" xfId="46363" xr:uid="{00000000-0005-0000-0000-000025B60000}"/>
    <cellStyle name="Uthevingsfarge3 3" xfId="3260" xr:uid="{00000000-0005-0000-0000-000026B60000}"/>
    <cellStyle name="Uthevingsfarge3 3 2" xfId="14882" xr:uid="{00000000-0005-0000-0000-000027B60000}"/>
    <cellStyle name="Uthevingsfarge3 3 2 2" xfId="19253" xr:uid="{00000000-0005-0000-0000-000028B60000}"/>
    <cellStyle name="Uthevingsfarge3 3 2 3" xfId="15515" xr:uid="{00000000-0005-0000-0000-000029B60000}"/>
    <cellStyle name="Uthevingsfarge3 3 2 3 2" xfId="27362" xr:uid="{00000000-0005-0000-0000-00002AB60000}"/>
    <cellStyle name="Uthevingsfarge3 3 2 3 2 2" xfId="42071" xr:uid="{00000000-0005-0000-0000-00002BB60000}"/>
    <cellStyle name="Uthevingsfarge3 3 2 3 3" xfId="45940" xr:uid="{00000000-0005-0000-0000-00002CB60000}"/>
    <cellStyle name="Uthevingsfarge3 3 2_Avviksanalyse løpende RNB15 (1)" xfId="17825" xr:uid="{00000000-0005-0000-0000-00002DB60000}"/>
    <cellStyle name="Uthevingsfarge3 3 3" xfId="14881" xr:uid="{00000000-0005-0000-0000-00002EB60000}"/>
    <cellStyle name="Uthevingsfarge3 30" xfId="46401" xr:uid="{00000000-0005-0000-0000-00002FB60000}"/>
    <cellStyle name="Uthevingsfarge3 31" xfId="46824" xr:uid="{00000000-0005-0000-0000-000030B60000}"/>
    <cellStyle name="Uthevingsfarge3 32" xfId="46633" xr:uid="{00000000-0005-0000-0000-000031B60000}"/>
    <cellStyle name="Uthevingsfarge3 4" xfId="3261" xr:uid="{00000000-0005-0000-0000-000032B60000}"/>
    <cellStyle name="Uthevingsfarge3 4 2" xfId="14884" xr:uid="{00000000-0005-0000-0000-000033B60000}"/>
    <cellStyle name="Uthevingsfarge3 4 2 2" xfId="19254" xr:uid="{00000000-0005-0000-0000-000034B60000}"/>
    <cellStyle name="Uthevingsfarge3 4 2 3" xfId="15516" xr:uid="{00000000-0005-0000-0000-000035B60000}"/>
    <cellStyle name="Uthevingsfarge3 4 2 3 2" xfId="27363" xr:uid="{00000000-0005-0000-0000-000036B60000}"/>
    <cellStyle name="Uthevingsfarge3 4 2 3 2 2" xfId="42072" xr:uid="{00000000-0005-0000-0000-000037B60000}"/>
    <cellStyle name="Uthevingsfarge3 4 2 3 3" xfId="45941" xr:uid="{00000000-0005-0000-0000-000038B60000}"/>
    <cellStyle name="Uthevingsfarge3 4 2_Avviksanalyse løpende RNB15 (1)" xfId="17826" xr:uid="{00000000-0005-0000-0000-000039B60000}"/>
    <cellStyle name="Uthevingsfarge3 4 3" xfId="14883" xr:uid="{00000000-0005-0000-0000-00003AB60000}"/>
    <cellStyle name="Uthevingsfarge3 5" xfId="3262" xr:uid="{00000000-0005-0000-0000-00003BB60000}"/>
    <cellStyle name="Uthevingsfarge3 5 2" xfId="14886" xr:uid="{00000000-0005-0000-0000-00003CB60000}"/>
    <cellStyle name="Uthevingsfarge3 5 2 2" xfId="19255" xr:uid="{00000000-0005-0000-0000-00003DB60000}"/>
    <cellStyle name="Uthevingsfarge3 5 2 3" xfId="15513" xr:uid="{00000000-0005-0000-0000-00003EB60000}"/>
    <cellStyle name="Uthevingsfarge3 5 2 3 2" xfId="27364" xr:uid="{00000000-0005-0000-0000-00003FB60000}"/>
    <cellStyle name="Uthevingsfarge3 5 2 3 2 2" xfId="42069" xr:uid="{00000000-0005-0000-0000-000040B60000}"/>
    <cellStyle name="Uthevingsfarge3 5 2 3 3" xfId="45942" xr:uid="{00000000-0005-0000-0000-000041B60000}"/>
    <cellStyle name="Uthevingsfarge3 5 2_Avviksanalyse løpende RNB15 (1)" xfId="17827" xr:uid="{00000000-0005-0000-0000-000042B60000}"/>
    <cellStyle name="Uthevingsfarge3 5 3" xfId="14885" xr:uid="{00000000-0005-0000-0000-000043B60000}"/>
    <cellStyle name="Uthevingsfarge3 6" xfId="3263" xr:uid="{00000000-0005-0000-0000-000044B60000}"/>
    <cellStyle name="Uthevingsfarge3 6 2" xfId="14888" xr:uid="{00000000-0005-0000-0000-000045B60000}"/>
    <cellStyle name="Uthevingsfarge3 6 2 2" xfId="19256" xr:uid="{00000000-0005-0000-0000-000046B60000}"/>
    <cellStyle name="Uthevingsfarge3 6 2 3" xfId="15688" xr:uid="{00000000-0005-0000-0000-000047B60000}"/>
    <cellStyle name="Uthevingsfarge3 6 2 3 2" xfId="27365" xr:uid="{00000000-0005-0000-0000-000048B60000}"/>
    <cellStyle name="Uthevingsfarge3 6 2 3 2 2" xfId="42244" xr:uid="{00000000-0005-0000-0000-000049B60000}"/>
    <cellStyle name="Uthevingsfarge3 6 2 3 3" xfId="45943" xr:uid="{00000000-0005-0000-0000-00004AB60000}"/>
    <cellStyle name="Uthevingsfarge3 6 2_Avviksanalyse løpende RNB15 (1)" xfId="17828" xr:uid="{00000000-0005-0000-0000-00004BB60000}"/>
    <cellStyle name="Uthevingsfarge3 6 3" xfId="14887" xr:uid="{00000000-0005-0000-0000-00004CB60000}"/>
    <cellStyle name="Uthevingsfarge3 7" xfId="3264" xr:uid="{00000000-0005-0000-0000-00004DB60000}"/>
    <cellStyle name="Uthevingsfarge3 7 2" xfId="14890" xr:uid="{00000000-0005-0000-0000-00004EB60000}"/>
    <cellStyle name="Uthevingsfarge3 7 2 2" xfId="19257" xr:uid="{00000000-0005-0000-0000-00004FB60000}"/>
    <cellStyle name="Uthevingsfarge3 7 2 3" xfId="15689" xr:uid="{00000000-0005-0000-0000-000050B60000}"/>
    <cellStyle name="Uthevingsfarge3 7 2 3 2" xfId="27366" xr:uid="{00000000-0005-0000-0000-000051B60000}"/>
    <cellStyle name="Uthevingsfarge3 7 2 3 2 2" xfId="42245" xr:uid="{00000000-0005-0000-0000-000052B60000}"/>
    <cellStyle name="Uthevingsfarge3 7 2 3 3" xfId="45944" xr:uid="{00000000-0005-0000-0000-000053B60000}"/>
    <cellStyle name="Uthevingsfarge3 7 2_Avviksanalyse løpende RNB15 (1)" xfId="17829" xr:uid="{00000000-0005-0000-0000-000054B60000}"/>
    <cellStyle name="Uthevingsfarge3 7 3" xfId="14889" xr:uid="{00000000-0005-0000-0000-000055B60000}"/>
    <cellStyle name="Uthevingsfarge3 8" xfId="3265" xr:uid="{00000000-0005-0000-0000-000056B60000}"/>
    <cellStyle name="Uthevingsfarge3 8 2" xfId="3266" xr:uid="{00000000-0005-0000-0000-000057B60000}"/>
    <cellStyle name="Uthevingsfarge3 8 2 2" xfId="14893" xr:uid="{00000000-0005-0000-0000-000058B60000}"/>
    <cellStyle name="Uthevingsfarge3 8 2 2 2" xfId="19258" xr:uid="{00000000-0005-0000-0000-000059B60000}"/>
    <cellStyle name="Uthevingsfarge3 8 2 2 3" xfId="16451" xr:uid="{00000000-0005-0000-0000-00005AB60000}"/>
    <cellStyle name="Uthevingsfarge3 8 2 2 3 2" xfId="27367" xr:uid="{00000000-0005-0000-0000-00005BB60000}"/>
    <cellStyle name="Uthevingsfarge3 8 2 2 3 2 2" xfId="43006" xr:uid="{00000000-0005-0000-0000-00005CB60000}"/>
    <cellStyle name="Uthevingsfarge3 8 2 2 3 3" xfId="45945" xr:uid="{00000000-0005-0000-0000-00005DB60000}"/>
    <cellStyle name="Uthevingsfarge3 8 2 2_Avviksanalyse løpende RNB15 (1)" xfId="17830" xr:uid="{00000000-0005-0000-0000-00005EB60000}"/>
    <cellStyle name="Uthevingsfarge3 8 2 3" xfId="14892" xr:uid="{00000000-0005-0000-0000-00005FB60000}"/>
    <cellStyle name="Uthevingsfarge3 8 3" xfId="14894" xr:uid="{00000000-0005-0000-0000-000060B60000}"/>
    <cellStyle name="Uthevingsfarge3 8 3 2" xfId="14895" xr:uid="{00000000-0005-0000-0000-000061B60000}"/>
    <cellStyle name="Uthevingsfarge3 8 3 2 2" xfId="19259" xr:uid="{00000000-0005-0000-0000-000062B60000}"/>
    <cellStyle name="Uthevingsfarge3 8 3 2 3" xfId="16450" xr:uid="{00000000-0005-0000-0000-000063B60000}"/>
    <cellStyle name="Uthevingsfarge3 8 3 2 3 2" xfId="27368" xr:uid="{00000000-0005-0000-0000-000064B60000}"/>
    <cellStyle name="Uthevingsfarge3 8 3 2 3 2 2" xfId="43005" xr:uid="{00000000-0005-0000-0000-000065B60000}"/>
    <cellStyle name="Uthevingsfarge3 8 3 2 3 3" xfId="45946" xr:uid="{00000000-0005-0000-0000-000066B60000}"/>
    <cellStyle name="Uthevingsfarge3 8 3 2_Avviksanalyse løpende RNB15 (1)" xfId="17831" xr:uid="{00000000-0005-0000-0000-000067B60000}"/>
    <cellStyle name="Uthevingsfarge3 8 4" xfId="14896" xr:uid="{00000000-0005-0000-0000-000068B60000}"/>
    <cellStyle name="Uthevingsfarge3 8 4 2" xfId="19260" xr:uid="{00000000-0005-0000-0000-000069B60000}"/>
    <cellStyle name="Uthevingsfarge3 8 4 3" xfId="15690" xr:uid="{00000000-0005-0000-0000-00006AB60000}"/>
    <cellStyle name="Uthevingsfarge3 8 4 3 2" xfId="27369" xr:uid="{00000000-0005-0000-0000-00006BB60000}"/>
    <cellStyle name="Uthevingsfarge3 8 4 3 2 2" xfId="42246" xr:uid="{00000000-0005-0000-0000-00006CB60000}"/>
    <cellStyle name="Uthevingsfarge3 8 4 3 3" xfId="45947" xr:uid="{00000000-0005-0000-0000-00006DB60000}"/>
    <cellStyle name="Uthevingsfarge3 8 4_Avviksanalyse løpende RNB15 (1)" xfId="17832" xr:uid="{00000000-0005-0000-0000-00006EB60000}"/>
    <cellStyle name="Uthevingsfarge3 8 5" xfId="14891" xr:uid="{00000000-0005-0000-0000-00006FB60000}"/>
    <cellStyle name="Uthevingsfarge3 9" xfId="3267" xr:uid="{00000000-0005-0000-0000-000070B60000}"/>
    <cellStyle name="Uthevingsfarge3 9 2" xfId="14898" xr:uid="{00000000-0005-0000-0000-000071B60000}"/>
    <cellStyle name="Uthevingsfarge3 9 2 2" xfId="14899" xr:uid="{00000000-0005-0000-0000-000072B60000}"/>
    <cellStyle name="Uthevingsfarge3 9 2 2 2" xfId="19261" xr:uid="{00000000-0005-0000-0000-000073B60000}"/>
    <cellStyle name="Uthevingsfarge3 9 2 2 3" xfId="16452" xr:uid="{00000000-0005-0000-0000-000074B60000}"/>
    <cellStyle name="Uthevingsfarge3 9 2 2 3 2" xfId="27370" xr:uid="{00000000-0005-0000-0000-000075B60000}"/>
    <cellStyle name="Uthevingsfarge3 9 2 2 3 2 2" xfId="43007" xr:uid="{00000000-0005-0000-0000-000076B60000}"/>
    <cellStyle name="Uthevingsfarge3 9 2 2 3 3" xfId="45948" xr:uid="{00000000-0005-0000-0000-000077B60000}"/>
    <cellStyle name="Uthevingsfarge3 9 2 2_Avviksanalyse løpende RNB15 (1)" xfId="17833" xr:uid="{00000000-0005-0000-0000-000078B60000}"/>
    <cellStyle name="Uthevingsfarge3 9 3" xfId="14900" xr:uid="{00000000-0005-0000-0000-000079B60000}"/>
    <cellStyle name="Uthevingsfarge3 9 3 2" xfId="19262" xr:uid="{00000000-0005-0000-0000-00007AB60000}"/>
    <cellStyle name="Uthevingsfarge3 9 3 3" xfId="15691" xr:uid="{00000000-0005-0000-0000-00007BB60000}"/>
    <cellStyle name="Uthevingsfarge3 9 3 3 2" xfId="27371" xr:uid="{00000000-0005-0000-0000-00007CB60000}"/>
    <cellStyle name="Uthevingsfarge3 9 3 3 2 2" xfId="42247" xr:uid="{00000000-0005-0000-0000-00007DB60000}"/>
    <cellStyle name="Uthevingsfarge3 9 3 3 3" xfId="45949" xr:uid="{00000000-0005-0000-0000-00007EB60000}"/>
    <cellStyle name="Uthevingsfarge3 9 3_Avviksanalyse løpende RNB15 (1)" xfId="17834" xr:uid="{00000000-0005-0000-0000-00007FB60000}"/>
    <cellStyle name="Uthevingsfarge3 9 4" xfId="14897" xr:uid="{00000000-0005-0000-0000-000080B60000}"/>
    <cellStyle name="Uthevingsfarge4" xfId="4645" xr:uid="{00000000-0005-0000-0000-000081B60000}"/>
    <cellStyle name="Uthevingsfarge4 10" xfId="3269" xr:uid="{00000000-0005-0000-0000-000082B60000}"/>
    <cellStyle name="Uthevingsfarge4 10 2" xfId="4437" xr:uid="{00000000-0005-0000-0000-000083B60000}"/>
    <cellStyle name="Uthevingsfarge4 10 2 2" xfId="14903" xr:uid="{00000000-0005-0000-0000-000084B60000}"/>
    <cellStyle name="Uthevingsfarge4 10 2 2 2" xfId="19263" xr:uid="{00000000-0005-0000-0000-000085B60000}"/>
    <cellStyle name="Uthevingsfarge4 10 2 2 3" xfId="16453" xr:uid="{00000000-0005-0000-0000-000086B60000}"/>
    <cellStyle name="Uthevingsfarge4 10 2 2 3 2" xfId="27372" xr:uid="{00000000-0005-0000-0000-000087B60000}"/>
    <cellStyle name="Uthevingsfarge4 10 2 2 3 2 2" xfId="43008" xr:uid="{00000000-0005-0000-0000-000088B60000}"/>
    <cellStyle name="Uthevingsfarge4 10 2 2 3 3" xfId="45950" xr:uid="{00000000-0005-0000-0000-000089B60000}"/>
    <cellStyle name="Uthevingsfarge4 10 2 2_Avviksanalyse løpende RNB15 (1)" xfId="17835" xr:uid="{00000000-0005-0000-0000-00008AB60000}"/>
    <cellStyle name="Uthevingsfarge4 10 2 3" xfId="14902" xr:uid="{00000000-0005-0000-0000-00008BB60000}"/>
    <cellStyle name="Uthevingsfarge4 10 3" xfId="4389" xr:uid="{00000000-0005-0000-0000-00008CB60000}"/>
    <cellStyle name="Uthevingsfarge4 10 3 2" xfId="19264" xr:uid="{00000000-0005-0000-0000-00008DB60000}"/>
    <cellStyle name="Uthevingsfarge4 10 3 3" xfId="15692" xr:uid="{00000000-0005-0000-0000-00008EB60000}"/>
    <cellStyle name="Uthevingsfarge4 10 3 3 2" xfId="27373" xr:uid="{00000000-0005-0000-0000-00008FB60000}"/>
    <cellStyle name="Uthevingsfarge4 10 3 3 2 2" xfId="42248" xr:uid="{00000000-0005-0000-0000-000090B60000}"/>
    <cellStyle name="Uthevingsfarge4 10 3 3 3" xfId="45951" xr:uid="{00000000-0005-0000-0000-000091B60000}"/>
    <cellStyle name="Uthevingsfarge4 10 3 4" xfId="14904" xr:uid="{00000000-0005-0000-0000-000092B60000}"/>
    <cellStyle name="Uthevingsfarge4 10 3_Avviksanalyse løpende RNB15 (1)" xfId="17836" xr:uid="{00000000-0005-0000-0000-000093B60000}"/>
    <cellStyle name="Uthevingsfarge4 10 4" xfId="14901" xr:uid="{00000000-0005-0000-0000-000094B60000}"/>
    <cellStyle name="Uthevingsfarge4 11" xfId="3270" xr:uid="{00000000-0005-0000-0000-000095B60000}"/>
    <cellStyle name="Uthevingsfarge4 11 2" xfId="14906" xr:uid="{00000000-0005-0000-0000-000096B60000}"/>
    <cellStyle name="Uthevingsfarge4 11 2 2" xfId="14907" xr:uid="{00000000-0005-0000-0000-000097B60000}"/>
    <cellStyle name="Uthevingsfarge4 11 2 2 2" xfId="19265" xr:uid="{00000000-0005-0000-0000-000098B60000}"/>
    <cellStyle name="Uthevingsfarge4 11 2 2 3" xfId="16454" xr:uid="{00000000-0005-0000-0000-000099B60000}"/>
    <cellStyle name="Uthevingsfarge4 11 2 2 3 2" xfId="27374" xr:uid="{00000000-0005-0000-0000-00009AB60000}"/>
    <cellStyle name="Uthevingsfarge4 11 2 2 3 2 2" xfId="43009" xr:uid="{00000000-0005-0000-0000-00009BB60000}"/>
    <cellStyle name="Uthevingsfarge4 11 2 2 3 3" xfId="45952" xr:uid="{00000000-0005-0000-0000-00009CB60000}"/>
    <cellStyle name="Uthevingsfarge4 11 2 2_Avviksanalyse løpende RNB15 (1)" xfId="17837" xr:uid="{00000000-0005-0000-0000-00009DB60000}"/>
    <cellStyle name="Uthevingsfarge4 11 3" xfId="14908" xr:uid="{00000000-0005-0000-0000-00009EB60000}"/>
    <cellStyle name="Uthevingsfarge4 11 3 2" xfId="19266" xr:uid="{00000000-0005-0000-0000-00009FB60000}"/>
    <cellStyle name="Uthevingsfarge4 11 3 3" xfId="15693" xr:uid="{00000000-0005-0000-0000-0000A0B60000}"/>
    <cellStyle name="Uthevingsfarge4 11 3 3 2" xfId="27375" xr:uid="{00000000-0005-0000-0000-0000A1B60000}"/>
    <cellStyle name="Uthevingsfarge4 11 3 3 2 2" xfId="42249" xr:uid="{00000000-0005-0000-0000-0000A2B60000}"/>
    <cellStyle name="Uthevingsfarge4 11 3 3 3" xfId="45953" xr:uid="{00000000-0005-0000-0000-0000A3B60000}"/>
    <cellStyle name="Uthevingsfarge4 11 3_Avviksanalyse løpende RNB15 (1)" xfId="17838" xr:uid="{00000000-0005-0000-0000-0000A4B60000}"/>
    <cellStyle name="Uthevingsfarge4 11 4" xfId="14905" xr:uid="{00000000-0005-0000-0000-0000A5B60000}"/>
    <cellStyle name="Uthevingsfarge4 12" xfId="3271" xr:uid="{00000000-0005-0000-0000-0000A6B60000}"/>
    <cellStyle name="Uthevingsfarge4 12 2" xfId="14910" xr:uid="{00000000-0005-0000-0000-0000A7B60000}"/>
    <cellStyle name="Uthevingsfarge4 12 2 2" xfId="14911" xr:uid="{00000000-0005-0000-0000-0000A8B60000}"/>
    <cellStyle name="Uthevingsfarge4 12 2 2 2" xfId="19267" xr:uid="{00000000-0005-0000-0000-0000A9B60000}"/>
    <cellStyle name="Uthevingsfarge4 12 2 2 3" xfId="16455" xr:uid="{00000000-0005-0000-0000-0000AAB60000}"/>
    <cellStyle name="Uthevingsfarge4 12 2 2 3 2" xfId="27376" xr:uid="{00000000-0005-0000-0000-0000ABB60000}"/>
    <cellStyle name="Uthevingsfarge4 12 2 2 3 2 2" xfId="43010" xr:uid="{00000000-0005-0000-0000-0000ACB60000}"/>
    <cellStyle name="Uthevingsfarge4 12 2 2 3 3" xfId="45954" xr:uid="{00000000-0005-0000-0000-0000ADB60000}"/>
    <cellStyle name="Uthevingsfarge4 12 2 2_Avviksanalyse løpende RNB15 (1)" xfId="17839" xr:uid="{00000000-0005-0000-0000-0000AEB60000}"/>
    <cellStyle name="Uthevingsfarge4 12 3" xfId="14912" xr:uid="{00000000-0005-0000-0000-0000AFB60000}"/>
    <cellStyle name="Uthevingsfarge4 12 3 2" xfId="19268" xr:uid="{00000000-0005-0000-0000-0000B0B60000}"/>
    <cellStyle name="Uthevingsfarge4 12 3 3" xfId="15694" xr:uid="{00000000-0005-0000-0000-0000B1B60000}"/>
    <cellStyle name="Uthevingsfarge4 12 3 3 2" xfId="27377" xr:uid="{00000000-0005-0000-0000-0000B2B60000}"/>
    <cellStyle name="Uthevingsfarge4 12 3 3 2 2" xfId="42250" xr:uid="{00000000-0005-0000-0000-0000B3B60000}"/>
    <cellStyle name="Uthevingsfarge4 12 3 3 3" xfId="45955" xr:uid="{00000000-0005-0000-0000-0000B4B60000}"/>
    <cellStyle name="Uthevingsfarge4 12 3_Avviksanalyse løpende RNB15 (1)" xfId="17840" xr:uid="{00000000-0005-0000-0000-0000B5B60000}"/>
    <cellStyle name="Uthevingsfarge4 12 4" xfId="14909" xr:uid="{00000000-0005-0000-0000-0000B6B60000}"/>
    <cellStyle name="Uthevingsfarge4 13" xfId="3445" xr:uid="{00000000-0005-0000-0000-0000B7B60000}"/>
    <cellStyle name="Uthevingsfarge4 13 2" xfId="14914" xr:uid="{00000000-0005-0000-0000-0000B8B60000}"/>
    <cellStyle name="Uthevingsfarge4 13 2 2" xfId="19269" xr:uid="{00000000-0005-0000-0000-0000B9B60000}"/>
    <cellStyle name="Uthevingsfarge4 13 2 3" xfId="15695" xr:uid="{00000000-0005-0000-0000-0000BAB60000}"/>
    <cellStyle name="Uthevingsfarge4 13 2 3 2" xfId="27378" xr:uid="{00000000-0005-0000-0000-0000BBB60000}"/>
    <cellStyle name="Uthevingsfarge4 13 2 3 2 2" xfId="42251" xr:uid="{00000000-0005-0000-0000-0000BCB60000}"/>
    <cellStyle name="Uthevingsfarge4 13 2 3 3" xfId="45956" xr:uid="{00000000-0005-0000-0000-0000BDB60000}"/>
    <cellStyle name="Uthevingsfarge4 13 2_Avviksanalyse løpende RNB15 (1)" xfId="17841" xr:uid="{00000000-0005-0000-0000-0000BEB60000}"/>
    <cellStyle name="Uthevingsfarge4 13 3" xfId="14913" xr:uid="{00000000-0005-0000-0000-0000BFB60000}"/>
    <cellStyle name="Uthevingsfarge4 14" xfId="14915" xr:uid="{00000000-0005-0000-0000-0000C0B60000}"/>
    <cellStyle name="Uthevingsfarge4 14 2" xfId="14916" xr:uid="{00000000-0005-0000-0000-0000C1B60000}"/>
    <cellStyle name="Uthevingsfarge4 14 2 2" xfId="19270" xr:uid="{00000000-0005-0000-0000-0000C2B60000}"/>
    <cellStyle name="Uthevingsfarge4 14 2 3" xfId="15696" xr:uid="{00000000-0005-0000-0000-0000C3B60000}"/>
    <cellStyle name="Uthevingsfarge4 14 2 3 2" xfId="27379" xr:uid="{00000000-0005-0000-0000-0000C4B60000}"/>
    <cellStyle name="Uthevingsfarge4 14 2 3 2 2" xfId="42252" xr:uid="{00000000-0005-0000-0000-0000C5B60000}"/>
    <cellStyle name="Uthevingsfarge4 14 2 3 3" xfId="45957" xr:uid="{00000000-0005-0000-0000-0000C6B60000}"/>
    <cellStyle name="Uthevingsfarge4 14 2_Avviksanalyse løpende RNB15 (1)" xfId="17842" xr:uid="{00000000-0005-0000-0000-0000C7B60000}"/>
    <cellStyle name="Uthevingsfarge4 15" xfId="40953" xr:uid="{00000000-0005-0000-0000-0000C8B60000}"/>
    <cellStyle name="Uthevingsfarge4 16" xfId="43152" xr:uid="{00000000-0005-0000-0000-0000C9B60000}"/>
    <cellStyle name="Uthevingsfarge4 17" xfId="40906" xr:uid="{00000000-0005-0000-0000-0000CAB60000}"/>
    <cellStyle name="Uthevingsfarge4 18" xfId="40809" xr:uid="{00000000-0005-0000-0000-0000CBB60000}"/>
    <cellStyle name="Uthevingsfarge4 19" xfId="40873" xr:uid="{00000000-0005-0000-0000-0000CCB60000}"/>
    <cellStyle name="Uthevingsfarge4 2" xfId="3272" xr:uid="{00000000-0005-0000-0000-0000CDB60000}"/>
    <cellStyle name="Uthevingsfarge4 2 10" xfId="14918" xr:uid="{00000000-0005-0000-0000-0000CEB60000}"/>
    <cellStyle name="Uthevingsfarge4 2 10 2" xfId="19271" xr:uid="{00000000-0005-0000-0000-0000CFB60000}"/>
    <cellStyle name="Uthevingsfarge4 2 10 3" xfId="15518" xr:uid="{00000000-0005-0000-0000-0000D0B60000}"/>
    <cellStyle name="Uthevingsfarge4 2 10 3 2" xfId="27380" xr:uid="{00000000-0005-0000-0000-0000D1B60000}"/>
    <cellStyle name="Uthevingsfarge4 2 10 3 2 2" xfId="42074" xr:uid="{00000000-0005-0000-0000-0000D2B60000}"/>
    <cellStyle name="Uthevingsfarge4 2 10 3 3" xfId="45958" xr:uid="{00000000-0005-0000-0000-0000D3B60000}"/>
    <cellStyle name="Uthevingsfarge4 2 10_Avviksanalyse løpende RNB15 (1)" xfId="17843" xr:uid="{00000000-0005-0000-0000-0000D4B60000}"/>
    <cellStyle name="Uthevingsfarge4 2 11" xfId="14917" xr:uid="{00000000-0005-0000-0000-0000D5B60000}"/>
    <cellStyle name="Uthevingsfarge4 2 2" xfId="14919" xr:uid="{00000000-0005-0000-0000-0000D6B60000}"/>
    <cellStyle name="Uthevingsfarge4 2 2 2" xfId="14920" xr:uid="{00000000-0005-0000-0000-0000D7B60000}"/>
    <cellStyle name="Uthevingsfarge4 2 2 2 2" xfId="19272" xr:uid="{00000000-0005-0000-0000-0000D8B60000}"/>
    <cellStyle name="Uthevingsfarge4 2 2 2 3" xfId="15697" xr:uid="{00000000-0005-0000-0000-0000D9B60000}"/>
    <cellStyle name="Uthevingsfarge4 2 2 2 3 2" xfId="27381" xr:uid="{00000000-0005-0000-0000-0000DAB60000}"/>
    <cellStyle name="Uthevingsfarge4 2 2 2 3 2 2" xfId="42253" xr:uid="{00000000-0005-0000-0000-0000DBB60000}"/>
    <cellStyle name="Uthevingsfarge4 2 2 2 3 3" xfId="45959" xr:uid="{00000000-0005-0000-0000-0000DCB60000}"/>
    <cellStyle name="Uthevingsfarge4 2 2 2_Avviksanalyse løpende RNB15 (1)" xfId="17844" xr:uid="{00000000-0005-0000-0000-0000DDB60000}"/>
    <cellStyle name="Uthevingsfarge4 2 3" xfId="14921" xr:uid="{00000000-0005-0000-0000-0000DEB60000}"/>
    <cellStyle name="Uthevingsfarge4 2 3 2" xfId="14922" xr:uid="{00000000-0005-0000-0000-0000DFB60000}"/>
    <cellStyle name="Uthevingsfarge4 2 3 2 2" xfId="19273" xr:uid="{00000000-0005-0000-0000-0000E0B60000}"/>
    <cellStyle name="Uthevingsfarge4 2 3 2 3" xfId="15698" xr:uid="{00000000-0005-0000-0000-0000E1B60000}"/>
    <cellStyle name="Uthevingsfarge4 2 3 2 3 2" xfId="27382" xr:uid="{00000000-0005-0000-0000-0000E2B60000}"/>
    <cellStyle name="Uthevingsfarge4 2 3 2 3 2 2" xfId="42254" xr:uid="{00000000-0005-0000-0000-0000E3B60000}"/>
    <cellStyle name="Uthevingsfarge4 2 3 2 3 3" xfId="45960" xr:uid="{00000000-0005-0000-0000-0000E4B60000}"/>
    <cellStyle name="Uthevingsfarge4 2 3 2_Avviksanalyse løpende RNB15 (1)" xfId="17845" xr:uid="{00000000-0005-0000-0000-0000E5B60000}"/>
    <cellStyle name="Uthevingsfarge4 2 4" xfId="14923" xr:uid="{00000000-0005-0000-0000-0000E6B60000}"/>
    <cellStyle name="Uthevingsfarge4 2 4 2" xfId="14924" xr:uid="{00000000-0005-0000-0000-0000E7B60000}"/>
    <cellStyle name="Uthevingsfarge4 2 4 2 2" xfId="19274" xr:uid="{00000000-0005-0000-0000-0000E8B60000}"/>
    <cellStyle name="Uthevingsfarge4 2 4 2 3" xfId="15699" xr:uid="{00000000-0005-0000-0000-0000E9B60000}"/>
    <cellStyle name="Uthevingsfarge4 2 4 2 3 2" xfId="27383" xr:uid="{00000000-0005-0000-0000-0000EAB60000}"/>
    <cellStyle name="Uthevingsfarge4 2 4 2 3 2 2" xfId="42255" xr:uid="{00000000-0005-0000-0000-0000EBB60000}"/>
    <cellStyle name="Uthevingsfarge4 2 4 2 3 3" xfId="45962" xr:uid="{00000000-0005-0000-0000-0000ECB60000}"/>
    <cellStyle name="Uthevingsfarge4 2 4 2_Avviksanalyse løpende RNB15 (1)" xfId="17846" xr:uid="{00000000-0005-0000-0000-0000EDB60000}"/>
    <cellStyle name="Uthevingsfarge4 2 5" xfId="14925" xr:uid="{00000000-0005-0000-0000-0000EEB60000}"/>
    <cellStyle name="Uthevingsfarge4 2 5 2" xfId="14926" xr:uid="{00000000-0005-0000-0000-0000EFB60000}"/>
    <cellStyle name="Uthevingsfarge4 2 5 2 2" xfId="19275" xr:uid="{00000000-0005-0000-0000-0000F0B60000}"/>
    <cellStyle name="Uthevingsfarge4 2 5 2 3" xfId="15700" xr:uid="{00000000-0005-0000-0000-0000F1B60000}"/>
    <cellStyle name="Uthevingsfarge4 2 5 2 3 2" xfId="27384" xr:uid="{00000000-0005-0000-0000-0000F2B60000}"/>
    <cellStyle name="Uthevingsfarge4 2 5 2 3 2 2" xfId="42256" xr:uid="{00000000-0005-0000-0000-0000F3B60000}"/>
    <cellStyle name="Uthevingsfarge4 2 5 2 3 3" xfId="45963" xr:uid="{00000000-0005-0000-0000-0000F4B60000}"/>
    <cellStyle name="Uthevingsfarge4 2 5 2_Avviksanalyse løpende RNB15 (1)" xfId="17847" xr:uid="{00000000-0005-0000-0000-0000F5B60000}"/>
    <cellStyle name="Uthevingsfarge4 2 6" xfId="14927" xr:uid="{00000000-0005-0000-0000-0000F6B60000}"/>
    <cellStyle name="Uthevingsfarge4 2 6 2" xfId="14928" xr:uid="{00000000-0005-0000-0000-0000F7B60000}"/>
    <cellStyle name="Uthevingsfarge4 2 6 2 2" xfId="19276" xr:uid="{00000000-0005-0000-0000-0000F8B60000}"/>
    <cellStyle name="Uthevingsfarge4 2 6 2 3" xfId="15701" xr:uid="{00000000-0005-0000-0000-0000F9B60000}"/>
    <cellStyle name="Uthevingsfarge4 2 6 2 3 2" xfId="27385" xr:uid="{00000000-0005-0000-0000-0000FAB60000}"/>
    <cellStyle name="Uthevingsfarge4 2 6 2 3 2 2" xfId="42257" xr:uid="{00000000-0005-0000-0000-0000FBB60000}"/>
    <cellStyle name="Uthevingsfarge4 2 6 2 3 3" xfId="45964" xr:uid="{00000000-0005-0000-0000-0000FCB60000}"/>
    <cellStyle name="Uthevingsfarge4 2 6 2_Avviksanalyse løpende RNB15 (1)" xfId="17848" xr:uid="{00000000-0005-0000-0000-0000FDB60000}"/>
    <cellStyle name="Uthevingsfarge4 2 7" xfId="14929" xr:uid="{00000000-0005-0000-0000-0000FEB60000}"/>
    <cellStyle name="Uthevingsfarge4 2 7 2" xfId="14930" xr:uid="{00000000-0005-0000-0000-0000FFB60000}"/>
    <cellStyle name="Uthevingsfarge4 2 7 2 2" xfId="19277" xr:uid="{00000000-0005-0000-0000-000000B70000}"/>
    <cellStyle name="Uthevingsfarge4 2 7 2 3" xfId="15702" xr:uid="{00000000-0005-0000-0000-000001B70000}"/>
    <cellStyle name="Uthevingsfarge4 2 7 2 3 2" xfId="27386" xr:uid="{00000000-0005-0000-0000-000002B70000}"/>
    <cellStyle name="Uthevingsfarge4 2 7 2 3 2 2" xfId="42258" xr:uid="{00000000-0005-0000-0000-000003B70000}"/>
    <cellStyle name="Uthevingsfarge4 2 7 2 3 3" xfId="45965" xr:uid="{00000000-0005-0000-0000-000004B70000}"/>
    <cellStyle name="Uthevingsfarge4 2 7 2_Avviksanalyse løpende RNB15 (1)" xfId="17849" xr:uid="{00000000-0005-0000-0000-000005B70000}"/>
    <cellStyle name="Uthevingsfarge4 2 8" xfId="14931" xr:uid="{00000000-0005-0000-0000-000006B70000}"/>
    <cellStyle name="Uthevingsfarge4 2 8 2" xfId="14932" xr:uid="{00000000-0005-0000-0000-000007B70000}"/>
    <cellStyle name="Uthevingsfarge4 2 8 2 2" xfId="19278" xr:uid="{00000000-0005-0000-0000-000008B70000}"/>
    <cellStyle name="Uthevingsfarge4 2 8 2 3" xfId="15703" xr:uid="{00000000-0005-0000-0000-000009B70000}"/>
    <cellStyle name="Uthevingsfarge4 2 8 2 3 2" xfId="27387" xr:uid="{00000000-0005-0000-0000-00000AB70000}"/>
    <cellStyle name="Uthevingsfarge4 2 8 2 3 2 2" xfId="42259" xr:uid="{00000000-0005-0000-0000-00000BB70000}"/>
    <cellStyle name="Uthevingsfarge4 2 8 2 3 3" xfId="45966" xr:uid="{00000000-0005-0000-0000-00000CB70000}"/>
    <cellStyle name="Uthevingsfarge4 2 8 2_Avviksanalyse løpende RNB15 (1)" xfId="17850" xr:uid="{00000000-0005-0000-0000-00000DB70000}"/>
    <cellStyle name="Uthevingsfarge4 2 9" xfId="14933" xr:uid="{00000000-0005-0000-0000-00000EB70000}"/>
    <cellStyle name="Uthevingsfarge4 2 9 2" xfId="14934" xr:uid="{00000000-0005-0000-0000-00000FB70000}"/>
    <cellStyle name="Uthevingsfarge4 2 9 2 2" xfId="19279" xr:uid="{00000000-0005-0000-0000-000010B70000}"/>
    <cellStyle name="Uthevingsfarge4 2 9 2 3" xfId="15704" xr:uid="{00000000-0005-0000-0000-000011B70000}"/>
    <cellStyle name="Uthevingsfarge4 2 9 2 3 2" xfId="27388" xr:uid="{00000000-0005-0000-0000-000012B70000}"/>
    <cellStyle name="Uthevingsfarge4 2 9 2 3 2 2" xfId="42260" xr:uid="{00000000-0005-0000-0000-000013B70000}"/>
    <cellStyle name="Uthevingsfarge4 2 9 2 3 3" xfId="45967" xr:uid="{00000000-0005-0000-0000-000014B70000}"/>
    <cellStyle name="Uthevingsfarge4 2 9 2_Avviksanalyse løpende RNB15 (1)" xfId="17851" xr:uid="{00000000-0005-0000-0000-000015B70000}"/>
    <cellStyle name="Uthevingsfarge4 20" xfId="40837" xr:uid="{00000000-0005-0000-0000-000016B70000}"/>
    <cellStyle name="Uthevingsfarge4 21" xfId="43182" xr:uid="{00000000-0005-0000-0000-000017B70000}"/>
    <cellStyle name="Uthevingsfarge4 22" xfId="43214" xr:uid="{00000000-0005-0000-0000-000018B70000}"/>
    <cellStyle name="Uthevingsfarge4 23" xfId="43428" xr:uid="{00000000-0005-0000-0000-000019B70000}"/>
    <cellStyle name="Uthevingsfarge4 24" xfId="43688" xr:uid="{00000000-0005-0000-0000-00001AB70000}"/>
    <cellStyle name="Uthevingsfarge4 25" xfId="46065" xr:uid="{00000000-0005-0000-0000-00001BB70000}"/>
    <cellStyle name="Uthevingsfarge4 26" xfId="46081" xr:uid="{00000000-0005-0000-0000-00001CB70000}"/>
    <cellStyle name="Uthevingsfarge4 27" xfId="46316" xr:uid="{00000000-0005-0000-0000-00001DB70000}"/>
    <cellStyle name="Uthevingsfarge4 28" xfId="46569" xr:uid="{00000000-0005-0000-0000-00001EB70000}"/>
    <cellStyle name="Uthevingsfarge4 29" xfId="46608" xr:uid="{00000000-0005-0000-0000-00001FB70000}"/>
    <cellStyle name="Uthevingsfarge4 3" xfId="3273" xr:uid="{00000000-0005-0000-0000-000020B70000}"/>
    <cellStyle name="Uthevingsfarge4 3 2" xfId="14936" xr:uid="{00000000-0005-0000-0000-000021B70000}"/>
    <cellStyle name="Uthevingsfarge4 3 2 2" xfId="19280" xr:uid="{00000000-0005-0000-0000-000022B70000}"/>
    <cellStyle name="Uthevingsfarge4 3 2 3" xfId="15519" xr:uid="{00000000-0005-0000-0000-000023B70000}"/>
    <cellStyle name="Uthevingsfarge4 3 2 3 2" xfId="27389" xr:uid="{00000000-0005-0000-0000-000024B70000}"/>
    <cellStyle name="Uthevingsfarge4 3 2 3 2 2" xfId="42075" xr:uid="{00000000-0005-0000-0000-000025B70000}"/>
    <cellStyle name="Uthevingsfarge4 3 2 3 3" xfId="45968" xr:uid="{00000000-0005-0000-0000-000026B70000}"/>
    <cellStyle name="Uthevingsfarge4 3 2_Avviksanalyse løpende RNB15 (1)" xfId="17852" xr:uid="{00000000-0005-0000-0000-000027B70000}"/>
    <cellStyle name="Uthevingsfarge4 3 3" xfId="14935" xr:uid="{00000000-0005-0000-0000-000028B70000}"/>
    <cellStyle name="Uthevingsfarge4 30" xfId="46381" xr:uid="{00000000-0005-0000-0000-000029B70000}"/>
    <cellStyle name="Uthevingsfarge4 31" xfId="46801" xr:uid="{00000000-0005-0000-0000-00002AB70000}"/>
    <cellStyle name="Uthevingsfarge4 32" xfId="46807" xr:uid="{00000000-0005-0000-0000-00002BB70000}"/>
    <cellStyle name="Uthevingsfarge4 4" xfId="3274" xr:uid="{00000000-0005-0000-0000-00002CB70000}"/>
    <cellStyle name="Uthevingsfarge4 4 2" xfId="14938" xr:uid="{00000000-0005-0000-0000-00002DB70000}"/>
    <cellStyle name="Uthevingsfarge4 4 2 2" xfId="19281" xr:uid="{00000000-0005-0000-0000-00002EB70000}"/>
    <cellStyle name="Uthevingsfarge4 4 2 3" xfId="15520" xr:uid="{00000000-0005-0000-0000-00002FB70000}"/>
    <cellStyle name="Uthevingsfarge4 4 2 3 2" xfId="27390" xr:uid="{00000000-0005-0000-0000-000030B70000}"/>
    <cellStyle name="Uthevingsfarge4 4 2 3 2 2" xfId="42076" xr:uid="{00000000-0005-0000-0000-000031B70000}"/>
    <cellStyle name="Uthevingsfarge4 4 2 3 3" xfId="45969" xr:uid="{00000000-0005-0000-0000-000032B70000}"/>
    <cellStyle name="Uthevingsfarge4 4 2_Avviksanalyse løpende RNB15 (1)" xfId="17853" xr:uid="{00000000-0005-0000-0000-000033B70000}"/>
    <cellStyle name="Uthevingsfarge4 4 3" xfId="14937" xr:uid="{00000000-0005-0000-0000-000034B70000}"/>
    <cellStyle name="Uthevingsfarge4 5" xfId="3275" xr:uid="{00000000-0005-0000-0000-000035B70000}"/>
    <cellStyle name="Uthevingsfarge4 5 2" xfId="14940" xr:uid="{00000000-0005-0000-0000-000036B70000}"/>
    <cellStyle name="Uthevingsfarge4 5 2 2" xfId="19282" xr:uid="{00000000-0005-0000-0000-000037B70000}"/>
    <cellStyle name="Uthevingsfarge4 5 2 3" xfId="15517" xr:uid="{00000000-0005-0000-0000-000038B70000}"/>
    <cellStyle name="Uthevingsfarge4 5 2 3 2" xfId="27391" xr:uid="{00000000-0005-0000-0000-000039B70000}"/>
    <cellStyle name="Uthevingsfarge4 5 2 3 2 2" xfId="42073" xr:uid="{00000000-0005-0000-0000-00003AB70000}"/>
    <cellStyle name="Uthevingsfarge4 5 2 3 3" xfId="45970" xr:uid="{00000000-0005-0000-0000-00003BB70000}"/>
    <cellStyle name="Uthevingsfarge4 5 2_Avviksanalyse løpende RNB15 (1)" xfId="17854" xr:uid="{00000000-0005-0000-0000-00003CB70000}"/>
    <cellStyle name="Uthevingsfarge4 5 3" xfId="14939" xr:uid="{00000000-0005-0000-0000-00003DB70000}"/>
    <cellStyle name="Uthevingsfarge4 6" xfId="3276" xr:uid="{00000000-0005-0000-0000-00003EB70000}"/>
    <cellStyle name="Uthevingsfarge4 6 2" xfId="14942" xr:uid="{00000000-0005-0000-0000-00003FB70000}"/>
    <cellStyle name="Uthevingsfarge4 6 2 2" xfId="19283" xr:uid="{00000000-0005-0000-0000-000040B70000}"/>
    <cellStyle name="Uthevingsfarge4 6 2 3" xfId="15705" xr:uid="{00000000-0005-0000-0000-000041B70000}"/>
    <cellStyle name="Uthevingsfarge4 6 2 3 2" xfId="27392" xr:uid="{00000000-0005-0000-0000-000042B70000}"/>
    <cellStyle name="Uthevingsfarge4 6 2 3 2 2" xfId="42261" xr:uid="{00000000-0005-0000-0000-000043B70000}"/>
    <cellStyle name="Uthevingsfarge4 6 2 3 3" xfId="45971" xr:uid="{00000000-0005-0000-0000-000044B70000}"/>
    <cellStyle name="Uthevingsfarge4 6 2_Avviksanalyse løpende RNB15 (1)" xfId="17855" xr:uid="{00000000-0005-0000-0000-000045B70000}"/>
    <cellStyle name="Uthevingsfarge4 6 3" xfId="14941" xr:uid="{00000000-0005-0000-0000-000046B70000}"/>
    <cellStyle name="Uthevingsfarge4 7" xfId="3277" xr:uid="{00000000-0005-0000-0000-000047B70000}"/>
    <cellStyle name="Uthevingsfarge4 7 2" xfId="14944" xr:uid="{00000000-0005-0000-0000-000048B70000}"/>
    <cellStyle name="Uthevingsfarge4 7 2 2" xfId="19284" xr:uid="{00000000-0005-0000-0000-000049B70000}"/>
    <cellStyle name="Uthevingsfarge4 7 2 3" xfId="15706" xr:uid="{00000000-0005-0000-0000-00004AB70000}"/>
    <cellStyle name="Uthevingsfarge4 7 2 3 2" xfId="27393" xr:uid="{00000000-0005-0000-0000-00004BB70000}"/>
    <cellStyle name="Uthevingsfarge4 7 2 3 2 2" xfId="42262" xr:uid="{00000000-0005-0000-0000-00004CB70000}"/>
    <cellStyle name="Uthevingsfarge4 7 2 3 3" xfId="45972" xr:uid="{00000000-0005-0000-0000-00004DB70000}"/>
    <cellStyle name="Uthevingsfarge4 7 2_Avviksanalyse løpende RNB15 (1)" xfId="17856" xr:uid="{00000000-0005-0000-0000-00004EB70000}"/>
    <cellStyle name="Uthevingsfarge4 7 3" xfId="14943" xr:uid="{00000000-0005-0000-0000-00004FB70000}"/>
    <cellStyle name="Uthevingsfarge4 8" xfId="3278" xr:uid="{00000000-0005-0000-0000-000050B70000}"/>
    <cellStyle name="Uthevingsfarge4 8 2" xfId="3279" xr:uid="{00000000-0005-0000-0000-000051B70000}"/>
    <cellStyle name="Uthevingsfarge4 8 2 2" xfId="14947" xr:uid="{00000000-0005-0000-0000-000052B70000}"/>
    <cellStyle name="Uthevingsfarge4 8 2 2 2" xfId="19285" xr:uid="{00000000-0005-0000-0000-000053B70000}"/>
    <cellStyle name="Uthevingsfarge4 8 2 2 3" xfId="16457" xr:uid="{00000000-0005-0000-0000-000054B70000}"/>
    <cellStyle name="Uthevingsfarge4 8 2 2 3 2" xfId="27394" xr:uid="{00000000-0005-0000-0000-000055B70000}"/>
    <cellStyle name="Uthevingsfarge4 8 2 2 3 2 2" xfId="43012" xr:uid="{00000000-0005-0000-0000-000056B70000}"/>
    <cellStyle name="Uthevingsfarge4 8 2 2 3 3" xfId="45973" xr:uid="{00000000-0005-0000-0000-000057B70000}"/>
    <cellStyle name="Uthevingsfarge4 8 2 2_Avviksanalyse løpende RNB15 (1)" xfId="17857" xr:uid="{00000000-0005-0000-0000-000058B70000}"/>
    <cellStyle name="Uthevingsfarge4 8 2 3" xfId="14946" xr:uid="{00000000-0005-0000-0000-000059B70000}"/>
    <cellStyle name="Uthevingsfarge4 8 3" xfId="14948" xr:uid="{00000000-0005-0000-0000-00005AB70000}"/>
    <cellStyle name="Uthevingsfarge4 8 3 2" xfId="14949" xr:uid="{00000000-0005-0000-0000-00005BB70000}"/>
    <cellStyle name="Uthevingsfarge4 8 3 2 2" xfId="19286" xr:uid="{00000000-0005-0000-0000-00005CB70000}"/>
    <cellStyle name="Uthevingsfarge4 8 3 2 3" xfId="16456" xr:uid="{00000000-0005-0000-0000-00005DB70000}"/>
    <cellStyle name="Uthevingsfarge4 8 3 2 3 2" xfId="27395" xr:uid="{00000000-0005-0000-0000-00005EB70000}"/>
    <cellStyle name="Uthevingsfarge4 8 3 2 3 2 2" xfId="43011" xr:uid="{00000000-0005-0000-0000-00005FB70000}"/>
    <cellStyle name="Uthevingsfarge4 8 3 2 3 3" xfId="45974" xr:uid="{00000000-0005-0000-0000-000060B70000}"/>
    <cellStyle name="Uthevingsfarge4 8 3 2_Avviksanalyse løpende RNB15 (1)" xfId="17858" xr:uid="{00000000-0005-0000-0000-000061B70000}"/>
    <cellStyle name="Uthevingsfarge4 8 4" xfId="14950" xr:uid="{00000000-0005-0000-0000-000062B70000}"/>
    <cellStyle name="Uthevingsfarge4 8 4 2" xfId="19287" xr:uid="{00000000-0005-0000-0000-000063B70000}"/>
    <cellStyle name="Uthevingsfarge4 8 4 3" xfId="15707" xr:uid="{00000000-0005-0000-0000-000064B70000}"/>
    <cellStyle name="Uthevingsfarge4 8 4 3 2" xfId="27396" xr:uid="{00000000-0005-0000-0000-000065B70000}"/>
    <cellStyle name="Uthevingsfarge4 8 4 3 2 2" xfId="42263" xr:uid="{00000000-0005-0000-0000-000066B70000}"/>
    <cellStyle name="Uthevingsfarge4 8 4 3 3" xfId="45975" xr:uid="{00000000-0005-0000-0000-000067B70000}"/>
    <cellStyle name="Uthevingsfarge4 8 4_Avviksanalyse løpende RNB15 (1)" xfId="17859" xr:uid="{00000000-0005-0000-0000-000068B70000}"/>
    <cellStyle name="Uthevingsfarge4 8 5" xfId="14945" xr:uid="{00000000-0005-0000-0000-000069B70000}"/>
    <cellStyle name="Uthevingsfarge4 9" xfId="3280" xr:uid="{00000000-0005-0000-0000-00006AB70000}"/>
    <cellStyle name="Uthevingsfarge4 9 2" xfId="14952" xr:uid="{00000000-0005-0000-0000-00006BB70000}"/>
    <cellStyle name="Uthevingsfarge4 9 2 2" xfId="14953" xr:uid="{00000000-0005-0000-0000-00006CB70000}"/>
    <cellStyle name="Uthevingsfarge4 9 2 2 2" xfId="19288" xr:uid="{00000000-0005-0000-0000-00006DB70000}"/>
    <cellStyle name="Uthevingsfarge4 9 2 2 3" xfId="16458" xr:uid="{00000000-0005-0000-0000-00006EB70000}"/>
    <cellStyle name="Uthevingsfarge4 9 2 2 3 2" xfId="27397" xr:uid="{00000000-0005-0000-0000-00006FB70000}"/>
    <cellStyle name="Uthevingsfarge4 9 2 2 3 2 2" xfId="43013" xr:uid="{00000000-0005-0000-0000-000070B70000}"/>
    <cellStyle name="Uthevingsfarge4 9 2 2 3 3" xfId="45976" xr:uid="{00000000-0005-0000-0000-000071B70000}"/>
    <cellStyle name="Uthevingsfarge4 9 2 2_Avviksanalyse løpende RNB15 (1)" xfId="17860" xr:uid="{00000000-0005-0000-0000-000072B70000}"/>
    <cellStyle name="Uthevingsfarge4 9 3" xfId="14954" xr:uid="{00000000-0005-0000-0000-000073B70000}"/>
    <cellStyle name="Uthevingsfarge4 9 3 2" xfId="19289" xr:uid="{00000000-0005-0000-0000-000074B70000}"/>
    <cellStyle name="Uthevingsfarge4 9 3 3" xfId="15708" xr:uid="{00000000-0005-0000-0000-000075B70000}"/>
    <cellStyle name="Uthevingsfarge4 9 3 3 2" xfId="27398" xr:uid="{00000000-0005-0000-0000-000076B70000}"/>
    <cellStyle name="Uthevingsfarge4 9 3 3 2 2" xfId="42264" xr:uid="{00000000-0005-0000-0000-000077B70000}"/>
    <cellStyle name="Uthevingsfarge4 9 3 3 3" xfId="45977" xr:uid="{00000000-0005-0000-0000-000078B70000}"/>
    <cellStyle name="Uthevingsfarge4 9 3_Avviksanalyse løpende RNB15 (1)" xfId="17861" xr:uid="{00000000-0005-0000-0000-000079B70000}"/>
    <cellStyle name="Uthevingsfarge4 9 4" xfId="14951" xr:uid="{00000000-0005-0000-0000-00007AB70000}"/>
    <cellStyle name="Uthevingsfarge5" xfId="4646" xr:uid="{00000000-0005-0000-0000-00007BB70000}"/>
    <cellStyle name="Uthevingsfarge5 10" xfId="14955" xr:uid="{00000000-0005-0000-0000-00007CB70000}"/>
    <cellStyle name="Uthevingsfarge5 10 2" xfId="14956" xr:uid="{00000000-0005-0000-0000-00007DB70000}"/>
    <cellStyle name="Uthevingsfarge5 10 2 2" xfId="19290" xr:uid="{00000000-0005-0000-0000-00007EB70000}"/>
    <cellStyle name="Uthevingsfarge5 10 2 3" xfId="15709" xr:uid="{00000000-0005-0000-0000-00007FB70000}"/>
    <cellStyle name="Uthevingsfarge5 10 2 3 2" xfId="27399" xr:uid="{00000000-0005-0000-0000-000080B70000}"/>
    <cellStyle name="Uthevingsfarge5 10 2 3 2 2" xfId="42265" xr:uid="{00000000-0005-0000-0000-000081B70000}"/>
    <cellStyle name="Uthevingsfarge5 10 2 3 3" xfId="45978" xr:uid="{00000000-0005-0000-0000-000082B70000}"/>
    <cellStyle name="Uthevingsfarge5 10 2_Avviksanalyse løpende RNB15 (1)" xfId="17862" xr:uid="{00000000-0005-0000-0000-000083B70000}"/>
    <cellStyle name="Uthevingsfarge5 11" xfId="14957" xr:uid="{00000000-0005-0000-0000-000084B70000}"/>
    <cellStyle name="Uthevingsfarge5 11 2" xfId="14958" xr:uid="{00000000-0005-0000-0000-000085B70000}"/>
    <cellStyle name="Uthevingsfarge5 11 2 2" xfId="19291" xr:uid="{00000000-0005-0000-0000-000086B70000}"/>
    <cellStyle name="Uthevingsfarge5 11 2 3" xfId="15710" xr:uid="{00000000-0005-0000-0000-000087B70000}"/>
    <cellStyle name="Uthevingsfarge5 11 2 3 2" xfId="27400" xr:uid="{00000000-0005-0000-0000-000088B70000}"/>
    <cellStyle name="Uthevingsfarge5 11 2 3 2 2" xfId="42266" xr:uid="{00000000-0005-0000-0000-000089B70000}"/>
    <cellStyle name="Uthevingsfarge5 11 2 3 3" xfId="45979" xr:uid="{00000000-0005-0000-0000-00008AB70000}"/>
    <cellStyle name="Uthevingsfarge5 11 2_Avviksanalyse løpende RNB15 (1)" xfId="17863" xr:uid="{00000000-0005-0000-0000-00008BB70000}"/>
    <cellStyle name="Uthevingsfarge5 12" xfId="14959" xr:uid="{00000000-0005-0000-0000-00008CB70000}"/>
    <cellStyle name="Uthevingsfarge5 12 2" xfId="14960" xr:uid="{00000000-0005-0000-0000-00008DB70000}"/>
    <cellStyle name="Uthevingsfarge5 12 2 2" xfId="19292" xr:uid="{00000000-0005-0000-0000-00008EB70000}"/>
    <cellStyle name="Uthevingsfarge5 12 2 3" xfId="15711" xr:uid="{00000000-0005-0000-0000-00008FB70000}"/>
    <cellStyle name="Uthevingsfarge5 12 2 3 2" xfId="27401" xr:uid="{00000000-0005-0000-0000-000090B70000}"/>
    <cellStyle name="Uthevingsfarge5 12 2 3 2 2" xfId="42267" xr:uid="{00000000-0005-0000-0000-000091B70000}"/>
    <cellStyle name="Uthevingsfarge5 12 2 3 3" xfId="45980" xr:uid="{00000000-0005-0000-0000-000092B70000}"/>
    <cellStyle name="Uthevingsfarge5 12 2_Avviksanalyse løpende RNB15 (1)" xfId="17864" xr:uid="{00000000-0005-0000-0000-000093B70000}"/>
    <cellStyle name="Uthevingsfarge5 13" xfId="14961" xr:uid="{00000000-0005-0000-0000-000094B70000}"/>
    <cellStyle name="Uthevingsfarge5 13 2" xfId="14962" xr:uid="{00000000-0005-0000-0000-000095B70000}"/>
    <cellStyle name="Uthevingsfarge5 13 2 2" xfId="19293" xr:uid="{00000000-0005-0000-0000-000096B70000}"/>
    <cellStyle name="Uthevingsfarge5 13 2 3" xfId="15712" xr:uid="{00000000-0005-0000-0000-000097B70000}"/>
    <cellStyle name="Uthevingsfarge5 13 2 3 2" xfId="27402" xr:uid="{00000000-0005-0000-0000-000098B70000}"/>
    <cellStyle name="Uthevingsfarge5 13 2 3 2 2" xfId="42268" xr:uid="{00000000-0005-0000-0000-000099B70000}"/>
    <cellStyle name="Uthevingsfarge5 13 2 3 3" xfId="45981" xr:uid="{00000000-0005-0000-0000-00009AB70000}"/>
    <cellStyle name="Uthevingsfarge5 13 2_Avviksanalyse løpende RNB15 (1)" xfId="17865" xr:uid="{00000000-0005-0000-0000-00009BB70000}"/>
    <cellStyle name="Uthevingsfarge5 14" xfId="14963" xr:uid="{00000000-0005-0000-0000-00009CB70000}"/>
    <cellStyle name="Uthevingsfarge5 14 2" xfId="14964" xr:uid="{00000000-0005-0000-0000-00009DB70000}"/>
    <cellStyle name="Uthevingsfarge5 14 2 2" xfId="19294" xr:uid="{00000000-0005-0000-0000-00009EB70000}"/>
    <cellStyle name="Uthevingsfarge5 14 2 3" xfId="15713" xr:uid="{00000000-0005-0000-0000-00009FB70000}"/>
    <cellStyle name="Uthevingsfarge5 14 2 3 2" xfId="27403" xr:uid="{00000000-0005-0000-0000-0000A0B70000}"/>
    <cellStyle name="Uthevingsfarge5 14 2 3 2 2" xfId="42269" xr:uid="{00000000-0005-0000-0000-0000A1B70000}"/>
    <cellStyle name="Uthevingsfarge5 14 2 3 3" xfId="45982" xr:uid="{00000000-0005-0000-0000-0000A2B70000}"/>
    <cellStyle name="Uthevingsfarge5 14 2_Avviksanalyse løpende RNB15 (1)" xfId="17866" xr:uid="{00000000-0005-0000-0000-0000A3B70000}"/>
    <cellStyle name="Uthevingsfarge5 15" xfId="40957" xr:uid="{00000000-0005-0000-0000-0000A4B70000}"/>
    <cellStyle name="Uthevingsfarge5 16" xfId="43156" xr:uid="{00000000-0005-0000-0000-0000A5B70000}"/>
    <cellStyle name="Uthevingsfarge5 17" xfId="40909" xr:uid="{00000000-0005-0000-0000-0000A6B70000}"/>
    <cellStyle name="Uthevingsfarge5 18" xfId="40927" xr:uid="{00000000-0005-0000-0000-0000A7B70000}"/>
    <cellStyle name="Uthevingsfarge5 19" xfId="40793" xr:uid="{00000000-0005-0000-0000-0000A8B70000}"/>
    <cellStyle name="Uthevingsfarge5 2" xfId="3281" xr:uid="{00000000-0005-0000-0000-0000A9B70000}"/>
    <cellStyle name="Uthevingsfarge5 2 10" xfId="14966" xr:uid="{00000000-0005-0000-0000-0000AAB70000}"/>
    <cellStyle name="Uthevingsfarge5 2 10 2" xfId="19295" xr:uid="{00000000-0005-0000-0000-0000ABB70000}"/>
    <cellStyle name="Uthevingsfarge5 2 10 3" xfId="15522" xr:uid="{00000000-0005-0000-0000-0000ACB70000}"/>
    <cellStyle name="Uthevingsfarge5 2 10 3 2" xfId="27404" xr:uid="{00000000-0005-0000-0000-0000ADB70000}"/>
    <cellStyle name="Uthevingsfarge5 2 10 3 2 2" xfId="42078" xr:uid="{00000000-0005-0000-0000-0000AEB70000}"/>
    <cellStyle name="Uthevingsfarge5 2 10 3 3" xfId="45983" xr:uid="{00000000-0005-0000-0000-0000AFB70000}"/>
    <cellStyle name="Uthevingsfarge5 2 10_Avviksanalyse løpende RNB15 (1)" xfId="17867" xr:uid="{00000000-0005-0000-0000-0000B0B70000}"/>
    <cellStyle name="Uthevingsfarge5 2 11" xfId="14965" xr:uid="{00000000-0005-0000-0000-0000B1B70000}"/>
    <cellStyle name="Uthevingsfarge5 2 2" xfId="14967" xr:uid="{00000000-0005-0000-0000-0000B2B70000}"/>
    <cellStyle name="Uthevingsfarge5 2 2 2" xfId="14968" xr:uid="{00000000-0005-0000-0000-0000B3B70000}"/>
    <cellStyle name="Uthevingsfarge5 2 2 2 2" xfId="19296" xr:uid="{00000000-0005-0000-0000-0000B4B70000}"/>
    <cellStyle name="Uthevingsfarge5 2 2 2 3" xfId="15714" xr:uid="{00000000-0005-0000-0000-0000B5B70000}"/>
    <cellStyle name="Uthevingsfarge5 2 2 2 3 2" xfId="27405" xr:uid="{00000000-0005-0000-0000-0000B6B70000}"/>
    <cellStyle name="Uthevingsfarge5 2 2 2 3 2 2" xfId="42270" xr:uid="{00000000-0005-0000-0000-0000B7B70000}"/>
    <cellStyle name="Uthevingsfarge5 2 2 2 3 3" xfId="45984" xr:uid="{00000000-0005-0000-0000-0000B8B70000}"/>
    <cellStyle name="Uthevingsfarge5 2 2 2_Avviksanalyse løpende RNB15 (1)" xfId="17868" xr:uid="{00000000-0005-0000-0000-0000B9B70000}"/>
    <cellStyle name="Uthevingsfarge5 2 3" xfId="14969" xr:uid="{00000000-0005-0000-0000-0000BAB70000}"/>
    <cellStyle name="Uthevingsfarge5 2 3 2" xfId="14970" xr:uid="{00000000-0005-0000-0000-0000BBB70000}"/>
    <cellStyle name="Uthevingsfarge5 2 3 2 2" xfId="19297" xr:uid="{00000000-0005-0000-0000-0000BCB70000}"/>
    <cellStyle name="Uthevingsfarge5 2 3 2 3" xfId="15715" xr:uid="{00000000-0005-0000-0000-0000BDB70000}"/>
    <cellStyle name="Uthevingsfarge5 2 3 2 3 2" xfId="27406" xr:uid="{00000000-0005-0000-0000-0000BEB70000}"/>
    <cellStyle name="Uthevingsfarge5 2 3 2 3 2 2" xfId="42271" xr:uid="{00000000-0005-0000-0000-0000BFB70000}"/>
    <cellStyle name="Uthevingsfarge5 2 3 2 3 3" xfId="45985" xr:uid="{00000000-0005-0000-0000-0000C0B70000}"/>
    <cellStyle name="Uthevingsfarge5 2 3 2_Avviksanalyse løpende RNB15 (1)" xfId="17869" xr:uid="{00000000-0005-0000-0000-0000C1B70000}"/>
    <cellStyle name="Uthevingsfarge5 2 4" xfId="14971" xr:uid="{00000000-0005-0000-0000-0000C2B70000}"/>
    <cellStyle name="Uthevingsfarge5 2 4 2" xfId="14972" xr:uid="{00000000-0005-0000-0000-0000C3B70000}"/>
    <cellStyle name="Uthevingsfarge5 2 4 2 2" xfId="19298" xr:uid="{00000000-0005-0000-0000-0000C4B70000}"/>
    <cellStyle name="Uthevingsfarge5 2 4 2 3" xfId="15716" xr:uid="{00000000-0005-0000-0000-0000C5B70000}"/>
    <cellStyle name="Uthevingsfarge5 2 4 2 3 2" xfId="27407" xr:uid="{00000000-0005-0000-0000-0000C6B70000}"/>
    <cellStyle name="Uthevingsfarge5 2 4 2 3 2 2" xfId="42272" xr:uid="{00000000-0005-0000-0000-0000C7B70000}"/>
    <cellStyle name="Uthevingsfarge5 2 4 2 3 3" xfId="45986" xr:uid="{00000000-0005-0000-0000-0000C8B70000}"/>
    <cellStyle name="Uthevingsfarge5 2 4 2_Avviksanalyse løpende RNB15 (1)" xfId="17870" xr:uid="{00000000-0005-0000-0000-0000C9B70000}"/>
    <cellStyle name="Uthevingsfarge5 2 5" xfId="14973" xr:uid="{00000000-0005-0000-0000-0000CAB70000}"/>
    <cellStyle name="Uthevingsfarge5 2 5 2" xfId="14974" xr:uid="{00000000-0005-0000-0000-0000CBB70000}"/>
    <cellStyle name="Uthevingsfarge5 2 5 2 2" xfId="19299" xr:uid="{00000000-0005-0000-0000-0000CCB70000}"/>
    <cellStyle name="Uthevingsfarge5 2 5 2 3" xfId="15717" xr:uid="{00000000-0005-0000-0000-0000CDB70000}"/>
    <cellStyle name="Uthevingsfarge5 2 5 2 3 2" xfId="27408" xr:uid="{00000000-0005-0000-0000-0000CEB70000}"/>
    <cellStyle name="Uthevingsfarge5 2 5 2 3 2 2" xfId="42273" xr:uid="{00000000-0005-0000-0000-0000CFB70000}"/>
    <cellStyle name="Uthevingsfarge5 2 5 2 3 3" xfId="45987" xr:uid="{00000000-0005-0000-0000-0000D0B70000}"/>
    <cellStyle name="Uthevingsfarge5 2 5 2_Avviksanalyse løpende RNB15 (1)" xfId="17871" xr:uid="{00000000-0005-0000-0000-0000D1B70000}"/>
    <cellStyle name="Uthevingsfarge5 2 6" xfId="14975" xr:uid="{00000000-0005-0000-0000-0000D2B70000}"/>
    <cellStyle name="Uthevingsfarge5 2 6 2" xfId="14976" xr:uid="{00000000-0005-0000-0000-0000D3B70000}"/>
    <cellStyle name="Uthevingsfarge5 2 6 2 2" xfId="19300" xr:uid="{00000000-0005-0000-0000-0000D4B70000}"/>
    <cellStyle name="Uthevingsfarge5 2 6 2 3" xfId="15718" xr:uid="{00000000-0005-0000-0000-0000D5B70000}"/>
    <cellStyle name="Uthevingsfarge5 2 6 2 3 2" xfId="27409" xr:uid="{00000000-0005-0000-0000-0000D6B70000}"/>
    <cellStyle name="Uthevingsfarge5 2 6 2 3 2 2" xfId="42274" xr:uid="{00000000-0005-0000-0000-0000D7B70000}"/>
    <cellStyle name="Uthevingsfarge5 2 6 2 3 3" xfId="45988" xr:uid="{00000000-0005-0000-0000-0000D8B70000}"/>
    <cellStyle name="Uthevingsfarge5 2 6 2_Avviksanalyse løpende RNB15 (1)" xfId="17872" xr:uid="{00000000-0005-0000-0000-0000D9B70000}"/>
    <cellStyle name="Uthevingsfarge5 2 7" xfId="14977" xr:uid="{00000000-0005-0000-0000-0000DAB70000}"/>
    <cellStyle name="Uthevingsfarge5 2 7 2" xfId="14978" xr:uid="{00000000-0005-0000-0000-0000DBB70000}"/>
    <cellStyle name="Uthevingsfarge5 2 7 2 2" xfId="19301" xr:uid="{00000000-0005-0000-0000-0000DCB70000}"/>
    <cellStyle name="Uthevingsfarge5 2 7 2 3" xfId="15719" xr:uid="{00000000-0005-0000-0000-0000DDB70000}"/>
    <cellStyle name="Uthevingsfarge5 2 7 2 3 2" xfId="27410" xr:uid="{00000000-0005-0000-0000-0000DEB70000}"/>
    <cellStyle name="Uthevingsfarge5 2 7 2 3 2 2" xfId="42275" xr:uid="{00000000-0005-0000-0000-0000DFB70000}"/>
    <cellStyle name="Uthevingsfarge5 2 7 2 3 3" xfId="45989" xr:uid="{00000000-0005-0000-0000-0000E0B70000}"/>
    <cellStyle name="Uthevingsfarge5 2 7 2_Avviksanalyse løpende RNB15 (1)" xfId="17873" xr:uid="{00000000-0005-0000-0000-0000E1B70000}"/>
    <cellStyle name="Uthevingsfarge5 2 8" xfId="14979" xr:uid="{00000000-0005-0000-0000-0000E2B70000}"/>
    <cellStyle name="Uthevingsfarge5 2 8 2" xfId="14980" xr:uid="{00000000-0005-0000-0000-0000E3B70000}"/>
    <cellStyle name="Uthevingsfarge5 2 8 2 2" xfId="19302" xr:uid="{00000000-0005-0000-0000-0000E4B70000}"/>
    <cellStyle name="Uthevingsfarge5 2 8 2 3" xfId="15720" xr:uid="{00000000-0005-0000-0000-0000E5B70000}"/>
    <cellStyle name="Uthevingsfarge5 2 8 2 3 2" xfId="27411" xr:uid="{00000000-0005-0000-0000-0000E6B70000}"/>
    <cellStyle name="Uthevingsfarge5 2 8 2 3 2 2" xfId="42276" xr:uid="{00000000-0005-0000-0000-0000E7B70000}"/>
    <cellStyle name="Uthevingsfarge5 2 8 2 3 3" xfId="45990" xr:uid="{00000000-0005-0000-0000-0000E8B70000}"/>
    <cellStyle name="Uthevingsfarge5 2 8 2_Avviksanalyse løpende RNB15 (1)" xfId="17874" xr:uid="{00000000-0005-0000-0000-0000E9B70000}"/>
    <cellStyle name="Uthevingsfarge5 2 9" xfId="14981" xr:uid="{00000000-0005-0000-0000-0000EAB70000}"/>
    <cellStyle name="Uthevingsfarge5 2 9 2" xfId="14982" xr:uid="{00000000-0005-0000-0000-0000EBB70000}"/>
    <cellStyle name="Uthevingsfarge5 2 9 2 2" xfId="19303" xr:uid="{00000000-0005-0000-0000-0000ECB70000}"/>
    <cellStyle name="Uthevingsfarge5 2 9 2 3" xfId="15721" xr:uid="{00000000-0005-0000-0000-0000EDB70000}"/>
    <cellStyle name="Uthevingsfarge5 2 9 2 3 2" xfId="27412" xr:uid="{00000000-0005-0000-0000-0000EEB70000}"/>
    <cellStyle name="Uthevingsfarge5 2 9 2 3 2 2" xfId="42277" xr:uid="{00000000-0005-0000-0000-0000EFB70000}"/>
    <cellStyle name="Uthevingsfarge5 2 9 2 3 3" xfId="45991" xr:uid="{00000000-0005-0000-0000-0000F0B70000}"/>
    <cellStyle name="Uthevingsfarge5 2 9 2_Avviksanalyse løpende RNB15 (1)" xfId="17875" xr:uid="{00000000-0005-0000-0000-0000F1B70000}"/>
    <cellStyle name="Uthevingsfarge5 20" xfId="43188" xr:uid="{00000000-0005-0000-0000-0000F2B70000}"/>
    <cellStyle name="Uthevingsfarge5 21" xfId="40826" xr:uid="{00000000-0005-0000-0000-0000F3B70000}"/>
    <cellStyle name="Uthevingsfarge5 22" xfId="43218" xr:uid="{00000000-0005-0000-0000-0000F4B70000}"/>
    <cellStyle name="Uthevingsfarge5 23" xfId="43432" xr:uid="{00000000-0005-0000-0000-0000F5B70000}"/>
    <cellStyle name="Uthevingsfarge5 24" xfId="43660" xr:uid="{00000000-0005-0000-0000-0000F6B70000}"/>
    <cellStyle name="Uthevingsfarge5 25" xfId="43482" xr:uid="{00000000-0005-0000-0000-0000F7B70000}"/>
    <cellStyle name="Uthevingsfarge5 26" xfId="46289" xr:uid="{00000000-0005-0000-0000-0000F8B70000}"/>
    <cellStyle name="Uthevingsfarge5 27" xfId="46320" xr:uid="{00000000-0005-0000-0000-0000F9B70000}"/>
    <cellStyle name="Uthevingsfarge5 28" xfId="46586" xr:uid="{00000000-0005-0000-0000-0000FAB70000}"/>
    <cellStyle name="Uthevingsfarge5 29" xfId="46376" xr:uid="{00000000-0005-0000-0000-0000FBB70000}"/>
    <cellStyle name="Uthevingsfarge5 3" xfId="3282" xr:uid="{00000000-0005-0000-0000-0000FCB70000}"/>
    <cellStyle name="Uthevingsfarge5 3 2" xfId="14984" xr:uid="{00000000-0005-0000-0000-0000FDB70000}"/>
    <cellStyle name="Uthevingsfarge5 3 2 2" xfId="19304" xr:uid="{00000000-0005-0000-0000-0000FEB70000}"/>
    <cellStyle name="Uthevingsfarge5 3 2 3" xfId="15523" xr:uid="{00000000-0005-0000-0000-0000FFB70000}"/>
    <cellStyle name="Uthevingsfarge5 3 2 3 2" xfId="27413" xr:uid="{00000000-0005-0000-0000-000000B80000}"/>
    <cellStyle name="Uthevingsfarge5 3 2 3 2 2" xfId="42079" xr:uid="{00000000-0005-0000-0000-000001B80000}"/>
    <cellStyle name="Uthevingsfarge5 3 2 3 3" xfId="45992" xr:uid="{00000000-0005-0000-0000-000002B80000}"/>
    <cellStyle name="Uthevingsfarge5 3 2_Avviksanalyse løpende RNB15 (1)" xfId="17876" xr:uid="{00000000-0005-0000-0000-000003B80000}"/>
    <cellStyle name="Uthevingsfarge5 3 3" xfId="14983" xr:uid="{00000000-0005-0000-0000-000004B80000}"/>
    <cellStyle name="Uthevingsfarge5 30" xfId="46355" xr:uid="{00000000-0005-0000-0000-000005B80000}"/>
    <cellStyle name="Uthevingsfarge5 31" xfId="46627" xr:uid="{00000000-0005-0000-0000-000006B80000}"/>
    <cellStyle name="Uthevingsfarge5 32" xfId="46823" xr:uid="{00000000-0005-0000-0000-000007B80000}"/>
    <cellStyle name="Uthevingsfarge5 4" xfId="3283" xr:uid="{00000000-0005-0000-0000-000008B80000}"/>
    <cellStyle name="Uthevingsfarge5 4 2" xfId="14986" xr:uid="{00000000-0005-0000-0000-000009B80000}"/>
    <cellStyle name="Uthevingsfarge5 4 2 2" xfId="19305" xr:uid="{00000000-0005-0000-0000-00000AB80000}"/>
    <cellStyle name="Uthevingsfarge5 4 2 3" xfId="15524" xr:uid="{00000000-0005-0000-0000-00000BB80000}"/>
    <cellStyle name="Uthevingsfarge5 4 2 3 2" xfId="27414" xr:uid="{00000000-0005-0000-0000-00000CB80000}"/>
    <cellStyle name="Uthevingsfarge5 4 2 3 2 2" xfId="42080" xr:uid="{00000000-0005-0000-0000-00000DB80000}"/>
    <cellStyle name="Uthevingsfarge5 4 2 3 3" xfId="45993" xr:uid="{00000000-0005-0000-0000-00000EB80000}"/>
    <cellStyle name="Uthevingsfarge5 4 2_Avviksanalyse løpende RNB15 (1)" xfId="17877" xr:uid="{00000000-0005-0000-0000-00000FB80000}"/>
    <cellStyle name="Uthevingsfarge5 4 3" xfId="14985" xr:uid="{00000000-0005-0000-0000-000010B80000}"/>
    <cellStyle name="Uthevingsfarge5 5" xfId="3284" xr:uid="{00000000-0005-0000-0000-000011B80000}"/>
    <cellStyle name="Uthevingsfarge5 5 2" xfId="14988" xr:uid="{00000000-0005-0000-0000-000012B80000}"/>
    <cellStyle name="Uthevingsfarge5 5 2 2" xfId="19306" xr:uid="{00000000-0005-0000-0000-000013B80000}"/>
    <cellStyle name="Uthevingsfarge5 5 2 3" xfId="15521" xr:uid="{00000000-0005-0000-0000-000014B80000}"/>
    <cellStyle name="Uthevingsfarge5 5 2 3 2" xfId="27415" xr:uid="{00000000-0005-0000-0000-000015B80000}"/>
    <cellStyle name="Uthevingsfarge5 5 2 3 2 2" xfId="42077" xr:uid="{00000000-0005-0000-0000-000016B80000}"/>
    <cellStyle name="Uthevingsfarge5 5 2 3 3" xfId="45994" xr:uid="{00000000-0005-0000-0000-000017B80000}"/>
    <cellStyle name="Uthevingsfarge5 5 2_Avviksanalyse løpende RNB15 (1)" xfId="17878" xr:uid="{00000000-0005-0000-0000-000018B80000}"/>
    <cellStyle name="Uthevingsfarge5 5 3" xfId="14987" xr:uid="{00000000-0005-0000-0000-000019B80000}"/>
    <cellStyle name="Uthevingsfarge5 6" xfId="3285" xr:uid="{00000000-0005-0000-0000-00001AB80000}"/>
    <cellStyle name="Uthevingsfarge5 6 2" xfId="14990" xr:uid="{00000000-0005-0000-0000-00001BB80000}"/>
    <cellStyle name="Uthevingsfarge5 6 2 2" xfId="19307" xr:uid="{00000000-0005-0000-0000-00001CB80000}"/>
    <cellStyle name="Uthevingsfarge5 6 2 3" xfId="15722" xr:uid="{00000000-0005-0000-0000-00001DB80000}"/>
    <cellStyle name="Uthevingsfarge5 6 2 3 2" xfId="27416" xr:uid="{00000000-0005-0000-0000-00001EB80000}"/>
    <cellStyle name="Uthevingsfarge5 6 2 3 2 2" xfId="42278" xr:uid="{00000000-0005-0000-0000-00001FB80000}"/>
    <cellStyle name="Uthevingsfarge5 6 2 3 3" xfId="45995" xr:uid="{00000000-0005-0000-0000-000020B80000}"/>
    <cellStyle name="Uthevingsfarge5 6 2_Avviksanalyse løpende RNB15 (1)" xfId="17879" xr:uid="{00000000-0005-0000-0000-000021B80000}"/>
    <cellStyle name="Uthevingsfarge5 6 3" xfId="14989" xr:uid="{00000000-0005-0000-0000-000022B80000}"/>
    <cellStyle name="Uthevingsfarge5 7" xfId="3286" xr:uid="{00000000-0005-0000-0000-000023B80000}"/>
    <cellStyle name="Uthevingsfarge5 7 2" xfId="14992" xr:uid="{00000000-0005-0000-0000-000024B80000}"/>
    <cellStyle name="Uthevingsfarge5 7 2 2" xfId="19308" xr:uid="{00000000-0005-0000-0000-000025B80000}"/>
    <cellStyle name="Uthevingsfarge5 7 2 3" xfId="15723" xr:uid="{00000000-0005-0000-0000-000026B80000}"/>
    <cellStyle name="Uthevingsfarge5 7 2 3 2" xfId="27417" xr:uid="{00000000-0005-0000-0000-000027B80000}"/>
    <cellStyle name="Uthevingsfarge5 7 2 3 2 2" xfId="42279" xr:uid="{00000000-0005-0000-0000-000028B80000}"/>
    <cellStyle name="Uthevingsfarge5 7 2 3 3" xfId="45996" xr:uid="{00000000-0005-0000-0000-000029B80000}"/>
    <cellStyle name="Uthevingsfarge5 7 2_Avviksanalyse løpende RNB15 (1)" xfId="17880" xr:uid="{00000000-0005-0000-0000-00002AB80000}"/>
    <cellStyle name="Uthevingsfarge5 7 3" xfId="14991" xr:uid="{00000000-0005-0000-0000-00002BB80000}"/>
    <cellStyle name="Uthevingsfarge5 8" xfId="3287" xr:uid="{00000000-0005-0000-0000-00002CB80000}"/>
    <cellStyle name="Uthevingsfarge5 8 2" xfId="3288" xr:uid="{00000000-0005-0000-0000-00002DB80000}"/>
    <cellStyle name="Uthevingsfarge5 8 2 2" xfId="14995" xr:uid="{00000000-0005-0000-0000-00002EB80000}"/>
    <cellStyle name="Uthevingsfarge5 8 2 2 2" xfId="19309" xr:uid="{00000000-0005-0000-0000-00002FB80000}"/>
    <cellStyle name="Uthevingsfarge5 8 2 2 3" xfId="16460" xr:uid="{00000000-0005-0000-0000-000030B80000}"/>
    <cellStyle name="Uthevingsfarge5 8 2 2 3 2" xfId="27418" xr:uid="{00000000-0005-0000-0000-000031B80000}"/>
    <cellStyle name="Uthevingsfarge5 8 2 2 3 2 2" xfId="43015" xr:uid="{00000000-0005-0000-0000-000032B80000}"/>
    <cellStyle name="Uthevingsfarge5 8 2 2 3 3" xfId="45997" xr:uid="{00000000-0005-0000-0000-000033B80000}"/>
    <cellStyle name="Uthevingsfarge5 8 2 2_Avviksanalyse løpende RNB15 (1)" xfId="17881" xr:uid="{00000000-0005-0000-0000-000034B80000}"/>
    <cellStyle name="Uthevingsfarge5 8 2 3" xfId="14994" xr:uid="{00000000-0005-0000-0000-000035B80000}"/>
    <cellStyle name="Uthevingsfarge5 8 3" xfId="14996" xr:uid="{00000000-0005-0000-0000-000036B80000}"/>
    <cellStyle name="Uthevingsfarge5 8 3 2" xfId="14997" xr:uid="{00000000-0005-0000-0000-000037B80000}"/>
    <cellStyle name="Uthevingsfarge5 8 3 2 2" xfId="19310" xr:uid="{00000000-0005-0000-0000-000038B80000}"/>
    <cellStyle name="Uthevingsfarge5 8 3 2 3" xfId="16459" xr:uid="{00000000-0005-0000-0000-000039B80000}"/>
    <cellStyle name="Uthevingsfarge5 8 3 2 3 2" xfId="27419" xr:uid="{00000000-0005-0000-0000-00003AB80000}"/>
    <cellStyle name="Uthevingsfarge5 8 3 2 3 2 2" xfId="43014" xr:uid="{00000000-0005-0000-0000-00003BB80000}"/>
    <cellStyle name="Uthevingsfarge5 8 3 2 3 3" xfId="45998" xr:uid="{00000000-0005-0000-0000-00003CB80000}"/>
    <cellStyle name="Uthevingsfarge5 8 3 2_Avviksanalyse løpende RNB15 (1)" xfId="17882" xr:uid="{00000000-0005-0000-0000-00003DB80000}"/>
    <cellStyle name="Uthevingsfarge5 8 4" xfId="14998" xr:uid="{00000000-0005-0000-0000-00003EB80000}"/>
    <cellStyle name="Uthevingsfarge5 8 4 2" xfId="19311" xr:uid="{00000000-0005-0000-0000-00003FB80000}"/>
    <cellStyle name="Uthevingsfarge5 8 4 3" xfId="15724" xr:uid="{00000000-0005-0000-0000-000040B80000}"/>
    <cellStyle name="Uthevingsfarge5 8 4 3 2" xfId="27420" xr:uid="{00000000-0005-0000-0000-000041B80000}"/>
    <cellStyle name="Uthevingsfarge5 8 4 3 2 2" xfId="42280" xr:uid="{00000000-0005-0000-0000-000042B80000}"/>
    <cellStyle name="Uthevingsfarge5 8 4 3 3" xfId="45999" xr:uid="{00000000-0005-0000-0000-000043B80000}"/>
    <cellStyle name="Uthevingsfarge5 8 4_Avviksanalyse løpende RNB15 (1)" xfId="17883" xr:uid="{00000000-0005-0000-0000-000044B80000}"/>
    <cellStyle name="Uthevingsfarge5 8 5" xfId="14993" xr:uid="{00000000-0005-0000-0000-000045B80000}"/>
    <cellStyle name="Uthevingsfarge5 9" xfId="14999" xr:uid="{00000000-0005-0000-0000-000046B80000}"/>
    <cellStyle name="Uthevingsfarge5 9 2" xfId="15000" xr:uid="{00000000-0005-0000-0000-000047B80000}"/>
    <cellStyle name="Uthevingsfarge5 9 2 2" xfId="19312" xr:uid="{00000000-0005-0000-0000-000048B80000}"/>
    <cellStyle name="Uthevingsfarge5 9 2 3" xfId="15725" xr:uid="{00000000-0005-0000-0000-000049B80000}"/>
    <cellStyle name="Uthevingsfarge5 9 2 3 2" xfId="27421" xr:uid="{00000000-0005-0000-0000-00004AB80000}"/>
    <cellStyle name="Uthevingsfarge5 9 2 3 2 2" xfId="42281" xr:uid="{00000000-0005-0000-0000-00004BB80000}"/>
    <cellStyle name="Uthevingsfarge5 9 2 3 3" xfId="46000" xr:uid="{00000000-0005-0000-0000-00004CB80000}"/>
    <cellStyle name="Uthevingsfarge5 9 2_Avviksanalyse løpende RNB15 (1)" xfId="17884" xr:uid="{00000000-0005-0000-0000-00004DB80000}"/>
    <cellStyle name="Uthevingsfarge6" xfId="4647" xr:uid="{00000000-0005-0000-0000-00004EB80000}"/>
    <cellStyle name="Uthevingsfarge6 10" xfId="3289" xr:uid="{00000000-0005-0000-0000-00004FB80000}"/>
    <cellStyle name="Uthevingsfarge6 10 2" xfId="4438" xr:uid="{00000000-0005-0000-0000-000050B80000}"/>
    <cellStyle name="Uthevingsfarge6 10 2 2" xfId="15003" xr:uid="{00000000-0005-0000-0000-000051B80000}"/>
    <cellStyle name="Uthevingsfarge6 10 2 2 2" xfId="19313" xr:uid="{00000000-0005-0000-0000-000052B80000}"/>
    <cellStyle name="Uthevingsfarge6 10 2 2 3" xfId="16461" xr:uid="{00000000-0005-0000-0000-000053B80000}"/>
    <cellStyle name="Uthevingsfarge6 10 2 2 3 2" xfId="27422" xr:uid="{00000000-0005-0000-0000-000054B80000}"/>
    <cellStyle name="Uthevingsfarge6 10 2 2 3 2 2" xfId="43016" xr:uid="{00000000-0005-0000-0000-000055B80000}"/>
    <cellStyle name="Uthevingsfarge6 10 2 2 3 3" xfId="46001" xr:uid="{00000000-0005-0000-0000-000056B80000}"/>
    <cellStyle name="Uthevingsfarge6 10 2 2_Avviksanalyse løpende RNB15 (1)" xfId="17885" xr:uid="{00000000-0005-0000-0000-000057B80000}"/>
    <cellStyle name="Uthevingsfarge6 10 2 3" xfId="15002" xr:uid="{00000000-0005-0000-0000-000058B80000}"/>
    <cellStyle name="Uthevingsfarge6 10 3" xfId="4395" xr:uid="{00000000-0005-0000-0000-000059B80000}"/>
    <cellStyle name="Uthevingsfarge6 10 3 2" xfId="19314" xr:uid="{00000000-0005-0000-0000-00005AB80000}"/>
    <cellStyle name="Uthevingsfarge6 10 3 3" xfId="15726" xr:uid="{00000000-0005-0000-0000-00005BB80000}"/>
    <cellStyle name="Uthevingsfarge6 10 3 3 2" xfId="27423" xr:uid="{00000000-0005-0000-0000-00005CB80000}"/>
    <cellStyle name="Uthevingsfarge6 10 3 3 2 2" xfId="42282" xr:uid="{00000000-0005-0000-0000-00005DB80000}"/>
    <cellStyle name="Uthevingsfarge6 10 3 3 3" xfId="46002" xr:uid="{00000000-0005-0000-0000-00005EB80000}"/>
    <cellStyle name="Uthevingsfarge6 10 3 4" xfId="15004" xr:uid="{00000000-0005-0000-0000-00005FB80000}"/>
    <cellStyle name="Uthevingsfarge6 10 3_Avviksanalyse løpende RNB15 (1)" xfId="17886" xr:uid="{00000000-0005-0000-0000-000060B80000}"/>
    <cellStyle name="Uthevingsfarge6 10 4" xfId="15001" xr:uid="{00000000-0005-0000-0000-000061B80000}"/>
    <cellStyle name="Uthevingsfarge6 11" xfId="3290" xr:uid="{00000000-0005-0000-0000-000062B80000}"/>
    <cellStyle name="Uthevingsfarge6 11 2" xfId="15006" xr:uid="{00000000-0005-0000-0000-000063B80000}"/>
    <cellStyle name="Uthevingsfarge6 11 2 2" xfId="15007" xr:uid="{00000000-0005-0000-0000-000064B80000}"/>
    <cellStyle name="Uthevingsfarge6 11 2 2 2" xfId="19315" xr:uid="{00000000-0005-0000-0000-000065B80000}"/>
    <cellStyle name="Uthevingsfarge6 11 2 2 3" xfId="16462" xr:uid="{00000000-0005-0000-0000-000066B80000}"/>
    <cellStyle name="Uthevingsfarge6 11 2 2 3 2" xfId="27424" xr:uid="{00000000-0005-0000-0000-000067B80000}"/>
    <cellStyle name="Uthevingsfarge6 11 2 2 3 2 2" xfId="43017" xr:uid="{00000000-0005-0000-0000-000068B80000}"/>
    <cellStyle name="Uthevingsfarge6 11 2 2 3 3" xfId="46003" xr:uid="{00000000-0005-0000-0000-000069B80000}"/>
    <cellStyle name="Uthevingsfarge6 11 2 2_Avviksanalyse løpende RNB15 (1)" xfId="17887" xr:uid="{00000000-0005-0000-0000-00006AB80000}"/>
    <cellStyle name="Uthevingsfarge6 11 3" xfId="15008" xr:uid="{00000000-0005-0000-0000-00006BB80000}"/>
    <cellStyle name="Uthevingsfarge6 11 3 2" xfId="19316" xr:uid="{00000000-0005-0000-0000-00006CB80000}"/>
    <cellStyle name="Uthevingsfarge6 11 3 3" xfId="15727" xr:uid="{00000000-0005-0000-0000-00006DB80000}"/>
    <cellStyle name="Uthevingsfarge6 11 3 3 2" xfId="27425" xr:uid="{00000000-0005-0000-0000-00006EB80000}"/>
    <cellStyle name="Uthevingsfarge6 11 3 3 2 2" xfId="42283" xr:uid="{00000000-0005-0000-0000-00006FB80000}"/>
    <cellStyle name="Uthevingsfarge6 11 3 3 3" xfId="46004" xr:uid="{00000000-0005-0000-0000-000070B80000}"/>
    <cellStyle name="Uthevingsfarge6 11 3_Avviksanalyse løpende RNB15 (1)" xfId="17888" xr:uid="{00000000-0005-0000-0000-000071B80000}"/>
    <cellStyle name="Uthevingsfarge6 11 4" xfId="15005" xr:uid="{00000000-0005-0000-0000-000072B80000}"/>
    <cellStyle name="Uthevingsfarge6 12" xfId="3291" xr:uid="{00000000-0005-0000-0000-000073B80000}"/>
    <cellStyle name="Uthevingsfarge6 12 2" xfId="15010" xr:uid="{00000000-0005-0000-0000-000074B80000}"/>
    <cellStyle name="Uthevingsfarge6 12 2 2" xfId="15011" xr:uid="{00000000-0005-0000-0000-000075B80000}"/>
    <cellStyle name="Uthevingsfarge6 12 2 2 2" xfId="19317" xr:uid="{00000000-0005-0000-0000-000076B80000}"/>
    <cellStyle name="Uthevingsfarge6 12 2 2 3" xfId="16463" xr:uid="{00000000-0005-0000-0000-000077B80000}"/>
    <cellStyle name="Uthevingsfarge6 12 2 2 3 2" xfId="27426" xr:uid="{00000000-0005-0000-0000-000078B80000}"/>
    <cellStyle name="Uthevingsfarge6 12 2 2 3 2 2" xfId="43018" xr:uid="{00000000-0005-0000-0000-000079B80000}"/>
    <cellStyle name="Uthevingsfarge6 12 2 2 3 3" xfId="46005" xr:uid="{00000000-0005-0000-0000-00007AB80000}"/>
    <cellStyle name="Uthevingsfarge6 12 2 2_Avviksanalyse løpende RNB15 (1)" xfId="17889" xr:uid="{00000000-0005-0000-0000-00007BB80000}"/>
    <cellStyle name="Uthevingsfarge6 12 3" xfId="15012" xr:uid="{00000000-0005-0000-0000-00007CB80000}"/>
    <cellStyle name="Uthevingsfarge6 12 3 2" xfId="19318" xr:uid="{00000000-0005-0000-0000-00007DB80000}"/>
    <cellStyle name="Uthevingsfarge6 12 3 3" xfId="15728" xr:uid="{00000000-0005-0000-0000-00007EB80000}"/>
    <cellStyle name="Uthevingsfarge6 12 3 3 2" xfId="27427" xr:uid="{00000000-0005-0000-0000-00007FB80000}"/>
    <cellStyle name="Uthevingsfarge6 12 3 3 2 2" xfId="42284" xr:uid="{00000000-0005-0000-0000-000080B80000}"/>
    <cellStyle name="Uthevingsfarge6 12 3 3 3" xfId="46006" xr:uid="{00000000-0005-0000-0000-000081B80000}"/>
    <cellStyle name="Uthevingsfarge6 12 3_Avviksanalyse løpende RNB15 (1)" xfId="17890" xr:uid="{00000000-0005-0000-0000-000082B80000}"/>
    <cellStyle name="Uthevingsfarge6 12 4" xfId="15009" xr:uid="{00000000-0005-0000-0000-000083B80000}"/>
    <cellStyle name="Uthevingsfarge6 13" xfId="3452" xr:uid="{00000000-0005-0000-0000-000084B80000}"/>
    <cellStyle name="Uthevingsfarge6 13 2" xfId="15014" xr:uid="{00000000-0005-0000-0000-000085B80000}"/>
    <cellStyle name="Uthevingsfarge6 13 2 2" xfId="19319" xr:uid="{00000000-0005-0000-0000-000086B80000}"/>
    <cellStyle name="Uthevingsfarge6 13 2 3" xfId="15729" xr:uid="{00000000-0005-0000-0000-000087B80000}"/>
    <cellStyle name="Uthevingsfarge6 13 2 3 2" xfId="27428" xr:uid="{00000000-0005-0000-0000-000088B80000}"/>
    <cellStyle name="Uthevingsfarge6 13 2 3 2 2" xfId="42285" xr:uid="{00000000-0005-0000-0000-000089B80000}"/>
    <cellStyle name="Uthevingsfarge6 13 2 3 3" xfId="46007" xr:uid="{00000000-0005-0000-0000-00008AB80000}"/>
    <cellStyle name="Uthevingsfarge6 13 2_Avviksanalyse løpende RNB15 (1)" xfId="17891" xr:uid="{00000000-0005-0000-0000-00008BB80000}"/>
    <cellStyle name="Uthevingsfarge6 13 3" xfId="15013" xr:uid="{00000000-0005-0000-0000-00008CB80000}"/>
    <cellStyle name="Uthevingsfarge6 14" xfId="15015" xr:uid="{00000000-0005-0000-0000-00008DB80000}"/>
    <cellStyle name="Uthevingsfarge6 14 2" xfId="15016" xr:uid="{00000000-0005-0000-0000-00008EB80000}"/>
    <cellStyle name="Uthevingsfarge6 14 2 2" xfId="19320" xr:uid="{00000000-0005-0000-0000-00008FB80000}"/>
    <cellStyle name="Uthevingsfarge6 14 2 3" xfId="15730" xr:uid="{00000000-0005-0000-0000-000090B80000}"/>
    <cellStyle name="Uthevingsfarge6 14 2 3 2" xfId="27429" xr:uid="{00000000-0005-0000-0000-000091B80000}"/>
    <cellStyle name="Uthevingsfarge6 14 2 3 2 2" xfId="42286" xr:uid="{00000000-0005-0000-0000-000092B80000}"/>
    <cellStyle name="Uthevingsfarge6 14 2 3 3" xfId="46008" xr:uid="{00000000-0005-0000-0000-000093B80000}"/>
    <cellStyle name="Uthevingsfarge6 14 2_Avviksanalyse løpende RNB15 (1)" xfId="17892" xr:uid="{00000000-0005-0000-0000-000094B80000}"/>
    <cellStyle name="Uthevingsfarge6 15" xfId="40961" xr:uid="{00000000-0005-0000-0000-000095B80000}"/>
    <cellStyle name="Uthevingsfarge6 16" xfId="43159" xr:uid="{00000000-0005-0000-0000-000096B80000}"/>
    <cellStyle name="Uthevingsfarge6 17" xfId="40912" xr:uid="{00000000-0005-0000-0000-000097B80000}"/>
    <cellStyle name="Uthevingsfarge6 18" xfId="40803" xr:uid="{00000000-0005-0000-0000-000098B80000}"/>
    <cellStyle name="Uthevingsfarge6 19" xfId="40878" xr:uid="{00000000-0005-0000-0000-000099B80000}"/>
    <cellStyle name="Uthevingsfarge6 2" xfId="3292" xr:uid="{00000000-0005-0000-0000-00009AB80000}"/>
    <cellStyle name="Uthevingsfarge6 2 10" xfId="15018" xr:uid="{00000000-0005-0000-0000-00009BB80000}"/>
    <cellStyle name="Uthevingsfarge6 2 10 2" xfId="19321" xr:uid="{00000000-0005-0000-0000-00009CB80000}"/>
    <cellStyle name="Uthevingsfarge6 2 10 3" xfId="15526" xr:uid="{00000000-0005-0000-0000-00009DB80000}"/>
    <cellStyle name="Uthevingsfarge6 2 10 3 2" xfId="27430" xr:uid="{00000000-0005-0000-0000-00009EB80000}"/>
    <cellStyle name="Uthevingsfarge6 2 10 3 2 2" xfId="42082" xr:uid="{00000000-0005-0000-0000-00009FB80000}"/>
    <cellStyle name="Uthevingsfarge6 2 10 3 3" xfId="46009" xr:uid="{00000000-0005-0000-0000-0000A0B80000}"/>
    <cellStyle name="Uthevingsfarge6 2 10_Avviksanalyse løpende RNB15 (1)" xfId="17893" xr:uid="{00000000-0005-0000-0000-0000A1B80000}"/>
    <cellStyle name="Uthevingsfarge6 2 11" xfId="15017" xr:uid="{00000000-0005-0000-0000-0000A2B80000}"/>
    <cellStyle name="Uthevingsfarge6 2 2" xfId="15019" xr:uid="{00000000-0005-0000-0000-0000A3B80000}"/>
    <cellStyle name="Uthevingsfarge6 2 2 2" xfId="15020" xr:uid="{00000000-0005-0000-0000-0000A4B80000}"/>
    <cellStyle name="Uthevingsfarge6 2 2 2 2" xfId="19322" xr:uid="{00000000-0005-0000-0000-0000A5B80000}"/>
    <cellStyle name="Uthevingsfarge6 2 2 2 3" xfId="15731" xr:uid="{00000000-0005-0000-0000-0000A6B80000}"/>
    <cellStyle name="Uthevingsfarge6 2 2 2 3 2" xfId="27431" xr:uid="{00000000-0005-0000-0000-0000A7B80000}"/>
    <cellStyle name="Uthevingsfarge6 2 2 2 3 2 2" xfId="42287" xr:uid="{00000000-0005-0000-0000-0000A8B80000}"/>
    <cellStyle name="Uthevingsfarge6 2 2 2 3 3" xfId="46010" xr:uid="{00000000-0005-0000-0000-0000A9B80000}"/>
    <cellStyle name="Uthevingsfarge6 2 2 2_Avviksanalyse løpende RNB15 (1)" xfId="17894" xr:uid="{00000000-0005-0000-0000-0000AAB80000}"/>
    <cellStyle name="Uthevingsfarge6 2 3" xfId="15021" xr:uid="{00000000-0005-0000-0000-0000ABB80000}"/>
    <cellStyle name="Uthevingsfarge6 2 3 2" xfId="15022" xr:uid="{00000000-0005-0000-0000-0000ACB80000}"/>
    <cellStyle name="Uthevingsfarge6 2 3 2 2" xfId="19323" xr:uid="{00000000-0005-0000-0000-0000ADB80000}"/>
    <cellStyle name="Uthevingsfarge6 2 3 2 3" xfId="15732" xr:uid="{00000000-0005-0000-0000-0000AEB80000}"/>
    <cellStyle name="Uthevingsfarge6 2 3 2 3 2" xfId="27432" xr:uid="{00000000-0005-0000-0000-0000AFB80000}"/>
    <cellStyle name="Uthevingsfarge6 2 3 2 3 2 2" xfId="42288" xr:uid="{00000000-0005-0000-0000-0000B0B80000}"/>
    <cellStyle name="Uthevingsfarge6 2 3 2 3 3" xfId="46011" xr:uid="{00000000-0005-0000-0000-0000B1B80000}"/>
    <cellStyle name="Uthevingsfarge6 2 3 2_Avviksanalyse løpende RNB15 (1)" xfId="17895" xr:uid="{00000000-0005-0000-0000-0000B2B80000}"/>
    <cellStyle name="Uthevingsfarge6 2 4" xfId="15023" xr:uid="{00000000-0005-0000-0000-0000B3B80000}"/>
    <cellStyle name="Uthevingsfarge6 2 4 2" xfId="15024" xr:uid="{00000000-0005-0000-0000-0000B4B80000}"/>
    <cellStyle name="Uthevingsfarge6 2 4 2 2" xfId="19324" xr:uid="{00000000-0005-0000-0000-0000B5B80000}"/>
    <cellStyle name="Uthevingsfarge6 2 4 2 3" xfId="15733" xr:uid="{00000000-0005-0000-0000-0000B6B80000}"/>
    <cellStyle name="Uthevingsfarge6 2 4 2 3 2" xfId="27433" xr:uid="{00000000-0005-0000-0000-0000B7B80000}"/>
    <cellStyle name="Uthevingsfarge6 2 4 2 3 2 2" xfId="42289" xr:uid="{00000000-0005-0000-0000-0000B8B80000}"/>
    <cellStyle name="Uthevingsfarge6 2 4 2 3 3" xfId="46012" xr:uid="{00000000-0005-0000-0000-0000B9B80000}"/>
    <cellStyle name="Uthevingsfarge6 2 4 2_Avviksanalyse løpende RNB15 (1)" xfId="17896" xr:uid="{00000000-0005-0000-0000-0000BAB80000}"/>
    <cellStyle name="Uthevingsfarge6 2 5" xfId="15025" xr:uid="{00000000-0005-0000-0000-0000BBB80000}"/>
    <cellStyle name="Uthevingsfarge6 2 5 2" xfId="15026" xr:uid="{00000000-0005-0000-0000-0000BCB80000}"/>
    <cellStyle name="Uthevingsfarge6 2 5 2 2" xfId="19325" xr:uid="{00000000-0005-0000-0000-0000BDB80000}"/>
    <cellStyle name="Uthevingsfarge6 2 5 2 3" xfId="15734" xr:uid="{00000000-0005-0000-0000-0000BEB80000}"/>
    <cellStyle name="Uthevingsfarge6 2 5 2 3 2" xfId="27434" xr:uid="{00000000-0005-0000-0000-0000BFB80000}"/>
    <cellStyle name="Uthevingsfarge6 2 5 2 3 2 2" xfId="42290" xr:uid="{00000000-0005-0000-0000-0000C0B80000}"/>
    <cellStyle name="Uthevingsfarge6 2 5 2 3 3" xfId="46013" xr:uid="{00000000-0005-0000-0000-0000C1B80000}"/>
    <cellStyle name="Uthevingsfarge6 2 5 2_Avviksanalyse løpende RNB15 (1)" xfId="17897" xr:uid="{00000000-0005-0000-0000-0000C2B80000}"/>
    <cellStyle name="Uthevingsfarge6 2 6" xfId="15027" xr:uid="{00000000-0005-0000-0000-0000C3B80000}"/>
    <cellStyle name="Uthevingsfarge6 2 6 2" xfId="15028" xr:uid="{00000000-0005-0000-0000-0000C4B80000}"/>
    <cellStyle name="Uthevingsfarge6 2 6 2 2" xfId="19326" xr:uid="{00000000-0005-0000-0000-0000C5B80000}"/>
    <cellStyle name="Uthevingsfarge6 2 6 2 3" xfId="15735" xr:uid="{00000000-0005-0000-0000-0000C6B80000}"/>
    <cellStyle name="Uthevingsfarge6 2 6 2 3 2" xfId="27435" xr:uid="{00000000-0005-0000-0000-0000C7B80000}"/>
    <cellStyle name="Uthevingsfarge6 2 6 2 3 2 2" xfId="42291" xr:uid="{00000000-0005-0000-0000-0000C8B80000}"/>
    <cellStyle name="Uthevingsfarge6 2 6 2 3 3" xfId="46014" xr:uid="{00000000-0005-0000-0000-0000C9B80000}"/>
    <cellStyle name="Uthevingsfarge6 2 6 2_Avviksanalyse løpende RNB15 (1)" xfId="17898" xr:uid="{00000000-0005-0000-0000-0000CAB80000}"/>
    <cellStyle name="Uthevingsfarge6 2 7" xfId="15029" xr:uid="{00000000-0005-0000-0000-0000CBB80000}"/>
    <cellStyle name="Uthevingsfarge6 2 7 2" xfId="15030" xr:uid="{00000000-0005-0000-0000-0000CCB80000}"/>
    <cellStyle name="Uthevingsfarge6 2 7 2 2" xfId="19327" xr:uid="{00000000-0005-0000-0000-0000CDB80000}"/>
    <cellStyle name="Uthevingsfarge6 2 7 2 3" xfId="15736" xr:uid="{00000000-0005-0000-0000-0000CEB80000}"/>
    <cellStyle name="Uthevingsfarge6 2 7 2 3 2" xfId="27436" xr:uid="{00000000-0005-0000-0000-0000CFB80000}"/>
    <cellStyle name="Uthevingsfarge6 2 7 2 3 2 2" xfId="42292" xr:uid="{00000000-0005-0000-0000-0000D0B80000}"/>
    <cellStyle name="Uthevingsfarge6 2 7 2 3 3" xfId="46015" xr:uid="{00000000-0005-0000-0000-0000D1B80000}"/>
    <cellStyle name="Uthevingsfarge6 2 7 2_Avviksanalyse løpende RNB15 (1)" xfId="17899" xr:uid="{00000000-0005-0000-0000-0000D2B80000}"/>
    <cellStyle name="Uthevingsfarge6 2 8" xfId="15031" xr:uid="{00000000-0005-0000-0000-0000D3B80000}"/>
    <cellStyle name="Uthevingsfarge6 2 8 2" xfId="15032" xr:uid="{00000000-0005-0000-0000-0000D4B80000}"/>
    <cellStyle name="Uthevingsfarge6 2 8 2 2" xfId="19328" xr:uid="{00000000-0005-0000-0000-0000D5B80000}"/>
    <cellStyle name="Uthevingsfarge6 2 8 2 3" xfId="15737" xr:uid="{00000000-0005-0000-0000-0000D6B80000}"/>
    <cellStyle name="Uthevingsfarge6 2 8 2 3 2" xfId="27437" xr:uid="{00000000-0005-0000-0000-0000D7B80000}"/>
    <cellStyle name="Uthevingsfarge6 2 8 2 3 2 2" xfId="42293" xr:uid="{00000000-0005-0000-0000-0000D8B80000}"/>
    <cellStyle name="Uthevingsfarge6 2 8 2 3 3" xfId="46016" xr:uid="{00000000-0005-0000-0000-0000D9B80000}"/>
    <cellStyle name="Uthevingsfarge6 2 8 2_Avviksanalyse løpende RNB15 (1)" xfId="17900" xr:uid="{00000000-0005-0000-0000-0000DAB80000}"/>
    <cellStyle name="Uthevingsfarge6 2 9" xfId="15033" xr:uid="{00000000-0005-0000-0000-0000DBB80000}"/>
    <cellStyle name="Uthevingsfarge6 2 9 2" xfId="15034" xr:uid="{00000000-0005-0000-0000-0000DCB80000}"/>
    <cellStyle name="Uthevingsfarge6 2 9 2 2" xfId="19329" xr:uid="{00000000-0005-0000-0000-0000DDB80000}"/>
    <cellStyle name="Uthevingsfarge6 2 9 2 3" xfId="15738" xr:uid="{00000000-0005-0000-0000-0000DEB80000}"/>
    <cellStyle name="Uthevingsfarge6 2 9 2 3 2" xfId="27438" xr:uid="{00000000-0005-0000-0000-0000DFB80000}"/>
    <cellStyle name="Uthevingsfarge6 2 9 2 3 2 2" xfId="42294" xr:uid="{00000000-0005-0000-0000-0000E0B80000}"/>
    <cellStyle name="Uthevingsfarge6 2 9 2 3 3" xfId="46017" xr:uid="{00000000-0005-0000-0000-0000E1B80000}"/>
    <cellStyle name="Uthevingsfarge6 2 9 2_Avviksanalyse løpende RNB15 (1)" xfId="17901" xr:uid="{00000000-0005-0000-0000-0000E2B80000}"/>
    <cellStyle name="Uthevingsfarge6 20" xfId="40833" xr:uid="{00000000-0005-0000-0000-0000E3B80000}"/>
    <cellStyle name="Uthevingsfarge6 21" xfId="40858" xr:uid="{00000000-0005-0000-0000-0000E4B80000}"/>
    <cellStyle name="Uthevingsfarge6 22" xfId="43222" xr:uid="{00000000-0005-0000-0000-0000E5B80000}"/>
    <cellStyle name="Uthevingsfarge6 23" xfId="43436" xr:uid="{00000000-0005-0000-0000-0000E6B80000}"/>
    <cellStyle name="Uthevingsfarge6 24" xfId="43502" xr:uid="{00000000-0005-0000-0000-0000E7B80000}"/>
    <cellStyle name="Uthevingsfarge6 25" xfId="46271" xr:uid="{00000000-0005-0000-0000-0000E8B80000}"/>
    <cellStyle name="Uthevingsfarge6 26" xfId="43501" xr:uid="{00000000-0005-0000-0000-0000E9B80000}"/>
    <cellStyle name="Uthevingsfarge6 27" xfId="46324" xr:uid="{00000000-0005-0000-0000-0000EAB80000}"/>
    <cellStyle name="Uthevingsfarge6 28" xfId="46814" xr:uid="{00000000-0005-0000-0000-0000EBB80000}"/>
    <cellStyle name="Uthevingsfarge6 29" xfId="46463" xr:uid="{00000000-0005-0000-0000-0000ECB80000}"/>
    <cellStyle name="Uthevingsfarge6 3" xfId="3293" xr:uid="{00000000-0005-0000-0000-0000EDB80000}"/>
    <cellStyle name="Uthevingsfarge6 3 2" xfId="15036" xr:uid="{00000000-0005-0000-0000-0000EEB80000}"/>
    <cellStyle name="Uthevingsfarge6 3 2 2" xfId="19330" xr:uid="{00000000-0005-0000-0000-0000EFB80000}"/>
    <cellStyle name="Uthevingsfarge6 3 2 3" xfId="15527" xr:uid="{00000000-0005-0000-0000-0000F0B80000}"/>
    <cellStyle name="Uthevingsfarge6 3 2 3 2" xfId="27439" xr:uid="{00000000-0005-0000-0000-0000F1B80000}"/>
    <cellStyle name="Uthevingsfarge6 3 2 3 2 2" xfId="42083" xr:uid="{00000000-0005-0000-0000-0000F2B80000}"/>
    <cellStyle name="Uthevingsfarge6 3 2 3 3" xfId="46018" xr:uid="{00000000-0005-0000-0000-0000F3B80000}"/>
    <cellStyle name="Uthevingsfarge6 3 2_Avviksanalyse løpende RNB15 (1)" xfId="17902" xr:uid="{00000000-0005-0000-0000-0000F4B80000}"/>
    <cellStyle name="Uthevingsfarge6 3 3" xfId="15035" xr:uid="{00000000-0005-0000-0000-0000F5B80000}"/>
    <cellStyle name="Uthevingsfarge6 30" xfId="46849" xr:uid="{00000000-0005-0000-0000-0000F6B80000}"/>
    <cellStyle name="Uthevingsfarge6 31" xfId="46925" xr:uid="{00000000-0005-0000-0000-0000F7B80000}"/>
    <cellStyle name="Uthevingsfarge6 32" xfId="46845" xr:uid="{00000000-0005-0000-0000-0000F8B80000}"/>
    <cellStyle name="Uthevingsfarge6 4" xfId="3294" xr:uid="{00000000-0005-0000-0000-0000F9B80000}"/>
    <cellStyle name="Uthevingsfarge6 4 2" xfId="15038" xr:uid="{00000000-0005-0000-0000-0000FAB80000}"/>
    <cellStyle name="Uthevingsfarge6 4 2 2" xfId="19331" xr:uid="{00000000-0005-0000-0000-0000FBB80000}"/>
    <cellStyle name="Uthevingsfarge6 4 2 3" xfId="15528" xr:uid="{00000000-0005-0000-0000-0000FCB80000}"/>
    <cellStyle name="Uthevingsfarge6 4 2 3 2" xfId="27440" xr:uid="{00000000-0005-0000-0000-0000FDB80000}"/>
    <cellStyle name="Uthevingsfarge6 4 2 3 2 2" xfId="42084" xr:uid="{00000000-0005-0000-0000-0000FEB80000}"/>
    <cellStyle name="Uthevingsfarge6 4 2 3 3" xfId="46019" xr:uid="{00000000-0005-0000-0000-0000FFB80000}"/>
    <cellStyle name="Uthevingsfarge6 4 2_Avviksanalyse løpende RNB15 (1)" xfId="17903" xr:uid="{00000000-0005-0000-0000-000000B90000}"/>
    <cellStyle name="Uthevingsfarge6 4 3" xfId="15037" xr:uid="{00000000-0005-0000-0000-000001B90000}"/>
    <cellStyle name="Uthevingsfarge6 5" xfId="3295" xr:uid="{00000000-0005-0000-0000-000002B90000}"/>
    <cellStyle name="Uthevingsfarge6 5 2" xfId="15040" xr:uid="{00000000-0005-0000-0000-000003B90000}"/>
    <cellStyle name="Uthevingsfarge6 5 2 2" xfId="19332" xr:uid="{00000000-0005-0000-0000-000004B90000}"/>
    <cellStyle name="Uthevingsfarge6 5 2 3" xfId="15525" xr:uid="{00000000-0005-0000-0000-000005B90000}"/>
    <cellStyle name="Uthevingsfarge6 5 2 3 2" xfId="27441" xr:uid="{00000000-0005-0000-0000-000006B90000}"/>
    <cellStyle name="Uthevingsfarge6 5 2 3 2 2" xfId="42081" xr:uid="{00000000-0005-0000-0000-000007B90000}"/>
    <cellStyle name="Uthevingsfarge6 5 2 3 3" xfId="46020" xr:uid="{00000000-0005-0000-0000-000008B90000}"/>
    <cellStyle name="Uthevingsfarge6 5 2_Avviksanalyse løpende RNB15 (1)" xfId="17904" xr:uid="{00000000-0005-0000-0000-000009B90000}"/>
    <cellStyle name="Uthevingsfarge6 5 3" xfId="15039" xr:uid="{00000000-0005-0000-0000-00000AB90000}"/>
    <cellStyle name="Uthevingsfarge6 6" xfId="3296" xr:uid="{00000000-0005-0000-0000-00000BB90000}"/>
    <cellStyle name="Uthevingsfarge6 6 2" xfId="15042" xr:uid="{00000000-0005-0000-0000-00000CB90000}"/>
    <cellStyle name="Uthevingsfarge6 6 2 2" xfId="19333" xr:uid="{00000000-0005-0000-0000-00000DB90000}"/>
    <cellStyle name="Uthevingsfarge6 6 2 3" xfId="15739" xr:uid="{00000000-0005-0000-0000-00000EB90000}"/>
    <cellStyle name="Uthevingsfarge6 6 2 3 2" xfId="27442" xr:uid="{00000000-0005-0000-0000-00000FB90000}"/>
    <cellStyle name="Uthevingsfarge6 6 2 3 2 2" xfId="42295" xr:uid="{00000000-0005-0000-0000-000010B90000}"/>
    <cellStyle name="Uthevingsfarge6 6 2 3 3" xfId="46021" xr:uid="{00000000-0005-0000-0000-000011B90000}"/>
    <cellStyle name="Uthevingsfarge6 6 2_Avviksanalyse løpende RNB15 (1)" xfId="17905" xr:uid="{00000000-0005-0000-0000-000012B90000}"/>
    <cellStyle name="Uthevingsfarge6 6 3" xfId="15041" xr:uid="{00000000-0005-0000-0000-000013B90000}"/>
    <cellStyle name="Uthevingsfarge6 7" xfId="3297" xr:uid="{00000000-0005-0000-0000-000014B90000}"/>
    <cellStyle name="Uthevingsfarge6 7 2" xfId="15044" xr:uid="{00000000-0005-0000-0000-000015B90000}"/>
    <cellStyle name="Uthevingsfarge6 7 2 2" xfId="19334" xr:uid="{00000000-0005-0000-0000-000016B90000}"/>
    <cellStyle name="Uthevingsfarge6 7 2 3" xfId="15740" xr:uid="{00000000-0005-0000-0000-000017B90000}"/>
    <cellStyle name="Uthevingsfarge6 7 2 3 2" xfId="27443" xr:uid="{00000000-0005-0000-0000-000018B90000}"/>
    <cellStyle name="Uthevingsfarge6 7 2 3 2 2" xfId="42296" xr:uid="{00000000-0005-0000-0000-000019B90000}"/>
    <cellStyle name="Uthevingsfarge6 7 2 3 3" xfId="46022" xr:uid="{00000000-0005-0000-0000-00001AB90000}"/>
    <cellStyle name="Uthevingsfarge6 7 2_Avviksanalyse løpende RNB15 (1)" xfId="17906" xr:uid="{00000000-0005-0000-0000-00001BB90000}"/>
    <cellStyle name="Uthevingsfarge6 7 3" xfId="15043" xr:uid="{00000000-0005-0000-0000-00001CB90000}"/>
    <cellStyle name="Uthevingsfarge6 8" xfId="3298" xr:uid="{00000000-0005-0000-0000-00001DB90000}"/>
    <cellStyle name="Uthevingsfarge6 8 2" xfId="3299" xr:uid="{00000000-0005-0000-0000-00001EB90000}"/>
    <cellStyle name="Uthevingsfarge6 8 2 2" xfId="15047" xr:uid="{00000000-0005-0000-0000-00001FB90000}"/>
    <cellStyle name="Uthevingsfarge6 8 2 2 2" xfId="19335" xr:uid="{00000000-0005-0000-0000-000020B90000}"/>
    <cellStyle name="Uthevingsfarge6 8 2 2 3" xfId="16465" xr:uid="{00000000-0005-0000-0000-000021B90000}"/>
    <cellStyle name="Uthevingsfarge6 8 2 2 3 2" xfId="27444" xr:uid="{00000000-0005-0000-0000-000022B90000}"/>
    <cellStyle name="Uthevingsfarge6 8 2 2 3 2 2" xfId="43020" xr:uid="{00000000-0005-0000-0000-000023B90000}"/>
    <cellStyle name="Uthevingsfarge6 8 2 2 3 3" xfId="46023" xr:uid="{00000000-0005-0000-0000-000024B90000}"/>
    <cellStyle name="Uthevingsfarge6 8 2 2_Avviksanalyse løpende RNB15 (1)" xfId="17907" xr:uid="{00000000-0005-0000-0000-000025B90000}"/>
    <cellStyle name="Uthevingsfarge6 8 2 3" xfId="15046" xr:uid="{00000000-0005-0000-0000-000026B90000}"/>
    <cellStyle name="Uthevingsfarge6 8 3" xfId="15048" xr:uid="{00000000-0005-0000-0000-000027B90000}"/>
    <cellStyle name="Uthevingsfarge6 8 3 2" xfId="15049" xr:uid="{00000000-0005-0000-0000-000028B90000}"/>
    <cellStyle name="Uthevingsfarge6 8 3 2 2" xfId="19336" xr:uid="{00000000-0005-0000-0000-000029B90000}"/>
    <cellStyle name="Uthevingsfarge6 8 3 2 3" xfId="16464" xr:uid="{00000000-0005-0000-0000-00002AB90000}"/>
    <cellStyle name="Uthevingsfarge6 8 3 2 3 2" xfId="27445" xr:uid="{00000000-0005-0000-0000-00002BB90000}"/>
    <cellStyle name="Uthevingsfarge6 8 3 2 3 2 2" xfId="43019" xr:uid="{00000000-0005-0000-0000-00002CB90000}"/>
    <cellStyle name="Uthevingsfarge6 8 3 2 3 3" xfId="46024" xr:uid="{00000000-0005-0000-0000-00002DB90000}"/>
    <cellStyle name="Uthevingsfarge6 8 3 2_Avviksanalyse løpende RNB15 (1)" xfId="17908" xr:uid="{00000000-0005-0000-0000-00002EB90000}"/>
    <cellStyle name="Uthevingsfarge6 8 4" xfId="15050" xr:uid="{00000000-0005-0000-0000-00002FB90000}"/>
    <cellStyle name="Uthevingsfarge6 8 4 2" xfId="19337" xr:uid="{00000000-0005-0000-0000-000030B90000}"/>
    <cellStyle name="Uthevingsfarge6 8 4 3" xfId="15741" xr:uid="{00000000-0005-0000-0000-000031B90000}"/>
    <cellStyle name="Uthevingsfarge6 8 4 3 2" xfId="27446" xr:uid="{00000000-0005-0000-0000-000032B90000}"/>
    <cellStyle name="Uthevingsfarge6 8 4 3 2 2" xfId="42297" xr:uid="{00000000-0005-0000-0000-000033B90000}"/>
    <cellStyle name="Uthevingsfarge6 8 4 3 3" xfId="46025" xr:uid="{00000000-0005-0000-0000-000034B90000}"/>
    <cellStyle name="Uthevingsfarge6 8 4_Avviksanalyse løpende RNB15 (1)" xfId="17909" xr:uid="{00000000-0005-0000-0000-000035B90000}"/>
    <cellStyle name="Uthevingsfarge6 8 5" xfId="15045" xr:uid="{00000000-0005-0000-0000-000036B90000}"/>
    <cellStyle name="Uthevingsfarge6 9" xfId="3300" xr:uid="{00000000-0005-0000-0000-000037B90000}"/>
    <cellStyle name="Uthevingsfarge6 9 2" xfId="15052" xr:uid="{00000000-0005-0000-0000-000038B90000}"/>
    <cellStyle name="Uthevingsfarge6 9 2 2" xfId="15053" xr:uid="{00000000-0005-0000-0000-000039B90000}"/>
    <cellStyle name="Uthevingsfarge6 9 2 2 2" xfId="19338" xr:uid="{00000000-0005-0000-0000-00003AB90000}"/>
    <cellStyle name="Uthevingsfarge6 9 2 2 3" xfId="16466" xr:uid="{00000000-0005-0000-0000-00003BB90000}"/>
    <cellStyle name="Uthevingsfarge6 9 2 2 3 2" xfId="27447" xr:uid="{00000000-0005-0000-0000-00003CB90000}"/>
    <cellStyle name="Uthevingsfarge6 9 2 2 3 2 2" xfId="43021" xr:uid="{00000000-0005-0000-0000-00003DB90000}"/>
    <cellStyle name="Uthevingsfarge6 9 2 2 3 3" xfId="46026" xr:uid="{00000000-0005-0000-0000-00003EB90000}"/>
    <cellStyle name="Uthevingsfarge6 9 2 2_Avviksanalyse løpende RNB15 (1)" xfId="17910" xr:uid="{00000000-0005-0000-0000-00003FB90000}"/>
    <cellStyle name="Uthevingsfarge6 9 3" xfId="15054" xr:uid="{00000000-0005-0000-0000-000040B90000}"/>
    <cellStyle name="Uthevingsfarge6 9 3 2" xfId="19339" xr:uid="{00000000-0005-0000-0000-000041B90000}"/>
    <cellStyle name="Uthevingsfarge6 9 3 3" xfId="15742" xr:uid="{00000000-0005-0000-0000-000042B90000}"/>
    <cellStyle name="Uthevingsfarge6 9 3 3 2" xfId="27448" xr:uid="{00000000-0005-0000-0000-000043B90000}"/>
    <cellStyle name="Uthevingsfarge6 9 3 3 2 2" xfId="42298" xr:uid="{00000000-0005-0000-0000-000044B90000}"/>
    <cellStyle name="Uthevingsfarge6 9 3 3 3" xfId="46027" xr:uid="{00000000-0005-0000-0000-000045B90000}"/>
    <cellStyle name="Uthevingsfarge6 9 3_Avviksanalyse løpende RNB15 (1)" xfId="17911" xr:uid="{00000000-0005-0000-0000-000046B90000}"/>
    <cellStyle name="Uthevingsfarge6 9 4" xfId="15051" xr:uid="{00000000-0005-0000-0000-000047B90000}"/>
    <cellStyle name="Varseltekst" xfId="40930" builtinId="11" customBuiltin="1"/>
    <cellStyle name="Varseltekst 10" xfId="15055" xr:uid="{00000000-0005-0000-0000-000048B90000}"/>
    <cellStyle name="Varseltekst 10 2" xfId="15056" xr:uid="{00000000-0005-0000-0000-000049B90000}"/>
    <cellStyle name="Varseltekst 10 2 2" xfId="19340" xr:uid="{00000000-0005-0000-0000-00004AB90000}"/>
    <cellStyle name="Varseltekst 10 2 3" xfId="15743" xr:uid="{00000000-0005-0000-0000-00004BB90000}"/>
    <cellStyle name="Varseltekst 10 2 3 2" xfId="27449" xr:uid="{00000000-0005-0000-0000-00004CB90000}"/>
    <cellStyle name="Varseltekst 10 2 3 2 2" xfId="42299" xr:uid="{00000000-0005-0000-0000-00004DB90000}"/>
    <cellStyle name="Varseltekst 10 2 3 3" xfId="46028" xr:uid="{00000000-0005-0000-0000-00004EB90000}"/>
    <cellStyle name="Varseltekst 10 2_Avviksanalyse løpende RNB15 (1)" xfId="17912" xr:uid="{00000000-0005-0000-0000-00004FB90000}"/>
    <cellStyle name="Varseltekst 11" xfId="15057" xr:uid="{00000000-0005-0000-0000-000050B90000}"/>
    <cellStyle name="Varseltekst 11 2" xfId="15058" xr:uid="{00000000-0005-0000-0000-000051B90000}"/>
    <cellStyle name="Varseltekst 11 2 2" xfId="19341" xr:uid="{00000000-0005-0000-0000-000052B90000}"/>
    <cellStyle name="Varseltekst 11 2 3" xfId="15744" xr:uid="{00000000-0005-0000-0000-000053B90000}"/>
    <cellStyle name="Varseltekst 11 2 3 2" xfId="27450" xr:uid="{00000000-0005-0000-0000-000054B90000}"/>
    <cellStyle name="Varseltekst 11 2 3 2 2" xfId="42300" xr:uid="{00000000-0005-0000-0000-000055B90000}"/>
    <cellStyle name="Varseltekst 11 2 3 3" xfId="46029" xr:uid="{00000000-0005-0000-0000-000056B90000}"/>
    <cellStyle name="Varseltekst 11 2_Avviksanalyse løpende RNB15 (1)" xfId="17913" xr:uid="{00000000-0005-0000-0000-000057B90000}"/>
    <cellStyle name="Varseltekst 12" xfId="15059" xr:uid="{00000000-0005-0000-0000-000058B90000}"/>
    <cellStyle name="Varseltekst 12 2" xfId="15060" xr:uid="{00000000-0005-0000-0000-000059B90000}"/>
    <cellStyle name="Varseltekst 12 2 2" xfId="19342" xr:uid="{00000000-0005-0000-0000-00005AB90000}"/>
    <cellStyle name="Varseltekst 12 2 3" xfId="15745" xr:uid="{00000000-0005-0000-0000-00005BB90000}"/>
    <cellStyle name="Varseltekst 12 2 3 2" xfId="27451" xr:uid="{00000000-0005-0000-0000-00005CB90000}"/>
    <cellStyle name="Varseltekst 12 2 3 2 2" xfId="42301" xr:uid="{00000000-0005-0000-0000-00005DB90000}"/>
    <cellStyle name="Varseltekst 12 2 3 3" xfId="46030" xr:uid="{00000000-0005-0000-0000-00005EB90000}"/>
    <cellStyle name="Varseltekst 12 2_Avviksanalyse løpende RNB15 (1)" xfId="17914" xr:uid="{00000000-0005-0000-0000-00005FB90000}"/>
    <cellStyle name="Varseltekst 13" xfId="15061" xr:uid="{00000000-0005-0000-0000-000060B90000}"/>
    <cellStyle name="Varseltekst 13 2" xfId="15062" xr:uid="{00000000-0005-0000-0000-000061B90000}"/>
    <cellStyle name="Varseltekst 13 2 2" xfId="19343" xr:uid="{00000000-0005-0000-0000-000062B90000}"/>
    <cellStyle name="Varseltekst 13 2 3" xfId="15746" xr:uid="{00000000-0005-0000-0000-000063B90000}"/>
    <cellStyle name="Varseltekst 13 2 3 2" xfId="27452" xr:uid="{00000000-0005-0000-0000-000064B90000}"/>
    <cellStyle name="Varseltekst 13 2 3 2 2" xfId="42302" xr:uid="{00000000-0005-0000-0000-000065B90000}"/>
    <cellStyle name="Varseltekst 13 2 3 3" xfId="46031" xr:uid="{00000000-0005-0000-0000-000066B90000}"/>
    <cellStyle name="Varseltekst 13 2_Avviksanalyse løpende RNB15 (1)" xfId="17915" xr:uid="{00000000-0005-0000-0000-000067B90000}"/>
    <cellStyle name="Varseltekst 14" xfId="15063" xr:uid="{00000000-0005-0000-0000-000068B90000}"/>
    <cellStyle name="Varseltekst 14 2" xfId="15064" xr:uid="{00000000-0005-0000-0000-000069B90000}"/>
    <cellStyle name="Varseltekst 14 2 2" xfId="19344" xr:uid="{00000000-0005-0000-0000-00006AB90000}"/>
    <cellStyle name="Varseltekst 14 2 3" xfId="15747" xr:uid="{00000000-0005-0000-0000-00006BB90000}"/>
    <cellStyle name="Varseltekst 14 2 3 2" xfId="27453" xr:uid="{00000000-0005-0000-0000-00006CB90000}"/>
    <cellStyle name="Varseltekst 14 2 3 2 2" xfId="42303" xr:uid="{00000000-0005-0000-0000-00006DB90000}"/>
    <cellStyle name="Varseltekst 14 2 3 3" xfId="46032" xr:uid="{00000000-0005-0000-0000-00006EB90000}"/>
    <cellStyle name="Varseltekst 14 2_Avviksanalyse løpende RNB15 (1)" xfId="17916" xr:uid="{00000000-0005-0000-0000-00006FB90000}"/>
    <cellStyle name="Varseltekst 15" xfId="40938" xr:uid="{00000000-0005-0000-0000-000070B90000}"/>
    <cellStyle name="Varseltekst 16" xfId="40784" xr:uid="{00000000-0005-0000-0000-000071B90000}"/>
    <cellStyle name="Varseltekst 17" xfId="40894" xr:uid="{00000000-0005-0000-0000-000072B90000}"/>
    <cellStyle name="Varseltekst 18" xfId="40819" xr:uid="{00000000-0005-0000-0000-000073B90000}"/>
    <cellStyle name="Varseltekst 19" xfId="40864" xr:uid="{00000000-0005-0000-0000-000074B90000}"/>
    <cellStyle name="Varseltekst 2" xfId="3301" xr:uid="{00000000-0005-0000-0000-000075B90000}"/>
    <cellStyle name="Varseltekst 2 10" xfId="15066" xr:uid="{00000000-0005-0000-0000-000076B90000}"/>
    <cellStyle name="Varseltekst 2 10 2" xfId="19345" xr:uid="{00000000-0005-0000-0000-000077B90000}"/>
    <cellStyle name="Varseltekst 2 10 3" xfId="15530" xr:uid="{00000000-0005-0000-0000-000078B90000}"/>
    <cellStyle name="Varseltekst 2 10 3 2" xfId="27454" xr:uid="{00000000-0005-0000-0000-000079B90000}"/>
    <cellStyle name="Varseltekst 2 10 3 2 2" xfId="42086" xr:uid="{00000000-0005-0000-0000-00007AB90000}"/>
    <cellStyle name="Varseltekst 2 10 3 3" xfId="46033" xr:uid="{00000000-0005-0000-0000-00007BB90000}"/>
    <cellStyle name="Varseltekst 2 10_Avviksanalyse løpende RNB15 (1)" xfId="17917" xr:uid="{00000000-0005-0000-0000-00007CB90000}"/>
    <cellStyle name="Varseltekst 2 11" xfId="15065" xr:uid="{00000000-0005-0000-0000-00007DB90000}"/>
    <cellStyle name="Varseltekst 2 2" xfId="15067" xr:uid="{00000000-0005-0000-0000-00007EB90000}"/>
    <cellStyle name="Varseltekst 2 2 2" xfId="15068" xr:uid="{00000000-0005-0000-0000-00007FB90000}"/>
    <cellStyle name="Varseltekst 2 2 2 2" xfId="19346" xr:uid="{00000000-0005-0000-0000-000080B90000}"/>
    <cellStyle name="Varseltekst 2 2 2 3" xfId="15748" xr:uid="{00000000-0005-0000-0000-000081B90000}"/>
    <cellStyle name="Varseltekst 2 2 2 3 2" xfId="27455" xr:uid="{00000000-0005-0000-0000-000082B90000}"/>
    <cellStyle name="Varseltekst 2 2 2 3 2 2" xfId="42304" xr:uid="{00000000-0005-0000-0000-000083B90000}"/>
    <cellStyle name="Varseltekst 2 2 2 3 3" xfId="46034" xr:uid="{00000000-0005-0000-0000-000084B90000}"/>
    <cellStyle name="Varseltekst 2 2 2_Avviksanalyse løpende RNB15 (1)" xfId="17918" xr:uid="{00000000-0005-0000-0000-000085B90000}"/>
    <cellStyle name="Varseltekst 2 3" xfId="15069" xr:uid="{00000000-0005-0000-0000-000086B90000}"/>
    <cellStyle name="Varseltekst 2 3 2" xfId="15070" xr:uid="{00000000-0005-0000-0000-000087B90000}"/>
    <cellStyle name="Varseltekst 2 3 2 2" xfId="19347" xr:uid="{00000000-0005-0000-0000-000088B90000}"/>
    <cellStyle name="Varseltekst 2 3 2 3" xfId="15749" xr:uid="{00000000-0005-0000-0000-000089B90000}"/>
    <cellStyle name="Varseltekst 2 3 2 3 2" xfId="27456" xr:uid="{00000000-0005-0000-0000-00008AB90000}"/>
    <cellStyle name="Varseltekst 2 3 2 3 2 2" xfId="42305" xr:uid="{00000000-0005-0000-0000-00008BB90000}"/>
    <cellStyle name="Varseltekst 2 3 2 3 3" xfId="46035" xr:uid="{00000000-0005-0000-0000-00008CB90000}"/>
    <cellStyle name="Varseltekst 2 3 2_Avviksanalyse løpende RNB15 (1)" xfId="17919" xr:uid="{00000000-0005-0000-0000-00008DB90000}"/>
    <cellStyle name="Varseltekst 2 4" xfId="15071" xr:uid="{00000000-0005-0000-0000-00008EB90000}"/>
    <cellStyle name="Varseltekst 2 4 2" xfId="15072" xr:uid="{00000000-0005-0000-0000-00008FB90000}"/>
    <cellStyle name="Varseltekst 2 4 2 2" xfId="19348" xr:uid="{00000000-0005-0000-0000-000090B90000}"/>
    <cellStyle name="Varseltekst 2 4 2 3" xfId="15750" xr:uid="{00000000-0005-0000-0000-000091B90000}"/>
    <cellStyle name="Varseltekst 2 4 2 3 2" xfId="27457" xr:uid="{00000000-0005-0000-0000-000092B90000}"/>
    <cellStyle name="Varseltekst 2 4 2 3 2 2" xfId="42306" xr:uid="{00000000-0005-0000-0000-000093B90000}"/>
    <cellStyle name="Varseltekst 2 4 2 3 3" xfId="46036" xr:uid="{00000000-0005-0000-0000-000094B90000}"/>
    <cellStyle name="Varseltekst 2 4 2_Avviksanalyse løpende RNB15 (1)" xfId="17920" xr:uid="{00000000-0005-0000-0000-000095B90000}"/>
    <cellStyle name="Varseltekst 2 5" xfId="15073" xr:uid="{00000000-0005-0000-0000-000096B90000}"/>
    <cellStyle name="Varseltekst 2 5 2" xfId="15074" xr:uid="{00000000-0005-0000-0000-000097B90000}"/>
    <cellStyle name="Varseltekst 2 5 2 2" xfId="19349" xr:uid="{00000000-0005-0000-0000-000098B90000}"/>
    <cellStyle name="Varseltekst 2 5 2 3" xfId="15751" xr:uid="{00000000-0005-0000-0000-000099B90000}"/>
    <cellStyle name="Varseltekst 2 5 2 3 2" xfId="27458" xr:uid="{00000000-0005-0000-0000-00009AB90000}"/>
    <cellStyle name="Varseltekst 2 5 2 3 2 2" xfId="42307" xr:uid="{00000000-0005-0000-0000-00009BB90000}"/>
    <cellStyle name="Varseltekst 2 5 2 3 3" xfId="46037" xr:uid="{00000000-0005-0000-0000-00009CB90000}"/>
    <cellStyle name="Varseltekst 2 5 2_Avviksanalyse løpende RNB15 (1)" xfId="17921" xr:uid="{00000000-0005-0000-0000-00009DB90000}"/>
    <cellStyle name="Varseltekst 2 6" xfId="15075" xr:uid="{00000000-0005-0000-0000-00009EB90000}"/>
    <cellStyle name="Varseltekst 2 6 2" xfId="15076" xr:uid="{00000000-0005-0000-0000-00009FB90000}"/>
    <cellStyle name="Varseltekst 2 6 2 2" xfId="19350" xr:uid="{00000000-0005-0000-0000-0000A0B90000}"/>
    <cellStyle name="Varseltekst 2 6 2 3" xfId="15752" xr:uid="{00000000-0005-0000-0000-0000A1B90000}"/>
    <cellStyle name="Varseltekst 2 6 2 3 2" xfId="27459" xr:uid="{00000000-0005-0000-0000-0000A2B90000}"/>
    <cellStyle name="Varseltekst 2 6 2 3 2 2" xfId="42308" xr:uid="{00000000-0005-0000-0000-0000A3B90000}"/>
    <cellStyle name="Varseltekst 2 6 2 3 3" xfId="46038" xr:uid="{00000000-0005-0000-0000-0000A4B90000}"/>
    <cellStyle name="Varseltekst 2 6 2_Avviksanalyse løpende RNB15 (1)" xfId="17922" xr:uid="{00000000-0005-0000-0000-0000A5B90000}"/>
    <cellStyle name="Varseltekst 2 7" xfId="15077" xr:uid="{00000000-0005-0000-0000-0000A6B90000}"/>
    <cellStyle name="Varseltekst 2 7 2" xfId="15078" xr:uid="{00000000-0005-0000-0000-0000A7B90000}"/>
    <cellStyle name="Varseltekst 2 7 2 2" xfId="19351" xr:uid="{00000000-0005-0000-0000-0000A8B90000}"/>
    <cellStyle name="Varseltekst 2 7 2 3" xfId="15753" xr:uid="{00000000-0005-0000-0000-0000A9B90000}"/>
    <cellStyle name="Varseltekst 2 7 2 3 2" xfId="27460" xr:uid="{00000000-0005-0000-0000-0000AAB90000}"/>
    <cellStyle name="Varseltekst 2 7 2 3 2 2" xfId="42309" xr:uid="{00000000-0005-0000-0000-0000ABB90000}"/>
    <cellStyle name="Varseltekst 2 7 2 3 3" xfId="46039" xr:uid="{00000000-0005-0000-0000-0000ACB90000}"/>
    <cellStyle name="Varseltekst 2 7 2_Avviksanalyse løpende RNB15 (1)" xfId="17923" xr:uid="{00000000-0005-0000-0000-0000ADB90000}"/>
    <cellStyle name="Varseltekst 2 8" xfId="15079" xr:uid="{00000000-0005-0000-0000-0000AEB90000}"/>
    <cellStyle name="Varseltekst 2 8 2" xfId="15080" xr:uid="{00000000-0005-0000-0000-0000AFB90000}"/>
    <cellStyle name="Varseltekst 2 8 2 2" xfId="19352" xr:uid="{00000000-0005-0000-0000-0000B0B90000}"/>
    <cellStyle name="Varseltekst 2 8 2 3" xfId="15754" xr:uid="{00000000-0005-0000-0000-0000B1B90000}"/>
    <cellStyle name="Varseltekst 2 8 2 3 2" xfId="27461" xr:uid="{00000000-0005-0000-0000-0000B2B90000}"/>
    <cellStyle name="Varseltekst 2 8 2 3 2 2" xfId="42310" xr:uid="{00000000-0005-0000-0000-0000B3B90000}"/>
    <cellStyle name="Varseltekst 2 8 2 3 3" xfId="46040" xr:uid="{00000000-0005-0000-0000-0000B4B90000}"/>
    <cellStyle name="Varseltekst 2 8 2_Avviksanalyse løpende RNB15 (1)" xfId="17924" xr:uid="{00000000-0005-0000-0000-0000B5B90000}"/>
    <cellStyle name="Varseltekst 2 9" xfId="15081" xr:uid="{00000000-0005-0000-0000-0000B6B90000}"/>
    <cellStyle name="Varseltekst 2 9 2" xfId="15082" xr:uid="{00000000-0005-0000-0000-0000B7B90000}"/>
    <cellStyle name="Varseltekst 2 9 2 2" xfId="19353" xr:uid="{00000000-0005-0000-0000-0000B8B90000}"/>
    <cellStyle name="Varseltekst 2 9 2 3" xfId="15755" xr:uid="{00000000-0005-0000-0000-0000B9B90000}"/>
    <cellStyle name="Varseltekst 2 9 2 3 2" xfId="27462" xr:uid="{00000000-0005-0000-0000-0000BAB90000}"/>
    <cellStyle name="Varseltekst 2 9 2 3 2 2" xfId="42311" xr:uid="{00000000-0005-0000-0000-0000BBB90000}"/>
    <cellStyle name="Varseltekst 2 9 2 3 3" xfId="46041" xr:uid="{00000000-0005-0000-0000-0000BCB90000}"/>
    <cellStyle name="Varseltekst 2 9 2_Avviksanalyse løpende RNB15 (1)" xfId="17925" xr:uid="{00000000-0005-0000-0000-0000BDB90000}"/>
    <cellStyle name="Varseltekst 20" xfId="43178" xr:uid="{00000000-0005-0000-0000-0000BEB90000}"/>
    <cellStyle name="Varseltekst 21" xfId="40852" xr:uid="{00000000-0005-0000-0000-0000BFB90000}"/>
    <cellStyle name="Varseltekst 22" xfId="43199" xr:uid="{00000000-0005-0000-0000-0000C0B90000}"/>
    <cellStyle name="Varseltekst 23" xfId="43413" xr:uid="{00000000-0005-0000-0000-0000C1B90000}"/>
    <cellStyle name="Varseltekst 24" xfId="43692" xr:uid="{00000000-0005-0000-0000-0000C2B90000}"/>
    <cellStyle name="Varseltekst 25" xfId="43475" xr:uid="{00000000-0005-0000-0000-0000C3B90000}"/>
    <cellStyle name="Varseltekst 26" xfId="43484" xr:uid="{00000000-0005-0000-0000-0000C4B90000}"/>
    <cellStyle name="Varseltekst 27" xfId="46301" xr:uid="{00000000-0005-0000-0000-0000C5B90000}"/>
    <cellStyle name="Varseltekst 28" xfId="46604" xr:uid="{00000000-0005-0000-0000-0000C6B90000}"/>
    <cellStyle name="Varseltekst 29" xfId="46574" xr:uid="{00000000-0005-0000-0000-0000C7B90000}"/>
    <cellStyle name="Varseltekst 3" xfId="3302" xr:uid="{00000000-0005-0000-0000-0000C8B90000}"/>
    <cellStyle name="Varseltekst 3 2" xfId="15084" xr:uid="{00000000-0005-0000-0000-0000C9B90000}"/>
    <cellStyle name="Varseltekst 3 2 2" xfId="19354" xr:uid="{00000000-0005-0000-0000-0000CAB90000}"/>
    <cellStyle name="Varseltekst 3 2 3" xfId="15531" xr:uid="{00000000-0005-0000-0000-0000CBB90000}"/>
    <cellStyle name="Varseltekst 3 2 3 2" xfId="27463" xr:uid="{00000000-0005-0000-0000-0000CCB90000}"/>
    <cellStyle name="Varseltekst 3 2 3 2 2" xfId="42087" xr:uid="{00000000-0005-0000-0000-0000CDB90000}"/>
    <cellStyle name="Varseltekst 3 2 3 3" xfId="46042" xr:uid="{00000000-0005-0000-0000-0000CEB90000}"/>
    <cellStyle name="Varseltekst 3 2_Avviksanalyse løpende RNB15 (1)" xfId="17926" xr:uid="{00000000-0005-0000-0000-0000CFB90000}"/>
    <cellStyle name="Varseltekst 3 3" xfId="15083" xr:uid="{00000000-0005-0000-0000-0000D0B90000}"/>
    <cellStyle name="Varseltekst 30" xfId="46359" xr:uid="{00000000-0005-0000-0000-0000D1B90000}"/>
    <cellStyle name="Varseltekst 31" xfId="46564" xr:uid="{00000000-0005-0000-0000-0000D2B90000}"/>
    <cellStyle name="Varseltekst 32" xfId="46803" xr:uid="{00000000-0005-0000-0000-0000D3B90000}"/>
    <cellStyle name="Varseltekst 4" xfId="3303" xr:uid="{00000000-0005-0000-0000-0000D4B90000}"/>
    <cellStyle name="Varseltekst 4 2" xfId="15086" xr:uid="{00000000-0005-0000-0000-0000D5B90000}"/>
    <cellStyle name="Varseltekst 4 2 2" xfId="19355" xr:uid="{00000000-0005-0000-0000-0000D6B90000}"/>
    <cellStyle name="Varseltekst 4 2 3" xfId="15532" xr:uid="{00000000-0005-0000-0000-0000D7B90000}"/>
    <cellStyle name="Varseltekst 4 2 3 2" xfId="27464" xr:uid="{00000000-0005-0000-0000-0000D8B90000}"/>
    <cellStyle name="Varseltekst 4 2 3 2 2" xfId="42088" xr:uid="{00000000-0005-0000-0000-0000D9B90000}"/>
    <cellStyle name="Varseltekst 4 2 3 3" xfId="46043" xr:uid="{00000000-0005-0000-0000-0000DAB90000}"/>
    <cellStyle name="Varseltekst 4 2_Avviksanalyse løpende RNB15 (1)" xfId="17927" xr:uid="{00000000-0005-0000-0000-0000DBB90000}"/>
    <cellStyle name="Varseltekst 4 3" xfId="15085" xr:uid="{00000000-0005-0000-0000-0000DCB90000}"/>
    <cellStyle name="Varseltekst 5" xfId="3304" xr:uid="{00000000-0005-0000-0000-0000DDB90000}"/>
    <cellStyle name="Varseltekst 5 2" xfId="15088" xr:uid="{00000000-0005-0000-0000-0000DEB90000}"/>
    <cellStyle name="Varseltekst 5 2 2" xfId="19356" xr:uid="{00000000-0005-0000-0000-0000DFB90000}"/>
    <cellStyle name="Varseltekst 5 2 3" xfId="15529" xr:uid="{00000000-0005-0000-0000-0000E0B90000}"/>
    <cellStyle name="Varseltekst 5 2 3 2" xfId="27465" xr:uid="{00000000-0005-0000-0000-0000E1B90000}"/>
    <cellStyle name="Varseltekst 5 2 3 2 2" xfId="42085" xr:uid="{00000000-0005-0000-0000-0000E2B90000}"/>
    <cellStyle name="Varseltekst 5 2 3 3" xfId="46044" xr:uid="{00000000-0005-0000-0000-0000E3B90000}"/>
    <cellStyle name="Varseltekst 5 2_Avviksanalyse løpende RNB15 (1)" xfId="17928" xr:uid="{00000000-0005-0000-0000-0000E4B90000}"/>
    <cellStyle name="Varseltekst 5 3" xfId="15087" xr:uid="{00000000-0005-0000-0000-0000E5B90000}"/>
    <cellStyle name="Varseltekst 6" xfId="3305" xr:uid="{00000000-0005-0000-0000-0000E6B90000}"/>
    <cellStyle name="Varseltekst 6 2" xfId="15090" xr:uid="{00000000-0005-0000-0000-0000E7B90000}"/>
    <cellStyle name="Varseltekst 6 2 2" xfId="19357" xr:uid="{00000000-0005-0000-0000-0000E8B90000}"/>
    <cellStyle name="Varseltekst 6 2 3" xfId="15756" xr:uid="{00000000-0005-0000-0000-0000E9B90000}"/>
    <cellStyle name="Varseltekst 6 2 3 2" xfId="27466" xr:uid="{00000000-0005-0000-0000-0000EAB90000}"/>
    <cellStyle name="Varseltekst 6 2 3 2 2" xfId="42312" xr:uid="{00000000-0005-0000-0000-0000EBB90000}"/>
    <cellStyle name="Varseltekst 6 2 3 3" xfId="46045" xr:uid="{00000000-0005-0000-0000-0000ECB90000}"/>
    <cellStyle name="Varseltekst 6 2_Avviksanalyse løpende RNB15 (1)" xfId="17929" xr:uid="{00000000-0005-0000-0000-0000EDB90000}"/>
    <cellStyle name="Varseltekst 6 3" xfId="15089" xr:uid="{00000000-0005-0000-0000-0000EEB90000}"/>
    <cellStyle name="Varseltekst 7" xfId="3306" xr:uid="{00000000-0005-0000-0000-0000EFB90000}"/>
    <cellStyle name="Varseltekst 7 2" xfId="15092" xr:uid="{00000000-0005-0000-0000-0000F0B90000}"/>
    <cellStyle name="Varseltekst 7 2 2" xfId="19358" xr:uid="{00000000-0005-0000-0000-0000F1B90000}"/>
    <cellStyle name="Varseltekst 7 2 3" xfId="15757" xr:uid="{00000000-0005-0000-0000-0000F2B90000}"/>
    <cellStyle name="Varseltekst 7 2 3 2" xfId="27467" xr:uid="{00000000-0005-0000-0000-0000F3B90000}"/>
    <cellStyle name="Varseltekst 7 2 3 2 2" xfId="42313" xr:uid="{00000000-0005-0000-0000-0000F4B90000}"/>
    <cellStyle name="Varseltekst 7 2 3 3" xfId="46046" xr:uid="{00000000-0005-0000-0000-0000F5B90000}"/>
    <cellStyle name="Varseltekst 7 2_Avviksanalyse løpende RNB15 (1)" xfId="17930" xr:uid="{00000000-0005-0000-0000-0000F6B90000}"/>
    <cellStyle name="Varseltekst 7 3" xfId="15091" xr:uid="{00000000-0005-0000-0000-0000F7B90000}"/>
    <cellStyle name="Varseltekst 8" xfId="3307" xr:uid="{00000000-0005-0000-0000-0000F8B90000}"/>
    <cellStyle name="Varseltekst 8 2" xfId="3308" xr:uid="{00000000-0005-0000-0000-0000F9B90000}"/>
    <cellStyle name="Varseltekst 8 2 2" xfId="15095" xr:uid="{00000000-0005-0000-0000-0000FAB90000}"/>
    <cellStyle name="Varseltekst 8 2 2 2" xfId="19359" xr:uid="{00000000-0005-0000-0000-0000FBB90000}"/>
    <cellStyle name="Varseltekst 8 2 2 3" xfId="16468" xr:uid="{00000000-0005-0000-0000-0000FCB90000}"/>
    <cellStyle name="Varseltekst 8 2 2 3 2" xfId="27468" xr:uid="{00000000-0005-0000-0000-0000FDB90000}"/>
    <cellStyle name="Varseltekst 8 2 2 3 2 2" xfId="43023" xr:uid="{00000000-0005-0000-0000-0000FEB90000}"/>
    <cellStyle name="Varseltekst 8 2 2 3 3" xfId="46047" xr:uid="{00000000-0005-0000-0000-0000FFB90000}"/>
    <cellStyle name="Varseltekst 8 2 2_Avviksanalyse løpende RNB15 (1)" xfId="17931" xr:uid="{00000000-0005-0000-0000-000000BA0000}"/>
    <cellStyle name="Varseltekst 8 2 3" xfId="15094" xr:uid="{00000000-0005-0000-0000-000001BA0000}"/>
    <cellStyle name="Varseltekst 8 3" xfId="15096" xr:uid="{00000000-0005-0000-0000-000002BA0000}"/>
    <cellStyle name="Varseltekst 8 3 2" xfId="15097" xr:uid="{00000000-0005-0000-0000-000003BA0000}"/>
    <cellStyle name="Varseltekst 8 3 2 2" xfId="19360" xr:uid="{00000000-0005-0000-0000-000004BA0000}"/>
    <cellStyle name="Varseltekst 8 3 2 3" xfId="16467" xr:uid="{00000000-0005-0000-0000-000005BA0000}"/>
    <cellStyle name="Varseltekst 8 3 2 3 2" xfId="27469" xr:uid="{00000000-0005-0000-0000-000006BA0000}"/>
    <cellStyle name="Varseltekst 8 3 2 3 2 2" xfId="43022" xr:uid="{00000000-0005-0000-0000-000007BA0000}"/>
    <cellStyle name="Varseltekst 8 3 2 3 3" xfId="46048" xr:uid="{00000000-0005-0000-0000-000008BA0000}"/>
    <cellStyle name="Varseltekst 8 3 2_Avviksanalyse løpende RNB15 (1)" xfId="17932" xr:uid="{00000000-0005-0000-0000-000009BA0000}"/>
    <cellStyle name="Varseltekst 8 4" xfId="15098" xr:uid="{00000000-0005-0000-0000-00000ABA0000}"/>
    <cellStyle name="Varseltekst 8 4 2" xfId="19361" xr:uid="{00000000-0005-0000-0000-00000BBA0000}"/>
    <cellStyle name="Varseltekst 8 4 3" xfId="15758" xr:uid="{00000000-0005-0000-0000-00000CBA0000}"/>
    <cellStyle name="Varseltekst 8 4 3 2" xfId="27470" xr:uid="{00000000-0005-0000-0000-00000DBA0000}"/>
    <cellStyle name="Varseltekst 8 4 3 2 2" xfId="42314" xr:uid="{00000000-0005-0000-0000-00000EBA0000}"/>
    <cellStyle name="Varseltekst 8 4 3 3" xfId="46049" xr:uid="{00000000-0005-0000-0000-00000FBA0000}"/>
    <cellStyle name="Varseltekst 8 4_Avviksanalyse løpende RNB15 (1)" xfId="17933" xr:uid="{00000000-0005-0000-0000-000010BA0000}"/>
    <cellStyle name="Varseltekst 8 5" xfId="15093" xr:uid="{00000000-0005-0000-0000-000011BA0000}"/>
    <cellStyle name="Varseltekst 9" xfId="15099" xr:uid="{00000000-0005-0000-0000-000012BA0000}"/>
    <cellStyle name="Varseltekst 9 2" xfId="15100" xr:uid="{00000000-0005-0000-0000-000013BA0000}"/>
    <cellStyle name="Varseltekst 9 2 2" xfId="19362" xr:uid="{00000000-0005-0000-0000-000014BA0000}"/>
    <cellStyle name="Varseltekst 9 2 3" xfId="15759" xr:uid="{00000000-0005-0000-0000-000015BA0000}"/>
    <cellStyle name="Varseltekst 9 2 3 2" xfId="27471" xr:uid="{00000000-0005-0000-0000-000016BA0000}"/>
    <cellStyle name="Varseltekst 9 2 3 2 2" xfId="42315" xr:uid="{00000000-0005-0000-0000-000017BA0000}"/>
    <cellStyle name="Varseltekst 9 2 3 3" xfId="46050" xr:uid="{00000000-0005-0000-0000-000018BA0000}"/>
    <cellStyle name="Varseltekst 9 2_Avviksanalyse løpende RNB15 (1)" xfId="17934" xr:uid="{00000000-0005-0000-0000-000019BA0000}"/>
    <cellStyle name="Warning Text 2" xfId="1142" xr:uid="{00000000-0005-0000-0000-00001BBA0000}"/>
    <cellStyle name="Warning Text 2 2" xfId="19363" xr:uid="{00000000-0005-0000-0000-00001CBA0000}"/>
    <cellStyle name="Warning Text 2 3" xfId="15533" xr:uid="{00000000-0005-0000-0000-00001DBA0000}"/>
    <cellStyle name="Warning Text 2 3 2" xfId="27472" xr:uid="{00000000-0005-0000-0000-00001EBA0000}"/>
    <cellStyle name="Warning Text 2 3 2 2" xfId="42089" xr:uid="{00000000-0005-0000-0000-00001FBA0000}"/>
    <cellStyle name="Warning Text 2 3 3" xfId="46051" xr:uid="{00000000-0005-0000-0000-000020BA0000}"/>
    <cellStyle name="Warning Text 2 4" xfId="15102" xr:uid="{00000000-0005-0000-0000-000021BA0000}"/>
    <cellStyle name="Warning Text 2_Avviksanalyse løpende RNB15 (1)" xfId="17935" xr:uid="{00000000-0005-0000-0000-000022BA0000}"/>
    <cellStyle name="Warning Text 3" xfId="15101" xr:uid="{00000000-0005-0000-0000-000023BA0000}"/>
    <cellStyle name="Year" xfId="3692" xr:uid="{00000000-0005-0000-0000-000024BA0000}"/>
    <cellStyle name="Year 2" xfId="3693" xr:uid="{00000000-0005-0000-0000-000025BA0000}"/>
    <cellStyle name="Year 2 2" xfId="19365" xr:uid="{00000000-0005-0000-0000-000026BA0000}"/>
    <cellStyle name="Year 2 3" xfId="15161" xr:uid="{00000000-0005-0000-0000-000027BA0000}"/>
    <cellStyle name="Year 2 3 2" xfId="27473" xr:uid="{00000000-0005-0000-0000-000028BA0000}"/>
    <cellStyle name="Year 2 3 2 2" xfId="41717" xr:uid="{00000000-0005-0000-0000-000029BA0000}"/>
    <cellStyle name="Year 2 3 3" xfId="46052" xr:uid="{00000000-0005-0000-0000-00002ABA0000}"/>
    <cellStyle name="Year 2 4" xfId="15104" xr:uid="{00000000-0005-0000-0000-00002BBA0000}"/>
    <cellStyle name="Year 2_Avviksanalyse løpende RNB15 (1)" xfId="17937" xr:uid="{00000000-0005-0000-0000-00002CBA0000}"/>
    <cellStyle name="Year 3" xfId="3694" xr:uid="{00000000-0005-0000-0000-00002DBA0000}"/>
    <cellStyle name="Year 3 2" xfId="3695" xr:uid="{00000000-0005-0000-0000-00002EBA0000}"/>
    <cellStyle name="Year 3 2 2" xfId="19367" xr:uid="{00000000-0005-0000-0000-00002FBA0000}"/>
    <cellStyle name="Year 3 2 3" xfId="15163" xr:uid="{00000000-0005-0000-0000-000030BA0000}"/>
    <cellStyle name="Year 3 2 3 2" xfId="27474" xr:uid="{00000000-0005-0000-0000-000031BA0000}"/>
    <cellStyle name="Year 3 2 3 2 2" xfId="41719" xr:uid="{00000000-0005-0000-0000-000032BA0000}"/>
    <cellStyle name="Year 3 2 3 3" xfId="46053" xr:uid="{00000000-0005-0000-0000-000033BA0000}"/>
    <cellStyle name="Year 3 2 4" xfId="15106" xr:uid="{00000000-0005-0000-0000-000034BA0000}"/>
    <cellStyle name="Year 3 2_Avviksanalyse løpende RNB15 (1)" xfId="17939" xr:uid="{00000000-0005-0000-0000-000035BA0000}"/>
    <cellStyle name="Year 3 3" xfId="19366" xr:uid="{00000000-0005-0000-0000-000036BA0000}"/>
    <cellStyle name="Year 3 4" xfId="15162" xr:uid="{00000000-0005-0000-0000-000037BA0000}"/>
    <cellStyle name="Year 3 4 2" xfId="27475" xr:uid="{00000000-0005-0000-0000-000038BA0000}"/>
    <cellStyle name="Year 3 4 2 2" xfId="41718" xr:uid="{00000000-0005-0000-0000-000039BA0000}"/>
    <cellStyle name="Year 3 4 3" xfId="46054" xr:uid="{00000000-0005-0000-0000-00003ABA0000}"/>
    <cellStyle name="Year 3 5" xfId="15105" xr:uid="{00000000-0005-0000-0000-00003BBA0000}"/>
    <cellStyle name="Year 3_Avviksanalyse løpende RNB15 (1)" xfId="17938" xr:uid="{00000000-0005-0000-0000-00003CBA0000}"/>
    <cellStyle name="Year 4" xfId="19364" xr:uid="{00000000-0005-0000-0000-00003DBA0000}"/>
    <cellStyle name="Year 5" xfId="15160" xr:uid="{00000000-0005-0000-0000-00003EBA0000}"/>
    <cellStyle name="Year 5 2" xfId="27476" xr:uid="{00000000-0005-0000-0000-00003FBA0000}"/>
    <cellStyle name="Year 5 2 2" xfId="41716" xr:uid="{00000000-0005-0000-0000-000040BA0000}"/>
    <cellStyle name="Year 5 3" xfId="46055" xr:uid="{00000000-0005-0000-0000-000041BA0000}"/>
    <cellStyle name="Year 6" xfId="15431" xr:uid="{00000000-0005-0000-0000-000042BA0000}"/>
    <cellStyle name="Year 6 2" xfId="27477" xr:uid="{00000000-0005-0000-0000-000043BA0000}"/>
    <cellStyle name="Year 6 2 2" xfId="41987" xr:uid="{00000000-0005-0000-0000-000044BA0000}"/>
    <cellStyle name="Year 6 3" xfId="46056" xr:uid="{00000000-0005-0000-0000-000045BA0000}"/>
    <cellStyle name="Year 7" xfId="19371" xr:uid="{00000000-0005-0000-0000-000046BA0000}"/>
    <cellStyle name="Year 7 2" xfId="27478" xr:uid="{00000000-0005-0000-0000-000047BA0000}"/>
    <cellStyle name="Year 7 2 2" xfId="43126" xr:uid="{00000000-0005-0000-0000-000048BA0000}"/>
    <cellStyle name="Year 7 3" xfId="46057" xr:uid="{00000000-0005-0000-0000-000049BA0000}"/>
    <cellStyle name="Year 8" xfId="15166" xr:uid="{00000000-0005-0000-0000-00004ABA0000}"/>
    <cellStyle name="Year 8 2" xfId="27479" xr:uid="{00000000-0005-0000-0000-00004BBA0000}"/>
    <cellStyle name="Year 8 2 2" xfId="41722" xr:uid="{00000000-0005-0000-0000-00004CBA0000}"/>
    <cellStyle name="Year 8 3" xfId="46058" xr:uid="{00000000-0005-0000-0000-00004DBA0000}"/>
    <cellStyle name="Year 9" xfId="15103" xr:uid="{00000000-0005-0000-0000-00004EBA0000}"/>
    <cellStyle name="Year_Avviksanalyse løpende RNB15 (1)" xfId="17936" xr:uid="{00000000-0005-0000-0000-00004FBA0000}"/>
    <cellStyle name="yearStyle" xfId="3696" xr:uid="{00000000-0005-0000-0000-000050BA0000}"/>
    <cellStyle name="yearStyle 2" xfId="3697" xr:uid="{00000000-0005-0000-0000-000051BA0000}"/>
    <cellStyle name="yearStyle 2 2" xfId="19369" xr:uid="{00000000-0005-0000-0000-000052BA0000}"/>
    <cellStyle name="yearStyle 2 3" xfId="15165" xr:uid="{00000000-0005-0000-0000-000053BA0000}"/>
    <cellStyle name="yearStyle 2 3 2" xfId="27480" xr:uid="{00000000-0005-0000-0000-000054BA0000}"/>
    <cellStyle name="yearStyle 2 3 2 2" xfId="41721" xr:uid="{00000000-0005-0000-0000-000055BA0000}"/>
    <cellStyle name="yearStyle 2 3 3" xfId="46059" xr:uid="{00000000-0005-0000-0000-000056BA0000}"/>
    <cellStyle name="yearStyle 2 4" xfId="15108" xr:uid="{00000000-0005-0000-0000-000057BA0000}"/>
    <cellStyle name="yearStyle 2_Avviksanalyse løpende RNB15 (1)" xfId="17941" xr:uid="{00000000-0005-0000-0000-000058BA0000}"/>
    <cellStyle name="yearStyle 3" xfId="19368" xr:uid="{00000000-0005-0000-0000-000059BA0000}"/>
    <cellStyle name="yearStyle 4" xfId="15164" xr:uid="{00000000-0005-0000-0000-00005ABA0000}"/>
    <cellStyle name="yearStyle 4 2" xfId="27481" xr:uid="{00000000-0005-0000-0000-00005BBA0000}"/>
    <cellStyle name="yearStyle 4 2 2" xfId="41720" xr:uid="{00000000-0005-0000-0000-00005CBA0000}"/>
    <cellStyle name="yearStyle 4 3" xfId="46060" xr:uid="{00000000-0005-0000-0000-00005DBA0000}"/>
    <cellStyle name="yearStyle 5" xfId="15107" xr:uid="{00000000-0005-0000-0000-00005EBA0000}"/>
    <cellStyle name="yearStyle_Avviksanalyse løpende RNB15 (1)" xfId="17940" xr:uid="{00000000-0005-0000-0000-00005FBA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66FF"/>
      <color rgb="FF00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Oljepris i NOK (Faste)</a:t>
            </a:r>
          </a:p>
        </c:rich>
      </c:tx>
      <c:layout>
        <c:manualLayout>
          <c:xMode val="edge"/>
          <c:yMode val="edge"/>
          <c:x val="0.2855229286364917"/>
          <c:y val="0.12452996952515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Charts!$A$50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Charts!$B$49:$CA$49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Charts!$B$50:$CA$50</c:f>
              <c:numCache>
                <c:formatCode>0</c:formatCode>
                <c:ptCount val="78"/>
                <c:pt idx="0">
                  <c:v>953.37084400232902</c:v>
                </c:pt>
                <c:pt idx="1">
                  <c:v>914.30729599999984</c:v>
                </c:pt>
                <c:pt idx="2">
                  <c:v>746.45804266564221</c:v>
                </c:pt>
                <c:pt idx="3">
                  <c:v>674.49526567499993</c:v>
                </c:pt>
                <c:pt idx="4">
                  <c:v>660.10216101860942</c:v>
                </c:pt>
                <c:pt idx="5">
                  <c:v>650.1552075609078</c:v>
                </c:pt>
                <c:pt idx="6">
                  <c:v>639.70469936737209</c:v>
                </c:pt>
                <c:pt idx="7">
                  <c:v>627.57292192637476</c:v>
                </c:pt>
                <c:pt idx="8">
                  <c:v>644.51305117637469</c:v>
                </c:pt>
                <c:pt idx="9">
                  <c:v>661.45318042637473</c:v>
                </c:pt>
                <c:pt idx="10">
                  <c:v>678.39330967637477</c:v>
                </c:pt>
                <c:pt idx="11">
                  <c:v>695.3334389263747</c:v>
                </c:pt>
                <c:pt idx="12">
                  <c:v>712.27491013487713</c:v>
                </c:pt>
                <c:pt idx="13">
                  <c:v>712.27491013487713</c:v>
                </c:pt>
                <c:pt idx="14">
                  <c:v>712.27491013487713</c:v>
                </c:pt>
                <c:pt idx="15">
                  <c:v>712.27491013487713</c:v>
                </c:pt>
                <c:pt idx="16">
                  <c:v>712.27491013487713</c:v>
                </c:pt>
                <c:pt idx="17">
                  <c:v>712.27491013487713</c:v>
                </c:pt>
                <c:pt idx="18">
                  <c:v>712.27491013487713</c:v>
                </c:pt>
                <c:pt idx="19">
                  <c:v>712.27491013487713</c:v>
                </c:pt>
                <c:pt idx="20">
                  <c:v>712.27491013487713</c:v>
                </c:pt>
                <c:pt idx="21">
                  <c:v>712.27491013487713</c:v>
                </c:pt>
                <c:pt idx="22">
                  <c:v>712.27491013487713</c:v>
                </c:pt>
                <c:pt idx="23">
                  <c:v>712.27491013487713</c:v>
                </c:pt>
                <c:pt idx="24">
                  <c:v>712.27491013487713</c:v>
                </c:pt>
                <c:pt idx="25">
                  <c:v>712.27491013487713</c:v>
                </c:pt>
                <c:pt idx="26">
                  <c:v>712.27491013487713</c:v>
                </c:pt>
                <c:pt idx="27">
                  <c:v>712.27491013487713</c:v>
                </c:pt>
                <c:pt idx="28">
                  <c:v>712.27491013487713</c:v>
                </c:pt>
                <c:pt idx="29">
                  <c:v>712.27491013487713</c:v>
                </c:pt>
                <c:pt idx="30">
                  <c:v>712.27491013487713</c:v>
                </c:pt>
                <c:pt idx="31">
                  <c:v>712.27491013487713</c:v>
                </c:pt>
                <c:pt idx="32">
                  <c:v>712.27491013487713</c:v>
                </c:pt>
                <c:pt idx="33">
                  <c:v>712.27491013487713</c:v>
                </c:pt>
                <c:pt idx="34">
                  <c:v>712.27491013487713</c:v>
                </c:pt>
                <c:pt idx="35">
                  <c:v>712.27491013487713</c:v>
                </c:pt>
                <c:pt idx="36">
                  <c:v>712.27491013487713</c:v>
                </c:pt>
                <c:pt idx="37">
                  <c:v>712.27491013487713</c:v>
                </c:pt>
                <c:pt idx="38">
                  <c:v>712.27491013487713</c:v>
                </c:pt>
                <c:pt idx="39">
                  <c:v>712.27491013487713</c:v>
                </c:pt>
                <c:pt idx="40">
                  <c:v>712.27491013487713</c:v>
                </c:pt>
                <c:pt idx="41">
                  <c:v>712.27491013487713</c:v>
                </c:pt>
                <c:pt idx="42">
                  <c:v>712.27491013487713</c:v>
                </c:pt>
                <c:pt idx="43">
                  <c:v>712.27491013487713</c:v>
                </c:pt>
                <c:pt idx="44">
                  <c:v>712.27491013487713</c:v>
                </c:pt>
                <c:pt idx="45">
                  <c:v>712.27491013487713</c:v>
                </c:pt>
                <c:pt idx="46">
                  <c:v>712.27491013487713</c:v>
                </c:pt>
                <c:pt idx="47">
                  <c:v>712.27491013487713</c:v>
                </c:pt>
                <c:pt idx="48">
                  <c:v>712.27491013487713</c:v>
                </c:pt>
                <c:pt idx="49">
                  <c:v>712.27491013487713</c:v>
                </c:pt>
                <c:pt idx="50">
                  <c:v>712.27491013487713</c:v>
                </c:pt>
                <c:pt idx="51">
                  <c:v>712.27491013487713</c:v>
                </c:pt>
                <c:pt idx="52">
                  <c:v>712.27491013487713</c:v>
                </c:pt>
                <c:pt idx="53">
                  <c:v>712.27491013487713</c:v>
                </c:pt>
                <c:pt idx="54">
                  <c:v>712.27491013487713</c:v>
                </c:pt>
                <c:pt idx="55">
                  <c:v>712.27491013487713</c:v>
                </c:pt>
                <c:pt idx="56">
                  <c:v>712.27491013487713</c:v>
                </c:pt>
                <c:pt idx="57">
                  <c:v>712.27491013487713</c:v>
                </c:pt>
                <c:pt idx="58">
                  <c:v>712.27491013487713</c:v>
                </c:pt>
                <c:pt idx="59">
                  <c:v>712.27491013487713</c:v>
                </c:pt>
                <c:pt idx="60">
                  <c:v>712.27491013487713</c:v>
                </c:pt>
                <c:pt idx="61">
                  <c:v>712.27491013487713</c:v>
                </c:pt>
                <c:pt idx="62">
                  <c:v>712.27491013487713</c:v>
                </c:pt>
                <c:pt idx="63">
                  <c:v>712.27491013487713</c:v>
                </c:pt>
                <c:pt idx="64">
                  <c:v>712.27491013487713</c:v>
                </c:pt>
                <c:pt idx="65">
                  <c:v>712.27491013487713</c:v>
                </c:pt>
                <c:pt idx="66">
                  <c:v>712.27491013487713</c:v>
                </c:pt>
                <c:pt idx="67">
                  <c:v>712.27491013487713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4-4B31-9479-27A7F77F7285}"/>
            </c:ext>
          </c:extLst>
        </c:ser>
        <c:ser>
          <c:idx val="1"/>
          <c:order val="1"/>
          <c:tx>
            <c:strRef>
              <c:f>Charts!$A$51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Charts!$B$49:$CA$49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Charts!$B$51:$CA$51</c:f>
              <c:numCache>
                <c:formatCode>0</c:formatCode>
                <c:ptCount val="78"/>
                <c:pt idx="0">
                  <c:v>941.41394435261395</c:v>
                </c:pt>
                <c:pt idx="1">
                  <c:v>903.26220799999999</c:v>
                </c:pt>
                <c:pt idx="2">
                  <c:v>793.05190640710077</c:v>
                </c:pt>
                <c:pt idx="3">
                  <c:v>731.55541553372439</c:v>
                </c:pt>
                <c:pt idx="4">
                  <c:v>710.54027945691837</c:v>
                </c:pt>
                <c:pt idx="5">
                  <c:v>697.42002750700374</c:v>
                </c:pt>
                <c:pt idx="6">
                  <c:v>685.49742340936155</c:v>
                </c:pt>
                <c:pt idx="7">
                  <c:v>675.0181176429777</c:v>
                </c:pt>
                <c:pt idx="8">
                  <c:v>691.00833245497768</c:v>
                </c:pt>
                <c:pt idx="9">
                  <c:v>706.99854726697765</c:v>
                </c:pt>
                <c:pt idx="10">
                  <c:v>722.98876207897763</c:v>
                </c:pt>
                <c:pt idx="11">
                  <c:v>738.97897689097772</c:v>
                </c:pt>
                <c:pt idx="12">
                  <c:v>754.99767710787103</c:v>
                </c:pt>
                <c:pt idx="13">
                  <c:v>754.99767710787103</c:v>
                </c:pt>
                <c:pt idx="14">
                  <c:v>754.99767710787103</c:v>
                </c:pt>
                <c:pt idx="15">
                  <c:v>754.99767710787103</c:v>
                </c:pt>
                <c:pt idx="16">
                  <c:v>754.99767710787103</c:v>
                </c:pt>
                <c:pt idx="17">
                  <c:v>754.99767710787103</c:v>
                </c:pt>
                <c:pt idx="18">
                  <c:v>754.99767710787103</c:v>
                </c:pt>
                <c:pt idx="19">
                  <c:v>754.99767710787103</c:v>
                </c:pt>
                <c:pt idx="20">
                  <c:v>754.99767710787103</c:v>
                </c:pt>
                <c:pt idx="21">
                  <c:v>754.99767710787103</c:v>
                </c:pt>
                <c:pt idx="22">
                  <c:v>754.99767710787103</c:v>
                </c:pt>
                <c:pt idx="23">
                  <c:v>754.99767710787103</c:v>
                </c:pt>
                <c:pt idx="24">
                  <c:v>754.99767710787103</c:v>
                </c:pt>
                <c:pt idx="25">
                  <c:v>754.99767710787103</c:v>
                </c:pt>
                <c:pt idx="26">
                  <c:v>754.99767710787103</c:v>
                </c:pt>
                <c:pt idx="27">
                  <c:v>754.99767710787103</c:v>
                </c:pt>
                <c:pt idx="28">
                  <c:v>754.99767710787103</c:v>
                </c:pt>
                <c:pt idx="29">
                  <c:v>754.99767710787103</c:v>
                </c:pt>
                <c:pt idx="30">
                  <c:v>754.99767710787103</c:v>
                </c:pt>
                <c:pt idx="31">
                  <c:v>754.99767710787103</c:v>
                </c:pt>
                <c:pt idx="32">
                  <c:v>754.99767710787103</c:v>
                </c:pt>
                <c:pt idx="33">
                  <c:v>754.99767710787103</c:v>
                </c:pt>
                <c:pt idx="34">
                  <c:v>754.99767710787103</c:v>
                </c:pt>
                <c:pt idx="35">
                  <c:v>754.99767710787103</c:v>
                </c:pt>
                <c:pt idx="36">
                  <c:v>754.99767710787103</c:v>
                </c:pt>
                <c:pt idx="37">
                  <c:v>754.99767710787103</c:v>
                </c:pt>
                <c:pt idx="38">
                  <c:v>754.99767710787103</c:v>
                </c:pt>
                <c:pt idx="39">
                  <c:v>754.99767710787103</c:v>
                </c:pt>
                <c:pt idx="40">
                  <c:v>754.99767710787103</c:v>
                </c:pt>
                <c:pt idx="41">
                  <c:v>754.99767710787103</c:v>
                </c:pt>
                <c:pt idx="42">
                  <c:v>754.99767710787103</c:v>
                </c:pt>
                <c:pt idx="43">
                  <c:v>754.99767710787103</c:v>
                </c:pt>
                <c:pt idx="44">
                  <c:v>754.99767710787103</c:v>
                </c:pt>
                <c:pt idx="45">
                  <c:v>754.99767710787103</c:v>
                </c:pt>
                <c:pt idx="46">
                  <c:v>754.99767710787103</c:v>
                </c:pt>
                <c:pt idx="47">
                  <c:v>754.99767710787103</c:v>
                </c:pt>
                <c:pt idx="48">
                  <c:v>754.99767710787103</c:v>
                </c:pt>
                <c:pt idx="49">
                  <c:v>754.99767710787103</c:v>
                </c:pt>
                <c:pt idx="50">
                  <c:v>754.99767710787103</c:v>
                </c:pt>
                <c:pt idx="51">
                  <c:v>754.99767710787103</c:v>
                </c:pt>
                <c:pt idx="52">
                  <c:v>754.99767710787103</c:v>
                </c:pt>
                <c:pt idx="53">
                  <c:v>754.99767710787103</c:v>
                </c:pt>
                <c:pt idx="54">
                  <c:v>754.99767710787103</c:v>
                </c:pt>
                <c:pt idx="55">
                  <c:v>754.99767710787103</c:v>
                </c:pt>
                <c:pt idx="56">
                  <c:v>754.99767710787103</c:v>
                </c:pt>
                <c:pt idx="57">
                  <c:v>754.99767710787103</c:v>
                </c:pt>
                <c:pt idx="58">
                  <c:v>754.99767710787103</c:v>
                </c:pt>
                <c:pt idx="59">
                  <c:v>754.99767710787103</c:v>
                </c:pt>
                <c:pt idx="60">
                  <c:v>754.99767710787103</c:v>
                </c:pt>
                <c:pt idx="61">
                  <c:v>754.99767710787103</c:v>
                </c:pt>
                <c:pt idx="62">
                  <c:v>754.99767710787103</c:v>
                </c:pt>
                <c:pt idx="63">
                  <c:v>754.99767710787103</c:v>
                </c:pt>
                <c:pt idx="64">
                  <c:v>754.99767710787103</c:v>
                </c:pt>
                <c:pt idx="65">
                  <c:v>754.99767710787103</c:v>
                </c:pt>
                <c:pt idx="66">
                  <c:v>754.99767710787103</c:v>
                </c:pt>
                <c:pt idx="67">
                  <c:v>754.99767710787103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4-4B31-9479-27A7F77F7285}"/>
            </c:ext>
          </c:extLst>
        </c:ser>
        <c:ser>
          <c:idx val="2"/>
          <c:order val="2"/>
          <c:tx>
            <c:strRef>
              <c:f>Charts!$A$52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Charts!$B$49:$CA$49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Charts!$B$52:$CA$52</c:f>
              <c:numCache>
                <c:formatCode>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9-4E71-A309-514519A82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309088"/>
        <c:axId val="903309744"/>
      </c:lineChart>
      <c:catAx>
        <c:axId val="903309088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09744"/>
        <c:crosses val="autoZero"/>
        <c:auto val="1"/>
        <c:lblAlgn val="ctr"/>
        <c:lblOffset val="100"/>
        <c:tickLblSkip val="10"/>
        <c:noMultiLvlLbl val="1"/>
      </c:catAx>
      <c:valAx>
        <c:axId val="903309744"/>
        <c:scaling>
          <c:orientation val="minMax"/>
          <c:min val="3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899062037808309"/>
          <c:y val="8.0064661845987595E-2"/>
          <c:w val="0.33873513381365317"/>
          <c:h val="5.698396299560203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Gassproduksjon</a:t>
            </a:r>
          </a:p>
        </c:rich>
      </c:tx>
      <c:layout>
        <c:manualLayout>
          <c:xMode val="edge"/>
          <c:yMode val="edge"/>
          <c:x val="0.40220437884091303"/>
          <c:y val="0.1351731706682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093077329281352E-2"/>
          <c:y val="0.11539294828887085"/>
          <c:w val="0.90166733805461685"/>
          <c:h val="0.71858341355421473"/>
        </c:manualLayout>
      </c:layout>
      <c:lineChart>
        <c:grouping val="standard"/>
        <c:varyColors val="0"/>
        <c:ser>
          <c:idx val="0"/>
          <c:order val="0"/>
          <c:tx>
            <c:strRef>
              <c:f>Charts!$A$222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Charts!$B$221:$CA$221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Charts!$B$222:$CA$222</c:f>
              <c:numCache>
                <c:formatCode>#,##0</c:formatCode>
                <c:ptCount val="78"/>
                <c:pt idx="0">
                  <c:v>116.02</c:v>
                </c:pt>
                <c:pt idx="1">
                  <c:v>124.23875195111999</c:v>
                </c:pt>
                <c:pt idx="2">
                  <c:v>118.452074931315</c:v>
                </c:pt>
                <c:pt idx="3">
                  <c:v>120.086121418196</c:v>
                </c:pt>
                <c:pt idx="4">
                  <c:v>120.094642530738</c:v>
                </c:pt>
                <c:pt idx="5">
                  <c:v>116.166092510014</c:v>
                </c:pt>
                <c:pt idx="6">
                  <c:v>110.636270971982</c:v>
                </c:pt>
                <c:pt idx="7">
                  <c:v>104.941576370565</c:v>
                </c:pt>
                <c:pt idx="8">
                  <c:v>100.130445581107</c:v>
                </c:pt>
                <c:pt idx="9">
                  <c:v>93.491734289047798</c:v>
                </c:pt>
                <c:pt idx="10">
                  <c:v>89.335084783925794</c:v>
                </c:pt>
                <c:pt idx="11">
                  <c:v>86.735572945646098</c:v>
                </c:pt>
                <c:pt idx="12">
                  <c:v>84.333941951932403</c:v>
                </c:pt>
                <c:pt idx="13">
                  <c:v>82.153770465193006</c:v>
                </c:pt>
                <c:pt idx="14">
                  <c:v>78.840469550338696</c:v>
                </c:pt>
                <c:pt idx="15">
                  <c:v>73.883116241559094</c:v>
                </c:pt>
                <c:pt idx="16">
                  <c:v>68.539686645509505</c:v>
                </c:pt>
                <c:pt idx="17">
                  <c:v>64.692185788338307</c:v>
                </c:pt>
                <c:pt idx="18">
                  <c:v>61.2290977700995</c:v>
                </c:pt>
                <c:pt idx="19">
                  <c:v>58.607326135775999</c:v>
                </c:pt>
                <c:pt idx="20">
                  <c:v>55.8623403806005</c:v>
                </c:pt>
                <c:pt idx="21">
                  <c:v>52.7872782740288</c:v>
                </c:pt>
                <c:pt idx="22">
                  <c:v>50.282890109274298</c:v>
                </c:pt>
                <c:pt idx="23">
                  <c:v>48.339968322707897</c:v>
                </c:pt>
                <c:pt idx="24">
                  <c:v>46.446472786406297</c:v>
                </c:pt>
                <c:pt idx="25">
                  <c:v>44.699381400699799</c:v>
                </c:pt>
                <c:pt idx="26">
                  <c:v>43.293508537680601</c:v>
                </c:pt>
                <c:pt idx="27">
                  <c:v>41.648785780853402</c:v>
                </c:pt>
                <c:pt idx="28">
                  <c:v>40.118689809552301</c:v>
                </c:pt>
                <c:pt idx="29">
                  <c:v>38.369959232385099</c:v>
                </c:pt>
                <c:pt idx="30">
                  <c:v>36.9035212621121</c:v>
                </c:pt>
                <c:pt idx="31">
                  <c:v>35.812746227007899</c:v>
                </c:pt>
                <c:pt idx="32">
                  <c:v>35.2091385576473</c:v>
                </c:pt>
                <c:pt idx="33">
                  <c:v>34.416161845962002</c:v>
                </c:pt>
                <c:pt idx="34">
                  <c:v>33.891618791822097</c:v>
                </c:pt>
                <c:pt idx="35">
                  <c:v>33.466268432734097</c:v>
                </c:pt>
                <c:pt idx="36">
                  <c:v>32.995546425285298</c:v>
                </c:pt>
                <c:pt idx="37">
                  <c:v>32.602377394214301</c:v>
                </c:pt>
                <c:pt idx="38">
                  <c:v>32.602377394214301</c:v>
                </c:pt>
                <c:pt idx="39">
                  <c:v>32.602377394214301</c:v>
                </c:pt>
                <c:pt idx="40">
                  <c:v>32.602377394214301</c:v>
                </c:pt>
                <c:pt idx="41">
                  <c:v>32.602377394214301</c:v>
                </c:pt>
                <c:pt idx="42">
                  <c:v>32.602377394214301</c:v>
                </c:pt>
                <c:pt idx="43">
                  <c:v>32.602377394214301</c:v>
                </c:pt>
                <c:pt idx="44">
                  <c:v>32.602377394214301</c:v>
                </c:pt>
                <c:pt idx="45">
                  <c:v>32.602377394214301</c:v>
                </c:pt>
                <c:pt idx="46">
                  <c:v>32.602377394214301</c:v>
                </c:pt>
                <c:pt idx="47">
                  <c:v>32.602377394214301</c:v>
                </c:pt>
                <c:pt idx="48">
                  <c:v>32.602377394214301</c:v>
                </c:pt>
                <c:pt idx="49">
                  <c:v>32.602377394214301</c:v>
                </c:pt>
                <c:pt idx="50">
                  <c:v>32.602377394214301</c:v>
                </c:pt>
                <c:pt idx="51">
                  <c:v>32.602377394214301</c:v>
                </c:pt>
                <c:pt idx="52">
                  <c:v>32.602377394214301</c:v>
                </c:pt>
                <c:pt idx="53">
                  <c:v>32.602377394214301</c:v>
                </c:pt>
                <c:pt idx="54">
                  <c:v>32.602377394214301</c:v>
                </c:pt>
                <c:pt idx="55">
                  <c:v>32.602377394214301</c:v>
                </c:pt>
                <c:pt idx="56">
                  <c:v>32.602377394214301</c:v>
                </c:pt>
                <c:pt idx="57">
                  <c:v>32.602377394214301</c:v>
                </c:pt>
                <c:pt idx="58">
                  <c:v>32.602377394214301</c:v>
                </c:pt>
                <c:pt idx="59">
                  <c:v>32.602377394214301</c:v>
                </c:pt>
                <c:pt idx="60">
                  <c:v>32.602377394214301</c:v>
                </c:pt>
                <c:pt idx="61">
                  <c:v>32.602377394214301</c:v>
                </c:pt>
                <c:pt idx="62">
                  <c:v>32.602377394214301</c:v>
                </c:pt>
                <c:pt idx="63">
                  <c:v>32.602377394214301</c:v>
                </c:pt>
                <c:pt idx="64">
                  <c:v>32.602377394214301</c:v>
                </c:pt>
                <c:pt idx="65">
                  <c:v>32.602377394214301</c:v>
                </c:pt>
                <c:pt idx="66">
                  <c:v>32.602377394214301</c:v>
                </c:pt>
                <c:pt idx="67">
                  <c:v>32.602377394214301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F-4AF9-89D7-D92507400D04}"/>
            </c:ext>
          </c:extLst>
        </c:ser>
        <c:ser>
          <c:idx val="1"/>
          <c:order val="1"/>
          <c:tx>
            <c:strRef>
              <c:f>Charts!$A$223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Charts!$B$221:$CA$221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Charts!$B$223:$CA$223</c:f>
              <c:numCache>
                <c:formatCode>#,##0</c:formatCode>
                <c:ptCount val="78"/>
                <c:pt idx="0">
                  <c:v>116.02</c:v>
                </c:pt>
                <c:pt idx="1">
                  <c:v>124.238751950188</c:v>
                </c:pt>
                <c:pt idx="2">
                  <c:v>118.452074952036</c:v>
                </c:pt>
                <c:pt idx="3">
                  <c:v>120.086121418196</c:v>
                </c:pt>
                <c:pt idx="4">
                  <c:v>120.094642506174</c:v>
                </c:pt>
                <c:pt idx="5">
                  <c:v>116.174511037832</c:v>
                </c:pt>
                <c:pt idx="6">
                  <c:v>110.842786852225</c:v>
                </c:pt>
                <c:pt idx="7">
                  <c:v>105.108048142345</c:v>
                </c:pt>
                <c:pt idx="8">
                  <c:v>100.250484867781</c:v>
                </c:pt>
                <c:pt idx="9">
                  <c:v>93.712644368999705</c:v>
                </c:pt>
                <c:pt idx="10">
                  <c:v>89.882528780545996</c:v>
                </c:pt>
                <c:pt idx="11">
                  <c:v>87.325905524106304</c:v>
                </c:pt>
                <c:pt idx="12">
                  <c:v>84.944702173677697</c:v>
                </c:pt>
                <c:pt idx="13">
                  <c:v>82.731056169437807</c:v>
                </c:pt>
                <c:pt idx="14">
                  <c:v>79.326078472656405</c:v>
                </c:pt>
                <c:pt idx="15">
                  <c:v>74.342349004015006</c:v>
                </c:pt>
                <c:pt idx="16">
                  <c:v>68.974317235069094</c:v>
                </c:pt>
                <c:pt idx="17">
                  <c:v>65.057322453630405</c:v>
                </c:pt>
                <c:pt idx="18">
                  <c:v>61.493752404619897</c:v>
                </c:pt>
                <c:pt idx="19">
                  <c:v>58.826604190087799</c:v>
                </c:pt>
                <c:pt idx="20">
                  <c:v>56.042451800009999</c:v>
                </c:pt>
                <c:pt idx="21">
                  <c:v>52.927935861937002</c:v>
                </c:pt>
                <c:pt idx="22">
                  <c:v>50.397368537191099</c:v>
                </c:pt>
                <c:pt idx="23">
                  <c:v>48.438267956419502</c:v>
                </c:pt>
                <c:pt idx="24">
                  <c:v>46.516689842606198</c:v>
                </c:pt>
                <c:pt idx="25">
                  <c:v>44.752986051942301</c:v>
                </c:pt>
                <c:pt idx="26">
                  <c:v>43.317955183432197</c:v>
                </c:pt>
                <c:pt idx="27">
                  <c:v>41.667830018064699</c:v>
                </c:pt>
                <c:pt idx="28">
                  <c:v>40.118687499872301</c:v>
                </c:pt>
                <c:pt idx="29">
                  <c:v>38.369956036086002</c:v>
                </c:pt>
                <c:pt idx="30">
                  <c:v>36.903519831600597</c:v>
                </c:pt>
                <c:pt idx="31">
                  <c:v>35.812746439349397</c:v>
                </c:pt>
                <c:pt idx="32">
                  <c:v>35.209136935283396</c:v>
                </c:pt>
                <c:pt idx="33">
                  <c:v>34.416167076269602</c:v>
                </c:pt>
                <c:pt idx="34">
                  <c:v>33.891615722182898</c:v>
                </c:pt>
                <c:pt idx="35">
                  <c:v>33.466271994111601</c:v>
                </c:pt>
                <c:pt idx="36">
                  <c:v>32.995542595686899</c:v>
                </c:pt>
                <c:pt idx="37">
                  <c:v>32.602374995127299</c:v>
                </c:pt>
                <c:pt idx="38">
                  <c:v>32.602374995127299</c:v>
                </c:pt>
                <c:pt idx="39">
                  <c:v>32.602374995127299</c:v>
                </c:pt>
                <c:pt idx="40">
                  <c:v>32.602374995127299</c:v>
                </c:pt>
                <c:pt idx="41">
                  <c:v>32.602374995127299</c:v>
                </c:pt>
                <c:pt idx="42">
                  <c:v>32.602374995127299</c:v>
                </c:pt>
                <c:pt idx="43">
                  <c:v>32.602374995127299</c:v>
                </c:pt>
                <c:pt idx="44">
                  <c:v>32.602374995127299</c:v>
                </c:pt>
                <c:pt idx="45">
                  <c:v>32.602374995127299</c:v>
                </c:pt>
                <c:pt idx="46">
                  <c:v>32.602374995127299</c:v>
                </c:pt>
                <c:pt idx="47">
                  <c:v>32.602374995127299</c:v>
                </c:pt>
                <c:pt idx="48">
                  <c:v>32.602374995127299</c:v>
                </c:pt>
                <c:pt idx="49">
                  <c:v>32.602374995127299</c:v>
                </c:pt>
                <c:pt idx="50">
                  <c:v>32.602374995127299</c:v>
                </c:pt>
                <c:pt idx="51">
                  <c:v>32.602374995127299</c:v>
                </c:pt>
                <c:pt idx="52">
                  <c:v>32.602374995127299</c:v>
                </c:pt>
                <c:pt idx="53">
                  <c:v>32.602374995127299</c:v>
                </c:pt>
                <c:pt idx="54">
                  <c:v>32.602374995127299</c:v>
                </c:pt>
                <c:pt idx="55">
                  <c:v>32.602374995127299</c:v>
                </c:pt>
                <c:pt idx="56">
                  <c:v>32.602374995127299</c:v>
                </c:pt>
                <c:pt idx="57">
                  <c:v>32.602374995127299</c:v>
                </c:pt>
                <c:pt idx="58">
                  <c:v>32.602374995127299</c:v>
                </c:pt>
                <c:pt idx="59">
                  <c:v>32.602374995127299</c:v>
                </c:pt>
                <c:pt idx="60">
                  <c:v>32.602374995127299</c:v>
                </c:pt>
                <c:pt idx="61">
                  <c:v>32.602374995127299</c:v>
                </c:pt>
                <c:pt idx="62">
                  <c:v>32.602374995127299</c:v>
                </c:pt>
                <c:pt idx="63">
                  <c:v>32.602374995127299</c:v>
                </c:pt>
                <c:pt idx="64">
                  <c:v>32.602374995127299</c:v>
                </c:pt>
                <c:pt idx="65">
                  <c:v>32.602374995127299</c:v>
                </c:pt>
                <c:pt idx="66">
                  <c:v>32.602374995127299</c:v>
                </c:pt>
                <c:pt idx="67">
                  <c:v>32.602374995127299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F-4AF9-89D7-D92507400D04}"/>
            </c:ext>
          </c:extLst>
        </c:ser>
        <c:ser>
          <c:idx val="2"/>
          <c:order val="2"/>
          <c:tx>
            <c:strRef>
              <c:f>Charts!$A$224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Charts!$B$221:$CA$221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Charts!$B$224:$CA$224</c:f>
              <c:numCache>
                <c:formatCode>#,##0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3-46CE-9743-B32A1FC8D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299208"/>
        <c:axId val="964301504"/>
      </c:lineChart>
      <c:catAx>
        <c:axId val="96429920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01504"/>
        <c:crosses val="autoZero"/>
        <c:auto val="1"/>
        <c:lblAlgn val="ctr"/>
        <c:lblOffset val="100"/>
        <c:tickLblSkip val="10"/>
        <c:noMultiLvlLbl val="1"/>
      </c:catAx>
      <c:valAx>
        <c:axId val="9643015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9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244138232720908"/>
          <c:y val="0.29107086614173222"/>
          <c:w val="0.34086762803855231"/>
          <c:h val="6.1589532416725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Investeringsutgifter, faste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26589894422197"/>
          <c:y val="0.10804318172793451"/>
          <c:w val="0.8228521974617895"/>
          <c:h val="0.7927440187253898"/>
        </c:manualLayout>
      </c:layout>
      <c:lineChart>
        <c:grouping val="standard"/>
        <c:varyColors val="0"/>
        <c:ser>
          <c:idx val="0"/>
          <c:order val="0"/>
          <c:tx>
            <c:strRef>
              <c:f>Charts!$A$435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Charts!$B$434:$CA$434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Charts!$B$435:$CA$435</c:f>
              <c:numCache>
                <c:formatCode>#,##0</c:formatCode>
                <c:ptCount val="78"/>
                <c:pt idx="0">
                  <c:v>205379.03985507248</c:v>
                </c:pt>
                <c:pt idx="1">
                  <c:v>223509.23163887981</c:v>
                </c:pt>
                <c:pt idx="2">
                  <c:v>241035.48526939406</c:v>
                </c:pt>
                <c:pt idx="3">
                  <c:v>227798.81863562955</c:v>
                </c:pt>
                <c:pt idx="4">
                  <c:v>199558.52446436891</c:v>
                </c:pt>
                <c:pt idx="5">
                  <c:v>181079.23473158843</c:v>
                </c:pt>
                <c:pt idx="6">
                  <c:v>178136.97279499634</c:v>
                </c:pt>
                <c:pt idx="7">
                  <c:v>173113.64446973542</c:v>
                </c:pt>
                <c:pt idx="8">
                  <c:v>162195.48655216224</c:v>
                </c:pt>
                <c:pt idx="9">
                  <c:v>154948.39282157298</c:v>
                </c:pt>
                <c:pt idx="10">
                  <c:v>152516.56593655166</c:v>
                </c:pt>
                <c:pt idx="11">
                  <c:v>144862.02116359238</c:v>
                </c:pt>
                <c:pt idx="12">
                  <c:v>137457.21654379752</c:v>
                </c:pt>
                <c:pt idx="13">
                  <c:v>133166.17690105049</c:v>
                </c:pt>
                <c:pt idx="14">
                  <c:v>131243.88407311059</c:v>
                </c:pt>
                <c:pt idx="15">
                  <c:v>130997.08136391459</c:v>
                </c:pt>
                <c:pt idx="16">
                  <c:v>128497.54984025889</c:v>
                </c:pt>
                <c:pt idx="17">
                  <c:v>125922.14824313956</c:v>
                </c:pt>
                <c:pt idx="18">
                  <c:v>124574.1396122959</c:v>
                </c:pt>
                <c:pt idx="19">
                  <c:v>122106.2468881355</c:v>
                </c:pt>
                <c:pt idx="20">
                  <c:v>119667.38819602375</c:v>
                </c:pt>
                <c:pt idx="21">
                  <c:v>115945.83914974077</c:v>
                </c:pt>
                <c:pt idx="22">
                  <c:v>112809.21800855339</c:v>
                </c:pt>
                <c:pt idx="23">
                  <c:v>109406.76126992542</c:v>
                </c:pt>
                <c:pt idx="24">
                  <c:v>106461.88087638968</c:v>
                </c:pt>
                <c:pt idx="25">
                  <c:v>103556.81858394899</c:v>
                </c:pt>
                <c:pt idx="26">
                  <c:v>101560.93626652735</c:v>
                </c:pt>
                <c:pt idx="27">
                  <c:v>97861.784902110667</c:v>
                </c:pt>
                <c:pt idx="28">
                  <c:v>93315.76889088974</c:v>
                </c:pt>
                <c:pt idx="29">
                  <c:v>91330.172916251118</c:v>
                </c:pt>
                <c:pt idx="30">
                  <c:v>89338.43831769313</c:v>
                </c:pt>
                <c:pt idx="31">
                  <c:v>87508.464754836677</c:v>
                </c:pt>
                <c:pt idx="32">
                  <c:v>84988.310772988159</c:v>
                </c:pt>
                <c:pt idx="33">
                  <c:v>82291.73771697226</c:v>
                </c:pt>
                <c:pt idx="34">
                  <c:v>79363.33206276453</c:v>
                </c:pt>
                <c:pt idx="35">
                  <c:v>77485.385983525513</c:v>
                </c:pt>
                <c:pt idx="36">
                  <c:v>74622.630423499344</c:v>
                </c:pt>
                <c:pt idx="37">
                  <c:v>72290.782878082697</c:v>
                </c:pt>
                <c:pt idx="38">
                  <c:v>72652.236792473108</c:v>
                </c:pt>
                <c:pt idx="39">
                  <c:v>73015.497976435465</c:v>
                </c:pt>
                <c:pt idx="40">
                  <c:v>73380.575466317634</c:v>
                </c:pt>
                <c:pt idx="41">
                  <c:v>73747.478343649214</c:v>
                </c:pt>
                <c:pt idx="42">
                  <c:v>74116.215735367456</c:v>
                </c:pt>
                <c:pt idx="43">
                  <c:v>74486.796814044283</c:v>
                </c:pt>
                <c:pt idx="44">
                  <c:v>74859.230798114499</c:v>
                </c:pt>
                <c:pt idx="45">
                  <c:v>75233.526952105065</c:v>
                </c:pt>
                <c:pt idx="46">
                  <c:v>75609.694586865589</c:v>
                </c:pt>
                <c:pt idx="47">
                  <c:v>75987.743059799905</c:v>
                </c:pt>
                <c:pt idx="48">
                  <c:v>76367.681775098899</c:v>
                </c:pt>
                <c:pt idx="49">
                  <c:v>76749.520183974382</c:v>
                </c:pt>
                <c:pt idx="50">
                  <c:v>77133.26778489424</c:v>
                </c:pt>
                <c:pt idx="51">
                  <c:v>77518.934123818704</c:v>
                </c:pt>
                <c:pt idx="52">
                  <c:v>77906.528794437792</c:v>
                </c:pt>
                <c:pt idx="53">
                  <c:v>78296.061438409975</c:v>
                </c:pt>
                <c:pt idx="54">
                  <c:v>78687.541745602022</c:v>
                </c:pt>
                <c:pt idx="55">
                  <c:v>79080.979454330023</c:v>
                </c:pt>
                <c:pt idx="56">
                  <c:v>79476.384351601664</c:v>
                </c:pt>
                <c:pt idx="57">
                  <c:v>79873.766273359666</c:v>
                </c:pt>
                <c:pt idx="58">
                  <c:v>80273.135104726462</c:v>
                </c:pt>
                <c:pt idx="59">
                  <c:v>80674.500780250091</c:v>
                </c:pt>
                <c:pt idx="60">
                  <c:v>81077.873284151327</c:v>
                </c:pt>
                <c:pt idx="61">
                  <c:v>81483.262650572069</c:v>
                </c:pt>
                <c:pt idx="62">
                  <c:v>81890.678963824917</c:v>
                </c:pt>
                <c:pt idx="63">
                  <c:v>82300.132358644027</c:v>
                </c:pt>
                <c:pt idx="64">
                  <c:v>82711.633020437235</c:v>
                </c:pt>
                <c:pt idx="65">
                  <c:v>83125.191185539414</c:v>
                </c:pt>
                <c:pt idx="66">
                  <c:v>83540.817141467109</c:v>
                </c:pt>
                <c:pt idx="67">
                  <c:v>83958.521227174439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7-4528-AE0B-017B4119A594}"/>
            </c:ext>
          </c:extLst>
        </c:ser>
        <c:ser>
          <c:idx val="1"/>
          <c:order val="1"/>
          <c:tx>
            <c:strRef>
              <c:f>Charts!$A$436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Charts!$B$434:$CA$434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Charts!$B$436:$CA$436</c:f>
              <c:numCache>
                <c:formatCode>#,##0</c:formatCode>
                <c:ptCount val="78"/>
                <c:pt idx="0">
                  <c:v>205379.03985507248</c:v>
                </c:pt>
                <c:pt idx="1">
                  <c:v>229867.03068653465</c:v>
                </c:pt>
                <c:pt idx="2">
                  <c:v>234172.75867270801</c:v>
                </c:pt>
                <c:pt idx="3">
                  <c:v>208811.31381041929</c:v>
                </c:pt>
                <c:pt idx="4">
                  <c:v>189559.9823183032</c:v>
                </c:pt>
                <c:pt idx="5">
                  <c:v>180069.6862716738</c:v>
                </c:pt>
                <c:pt idx="6">
                  <c:v>180736.25400624628</c:v>
                </c:pt>
                <c:pt idx="7">
                  <c:v>177028.16765614023</c:v>
                </c:pt>
                <c:pt idx="8">
                  <c:v>167995.00336570645</c:v>
                </c:pt>
                <c:pt idx="9">
                  <c:v>159197.68963603885</c:v>
                </c:pt>
                <c:pt idx="10">
                  <c:v>153949.24508681058</c:v>
                </c:pt>
                <c:pt idx="11">
                  <c:v>146223.17812345497</c:v>
                </c:pt>
                <c:pt idx="12">
                  <c:v>138742.81671260943</c:v>
                </c:pt>
                <c:pt idx="13">
                  <c:v>134329.57900307432</c:v>
                </c:pt>
                <c:pt idx="14">
                  <c:v>132279.4119078065</c:v>
                </c:pt>
                <c:pt idx="15">
                  <c:v>132030.66189968039</c:v>
                </c:pt>
                <c:pt idx="16">
                  <c:v>129511.40881349382</c:v>
                </c:pt>
                <c:pt idx="17">
                  <c:v>126915.6870311094</c:v>
                </c:pt>
                <c:pt idx="18">
                  <c:v>125557.04247259136</c:v>
                </c:pt>
                <c:pt idx="19">
                  <c:v>123069.67781930507</c:v>
                </c:pt>
                <c:pt idx="20">
                  <c:v>120611.57627958636</c:v>
                </c:pt>
                <c:pt idx="21">
                  <c:v>116860.66382598835</c:v>
                </c:pt>
                <c:pt idx="22">
                  <c:v>113699.29441922241</c:v>
                </c:pt>
                <c:pt idx="23">
                  <c:v>110269.99194462743</c:v>
                </c:pt>
                <c:pt idx="24">
                  <c:v>107301.87613986527</c:v>
                </c:pt>
                <c:pt idx="25">
                  <c:v>104373.89260513907</c:v>
                </c:pt>
                <c:pt idx="26">
                  <c:v>102362.26256957326</c:v>
                </c:pt>
                <c:pt idx="27">
                  <c:v>98633.924517870895</c:v>
                </c:pt>
                <c:pt idx="28">
                  <c:v>94494.331028972316</c:v>
                </c:pt>
                <c:pt idx="29">
                  <c:v>92050.777437141849</c:v>
                </c:pt>
                <c:pt idx="30">
                  <c:v>90043.327846371496</c:v>
                </c:pt>
                <c:pt idx="31">
                  <c:v>88198.915602623674</c:v>
                </c:pt>
                <c:pt idx="32">
                  <c:v>85658.877344914494</c:v>
                </c:pt>
                <c:pt idx="33">
                  <c:v>82941.028048275897</c:v>
                </c:pt>
                <c:pt idx="34">
                  <c:v>79989.516970241108</c:v>
                </c:pt>
                <c:pt idx="35">
                  <c:v>78096.753701989015</c:v>
                </c:pt>
                <c:pt idx="36">
                  <c:v>75211.410704176436</c:v>
                </c:pt>
                <c:pt idx="37">
                  <c:v>72861.164640180534</c:v>
                </c:pt>
                <c:pt idx="38">
                  <c:v>73225.470463381425</c:v>
                </c:pt>
                <c:pt idx="39">
                  <c:v>73591.597815698318</c:v>
                </c:pt>
                <c:pt idx="40">
                  <c:v>73959.555804776799</c:v>
                </c:pt>
                <c:pt idx="41">
                  <c:v>74329.353583800679</c:v>
                </c:pt>
                <c:pt idx="42">
                  <c:v>74701.000351719675</c:v>
                </c:pt>
                <c:pt idx="43">
                  <c:v>75074.505353478264</c:v>
                </c:pt>
                <c:pt idx="44">
                  <c:v>75449.877880245651</c:v>
                </c:pt>
                <c:pt idx="45">
                  <c:v>75827.127269646866</c:v>
                </c:pt>
                <c:pt idx="46">
                  <c:v>76206.262905995085</c:v>
                </c:pt>
                <c:pt idx="47">
                  <c:v>76587.294220525058</c:v>
                </c:pt>
                <c:pt idx="48">
                  <c:v>76970.230691627672</c:v>
                </c:pt>
                <c:pt idx="49">
                  <c:v>77355.081845085806</c:v>
                </c:pt>
                <c:pt idx="50">
                  <c:v>77741.857254311224</c:v>
                </c:pt>
                <c:pt idx="51">
                  <c:v>78130.566540582775</c:v>
                </c:pt>
                <c:pt idx="52">
                  <c:v>78521.219373285683</c:v>
                </c:pt>
                <c:pt idx="53">
                  <c:v>78913.825470152107</c:v>
                </c:pt>
                <c:pt idx="54">
                  <c:v>79308.394597502862</c:v>
                </c:pt>
                <c:pt idx="55">
                  <c:v>79704.936570490361</c:v>
                </c:pt>
                <c:pt idx="56">
                  <c:v>80103.461253342801</c:v>
                </c:pt>
                <c:pt idx="57">
                  <c:v>80503.978559609503</c:v>
                </c:pt>
                <c:pt idx="58">
                  <c:v>80906.498452407541</c:v>
                </c:pt>
                <c:pt idx="59">
                  <c:v>81311.030944669576</c:v>
                </c:pt>
                <c:pt idx="60">
                  <c:v>81717.586099392909</c:v>
                </c:pt>
                <c:pt idx="61">
                  <c:v>82126.174029889866</c:v>
                </c:pt>
                <c:pt idx="62">
                  <c:v>82536.804900039308</c:v>
                </c:pt>
                <c:pt idx="63">
                  <c:v>82949.488924539502</c:v>
                </c:pt>
                <c:pt idx="64">
                  <c:v>83364.236369162187</c:v>
                </c:pt>
                <c:pt idx="65">
                  <c:v>83781.057551007994</c:v>
                </c:pt>
                <c:pt idx="66">
                  <c:v>84199.962838763022</c:v>
                </c:pt>
                <c:pt idx="67">
                  <c:v>84620.962652956834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7-4528-AE0B-017B4119A594}"/>
            </c:ext>
          </c:extLst>
        </c:ser>
        <c:ser>
          <c:idx val="2"/>
          <c:order val="2"/>
          <c:tx>
            <c:strRef>
              <c:f>Charts!$A$437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Charts!$B$434:$CA$434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Charts!$B$437:$CA$437</c:f>
              <c:numCache>
                <c:formatCode>#,##0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D-4CAA-83E2-F3C4A74EA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525584"/>
        <c:axId val="819528208"/>
      </c:lineChart>
      <c:catAx>
        <c:axId val="81952558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28208"/>
        <c:crosses val="autoZero"/>
        <c:auto val="1"/>
        <c:lblAlgn val="ctr"/>
        <c:lblOffset val="100"/>
        <c:tickLblSkip val="10"/>
        <c:tickMarkSkip val="5"/>
        <c:noMultiLvlLbl val="1"/>
      </c:catAx>
      <c:valAx>
        <c:axId val="8195282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01316743682831"/>
          <c:y val="0.19687640350471267"/>
          <c:w val="0.28324271662130918"/>
          <c:h val="5.5891768791660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Driftskostnader, faste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Charts!$A$304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Charts!$B$303:$CA$303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Charts!$B$304:$CA$304</c:f>
              <c:numCache>
                <c:formatCode>#,##0</c:formatCode>
                <c:ptCount val="78"/>
                <c:pt idx="0">
                  <c:v>99860.558147429678</c:v>
                </c:pt>
                <c:pt idx="1">
                  <c:v>95264.594467607778</c:v>
                </c:pt>
                <c:pt idx="2">
                  <c:v>98103.523038539774</c:v>
                </c:pt>
                <c:pt idx="3">
                  <c:v>103415.34605491448</c:v>
                </c:pt>
                <c:pt idx="4">
                  <c:v>104027.95118372542</c:v>
                </c:pt>
                <c:pt idx="5">
                  <c:v>102642.07037417749</c:v>
                </c:pt>
                <c:pt idx="6">
                  <c:v>100850.46785157442</c:v>
                </c:pt>
                <c:pt idx="7">
                  <c:v>93291.780335690346</c:v>
                </c:pt>
                <c:pt idx="8">
                  <c:v>92673.906590685641</c:v>
                </c:pt>
                <c:pt idx="9">
                  <c:v>93631.228203927836</c:v>
                </c:pt>
                <c:pt idx="10">
                  <c:v>93262.367660878081</c:v>
                </c:pt>
                <c:pt idx="11">
                  <c:v>92747.4880848717</c:v>
                </c:pt>
                <c:pt idx="12">
                  <c:v>91806.920495555984</c:v>
                </c:pt>
                <c:pt idx="13">
                  <c:v>88367.092948856662</c:v>
                </c:pt>
                <c:pt idx="14">
                  <c:v>86666.612575307488</c:v>
                </c:pt>
                <c:pt idx="15">
                  <c:v>85018.958500637265</c:v>
                </c:pt>
                <c:pt idx="16">
                  <c:v>81903.391572286666</c:v>
                </c:pt>
                <c:pt idx="17">
                  <c:v>80707.647886927793</c:v>
                </c:pt>
                <c:pt idx="18">
                  <c:v>79919.870365169423</c:v>
                </c:pt>
                <c:pt idx="19">
                  <c:v>79162.044068667834</c:v>
                </c:pt>
                <c:pt idx="20">
                  <c:v>77688.118945763708</c:v>
                </c:pt>
                <c:pt idx="21">
                  <c:v>76511.19845760327</c:v>
                </c:pt>
                <c:pt idx="22">
                  <c:v>76089.406799941906</c:v>
                </c:pt>
                <c:pt idx="23">
                  <c:v>73222.413651893628</c:v>
                </c:pt>
                <c:pt idx="24">
                  <c:v>73860.287082548719</c:v>
                </c:pt>
                <c:pt idx="25">
                  <c:v>71210.238301224541</c:v>
                </c:pt>
                <c:pt idx="26">
                  <c:v>68522.021812818843</c:v>
                </c:pt>
                <c:pt idx="27">
                  <c:v>64950.787505148721</c:v>
                </c:pt>
                <c:pt idx="28">
                  <c:v>62975.862629596428</c:v>
                </c:pt>
                <c:pt idx="29">
                  <c:v>61008.371650724715</c:v>
                </c:pt>
                <c:pt idx="30">
                  <c:v>60552.76265704439</c:v>
                </c:pt>
                <c:pt idx="31">
                  <c:v>60555.462945804284</c:v>
                </c:pt>
                <c:pt idx="32">
                  <c:v>57876.63399217384</c:v>
                </c:pt>
                <c:pt idx="33">
                  <c:v>52785.479920396705</c:v>
                </c:pt>
                <c:pt idx="34">
                  <c:v>52012.063211980305</c:v>
                </c:pt>
                <c:pt idx="35">
                  <c:v>51400.667663072338</c:v>
                </c:pt>
                <c:pt idx="36">
                  <c:v>49559.965265121413</c:v>
                </c:pt>
                <c:pt idx="37">
                  <c:v>48532.876967143318</c:v>
                </c:pt>
                <c:pt idx="38">
                  <c:v>49309.40299861761</c:v>
                </c:pt>
                <c:pt idx="39">
                  <c:v>50098.353446595494</c:v>
                </c:pt>
                <c:pt idx="40">
                  <c:v>50899.927101741021</c:v>
                </c:pt>
                <c:pt idx="41">
                  <c:v>51714.325935368877</c:v>
                </c:pt>
                <c:pt idx="42">
                  <c:v>52541.755150334779</c:v>
                </c:pt>
                <c:pt idx="43">
                  <c:v>53382.423232740133</c:v>
                </c:pt>
                <c:pt idx="44">
                  <c:v>54236.542004463976</c:v>
                </c:pt>
                <c:pt idx="45">
                  <c:v>55104.326676535398</c:v>
                </c:pt>
                <c:pt idx="46">
                  <c:v>55985.995903359966</c:v>
                </c:pt>
                <c:pt idx="47">
                  <c:v>56881.771837813729</c:v>
                </c:pt>
                <c:pt idx="48">
                  <c:v>57791.880187218747</c:v>
                </c:pt>
                <c:pt idx="49">
                  <c:v>58716.550270214248</c:v>
                </c:pt>
                <c:pt idx="50">
                  <c:v>59656.015074537674</c:v>
                </c:pt>
                <c:pt idx="51">
                  <c:v>60610.511315730277</c:v>
                </c:pt>
                <c:pt idx="52">
                  <c:v>61580.279496781965</c:v>
                </c:pt>
                <c:pt idx="53">
                  <c:v>62565.563968730479</c:v>
                </c:pt>
                <c:pt idx="54">
                  <c:v>63566.61299223017</c:v>
                </c:pt>
                <c:pt idx="55">
                  <c:v>64583.678800105852</c:v>
                </c:pt>
                <c:pt idx="56">
                  <c:v>65617.017660907542</c:v>
                </c:pt>
                <c:pt idx="57">
                  <c:v>66666.889943482063</c:v>
                </c:pt>
                <c:pt idx="58">
                  <c:v>67733.56018257777</c:v>
                </c:pt>
                <c:pt idx="59">
                  <c:v>68817.297145499018</c:v>
                </c:pt>
                <c:pt idx="60">
                  <c:v>69918.373899826998</c:v>
                </c:pt>
                <c:pt idx="61">
                  <c:v>71037.067882224233</c:v>
                </c:pt>
                <c:pt idx="62">
                  <c:v>72173.660968339827</c:v>
                </c:pt>
                <c:pt idx="63">
                  <c:v>73328.439543833272</c:v>
                </c:pt>
                <c:pt idx="64">
                  <c:v>74501.694576534603</c:v>
                </c:pt>
                <c:pt idx="65">
                  <c:v>75693.721689759157</c:v>
                </c:pt>
                <c:pt idx="66">
                  <c:v>76904.821236795309</c:v>
                </c:pt>
                <c:pt idx="67">
                  <c:v>78135.298376584033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9-41AE-8D09-C9A2AEE2A04A}"/>
            </c:ext>
          </c:extLst>
        </c:ser>
        <c:ser>
          <c:idx val="1"/>
          <c:order val="1"/>
          <c:tx>
            <c:strRef>
              <c:f>Charts!$A$305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Charts!$B$303:$CA$303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Charts!$B$305:$CA$305</c:f>
              <c:numCache>
                <c:formatCode>#,##0</c:formatCode>
                <c:ptCount val="78"/>
                <c:pt idx="0">
                  <c:v>99860.558147429678</c:v>
                </c:pt>
                <c:pt idx="1">
                  <c:v>95356.629504440774</c:v>
                </c:pt>
                <c:pt idx="2">
                  <c:v>99716.098540267762</c:v>
                </c:pt>
                <c:pt idx="3">
                  <c:v>101512.93041588068</c:v>
                </c:pt>
                <c:pt idx="4">
                  <c:v>100690.39184220279</c:v>
                </c:pt>
                <c:pt idx="5">
                  <c:v>100437.25925000725</c:v>
                </c:pt>
                <c:pt idx="6">
                  <c:v>99559.926617369158</c:v>
                </c:pt>
                <c:pt idx="7">
                  <c:v>94480.780085875595</c:v>
                </c:pt>
                <c:pt idx="8">
                  <c:v>94354.158848779654</c:v>
                </c:pt>
                <c:pt idx="9">
                  <c:v>95197.202004694816</c:v>
                </c:pt>
                <c:pt idx="10">
                  <c:v>94954.62732770601</c:v>
                </c:pt>
                <c:pt idx="11">
                  <c:v>94414.368389941272</c:v>
                </c:pt>
                <c:pt idx="12">
                  <c:v>93300.974465923748</c:v>
                </c:pt>
                <c:pt idx="13">
                  <c:v>89539.902838408161</c:v>
                </c:pt>
                <c:pt idx="14">
                  <c:v>87623.914947898957</c:v>
                </c:pt>
                <c:pt idx="15">
                  <c:v>85987.70792052793</c:v>
                </c:pt>
                <c:pt idx="16">
                  <c:v>82544.063410887029</c:v>
                </c:pt>
                <c:pt idx="17">
                  <c:v>81288.820660224344</c:v>
                </c:pt>
                <c:pt idx="18">
                  <c:v>80347.380432726743</c:v>
                </c:pt>
                <c:pt idx="19">
                  <c:v>79565.621472468905</c:v>
                </c:pt>
                <c:pt idx="20">
                  <c:v>77935.711436643949</c:v>
                </c:pt>
                <c:pt idx="21">
                  <c:v>76778.036010908283</c:v>
                </c:pt>
                <c:pt idx="22">
                  <c:v>76359.865166727861</c:v>
                </c:pt>
                <c:pt idx="23">
                  <c:v>73547.4726101829</c:v>
                </c:pt>
                <c:pt idx="24">
                  <c:v>74126.288967364133</c:v>
                </c:pt>
                <c:pt idx="25">
                  <c:v>71378.003867317311</c:v>
                </c:pt>
                <c:pt idx="26">
                  <c:v>69110.58410025273</c:v>
                </c:pt>
                <c:pt idx="27">
                  <c:v>65456.626821237558</c:v>
                </c:pt>
                <c:pt idx="28">
                  <c:v>63517.913873049125</c:v>
                </c:pt>
                <c:pt idx="29">
                  <c:v>61565.758899584733</c:v>
                </c:pt>
                <c:pt idx="30">
                  <c:v>61076.437868228197</c:v>
                </c:pt>
                <c:pt idx="31">
                  <c:v>61061.419628263779</c:v>
                </c:pt>
                <c:pt idx="32">
                  <c:v>58300.091164006422</c:v>
                </c:pt>
                <c:pt idx="33">
                  <c:v>53153.041452591868</c:v>
                </c:pt>
                <c:pt idx="34">
                  <c:v>52367.75274707043</c:v>
                </c:pt>
                <c:pt idx="35">
                  <c:v>51816.370207605432</c:v>
                </c:pt>
                <c:pt idx="36">
                  <c:v>49879.628109940335</c:v>
                </c:pt>
                <c:pt idx="37">
                  <c:v>48857.104209703597</c:v>
                </c:pt>
                <c:pt idx="38">
                  <c:v>49638.817877058849</c:v>
                </c:pt>
                <c:pt idx="39">
                  <c:v>50433.038963091793</c:v>
                </c:pt>
                <c:pt idx="40">
                  <c:v>51239.967586501261</c:v>
                </c:pt>
                <c:pt idx="41">
                  <c:v>52059.807067885282</c:v>
                </c:pt>
                <c:pt idx="42">
                  <c:v>52892.763980971453</c:v>
                </c:pt>
                <c:pt idx="43">
                  <c:v>53739.048204667</c:v>
                </c:pt>
                <c:pt idx="44">
                  <c:v>54598.872975941675</c:v>
                </c:pt>
                <c:pt idx="45">
                  <c:v>55472.454943556746</c:v>
                </c:pt>
                <c:pt idx="46">
                  <c:v>56360.014222653655</c:v>
                </c:pt>
                <c:pt idx="47">
                  <c:v>57261.774450216115</c:v>
                </c:pt>
                <c:pt idx="48">
                  <c:v>58177.962841419576</c:v>
                </c:pt>
                <c:pt idx="49">
                  <c:v>59108.810246882291</c:v>
                </c:pt>
                <c:pt idx="50">
                  <c:v>60054.551210832411</c:v>
                </c:pt>
                <c:pt idx="51">
                  <c:v>61015.42403020573</c:v>
                </c:pt>
                <c:pt idx="52">
                  <c:v>61991.670814689023</c:v>
                </c:pt>
                <c:pt idx="53">
                  <c:v>62983.537547724045</c:v>
                </c:pt>
                <c:pt idx="54">
                  <c:v>63991.274148487624</c:v>
                </c:pt>
                <c:pt idx="55">
                  <c:v>65015.134534863428</c:v>
                </c:pt>
                <c:pt idx="56">
                  <c:v>66055.376687421245</c:v>
                </c:pt>
                <c:pt idx="57">
                  <c:v>67112.26271441998</c:v>
                </c:pt>
                <c:pt idx="58">
                  <c:v>68186.058917850707</c:v>
                </c:pt>
                <c:pt idx="59">
                  <c:v>69277.035860536314</c:v>
                </c:pt>
                <c:pt idx="60">
                  <c:v>70385.468434304887</c:v>
                </c:pt>
                <c:pt idx="61">
                  <c:v>71511.635929253767</c:v>
                </c:pt>
                <c:pt idx="62">
                  <c:v>72655.82210412182</c:v>
                </c:pt>
                <c:pt idx="63">
                  <c:v>73818.315257787763</c:v>
                </c:pt>
                <c:pt idx="64">
                  <c:v>74999.408301912365</c:v>
                </c:pt>
                <c:pt idx="65">
                  <c:v>76199.398834742969</c:v>
                </c:pt>
                <c:pt idx="66">
                  <c:v>77418.589216098859</c:v>
                </c:pt>
                <c:pt idx="67">
                  <c:v>78657.286643556436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9-41AE-8D09-C9A2AEE2A04A}"/>
            </c:ext>
          </c:extLst>
        </c:ser>
        <c:ser>
          <c:idx val="2"/>
          <c:order val="2"/>
          <c:tx>
            <c:strRef>
              <c:f>Charts!$A$306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Charts!$B$303:$CA$303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Charts!$B$306:$CA$306</c:f>
              <c:numCache>
                <c:formatCode>#,##0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5-4482-8475-10DB54E07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864840"/>
        <c:axId val="658861888"/>
      </c:lineChart>
      <c:catAx>
        <c:axId val="65886484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61888"/>
        <c:crosses val="autoZero"/>
        <c:auto val="1"/>
        <c:lblAlgn val="ctr"/>
        <c:lblOffset val="100"/>
        <c:tickLblSkip val="10"/>
        <c:noMultiLvlLbl val="1"/>
      </c:catAx>
      <c:valAx>
        <c:axId val="658861888"/>
        <c:scaling>
          <c:orientation val="minMax"/>
          <c:min val="4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6484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4110736157978"/>
          <c:y val="0.17484989907560972"/>
          <c:w val="0.30617185351831022"/>
          <c:h val="5.4881918357995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Faste</a:t>
            </a:r>
            <a:r>
              <a:rPr lang="en-US" b="1" baseline="0"/>
              <a:t> driftskostnader / Produksjon</a:t>
            </a:r>
            <a:endParaRPr lang="en-US" b="1"/>
          </a:p>
        </c:rich>
      </c:tx>
      <c:layout>
        <c:manualLayout>
          <c:xMode val="edge"/>
          <c:yMode val="edge"/>
          <c:x val="0.33408613754082189"/>
          <c:y val="9.4204704597783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Charts!$A$353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Charts!$B$352:$CA$352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Charts!$B$353:$CA$353</c:f>
              <c:numCache>
                <c:formatCode>0.00</c:formatCode>
                <c:ptCount val="78"/>
                <c:pt idx="0">
                  <c:v>100</c:v>
                </c:pt>
                <c:pt idx="1">
                  <c:v>92.207649104997856</c:v>
                </c:pt>
                <c:pt idx="2">
                  <c:v>96.170544663909951</c:v>
                </c:pt>
                <c:pt idx="3">
                  <c:v>102.1297696717276</c:v>
                </c:pt>
                <c:pt idx="4">
                  <c:v>104.65050450181464</c:v>
                </c:pt>
                <c:pt idx="5">
                  <c:v>109.62894076577699</c:v>
                </c:pt>
                <c:pt idx="6">
                  <c:v>115.08032981102534</c:v>
                </c:pt>
                <c:pt idx="7">
                  <c:v>112.74361570147761</c:v>
                </c:pt>
                <c:pt idx="8">
                  <c:v>117.09653891185279</c:v>
                </c:pt>
                <c:pt idx="9">
                  <c:v>123.99045431587138</c:v>
                </c:pt>
                <c:pt idx="10">
                  <c:v>128.51976089404391</c:v>
                </c:pt>
                <c:pt idx="11">
                  <c:v>130.64048496501678</c:v>
                </c:pt>
                <c:pt idx="12">
                  <c:v>132.49578095473564</c:v>
                </c:pt>
                <c:pt idx="13">
                  <c:v>130.8596370022648</c:v>
                </c:pt>
                <c:pt idx="14">
                  <c:v>133.28609671619756</c:v>
                </c:pt>
                <c:pt idx="15">
                  <c:v>138.49442230558455</c:v>
                </c:pt>
                <c:pt idx="16">
                  <c:v>141.46944173941162</c:v>
                </c:pt>
                <c:pt idx="17">
                  <c:v>146.21103479360085</c:v>
                </c:pt>
                <c:pt idx="18">
                  <c:v>151.33200828946838</c:v>
                </c:pt>
                <c:pt idx="19">
                  <c:v>156.06742454516601</c:v>
                </c:pt>
                <c:pt idx="20">
                  <c:v>159.66480717229561</c:v>
                </c:pt>
                <c:pt idx="21">
                  <c:v>164.23495461684826</c:v>
                </c:pt>
                <c:pt idx="22">
                  <c:v>170.53040014817984</c:v>
                </c:pt>
                <c:pt idx="23">
                  <c:v>170.5460302562652</c:v>
                </c:pt>
                <c:pt idx="24">
                  <c:v>178.81435048784169</c:v>
                </c:pt>
                <c:pt idx="25">
                  <c:v>178.83320841295861</c:v>
                </c:pt>
                <c:pt idx="26">
                  <c:v>178.81637197893468</c:v>
                </c:pt>
                <c:pt idx="27">
                  <c:v>176.38820712770709</c:v>
                </c:pt>
                <c:pt idx="28">
                  <c:v>177.28228477900061</c:v>
                </c:pt>
                <c:pt idx="29">
                  <c:v>179.349399984385</c:v>
                </c:pt>
                <c:pt idx="30">
                  <c:v>184.8776120040782</c:v>
                </c:pt>
                <c:pt idx="31">
                  <c:v>191.67248676395576</c:v>
                </c:pt>
                <c:pt idx="32">
                  <c:v>189.06291762071407</c:v>
                </c:pt>
                <c:pt idx="33">
                  <c:v>178.18178587020228</c:v>
                </c:pt>
                <c:pt idx="34">
                  <c:v>180.97364619752773</c:v>
                </c:pt>
                <c:pt idx="35">
                  <c:v>184.92525939052541</c:v>
                </c:pt>
                <c:pt idx="36">
                  <c:v>184.27376655396316</c:v>
                </c:pt>
                <c:pt idx="37">
                  <c:v>186.61123803698223</c:v>
                </c:pt>
                <c:pt idx="38">
                  <c:v>189.59701784557396</c:v>
                </c:pt>
                <c:pt idx="39">
                  <c:v>192.63057013110316</c:v>
                </c:pt>
                <c:pt idx="40">
                  <c:v>195.7126592532008</c:v>
                </c:pt>
                <c:pt idx="41">
                  <c:v>198.84406180125202</c:v>
                </c:pt>
                <c:pt idx="42">
                  <c:v>202.02556679007205</c:v>
                </c:pt>
                <c:pt idx="43">
                  <c:v>205.25797585871317</c:v>
                </c:pt>
                <c:pt idx="44">
                  <c:v>208.54210347245257</c:v>
                </c:pt>
                <c:pt idx="45">
                  <c:v>211.87877712801182</c:v>
                </c:pt>
                <c:pt idx="46">
                  <c:v>215.26883756206001</c:v>
                </c:pt>
                <c:pt idx="47">
                  <c:v>218.71313896305298</c:v>
                </c:pt>
                <c:pt idx="48">
                  <c:v>222.21254918646179</c:v>
                </c:pt>
                <c:pt idx="49">
                  <c:v>225.76794997344518</c:v>
                </c:pt>
                <c:pt idx="50">
                  <c:v>229.3802371730203</c:v>
                </c:pt>
                <c:pt idx="51">
                  <c:v>233.05032096778862</c:v>
                </c:pt>
                <c:pt idx="52">
                  <c:v>236.77912610327326</c:v>
                </c:pt>
                <c:pt idx="53">
                  <c:v>240.56759212092564</c:v>
                </c:pt>
                <c:pt idx="54">
                  <c:v>244.41667359486044</c:v>
                </c:pt>
                <c:pt idx="55">
                  <c:v>248.32734037237822</c:v>
                </c:pt>
                <c:pt idx="56">
                  <c:v>252.30057781833622</c:v>
                </c:pt>
                <c:pt idx="57">
                  <c:v>256.33738706342967</c:v>
                </c:pt>
                <c:pt idx="58">
                  <c:v>260.43878525644448</c:v>
                </c:pt>
                <c:pt idx="59">
                  <c:v>264.60580582054763</c:v>
                </c:pt>
                <c:pt idx="60">
                  <c:v>268.83949871367633</c:v>
                </c:pt>
                <c:pt idx="61">
                  <c:v>273.14093069309519</c:v>
                </c:pt>
                <c:pt idx="62">
                  <c:v>277.51118558418472</c:v>
                </c:pt>
                <c:pt idx="63">
                  <c:v>281.95136455353168</c:v>
                </c:pt>
                <c:pt idx="64">
                  <c:v>286.46258638638818</c:v>
                </c:pt>
                <c:pt idx="65">
                  <c:v>291.0459877685704</c:v>
                </c:pt>
                <c:pt idx="66">
                  <c:v>295.70272357286751</c:v>
                </c:pt>
                <c:pt idx="67">
                  <c:v>300.43396715003342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8-4422-9475-2D632F5B2697}"/>
            </c:ext>
          </c:extLst>
        </c:ser>
        <c:ser>
          <c:idx val="1"/>
          <c:order val="1"/>
          <c:tx>
            <c:strRef>
              <c:f>Charts!$A$354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Charts!$B$352:$CA$352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Charts!$B$354:$CA$354</c:f>
              <c:numCache>
                <c:formatCode>0.00</c:formatCode>
                <c:ptCount val="78"/>
                <c:pt idx="0">
                  <c:v>100</c:v>
                </c:pt>
                <c:pt idx="1">
                  <c:v>92.296730783944966</c:v>
                </c:pt>
                <c:pt idx="2">
                  <c:v>99.027747925650971</c:v>
                </c:pt>
                <c:pt idx="3">
                  <c:v>100.25100283902853</c:v>
                </c:pt>
                <c:pt idx="4">
                  <c:v>101.29297290781201</c:v>
                </c:pt>
                <c:pt idx="5">
                  <c:v>106.79929396986303</c:v>
                </c:pt>
                <c:pt idx="6">
                  <c:v>112.14678272385011</c:v>
                </c:pt>
                <c:pt idx="7">
                  <c:v>113.61078331536905</c:v>
                </c:pt>
                <c:pt idx="8">
                  <c:v>119.25554132258297</c:v>
                </c:pt>
                <c:pt idx="9">
                  <c:v>126.25829023942012</c:v>
                </c:pt>
                <c:pt idx="10">
                  <c:v>130.55562554868447</c:v>
                </c:pt>
                <c:pt idx="11">
                  <c:v>132.53995146663885</c:v>
                </c:pt>
                <c:pt idx="12">
                  <c:v>134.1992214374624</c:v>
                </c:pt>
                <c:pt idx="13">
                  <c:v>132.1504841999575</c:v>
                </c:pt>
                <c:pt idx="14">
                  <c:v>134.34231628497909</c:v>
                </c:pt>
                <c:pt idx="15">
                  <c:v>139.55515022074852</c:v>
                </c:pt>
                <c:pt idx="16">
                  <c:v>142.03681127464165</c:v>
                </c:pt>
                <c:pt idx="17">
                  <c:v>146.7762839215961</c:v>
                </c:pt>
                <c:pt idx="18">
                  <c:v>151.74426754184623</c:v>
                </c:pt>
                <c:pt idx="19">
                  <c:v>156.51193858874703</c:v>
                </c:pt>
                <c:pt idx="20">
                  <c:v>159.86913157430558</c:v>
                </c:pt>
                <c:pt idx="21">
                  <c:v>164.55190336310966</c:v>
                </c:pt>
                <c:pt idx="22">
                  <c:v>170.91219125001493</c:v>
                </c:pt>
                <c:pt idx="23">
                  <c:v>171.10555272367782</c:v>
                </c:pt>
                <c:pt idx="24">
                  <c:v>179.30220843668178</c:v>
                </c:pt>
                <c:pt idx="25">
                  <c:v>179.13036398052475</c:v>
                </c:pt>
                <c:pt idx="26">
                  <c:v>180.28726273226107</c:v>
                </c:pt>
                <c:pt idx="27">
                  <c:v>177.70995364178202</c:v>
                </c:pt>
                <c:pt idx="28">
                  <c:v>178.81426284100604</c:v>
                </c:pt>
                <c:pt idx="29">
                  <c:v>180.99296619490445</c:v>
                </c:pt>
                <c:pt idx="30">
                  <c:v>186.48064406248903</c:v>
                </c:pt>
                <c:pt idx="31">
                  <c:v>193.27396434375837</c:v>
                </c:pt>
                <c:pt idx="32">
                  <c:v>190.44622098678997</c:v>
                </c:pt>
                <c:pt idx="33">
                  <c:v>179.42250194350379</c:v>
                </c:pt>
                <c:pt idx="34">
                  <c:v>182.21126000791233</c:v>
                </c:pt>
                <c:pt idx="35">
                  <c:v>186.42084292439719</c:v>
                </c:pt>
                <c:pt idx="36">
                  <c:v>185.46234903080884</c:v>
                </c:pt>
                <c:pt idx="37">
                  <c:v>187.85792509620723</c:v>
                </c:pt>
                <c:pt idx="38">
                  <c:v>190.86365189774654</c:v>
                </c:pt>
                <c:pt idx="39">
                  <c:v>193.91747032811048</c:v>
                </c:pt>
                <c:pt idx="40">
                  <c:v>197.02014985336027</c:v>
                </c:pt>
                <c:pt idx="41">
                  <c:v>200.17247225101403</c:v>
                </c:pt>
                <c:pt idx="42">
                  <c:v>203.3752318070303</c:v>
                </c:pt>
                <c:pt idx="43">
                  <c:v>206.62923551594278</c:v>
                </c:pt>
                <c:pt idx="44">
                  <c:v>209.93530328419786</c:v>
                </c:pt>
                <c:pt idx="45">
                  <c:v>213.29426813674502</c:v>
                </c:pt>
                <c:pt idx="46">
                  <c:v>216.70697642693295</c:v>
                </c:pt>
                <c:pt idx="47">
                  <c:v>220.17428804976387</c:v>
                </c:pt>
                <c:pt idx="48">
                  <c:v>223.69707665856009</c:v>
                </c:pt>
                <c:pt idx="49">
                  <c:v>227.27622988509705</c:v>
                </c:pt>
                <c:pt idx="50">
                  <c:v>230.91264956325861</c:v>
                </c:pt>
                <c:pt idx="51">
                  <c:v>234.60725195627074</c:v>
                </c:pt>
                <c:pt idx="52">
                  <c:v>238.36096798757109</c:v>
                </c:pt>
                <c:pt idx="53">
                  <c:v>242.17474347537222</c:v>
                </c:pt>
                <c:pt idx="54">
                  <c:v>246.04953937097818</c:v>
                </c:pt>
                <c:pt idx="55">
                  <c:v>249.98633200091385</c:v>
                </c:pt>
                <c:pt idx="56">
                  <c:v>253.98611331292847</c:v>
                </c:pt>
                <c:pt idx="57">
                  <c:v>258.04989112593535</c:v>
                </c:pt>
                <c:pt idx="58">
                  <c:v>262.17868938395037</c:v>
                </c:pt>
                <c:pt idx="59">
                  <c:v>266.37354841409359</c:v>
                </c:pt>
                <c:pt idx="60">
                  <c:v>270.63552518871904</c:v>
                </c:pt>
                <c:pt idx="61">
                  <c:v>274.96569359173856</c:v>
                </c:pt>
                <c:pt idx="62">
                  <c:v>279.36514468920637</c:v>
                </c:pt>
                <c:pt idx="63">
                  <c:v>283.8349870042336</c:v>
                </c:pt>
                <c:pt idx="64">
                  <c:v>288.37634679630128</c:v>
                </c:pt>
                <c:pt idx="65">
                  <c:v>292.99036834504216</c:v>
                </c:pt>
                <c:pt idx="66">
                  <c:v>297.67821423856282</c:v>
                </c:pt>
                <c:pt idx="67">
                  <c:v>302.44106566637976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8-4422-9475-2D632F5B2697}"/>
            </c:ext>
          </c:extLst>
        </c:ser>
        <c:ser>
          <c:idx val="2"/>
          <c:order val="2"/>
          <c:tx>
            <c:strRef>
              <c:f>Charts!$A$355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Charts!$B$352:$CA$352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Charts!$B$355:$CA$355</c:f>
              <c:numCache>
                <c:formatCode>0.00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D-4CF1-B80D-BFD95394F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348448"/>
        <c:axId val="673348776"/>
      </c:lineChart>
      <c:catAx>
        <c:axId val="6733484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48776"/>
        <c:crosses val="autoZero"/>
        <c:auto val="1"/>
        <c:lblAlgn val="ctr"/>
        <c:lblOffset val="100"/>
        <c:tickLblSkip val="10"/>
        <c:noMultiLvlLbl val="1"/>
      </c:catAx>
      <c:valAx>
        <c:axId val="67334877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Faste</a:t>
            </a:r>
            <a:r>
              <a:rPr lang="nb-NO" b="1" baseline="0"/>
              <a:t> inv.utgifter / Produksjon</a:t>
            </a:r>
            <a:endParaRPr lang="nb-NO" b="1"/>
          </a:p>
        </c:rich>
      </c:tx>
      <c:layout>
        <c:manualLayout>
          <c:xMode val="edge"/>
          <c:yMode val="edge"/>
          <c:x val="0.27396988961190599"/>
          <c:y val="8.2480465328883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Charts!$A$486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Charts!$B$485:$CA$485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Charts!$B$486:$CA$486</c:f>
              <c:numCache>
                <c:formatCode>0.0</c:formatCode>
                <c:ptCount val="78"/>
                <c:pt idx="0">
                  <c:v>100</c:v>
                </c:pt>
                <c:pt idx="1">
                  <c:v>105.18862108116436</c:v>
                </c:pt>
                <c:pt idx="2">
                  <c:v>114.88843828107439</c:v>
                </c:pt>
                <c:pt idx="3">
                  <c:v>109.38473029464126</c:v>
                </c:pt>
                <c:pt idx="4">
                  <c:v>97.611151288854614</c:v>
                </c:pt>
                <c:pt idx="5">
                  <c:v>94.038638943602365</c:v>
                </c:pt>
                <c:pt idx="6">
                  <c:v>98.835990343601779</c:v>
                </c:pt>
                <c:pt idx="7">
                  <c:v>101.72266905631524</c:v>
                </c:pt>
                <c:pt idx="8">
                  <c:v>99.6467692595334</c:v>
                </c:pt>
                <c:pt idx="9">
                  <c:v>99.768278124486301</c:v>
                </c:pt>
                <c:pt idx="10">
                  <c:v>102.19234387398161</c:v>
                </c:pt>
                <c:pt idx="11">
                  <c:v>99.212875693687778</c:v>
                </c:pt>
                <c:pt idx="12">
                  <c:v>96.456621145003069</c:v>
                </c:pt>
                <c:pt idx="13">
                  <c:v>95.884176964919774</c:v>
                </c:pt>
                <c:pt idx="14">
                  <c:v>98.140885479615463</c:v>
                </c:pt>
                <c:pt idx="15">
                  <c:v>103.75666216662584</c:v>
                </c:pt>
                <c:pt idx="16">
                  <c:v>107.91789618585267</c:v>
                </c:pt>
                <c:pt idx="17">
                  <c:v>110.9188745485135</c:v>
                </c:pt>
                <c:pt idx="18">
                  <c:v>114.69428833984378</c:v>
                </c:pt>
                <c:pt idx="19">
                  <c:v>117.04989179995097</c:v>
                </c:pt>
                <c:pt idx="20">
                  <c:v>119.58267857644077</c:v>
                </c:pt>
                <c:pt idx="21">
                  <c:v>121.01344598103236</c:v>
                </c:pt>
                <c:pt idx="22">
                  <c:v>122.93061984385741</c:v>
                </c:pt>
                <c:pt idx="23">
                  <c:v>123.90236789325368</c:v>
                </c:pt>
                <c:pt idx="24">
                  <c:v>125.32086468215029</c:v>
                </c:pt>
                <c:pt idx="25">
                  <c:v>126.4510089203951</c:v>
                </c:pt>
                <c:pt idx="26">
                  <c:v>128.86698749457224</c:v>
                </c:pt>
                <c:pt idx="27">
                  <c:v>129.22190148103206</c:v>
                </c:pt>
                <c:pt idx="28">
                  <c:v>127.72741530445641</c:v>
                </c:pt>
                <c:pt idx="29">
                  <c:v>130.54572194312365</c:v>
                </c:pt>
                <c:pt idx="30">
                  <c:v>132.6253634729604</c:v>
                </c:pt>
                <c:pt idx="31">
                  <c:v>134.67729449648988</c:v>
                </c:pt>
                <c:pt idx="32">
                  <c:v>134.98955246186821</c:v>
                </c:pt>
                <c:pt idx="33">
                  <c:v>135.06503519845791</c:v>
                </c:pt>
                <c:pt idx="34">
                  <c:v>134.26691736764209</c:v>
                </c:pt>
                <c:pt idx="35">
                  <c:v>135.54551343238285</c:v>
                </c:pt>
                <c:pt idx="36">
                  <c:v>134.90900623692372</c:v>
                </c:pt>
                <c:pt idx="37">
                  <c:v>135.15202448928707</c:v>
                </c:pt>
                <c:pt idx="38">
                  <c:v>135.82778461173351</c:v>
                </c:pt>
                <c:pt idx="39">
                  <c:v>136.50692353479215</c:v>
                </c:pt>
                <c:pt idx="40">
                  <c:v>137.18945815246613</c:v>
                </c:pt>
                <c:pt idx="41">
                  <c:v>137.87540544322846</c:v>
                </c:pt>
                <c:pt idx="42">
                  <c:v>138.56478247044458</c:v>
                </c:pt>
                <c:pt idx="43">
                  <c:v>139.25760638279675</c:v>
                </c:pt>
                <c:pt idx="44">
                  <c:v>139.95389441471073</c:v>
                </c:pt>
                <c:pt idx="45">
                  <c:v>140.65366388678427</c:v>
                </c:pt>
                <c:pt idx="46">
                  <c:v>141.35693220621818</c:v>
                </c:pt>
                <c:pt idx="47">
                  <c:v>142.06371686724924</c:v>
                </c:pt>
                <c:pt idx="48">
                  <c:v>142.77403545158546</c:v>
                </c:pt>
                <c:pt idx="49">
                  <c:v>143.48790562884338</c:v>
                </c:pt>
                <c:pt idx="50">
                  <c:v>144.20534515698759</c:v>
                </c:pt>
                <c:pt idx="51">
                  <c:v>144.92637188277251</c:v>
                </c:pt>
                <c:pt idx="52">
                  <c:v>145.65100374218636</c:v>
                </c:pt>
                <c:pt idx="53">
                  <c:v>146.37925876089727</c:v>
                </c:pt>
                <c:pt idx="54">
                  <c:v>147.11115505470175</c:v>
                </c:pt>
                <c:pt idx="55">
                  <c:v>147.84671082997525</c:v>
                </c:pt>
                <c:pt idx="56">
                  <c:v>148.5859443841251</c:v>
                </c:pt>
                <c:pt idx="57">
                  <c:v>149.3288741060457</c:v>
                </c:pt>
                <c:pt idx="58">
                  <c:v>150.07551847657592</c:v>
                </c:pt>
                <c:pt idx="59">
                  <c:v>150.82589606895883</c:v>
                </c:pt>
                <c:pt idx="60">
                  <c:v>151.58002554930357</c:v>
                </c:pt>
                <c:pt idx="61">
                  <c:v>152.33792567705004</c:v>
                </c:pt>
                <c:pt idx="62">
                  <c:v>153.09961530543526</c:v>
                </c:pt>
                <c:pt idx="63">
                  <c:v>153.86511338196243</c:v>
                </c:pt>
                <c:pt idx="64">
                  <c:v>154.63443894887223</c:v>
                </c:pt>
                <c:pt idx="65">
                  <c:v>155.40761114361658</c:v>
                </c:pt>
                <c:pt idx="66">
                  <c:v>156.18464919933464</c:v>
                </c:pt>
                <c:pt idx="67">
                  <c:v>156.9655724453313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D-4289-A1FA-CF2D4B9A8D1C}"/>
            </c:ext>
          </c:extLst>
        </c:ser>
        <c:ser>
          <c:idx val="1"/>
          <c:order val="1"/>
          <c:tx>
            <c:strRef>
              <c:f>Charts!$A$487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Charts!$B$485:$CA$485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Charts!$B$487:$CA$487</c:f>
              <c:numCache>
                <c:formatCode>0.0</c:formatCode>
                <c:ptCount val="78"/>
                <c:pt idx="0">
                  <c:v>100</c:v>
                </c:pt>
                <c:pt idx="1">
                  <c:v>108.18074851158013</c:v>
                </c:pt>
                <c:pt idx="2">
                  <c:v>113.07480995293908</c:v>
                </c:pt>
                <c:pt idx="3">
                  <c:v>100.26728526420146</c:v>
                </c:pt>
                <c:pt idx="4">
                  <c:v>92.720510943341921</c:v>
                </c:pt>
                <c:pt idx="5">
                  <c:v>93.100498501329497</c:v>
                </c:pt>
                <c:pt idx="6">
                  <c:v>98.988649180564366</c:v>
                </c:pt>
                <c:pt idx="7">
                  <c:v>103.50380793085694</c:v>
                </c:pt>
                <c:pt idx="8">
                  <c:v>103.24089373354633</c:v>
                </c:pt>
                <c:pt idx="9">
                  <c:v>102.66214890214766</c:v>
                </c:pt>
                <c:pt idx="10">
                  <c:v>102.91884172532426</c:v>
                </c:pt>
                <c:pt idx="11">
                  <c:v>99.807414166395915</c:v>
                </c:pt>
                <c:pt idx="12">
                  <c:v>97.031376782965523</c:v>
                </c:pt>
                <c:pt idx="13">
                  <c:v>96.396588304072566</c:v>
                </c:pt>
                <c:pt idx="14">
                  <c:v>98.609851374049072</c:v>
                </c:pt>
                <c:pt idx="15">
                  <c:v>104.18907117205057</c:v>
                </c:pt>
                <c:pt idx="16">
                  <c:v>108.35799667815458</c:v>
                </c:pt>
                <c:pt idx="17">
                  <c:v>111.42387045665504</c:v>
                </c:pt>
                <c:pt idx="18">
                  <c:v>115.29740130009672</c:v>
                </c:pt>
                <c:pt idx="19">
                  <c:v>117.70934552593236</c:v>
                </c:pt>
                <c:pt idx="20">
                  <c:v>120.29704928420094</c:v>
                </c:pt>
                <c:pt idx="21">
                  <c:v>121.77892342227777</c:v>
                </c:pt>
                <c:pt idx="22">
                  <c:v>123.73812443992288</c:v>
                </c:pt>
                <c:pt idx="23">
                  <c:v>124.73592818743278</c:v>
                </c:pt>
                <c:pt idx="24">
                  <c:v>126.19977071902808</c:v>
                </c:pt>
                <c:pt idx="25">
                  <c:v>127.360442853797</c:v>
                </c:pt>
                <c:pt idx="26">
                  <c:v>129.83692704662232</c:v>
                </c:pt>
                <c:pt idx="27">
                  <c:v>130.20339725392009</c:v>
                </c:pt>
                <c:pt idx="28">
                  <c:v>129.34497323762662</c:v>
                </c:pt>
                <c:pt idx="29">
                  <c:v>131.5793664572488</c:v>
                </c:pt>
                <c:pt idx="30">
                  <c:v>133.67477685770862</c:v>
                </c:pt>
                <c:pt idx="31">
                  <c:v>135.73991508679234</c:v>
                </c:pt>
                <c:pt idx="32">
                  <c:v>136.05464504583301</c:v>
                </c:pt>
                <c:pt idx="33">
                  <c:v>136.13069827036861</c:v>
                </c:pt>
                <c:pt idx="34">
                  <c:v>135.32630318329825</c:v>
                </c:pt>
                <c:pt idx="35">
                  <c:v>136.61498286995075</c:v>
                </c:pt>
                <c:pt idx="36">
                  <c:v>135.9734615822299</c:v>
                </c:pt>
                <c:pt idx="37">
                  <c:v>136.21840084319302</c:v>
                </c:pt>
                <c:pt idx="38">
                  <c:v>136.89949284740896</c:v>
                </c:pt>
                <c:pt idx="39">
                  <c:v>137.58399031164601</c:v>
                </c:pt>
                <c:pt idx="40">
                  <c:v>138.27191026320423</c:v>
                </c:pt>
                <c:pt idx="41">
                  <c:v>138.96326981452023</c:v>
                </c:pt>
                <c:pt idx="42">
                  <c:v>139.65808616359283</c:v>
                </c:pt>
                <c:pt idx="43">
                  <c:v>140.35637659441079</c:v>
                </c:pt>
                <c:pt idx="44">
                  <c:v>141.05815847738285</c:v>
                </c:pt>
                <c:pt idx="45">
                  <c:v>141.76344926976972</c:v>
                </c:pt>
                <c:pt idx="46">
                  <c:v>142.47226651611854</c:v>
                </c:pt>
                <c:pt idx="47">
                  <c:v>143.18462784869914</c:v>
                </c:pt>
                <c:pt idx="48">
                  <c:v>143.90055098794261</c:v>
                </c:pt>
                <c:pt idx="49">
                  <c:v>144.62005374288231</c:v>
                </c:pt>
                <c:pt idx="50">
                  <c:v>145.34315401159671</c:v>
                </c:pt>
                <c:pt idx="51">
                  <c:v>146.06986978165472</c:v>
                </c:pt>
                <c:pt idx="52">
                  <c:v>146.80021913056297</c:v>
                </c:pt>
                <c:pt idx="53">
                  <c:v>147.53422022621581</c:v>
                </c:pt>
                <c:pt idx="54">
                  <c:v>148.27189132734688</c:v>
                </c:pt>
                <c:pt idx="55">
                  <c:v>149.01325078398355</c:v>
                </c:pt>
                <c:pt idx="56">
                  <c:v>149.75831703790345</c:v>
                </c:pt>
                <c:pt idx="57">
                  <c:v>150.50710862309296</c:v>
                </c:pt>
                <c:pt idx="58">
                  <c:v>151.2596441662084</c:v>
                </c:pt>
                <c:pt idx="59">
                  <c:v>152.01594238703942</c:v>
                </c:pt>
                <c:pt idx="60">
                  <c:v>152.77602209897461</c:v>
                </c:pt>
                <c:pt idx="61">
                  <c:v>153.53990220946946</c:v>
                </c:pt>
                <c:pt idx="62">
                  <c:v>154.3076017205168</c:v>
                </c:pt>
                <c:pt idx="63">
                  <c:v>155.07913972911936</c:v>
                </c:pt>
                <c:pt idx="64">
                  <c:v>155.85453542776494</c:v>
                </c:pt>
                <c:pt idx="65">
                  <c:v>156.63380810490378</c:v>
                </c:pt>
                <c:pt idx="66">
                  <c:v>157.41697714542823</c:v>
                </c:pt>
                <c:pt idx="67">
                  <c:v>158.20406203115539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D-4289-A1FA-CF2D4B9A8D1C}"/>
            </c:ext>
          </c:extLst>
        </c:ser>
        <c:ser>
          <c:idx val="2"/>
          <c:order val="2"/>
          <c:tx>
            <c:strRef>
              <c:f>Charts!$A$488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Charts!$B$485:$CA$485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Charts!$B$488:$CA$488</c:f>
              <c:numCache>
                <c:formatCode>0.0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9-4751-92EC-2B996DD29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62656"/>
        <c:axId val="666764296"/>
      </c:lineChart>
      <c:catAx>
        <c:axId val="66676265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64296"/>
        <c:crosses val="autoZero"/>
        <c:auto val="1"/>
        <c:lblAlgn val="ctr"/>
        <c:lblOffset val="100"/>
        <c:tickLblSkip val="10"/>
        <c:noMultiLvlLbl val="1"/>
      </c:catAx>
      <c:valAx>
        <c:axId val="666764296"/>
        <c:scaling>
          <c:orientation val="minMax"/>
          <c:min val="6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605129667176267E-2"/>
          <c:y val="0.27310680303385992"/>
          <c:w val="0.35596458548483823"/>
          <c:h val="4.9739464495865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Statens</a:t>
            </a:r>
            <a:r>
              <a:rPr lang="nb-NO" b="1" baseline="0"/>
              <a:t> andel av kontantstrømmen</a:t>
            </a:r>
            <a:endParaRPr lang="nb-N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Charts!$A$624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Charts!$B$623:$CA$623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Charts!$B$624:$CA$624</c:f>
              <c:numCache>
                <c:formatCode>#,##0.00</c:formatCode>
                <c:ptCount val="78"/>
                <c:pt idx="0">
                  <c:v>1.0737094803916403</c:v>
                </c:pt>
                <c:pt idx="1">
                  <c:v>0.90570361601127158</c:v>
                </c:pt>
                <c:pt idx="2">
                  <c:v>0.92322990590312681</c:v>
                </c:pt>
                <c:pt idx="3">
                  <c:v>0.97096902680551178</c:v>
                </c:pt>
                <c:pt idx="4">
                  <c:v>0.90265886750679014</c:v>
                </c:pt>
                <c:pt idx="5">
                  <c:v>0.89670673310214222</c:v>
                </c:pt>
                <c:pt idx="6">
                  <c:v>0.89874439911884541</c:v>
                </c:pt>
                <c:pt idx="7">
                  <c:v>1.0054268752399733</c:v>
                </c:pt>
                <c:pt idx="8">
                  <c:v>0.86771721576752181</c:v>
                </c:pt>
                <c:pt idx="9">
                  <c:v>0.88483534758752025</c:v>
                </c:pt>
                <c:pt idx="10">
                  <c:v>0.90729890940803293</c:v>
                </c:pt>
                <c:pt idx="11">
                  <c:v>0.87678571459144394</c:v>
                </c:pt>
                <c:pt idx="12">
                  <c:v>0.87942715585600328</c:v>
                </c:pt>
                <c:pt idx="13">
                  <c:v>0.88640258383144932</c:v>
                </c:pt>
                <c:pt idx="14">
                  <c:v>0.91068913503500837</c:v>
                </c:pt>
                <c:pt idx="15">
                  <c:v>0.93187631666334525</c:v>
                </c:pt>
                <c:pt idx="16">
                  <c:v>0.92017441494322505</c:v>
                </c:pt>
                <c:pt idx="17">
                  <c:v>0.93035927242163197</c:v>
                </c:pt>
                <c:pt idx="18">
                  <c:v>0.93509742327163103</c:v>
                </c:pt>
                <c:pt idx="19">
                  <c:v>0.96254883318947226</c:v>
                </c:pt>
                <c:pt idx="20">
                  <c:v>0.93962693686860776</c:v>
                </c:pt>
                <c:pt idx="21">
                  <c:v>0.96267672925515491</c:v>
                </c:pt>
                <c:pt idx="22">
                  <c:v>0.96972592379606359</c:v>
                </c:pt>
                <c:pt idx="23">
                  <c:v>0.95860134371544015</c:v>
                </c:pt>
                <c:pt idx="24">
                  <c:v>0.98825265102227755</c:v>
                </c:pt>
                <c:pt idx="25">
                  <c:v>0.99103360842264543</c:v>
                </c:pt>
                <c:pt idx="26">
                  <c:v>1.0075972222052354</c:v>
                </c:pt>
                <c:pt idx="27">
                  <c:v>0.96769237090454518</c:v>
                </c:pt>
                <c:pt idx="28">
                  <c:v>0.98491111279660293</c:v>
                </c:pt>
                <c:pt idx="29">
                  <c:v>1.0280789526832392</c:v>
                </c:pt>
                <c:pt idx="30">
                  <c:v>1.0402552814879182</c:v>
                </c:pt>
                <c:pt idx="31">
                  <c:v>1.076141104393926</c:v>
                </c:pt>
                <c:pt idx="32">
                  <c:v>1.0546676502678907</c:v>
                </c:pt>
                <c:pt idx="33">
                  <c:v>1.0235502945000803</c:v>
                </c:pt>
                <c:pt idx="34">
                  <c:v>1.0708008497256485</c:v>
                </c:pt>
                <c:pt idx="35">
                  <c:v>1.1447624840900208</c:v>
                </c:pt>
                <c:pt idx="36">
                  <c:v>1.1222623447113622</c:v>
                </c:pt>
                <c:pt idx="37">
                  <c:v>1.1712489519898164</c:v>
                </c:pt>
                <c:pt idx="38">
                  <c:v>1.1612489519898164</c:v>
                </c:pt>
                <c:pt idx="39">
                  <c:v>1.1512489519898164</c:v>
                </c:pt>
                <c:pt idx="40">
                  <c:v>1.1412489519898164</c:v>
                </c:pt>
                <c:pt idx="41">
                  <c:v>1.1312489519898163</c:v>
                </c:pt>
                <c:pt idx="42">
                  <c:v>1.1212489519898163</c:v>
                </c:pt>
                <c:pt idx="43">
                  <c:v>1.1112489519898163</c:v>
                </c:pt>
                <c:pt idx="44">
                  <c:v>1.1012489519898163</c:v>
                </c:pt>
                <c:pt idx="45">
                  <c:v>1.0912489519898163</c:v>
                </c:pt>
                <c:pt idx="46">
                  <c:v>1.0812489519898163</c:v>
                </c:pt>
                <c:pt idx="47">
                  <c:v>1.0712489519898163</c:v>
                </c:pt>
                <c:pt idx="48">
                  <c:v>1.0612489519898163</c:v>
                </c:pt>
                <c:pt idx="49">
                  <c:v>1.0512489519898163</c:v>
                </c:pt>
                <c:pt idx="50">
                  <c:v>1.0412489519898163</c:v>
                </c:pt>
                <c:pt idx="51">
                  <c:v>1.0312489519898163</c:v>
                </c:pt>
                <c:pt idx="52">
                  <c:v>1.0212489519898162</c:v>
                </c:pt>
                <c:pt idx="53">
                  <c:v>1.0112489519898162</c:v>
                </c:pt>
                <c:pt idx="54">
                  <c:v>1.0012489519898162</c:v>
                </c:pt>
                <c:pt idx="55">
                  <c:v>0.99124895198981622</c:v>
                </c:pt>
                <c:pt idx="56">
                  <c:v>0.98124895198981621</c:v>
                </c:pt>
                <c:pt idx="57">
                  <c:v>0.9712489519898162</c:v>
                </c:pt>
                <c:pt idx="58">
                  <c:v>0.96124895198981619</c:v>
                </c:pt>
                <c:pt idx="59">
                  <c:v>0.95124895198981618</c:v>
                </c:pt>
                <c:pt idx="60">
                  <c:v>0.94124895198981617</c:v>
                </c:pt>
                <c:pt idx="61">
                  <c:v>0.93124895198981616</c:v>
                </c:pt>
                <c:pt idx="62">
                  <c:v>0.92124895198981616</c:v>
                </c:pt>
                <c:pt idx="63">
                  <c:v>0.91124895198981615</c:v>
                </c:pt>
                <c:pt idx="64">
                  <c:v>0.90124895198981614</c:v>
                </c:pt>
                <c:pt idx="65">
                  <c:v>0.89124895198981613</c:v>
                </c:pt>
                <c:pt idx="66">
                  <c:v>0.88124895198981612</c:v>
                </c:pt>
                <c:pt idx="67">
                  <c:v>0.87124895198981611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2-4D6F-B596-185F6BAB942E}"/>
            </c:ext>
          </c:extLst>
        </c:ser>
        <c:ser>
          <c:idx val="1"/>
          <c:order val="1"/>
          <c:tx>
            <c:strRef>
              <c:f>Charts!$A$625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Charts!$B$623:$CA$623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Charts!$B$625:$CA$625</c:f>
              <c:numCache>
                <c:formatCode>0.00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2-4D6F-B596-185F6BAB942E}"/>
            </c:ext>
          </c:extLst>
        </c:ser>
        <c:ser>
          <c:idx val="2"/>
          <c:order val="2"/>
          <c:tx>
            <c:strRef>
              <c:f>Charts!$A$626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Charts!$B$623:$CA$623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Charts!$B$626:$CA$626</c:f>
              <c:numCache>
                <c:formatCode>0.00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B-46C8-84BF-6DFB16F6E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936392"/>
        <c:axId val="763937704"/>
      </c:lineChart>
      <c:catAx>
        <c:axId val="763936392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37704"/>
        <c:crosses val="autoZero"/>
        <c:auto val="1"/>
        <c:lblAlgn val="ctr"/>
        <c:lblOffset val="100"/>
        <c:noMultiLvlLbl val="1"/>
      </c:catAx>
      <c:valAx>
        <c:axId val="763937704"/>
        <c:scaling>
          <c:orientation val="minMax"/>
          <c:min val="0.4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3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962777521123463"/>
          <c:y val="0.65558598466804485"/>
          <c:w val="0.11561058613398965"/>
          <c:h val="5.3032125172882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Oljeproduksjon</a:t>
            </a:r>
          </a:p>
        </c:rich>
      </c:tx>
      <c:layout>
        <c:manualLayout>
          <c:xMode val="edge"/>
          <c:yMode val="edge"/>
          <c:x val="0.43022696181381442"/>
          <c:y val="0.12583124259016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Charts!$A$176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Charts!$B$175:$CA$175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Charts!$B$176:$CA$176</c:f>
              <c:numCache>
                <c:formatCode>#,##0</c:formatCode>
                <c:ptCount val="78"/>
                <c:pt idx="0">
                  <c:v>104.14</c:v>
                </c:pt>
                <c:pt idx="1">
                  <c:v>102.88638281259</c:v>
                </c:pt>
                <c:pt idx="2">
                  <c:v>105.18980898457799</c:v>
                </c:pt>
                <c:pt idx="3">
                  <c:v>101.045761449213</c:v>
                </c:pt>
                <c:pt idx="4">
                  <c:v>96.575066729448693</c:v>
                </c:pt>
                <c:pt idx="5">
                  <c:v>87.047892082627996</c:v>
                </c:pt>
                <c:pt idx="6">
                  <c:v>78.845847543704807</c:v>
                </c:pt>
                <c:pt idx="7">
                  <c:v>73.793908506930094</c:v>
                </c:pt>
                <c:pt idx="8">
                  <c:v>71.649846538435597</c:v>
                </c:pt>
                <c:pt idx="9">
                  <c:v>70.715986239141799</c:v>
                </c:pt>
                <c:pt idx="10">
                  <c:v>69.386447109542203</c:v>
                </c:pt>
                <c:pt idx="11">
                  <c:v>69.474901314808406</c:v>
                </c:pt>
                <c:pt idx="12">
                  <c:v>69.035837323349497</c:v>
                </c:pt>
                <c:pt idx="13">
                  <c:v>67.882734389063302</c:v>
                </c:pt>
                <c:pt idx="14">
                  <c:v>66.422217238456199</c:v>
                </c:pt>
                <c:pt idx="15">
                  <c:v>63.920650066007603</c:v>
                </c:pt>
                <c:pt idx="16">
                  <c:v>61.744994652282898</c:v>
                </c:pt>
                <c:pt idx="17">
                  <c:v>59.765761492930402</c:v>
                </c:pt>
                <c:pt idx="18">
                  <c:v>58.160948087532198</c:v>
                </c:pt>
                <c:pt idx="19">
                  <c:v>56.304564567923002</c:v>
                </c:pt>
                <c:pt idx="20">
                  <c:v>54.5807199205301</c:v>
                </c:pt>
                <c:pt idx="21">
                  <c:v>53.233861304295701</c:v>
                </c:pt>
                <c:pt idx="22">
                  <c:v>51.418462866102303</c:v>
                </c:pt>
                <c:pt idx="23">
                  <c:v>49.851933117199302</c:v>
                </c:pt>
                <c:pt idx="24">
                  <c:v>48.074596180958899</c:v>
                </c:pt>
                <c:pt idx="25">
                  <c:v>46.7917568132398</c:v>
                </c:pt>
                <c:pt idx="26">
                  <c:v>45.026558890705999</c:v>
                </c:pt>
                <c:pt idx="27">
                  <c:v>43.367769223710603</c:v>
                </c:pt>
                <c:pt idx="28">
                  <c:v>42.037652389517497</c:v>
                </c:pt>
                <c:pt idx="29">
                  <c:v>40.516113098128699</c:v>
                </c:pt>
                <c:pt idx="30">
                  <c:v>39.141344857402203</c:v>
                </c:pt>
                <c:pt idx="31">
                  <c:v>37.644952559843603</c:v>
                </c:pt>
                <c:pt idx="32">
                  <c:v>36.054581090807901</c:v>
                </c:pt>
                <c:pt idx="33">
                  <c:v>34.609852540656</c:v>
                </c:pt>
                <c:pt idx="34">
                  <c:v>33.132615728303797</c:v>
                </c:pt>
                <c:pt idx="35">
                  <c:v>31.356614947318999</c:v>
                </c:pt>
                <c:pt idx="36">
                  <c:v>29.729547090828401</c:v>
                </c:pt>
                <c:pt idx="37">
                  <c:v>28.071746988221999</c:v>
                </c:pt>
                <c:pt idx="38">
                  <c:v>28.071746988221999</c:v>
                </c:pt>
                <c:pt idx="39">
                  <c:v>28.071746988221999</c:v>
                </c:pt>
                <c:pt idx="40">
                  <c:v>28.071746988221999</c:v>
                </c:pt>
                <c:pt idx="41">
                  <c:v>28.071746988221999</c:v>
                </c:pt>
                <c:pt idx="42">
                  <c:v>28.071746988221999</c:v>
                </c:pt>
                <c:pt idx="43">
                  <c:v>28.071746988221999</c:v>
                </c:pt>
                <c:pt idx="44">
                  <c:v>28.071746988221999</c:v>
                </c:pt>
                <c:pt idx="45">
                  <c:v>28.071746988221999</c:v>
                </c:pt>
                <c:pt idx="46">
                  <c:v>28.071746988221999</c:v>
                </c:pt>
                <c:pt idx="47">
                  <c:v>28.071746988221999</c:v>
                </c:pt>
                <c:pt idx="48">
                  <c:v>28.071746988221999</c:v>
                </c:pt>
                <c:pt idx="49">
                  <c:v>28.071746988221999</c:v>
                </c:pt>
                <c:pt idx="50">
                  <c:v>28.071746988221999</c:v>
                </c:pt>
                <c:pt idx="51">
                  <c:v>28.071746988221999</c:v>
                </c:pt>
                <c:pt idx="52">
                  <c:v>28.071746988221999</c:v>
                </c:pt>
                <c:pt idx="53">
                  <c:v>28.071746988221999</c:v>
                </c:pt>
                <c:pt idx="54">
                  <c:v>28.071746988221999</c:v>
                </c:pt>
                <c:pt idx="55">
                  <c:v>28.071746988221999</c:v>
                </c:pt>
                <c:pt idx="56">
                  <c:v>28.071746988221999</c:v>
                </c:pt>
                <c:pt idx="57">
                  <c:v>28.071746988221999</c:v>
                </c:pt>
                <c:pt idx="58">
                  <c:v>28.071746988221999</c:v>
                </c:pt>
                <c:pt idx="59">
                  <c:v>28.071746988221999</c:v>
                </c:pt>
                <c:pt idx="60">
                  <c:v>28.071746988221999</c:v>
                </c:pt>
                <c:pt idx="61">
                  <c:v>28.071746988221999</c:v>
                </c:pt>
                <c:pt idx="62">
                  <c:v>28.071746988221999</c:v>
                </c:pt>
                <c:pt idx="63">
                  <c:v>28.071746988221999</c:v>
                </c:pt>
                <c:pt idx="64">
                  <c:v>28.071746988221999</c:v>
                </c:pt>
                <c:pt idx="65">
                  <c:v>28.071746988221999</c:v>
                </c:pt>
                <c:pt idx="66">
                  <c:v>28.071746988221999</c:v>
                </c:pt>
                <c:pt idx="67">
                  <c:v>28.071746988221999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0-424A-99C2-5DE90A58B74A}"/>
            </c:ext>
          </c:extLst>
        </c:ser>
        <c:ser>
          <c:idx val="1"/>
          <c:order val="1"/>
          <c:tx>
            <c:strRef>
              <c:f>Charts!$A$177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Charts!$B$175:$CA$175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Charts!$B$177:$CA$177</c:f>
              <c:numCache>
                <c:formatCode>#,##0</c:formatCode>
                <c:ptCount val="78"/>
                <c:pt idx="0">
                  <c:v>104.14</c:v>
                </c:pt>
                <c:pt idx="1">
                  <c:v>102.886382930868</c:v>
                </c:pt>
                <c:pt idx="2">
                  <c:v>102.119979799783</c:v>
                </c:pt>
                <c:pt idx="3">
                  <c:v>101.04576250719499</c:v>
                </c:pt>
                <c:pt idx="4">
                  <c:v>96.575063809752393</c:v>
                </c:pt>
                <c:pt idx="5">
                  <c:v>88.011194419261201</c:v>
                </c:pt>
                <c:pt idx="6">
                  <c:v>81.293874832245905</c:v>
                </c:pt>
                <c:pt idx="7">
                  <c:v>74.535615496075394</c:v>
                </c:pt>
                <c:pt idx="8">
                  <c:v>71.590373408514907</c:v>
                </c:pt>
                <c:pt idx="9">
                  <c:v>70.337783298571594</c:v>
                </c:pt>
                <c:pt idx="10">
                  <c:v>69.335953802828996</c:v>
                </c:pt>
                <c:pt idx="11">
                  <c:v>69.5221439809374</c:v>
                </c:pt>
                <c:pt idx="12">
                  <c:v>69.113464707627998</c:v>
                </c:pt>
                <c:pt idx="13">
                  <c:v>67.986584863178805</c:v>
                </c:pt>
                <c:pt idx="14">
                  <c:v>66.541979334777494</c:v>
                </c:pt>
                <c:pt idx="15">
                  <c:v>64.040919156119401</c:v>
                </c:pt>
                <c:pt idx="16">
                  <c:v>61.8637235390052</c:v>
                </c:pt>
                <c:pt idx="17">
                  <c:v>59.860187790862298</c:v>
                </c:pt>
                <c:pt idx="18">
                  <c:v>58.254401074840601</c:v>
                </c:pt>
                <c:pt idx="19">
                  <c:v>56.377546953677601</c:v>
                </c:pt>
                <c:pt idx="20">
                  <c:v>54.637705586923403</c:v>
                </c:pt>
                <c:pt idx="21">
                  <c:v>53.278433775703903</c:v>
                </c:pt>
                <c:pt idx="22">
                  <c:v>51.4532991281012</c:v>
                </c:pt>
                <c:pt idx="23">
                  <c:v>49.8791775868158</c:v>
                </c:pt>
                <c:pt idx="24">
                  <c:v>48.095978866185803</c:v>
                </c:pt>
                <c:pt idx="25">
                  <c:v>46.808532732946297</c:v>
                </c:pt>
                <c:pt idx="26">
                  <c:v>45.039013118250303</c:v>
                </c:pt>
                <c:pt idx="27">
                  <c:v>43.377473696207801</c:v>
                </c:pt>
                <c:pt idx="28">
                  <c:v>42.037653820029</c:v>
                </c:pt>
                <c:pt idx="29">
                  <c:v>40.516116745187901</c:v>
                </c:pt>
                <c:pt idx="30">
                  <c:v>39.141343493945897</c:v>
                </c:pt>
                <c:pt idx="31">
                  <c:v>37.644950830377603</c:v>
                </c:pt>
                <c:pt idx="32">
                  <c:v>36.054576914757497</c:v>
                </c:pt>
                <c:pt idx="33">
                  <c:v>34.609854448004597</c:v>
                </c:pt>
                <c:pt idx="34">
                  <c:v>33.132615847513101</c:v>
                </c:pt>
                <c:pt idx="35">
                  <c:v>31.3566107749939</c:v>
                </c:pt>
                <c:pt idx="36">
                  <c:v>29.7295466139913</c:v>
                </c:pt>
                <c:pt idx="37">
                  <c:v>28.071743650361899</c:v>
                </c:pt>
                <c:pt idx="38">
                  <c:v>28.071743650361899</c:v>
                </c:pt>
                <c:pt idx="39">
                  <c:v>28.071743650361899</c:v>
                </c:pt>
                <c:pt idx="40">
                  <c:v>28.071743650361899</c:v>
                </c:pt>
                <c:pt idx="41">
                  <c:v>28.071743650361899</c:v>
                </c:pt>
                <c:pt idx="42">
                  <c:v>28.071743650361899</c:v>
                </c:pt>
                <c:pt idx="43">
                  <c:v>28.071743650361899</c:v>
                </c:pt>
                <c:pt idx="44">
                  <c:v>28.071743650361899</c:v>
                </c:pt>
                <c:pt idx="45">
                  <c:v>28.071743650361899</c:v>
                </c:pt>
                <c:pt idx="46">
                  <c:v>28.071743650361899</c:v>
                </c:pt>
                <c:pt idx="47">
                  <c:v>28.071743650361899</c:v>
                </c:pt>
                <c:pt idx="48">
                  <c:v>28.071743650361899</c:v>
                </c:pt>
                <c:pt idx="49">
                  <c:v>28.071743650361899</c:v>
                </c:pt>
                <c:pt idx="50">
                  <c:v>28.071743650361899</c:v>
                </c:pt>
                <c:pt idx="51">
                  <c:v>28.071743650361899</c:v>
                </c:pt>
                <c:pt idx="52">
                  <c:v>28.071743650361899</c:v>
                </c:pt>
                <c:pt idx="53">
                  <c:v>28.071743650361899</c:v>
                </c:pt>
                <c:pt idx="54">
                  <c:v>28.071743650361899</c:v>
                </c:pt>
                <c:pt idx="55">
                  <c:v>28.071743650361899</c:v>
                </c:pt>
                <c:pt idx="56">
                  <c:v>28.071743650361899</c:v>
                </c:pt>
                <c:pt idx="57">
                  <c:v>28.071743650361899</c:v>
                </c:pt>
                <c:pt idx="58">
                  <c:v>28.071743650361899</c:v>
                </c:pt>
                <c:pt idx="59">
                  <c:v>28.071743650361899</c:v>
                </c:pt>
                <c:pt idx="60">
                  <c:v>28.071743650361899</c:v>
                </c:pt>
                <c:pt idx="61">
                  <c:v>28.071743650361899</c:v>
                </c:pt>
                <c:pt idx="62">
                  <c:v>28.071743650361899</c:v>
                </c:pt>
                <c:pt idx="63">
                  <c:v>28.071743650361899</c:v>
                </c:pt>
                <c:pt idx="64">
                  <c:v>28.071743650361899</c:v>
                </c:pt>
                <c:pt idx="65">
                  <c:v>28.071743650361899</c:v>
                </c:pt>
                <c:pt idx="66">
                  <c:v>28.071743650361899</c:v>
                </c:pt>
                <c:pt idx="67">
                  <c:v>28.071743650361899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0-424A-99C2-5DE90A58B74A}"/>
            </c:ext>
          </c:extLst>
        </c:ser>
        <c:ser>
          <c:idx val="2"/>
          <c:order val="2"/>
          <c:tx>
            <c:strRef>
              <c:f>Charts!$A$178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Charts!$B$175:$CA$175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Charts!$B$178:$CA$178</c:f>
              <c:numCache>
                <c:formatCode>#,##0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B-4160-9CEA-06B5EEC3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747720"/>
        <c:axId val="949749360"/>
      </c:lineChart>
      <c:catAx>
        <c:axId val="94974772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49360"/>
        <c:crosses val="autoZero"/>
        <c:auto val="1"/>
        <c:lblAlgn val="ctr"/>
        <c:lblOffset val="100"/>
        <c:tickLblSkip val="10"/>
        <c:noMultiLvlLbl val="0"/>
      </c:catAx>
      <c:valAx>
        <c:axId val="9497493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4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54996758934372014"/>
          <c:y val="0.30965054522640212"/>
          <c:w val="0.28695550733428138"/>
          <c:h val="6.1695736562675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 produksjon</a:t>
            </a:r>
          </a:p>
        </c:rich>
      </c:tx>
      <c:layout>
        <c:manualLayout>
          <c:xMode val="edge"/>
          <c:yMode val="edge"/>
          <c:x val="0.40206561506761457"/>
          <c:y val="7.506702412868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Charts!$A$260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Charts!$B$259:$CA$259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Charts!$B$260:$CA$260</c:f>
              <c:numCache>
                <c:formatCode>#,##0</c:formatCode>
                <c:ptCount val="78"/>
                <c:pt idx="0">
                  <c:v>233.15</c:v>
                </c:pt>
                <c:pt idx="1">
                  <c:v>241.21594043253518</c:v>
                </c:pt>
                <c:pt idx="2">
                  <c:v>238.16830110926762</c:v>
                </c:pt>
                <c:pt idx="3">
                  <c:v>236.41447723234148</c:v>
                </c:pt>
                <c:pt idx="4">
                  <c:v>232.08664448923989</c:v>
                </c:pt>
                <c:pt idx="5">
                  <c:v>218.59570077720218</c:v>
                </c:pt>
                <c:pt idx="6">
                  <c:v>204.6059458103143</c:v>
                </c:pt>
                <c:pt idx="7">
                  <c:v>193.19365242068238</c:v>
                </c:pt>
                <c:pt idx="8">
                  <c:v>184.77994896594291</c:v>
                </c:pt>
                <c:pt idx="9">
                  <c:v>176.30876350221612</c:v>
                </c:pt>
                <c:pt idx="10">
                  <c:v>169.4251810943926</c:v>
                </c:pt>
                <c:pt idx="11">
                  <c:v>165.75468141269565</c:v>
                </c:pt>
                <c:pt idx="12">
                  <c:v>161.7762638432495</c:v>
                </c:pt>
                <c:pt idx="13">
                  <c:v>157.66172991607431</c:v>
                </c:pt>
                <c:pt idx="14">
                  <c:v>151.81280442972241</c:v>
                </c:pt>
                <c:pt idx="15">
                  <c:v>143.32598267418305</c:v>
                </c:pt>
                <c:pt idx="16">
                  <c:v>135.17011303045234</c:v>
                </c:pt>
                <c:pt idx="17">
                  <c:v>128.87716393736778</c:v>
                </c:pt>
                <c:pt idx="18">
                  <c:v>123.30066131627613</c:v>
                </c:pt>
                <c:pt idx="19">
                  <c:v>118.4257562608541</c:v>
                </c:pt>
                <c:pt idx="20">
                  <c:v>113.60222458101305</c:v>
                </c:pt>
                <c:pt idx="21">
                  <c:v>108.76792428614533</c:v>
                </c:pt>
                <c:pt idx="22">
                  <c:v>104.17507405643636</c:v>
                </c:pt>
                <c:pt idx="23">
                  <c:v>100.24064588468177</c:v>
                </c:pt>
                <c:pt idx="24">
                  <c:v>96.438412448617342</c:v>
                </c:pt>
                <c:pt idx="25">
                  <c:v>92.968473816209411</c:v>
                </c:pt>
                <c:pt idx="26">
                  <c:v>89.467297762524652</c:v>
                </c:pt>
                <c:pt idx="27">
                  <c:v>85.971856646497599</c:v>
                </c:pt>
                <c:pt idx="28">
                  <c:v>82.937361615878842</c:v>
                </c:pt>
                <c:pt idx="29">
                  <c:v>79.420192644886129</c:v>
                </c:pt>
                <c:pt idx="30">
                  <c:v>76.469996437669721</c:v>
                </c:pt>
                <c:pt idx="31">
                  <c:v>73.762390322641693</c:v>
                </c:pt>
                <c:pt idx="32">
                  <c:v>71.472395833386827</c:v>
                </c:pt>
                <c:pt idx="33">
                  <c:v>69.165990025125168</c:v>
                </c:pt>
                <c:pt idx="34">
                  <c:v>67.101182841521222</c:v>
                </c:pt>
                <c:pt idx="35">
                  <c:v>64.895406083334819</c:v>
                </c:pt>
                <c:pt idx="36">
                  <c:v>62.792664368713304</c:v>
                </c:pt>
                <c:pt idx="37">
                  <c:v>60.721105953300167</c:v>
                </c:pt>
                <c:pt idx="38">
                  <c:v>60.721105953300167</c:v>
                </c:pt>
                <c:pt idx="39">
                  <c:v>60.721105953300167</c:v>
                </c:pt>
                <c:pt idx="40">
                  <c:v>60.721105953300167</c:v>
                </c:pt>
                <c:pt idx="41">
                  <c:v>60.721105953300167</c:v>
                </c:pt>
                <c:pt idx="42">
                  <c:v>60.721105953300167</c:v>
                </c:pt>
                <c:pt idx="43">
                  <c:v>60.721105953300167</c:v>
                </c:pt>
                <c:pt idx="44">
                  <c:v>60.721105953300167</c:v>
                </c:pt>
                <c:pt idx="45">
                  <c:v>60.721105953300167</c:v>
                </c:pt>
                <c:pt idx="46">
                  <c:v>60.721105953300167</c:v>
                </c:pt>
                <c:pt idx="47">
                  <c:v>60.721105953300167</c:v>
                </c:pt>
                <c:pt idx="48">
                  <c:v>60.721105953300167</c:v>
                </c:pt>
                <c:pt idx="49">
                  <c:v>60.721105953300167</c:v>
                </c:pt>
                <c:pt idx="50">
                  <c:v>60.721105953300167</c:v>
                </c:pt>
                <c:pt idx="51">
                  <c:v>60.721105953300167</c:v>
                </c:pt>
                <c:pt idx="52">
                  <c:v>60.721105953300167</c:v>
                </c:pt>
                <c:pt idx="53">
                  <c:v>60.721105953300167</c:v>
                </c:pt>
                <c:pt idx="54">
                  <c:v>60.721105953300167</c:v>
                </c:pt>
                <c:pt idx="55">
                  <c:v>60.721105953300167</c:v>
                </c:pt>
                <c:pt idx="56">
                  <c:v>60.721105953300167</c:v>
                </c:pt>
                <c:pt idx="57">
                  <c:v>60.721105953300167</c:v>
                </c:pt>
                <c:pt idx="58">
                  <c:v>60.721105953300167</c:v>
                </c:pt>
                <c:pt idx="59">
                  <c:v>60.721105953300167</c:v>
                </c:pt>
                <c:pt idx="60">
                  <c:v>60.721105953300167</c:v>
                </c:pt>
                <c:pt idx="61">
                  <c:v>60.721105953300167</c:v>
                </c:pt>
                <c:pt idx="62">
                  <c:v>60.721105953300167</c:v>
                </c:pt>
                <c:pt idx="63">
                  <c:v>60.721105953300167</c:v>
                </c:pt>
                <c:pt idx="64">
                  <c:v>60.721105953300167</c:v>
                </c:pt>
                <c:pt idx="65">
                  <c:v>60.721105953300167</c:v>
                </c:pt>
                <c:pt idx="66">
                  <c:v>60.721105953300167</c:v>
                </c:pt>
                <c:pt idx="67">
                  <c:v>60.721105953300167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A-4400-8F51-2F99193D4CB6}"/>
            </c:ext>
          </c:extLst>
        </c:ser>
        <c:ser>
          <c:idx val="1"/>
          <c:order val="1"/>
          <c:tx>
            <c:strRef>
              <c:f>Charts!$A$261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Charts!$B$259:$CA$259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Charts!$B$261:$CA$261</c:f>
              <c:numCache>
                <c:formatCode>#,##0</c:formatCode>
                <c:ptCount val="78"/>
                <c:pt idx="0">
                  <c:v>233.15</c:v>
                </c:pt>
                <c:pt idx="1">
                  <c:v>241.2159405522095</c:v>
                </c:pt>
                <c:pt idx="2">
                  <c:v>235.0984718890814</c:v>
                </c:pt>
                <c:pt idx="3">
                  <c:v>236.41447839818227</c:v>
                </c:pt>
                <c:pt idx="4">
                  <c:v>232.08664149080278</c:v>
                </c:pt>
                <c:pt idx="5">
                  <c:v>219.56742168185301</c:v>
                </c:pt>
                <c:pt idx="6">
                  <c:v>207.2713039089742</c:v>
                </c:pt>
                <c:pt idx="7">
                  <c:v>194.16249625631448</c:v>
                </c:pt>
                <c:pt idx="8">
                  <c:v>184.724249131401</c:v>
                </c:pt>
                <c:pt idx="9">
                  <c:v>176.03771014633048</c:v>
                </c:pt>
                <c:pt idx="10">
                  <c:v>169.809496514393</c:v>
                </c:pt>
                <c:pt idx="11">
                  <c:v>166.3154961062512</c:v>
                </c:pt>
                <c:pt idx="12">
                  <c:v>162.32208559691838</c:v>
                </c:pt>
                <c:pt idx="13">
                  <c:v>158.19373891342639</c:v>
                </c:pt>
                <c:pt idx="14">
                  <c:v>152.28293965578615</c:v>
                </c:pt>
                <c:pt idx="15">
                  <c:v>143.85730985893835</c:v>
                </c:pt>
                <c:pt idx="16">
                  <c:v>135.6832885455174</c:v>
                </c:pt>
                <c:pt idx="17">
                  <c:v>129.30531168732492</c:v>
                </c:pt>
                <c:pt idx="18">
                  <c:v>123.62344988617045</c:v>
                </c:pt>
                <c:pt idx="19">
                  <c:v>118.69144557516798</c:v>
                </c:pt>
                <c:pt idx="20">
                  <c:v>113.81862088698504</c:v>
                </c:pt>
                <c:pt idx="21">
                  <c:v>108.93702710470498</c:v>
                </c:pt>
                <c:pt idx="22">
                  <c:v>104.31182441274518</c:v>
                </c:pt>
                <c:pt idx="23">
                  <c:v>100.35640150654945</c:v>
                </c:pt>
                <c:pt idx="24">
                  <c:v>96.522386281220463</c:v>
                </c:pt>
                <c:pt idx="25">
                  <c:v>93.032913256166268</c:v>
                </c:pt>
                <c:pt idx="26">
                  <c:v>89.499570093475526</c:v>
                </c:pt>
                <c:pt idx="27">
                  <c:v>85.996999397433285</c:v>
                </c:pt>
                <c:pt idx="28">
                  <c:v>82.934551440348244</c:v>
                </c:pt>
                <c:pt idx="29">
                  <c:v>79.418004474091703</c:v>
                </c:pt>
                <c:pt idx="30">
                  <c:v>76.4682885326975</c:v>
                </c:pt>
                <c:pt idx="31">
                  <c:v>73.76238880551719</c:v>
                </c:pt>
                <c:pt idx="32">
                  <c:v>71.472390034972506</c:v>
                </c:pt>
                <c:pt idx="33">
                  <c:v>69.165997159056076</c:v>
                </c:pt>
                <c:pt idx="34">
                  <c:v>67.101179898541901</c:v>
                </c:pt>
                <c:pt idx="35">
                  <c:v>64.895405464936644</c:v>
                </c:pt>
                <c:pt idx="36">
                  <c:v>62.792660066003094</c:v>
                </c:pt>
                <c:pt idx="37">
                  <c:v>60.721100208902484</c:v>
                </c:pt>
                <c:pt idx="38">
                  <c:v>60.721100208902484</c:v>
                </c:pt>
                <c:pt idx="39">
                  <c:v>60.721100208902484</c:v>
                </c:pt>
                <c:pt idx="40">
                  <c:v>60.721100208902484</c:v>
                </c:pt>
                <c:pt idx="41">
                  <c:v>60.721100208902484</c:v>
                </c:pt>
                <c:pt idx="42">
                  <c:v>60.721100208902484</c:v>
                </c:pt>
                <c:pt idx="43">
                  <c:v>60.721100208902484</c:v>
                </c:pt>
                <c:pt idx="44">
                  <c:v>60.721100208902484</c:v>
                </c:pt>
                <c:pt idx="45">
                  <c:v>60.721100208902484</c:v>
                </c:pt>
                <c:pt idx="46">
                  <c:v>60.721100208902484</c:v>
                </c:pt>
                <c:pt idx="47">
                  <c:v>60.721100208902484</c:v>
                </c:pt>
                <c:pt idx="48">
                  <c:v>60.721100208902484</c:v>
                </c:pt>
                <c:pt idx="49">
                  <c:v>60.721100208902484</c:v>
                </c:pt>
                <c:pt idx="50">
                  <c:v>60.721100208902484</c:v>
                </c:pt>
                <c:pt idx="51">
                  <c:v>60.721100208902484</c:v>
                </c:pt>
                <c:pt idx="52">
                  <c:v>60.721100208902484</c:v>
                </c:pt>
                <c:pt idx="53">
                  <c:v>60.721100208902484</c:v>
                </c:pt>
                <c:pt idx="54">
                  <c:v>60.721100208902484</c:v>
                </c:pt>
                <c:pt idx="55">
                  <c:v>60.721100208902484</c:v>
                </c:pt>
                <c:pt idx="56">
                  <c:v>60.721100208902484</c:v>
                </c:pt>
                <c:pt idx="57">
                  <c:v>60.721100208902484</c:v>
                </c:pt>
                <c:pt idx="58">
                  <c:v>60.721100208902484</c:v>
                </c:pt>
                <c:pt idx="59">
                  <c:v>60.721100208902484</c:v>
                </c:pt>
                <c:pt idx="60">
                  <c:v>60.721100208902484</c:v>
                </c:pt>
                <c:pt idx="61">
                  <c:v>60.721100208902484</c:v>
                </c:pt>
                <c:pt idx="62">
                  <c:v>60.721100208902484</c:v>
                </c:pt>
                <c:pt idx="63">
                  <c:v>60.721100208902484</c:v>
                </c:pt>
                <c:pt idx="64">
                  <c:v>60.721100208902484</c:v>
                </c:pt>
                <c:pt idx="65">
                  <c:v>60.721100208902484</c:v>
                </c:pt>
                <c:pt idx="66">
                  <c:v>60.721100208902484</c:v>
                </c:pt>
                <c:pt idx="67">
                  <c:v>60.721100208902484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2A-4400-8F51-2F99193D4CB6}"/>
            </c:ext>
          </c:extLst>
        </c:ser>
        <c:ser>
          <c:idx val="2"/>
          <c:order val="2"/>
          <c:tx>
            <c:strRef>
              <c:f>Charts!$A$262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Charts!$B$259:$CA$259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Charts!$B$262:$CA$262</c:f>
              <c:numCache>
                <c:formatCode>#,##0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F-4C46-B48A-73D43337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701832"/>
        <c:axId val="858702160"/>
      </c:lineChart>
      <c:catAx>
        <c:axId val="858701832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02160"/>
        <c:crosses val="autoZero"/>
        <c:auto val="1"/>
        <c:lblAlgn val="ctr"/>
        <c:lblOffset val="100"/>
        <c:tickLblSkip val="10"/>
        <c:noMultiLvlLbl val="0"/>
      </c:catAx>
      <c:valAx>
        <c:axId val="8587021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0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572519327979026"/>
          <c:y val="0.2198663998967342"/>
          <c:w val="0.30909795530906142"/>
          <c:h val="5.60206101286519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Utbytte</a:t>
            </a:r>
            <a:r>
              <a:rPr lang="en-US" b="1" baseline="0"/>
              <a:t> fra Equinor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Charts!$A$584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Charts!$B$583:$CA$583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Charts!$B$584:$CA$584</c:f>
              <c:numCache>
                <c:formatCode>#,##0</c:formatCode>
                <c:ptCount val="78"/>
                <c:pt idx="0">
                  <c:v>78309</c:v>
                </c:pt>
                <c:pt idx="1">
                  <c:v>62578</c:v>
                </c:pt>
                <c:pt idx="2">
                  <c:v>37768.1</c:v>
                </c:pt>
                <c:pt idx="3">
                  <c:v>25804.6</c:v>
                </c:pt>
                <c:pt idx="4">
                  <c:v>13754.373600000003</c:v>
                </c:pt>
                <c:pt idx="5">
                  <c:v>13831.600912755104</c:v>
                </c:pt>
                <c:pt idx="6">
                  <c:v>13895.068347959188</c:v>
                </c:pt>
                <c:pt idx="7">
                  <c:v>13904.184266836739</c:v>
                </c:pt>
                <c:pt idx="8">
                  <c:v>14565.091117058424</c:v>
                </c:pt>
                <c:pt idx="9">
                  <c:v>15246.872567582244</c:v>
                </c:pt>
                <c:pt idx="10">
                  <c:v>15950.099239680194</c:v>
                </c:pt>
                <c:pt idx="11">
                  <c:v>16675.356229635025</c:v>
                </c:pt>
                <c:pt idx="12">
                  <c:v>17423.276285741453</c:v>
                </c:pt>
                <c:pt idx="13">
                  <c:v>17771.741811456279</c:v>
                </c:pt>
                <c:pt idx="14">
                  <c:v>18127.176647685406</c:v>
                </c:pt>
                <c:pt idx="15">
                  <c:v>18489.720180639113</c:v>
                </c:pt>
                <c:pt idx="16">
                  <c:v>18859.514584251898</c:v>
                </c:pt>
                <c:pt idx="17">
                  <c:v>19236.704875936935</c:v>
                </c:pt>
                <c:pt idx="18">
                  <c:v>19621.438973455675</c:v>
                </c:pt>
                <c:pt idx="19">
                  <c:v>20013.867752924791</c:v>
                </c:pt>
                <c:pt idx="20">
                  <c:v>20414.145107983288</c:v>
                </c:pt>
                <c:pt idx="21">
                  <c:v>20822.42801014295</c:v>
                </c:pt>
                <c:pt idx="22">
                  <c:v>21238.876570345808</c:v>
                </c:pt>
                <c:pt idx="23">
                  <c:v>21663.654101752727</c:v>
                </c:pt>
                <c:pt idx="24">
                  <c:v>22096.927183787782</c:v>
                </c:pt>
                <c:pt idx="25">
                  <c:v>22538.865727463537</c:v>
                </c:pt>
                <c:pt idx="26">
                  <c:v>22989.643042012813</c:v>
                </c:pt>
                <c:pt idx="27">
                  <c:v>23449.435902853067</c:v>
                </c:pt>
                <c:pt idx="28">
                  <c:v>23918.424620910126</c:v>
                </c:pt>
                <c:pt idx="29">
                  <c:v>24396.793113328327</c:v>
                </c:pt>
                <c:pt idx="30">
                  <c:v>24884.728975594895</c:v>
                </c:pt>
                <c:pt idx="31">
                  <c:v>25382.423555106798</c:v>
                </c:pt>
                <c:pt idx="32">
                  <c:v>25890.072026208934</c:v>
                </c:pt>
                <c:pt idx="33">
                  <c:v>26407.873466733115</c:v>
                </c:pt>
                <c:pt idx="34">
                  <c:v>26936.030936067778</c:v>
                </c:pt>
                <c:pt idx="35">
                  <c:v>27474.751554789134</c:v>
                </c:pt>
                <c:pt idx="36">
                  <c:v>28024.246585884917</c:v>
                </c:pt>
                <c:pt idx="37">
                  <c:v>28584.73151760261</c:v>
                </c:pt>
                <c:pt idx="38">
                  <c:v>27942.616767469561</c:v>
                </c:pt>
                <c:pt idx="39">
                  <c:v>27268.131610755492</c:v>
                </c:pt>
                <c:pt idx="40">
                  <c:v>26560.477195338557</c:v>
                </c:pt>
                <c:pt idx="41">
                  <c:v>25818.846942416105</c:v>
                </c:pt>
                <c:pt idx="42">
                  <c:v>25042.427066952681</c:v>
                </c:pt>
                <c:pt idx="43">
                  <c:v>24230.397144398554</c:v>
                </c:pt>
                <c:pt idx="44">
                  <c:v>23381.930726278752</c:v>
                </c:pt>
                <c:pt idx="45">
                  <c:v>22496.196007379131</c:v>
                </c:pt>
                <c:pt idx="46">
                  <c:v>21572.356547386404</c:v>
                </c:pt>
                <c:pt idx="47">
                  <c:v>20609.572049977396</c:v>
                </c:pt>
                <c:pt idx="48">
                  <c:v>19606.999202495259</c:v>
                </c:pt>
                <c:pt idx="49">
                  <c:v>18563.792579501041</c:v>
                </c:pt>
                <c:pt idx="50">
                  <c:v>17479.105613645068</c:v>
                </c:pt>
                <c:pt idx="51">
                  <c:v>16352.091637466678</c:v>
                </c:pt>
                <c:pt idx="52">
                  <c:v>15181.904999900406</c:v>
                </c:pt>
                <c:pt idx="53">
                  <c:v>13967.702261447659</c:v>
                </c:pt>
                <c:pt idx="54">
                  <c:v>12708.643472155587</c:v>
                </c:pt>
                <c:pt idx="55">
                  <c:v>11403.893536743664</c:v>
                </c:pt>
                <c:pt idx="56">
                  <c:v>10052.623671418009</c:v>
                </c:pt>
                <c:pt idx="57">
                  <c:v>8654.0129571275211</c:v>
                </c:pt>
                <c:pt idx="58">
                  <c:v>7207.2499942383056</c:v>
                </c:pt>
                <c:pt idx="59">
                  <c:v>5711.5346638308411</c:v>
                </c:pt>
                <c:pt idx="60">
                  <c:v>4166.0800010702815</c:v>
                </c:pt>
                <c:pt idx="61">
                  <c:v>2570.114186348213</c:v>
                </c:pt>
                <c:pt idx="62">
                  <c:v>922.88266016035311</c:v>
                </c:pt>
                <c:pt idx="63">
                  <c:v>-776.34963204195594</c:v>
                </c:pt>
                <c:pt idx="64">
                  <c:v>-2528.29585850282</c:v>
                </c:pt>
                <c:pt idx="65">
                  <c:v>-4333.6447764899413</c:v>
                </c:pt>
                <c:pt idx="66">
                  <c:v>-6193.0580571650598</c:v>
                </c:pt>
                <c:pt idx="67">
                  <c:v>-8107.1674525338049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5-4CA2-A77F-2B5B2E14A0E6}"/>
            </c:ext>
          </c:extLst>
        </c:ser>
        <c:ser>
          <c:idx val="1"/>
          <c:order val="1"/>
          <c:tx>
            <c:strRef>
              <c:f>Charts!$A$585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Charts!$B$583:$CA$583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Charts!$B$585:$CA$585</c:f>
              <c:numCache>
                <c:formatCode>#,##0</c:formatCode>
                <c:ptCount val="78"/>
                <c:pt idx="0">
                  <c:v>78309</c:v>
                </c:pt>
                <c:pt idx="1">
                  <c:v>62578</c:v>
                </c:pt>
                <c:pt idx="2">
                  <c:v>37800</c:v>
                </c:pt>
                <c:pt idx="3">
                  <c:v>31407.200000000001</c:v>
                </c:pt>
                <c:pt idx="4">
                  <c:v>14704.720481632659</c:v>
                </c:pt>
                <c:pt idx="5">
                  <c:v>14736.292316326533</c:v>
                </c:pt>
                <c:pt idx="6">
                  <c:v>14788.542779591835</c:v>
                </c:pt>
                <c:pt idx="7">
                  <c:v>14853.71738571429</c:v>
                </c:pt>
                <c:pt idx="8">
                  <c:v>15509.69234373417</c:v>
                </c:pt>
                <c:pt idx="9">
                  <c:v>16185.964813120554</c:v>
                </c:pt>
                <c:pt idx="10">
                  <c:v>16883.084304344906</c:v>
                </c:pt>
                <c:pt idx="11">
                  <c:v>17601.614189292981</c:v>
                </c:pt>
                <c:pt idx="12">
                  <c:v>18342.824094697109</c:v>
                </c:pt>
                <c:pt idx="13">
                  <c:v>18709.68057659105</c:v>
                </c:pt>
                <c:pt idx="14">
                  <c:v>19083.874188122871</c:v>
                </c:pt>
                <c:pt idx="15">
                  <c:v>19465.551671885332</c:v>
                </c:pt>
                <c:pt idx="16">
                  <c:v>19854.862705323038</c:v>
                </c:pt>
                <c:pt idx="17">
                  <c:v>20251.9599594295</c:v>
                </c:pt>
                <c:pt idx="18">
                  <c:v>20656.999158618088</c:v>
                </c:pt>
                <c:pt idx="19">
                  <c:v>21070.139141790445</c:v>
                </c:pt>
                <c:pt idx="20">
                  <c:v>21491.541924626257</c:v>
                </c:pt>
                <c:pt idx="21">
                  <c:v>21921.372763118783</c:v>
                </c:pt>
                <c:pt idx="22">
                  <c:v>22359.800218381159</c:v>
                </c:pt>
                <c:pt idx="23">
                  <c:v>22806.996222748781</c:v>
                </c:pt>
                <c:pt idx="24">
                  <c:v>23263.136147203757</c:v>
                </c:pt>
                <c:pt idx="25">
                  <c:v>23728.398870147834</c:v>
                </c:pt>
                <c:pt idx="26">
                  <c:v>24202.96684755079</c:v>
                </c:pt>
                <c:pt idx="27">
                  <c:v>24687.026184501807</c:v>
                </c:pt>
                <c:pt idx="28">
                  <c:v>25180.766708191844</c:v>
                </c:pt>
                <c:pt idx="29">
                  <c:v>25684.382042355679</c:v>
                </c:pt>
                <c:pt idx="30">
                  <c:v>26198.069683202793</c:v>
                </c:pt>
                <c:pt idx="31">
                  <c:v>26722.03107686685</c:v>
                </c:pt>
                <c:pt idx="32">
                  <c:v>27256.471698404192</c:v>
                </c:pt>
                <c:pt idx="33">
                  <c:v>27801.601132372274</c:v>
                </c:pt>
                <c:pt idx="34">
                  <c:v>28357.633155019721</c:v>
                </c:pt>
                <c:pt idx="35">
                  <c:v>28924.785818120119</c:v>
                </c:pt>
                <c:pt idx="36">
                  <c:v>29503.281534482521</c:v>
                </c:pt>
                <c:pt idx="37">
                  <c:v>30093.34716517217</c:v>
                </c:pt>
                <c:pt idx="38">
                  <c:v>29611.310232569027</c:v>
                </c:pt>
                <c:pt idx="39">
                  <c:v>29102.692881249593</c:v>
                </c:pt>
                <c:pt idx="40">
                  <c:v>28566.854772503833</c:v>
                </c:pt>
                <c:pt idx="41">
                  <c:v>28003.15120896776</c:v>
                </c:pt>
                <c:pt idx="42">
                  <c:v>27410.933690149646</c:v>
                </c:pt>
                <c:pt idx="43">
                  <c:v>26789.550512498921</c:v>
                </c:pt>
                <c:pt idx="44">
                  <c:v>26138.347416452205</c:v>
                </c:pt>
                <c:pt idx="45">
                  <c:v>25456.668283008185</c:v>
                </c:pt>
                <c:pt idx="46">
                  <c:v>24743.855882502809</c:v>
                </c:pt>
                <c:pt idx="47">
                  <c:v>23999.252678384575</c:v>
                </c:pt>
                <c:pt idx="48">
                  <c:v>23222.201688921166</c:v>
                </c:pt>
                <c:pt idx="49">
                  <c:v>22412.047409907173</c:v>
                </c:pt>
                <c:pt idx="50">
                  <c:v>21568.136801587101</c:v>
                </c:pt>
                <c:pt idx="51">
                  <c:v>20689.820343158721</c:v>
                </c:pt>
                <c:pt idx="52">
                  <c:v>19776.45315837891</c:v>
                </c:pt>
                <c:pt idx="53">
                  <c:v>18827.396215959201</c:v>
                </c:pt>
                <c:pt idx="54">
                  <c:v>17842.017608609018</c:v>
                </c:pt>
                <c:pt idx="55">
                  <c:v>16819.693914764594</c:v>
                </c:pt>
                <c:pt idx="56">
                  <c:v>15759.81164722806</c:v>
                </c:pt>
                <c:pt idx="57">
                  <c:v>14661.768793137033</c:v>
                </c:pt>
                <c:pt idx="58">
                  <c:v>13524.976449887545</c:v>
                </c:pt>
                <c:pt idx="59">
                  <c:v>12348.860561848176</c:v>
                </c:pt>
                <c:pt idx="60">
                  <c:v>11132.863762922952</c:v>
                </c:pt>
                <c:pt idx="61">
                  <c:v>9876.4473302534225</c:v>
                </c:pt>
                <c:pt idx="62">
                  <c:v>8579.0932545924734</c:v>
                </c:pt>
                <c:pt idx="63">
                  <c:v>7240.3064331335818</c:v>
                </c:pt>
                <c:pt idx="64">
                  <c:v>5859.6169908440879</c:v>
                </c:pt>
                <c:pt idx="65">
                  <c:v>4436.5827366239864</c:v>
                </c:pt>
                <c:pt idx="66">
                  <c:v>2970.7917609004498</c:v>
                </c:pt>
                <c:pt idx="67">
                  <c:v>1461.8651815648634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5-4CA2-A77F-2B5B2E14A0E6}"/>
            </c:ext>
          </c:extLst>
        </c:ser>
        <c:ser>
          <c:idx val="2"/>
          <c:order val="2"/>
          <c:tx>
            <c:strRef>
              <c:f>Charts!$A$586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Charts!$B$583:$CA$583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Charts!$B$586:$CA$586</c:f>
              <c:numCache>
                <c:formatCode>#,##0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0-4D5B-AFBC-4AA725F2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037144"/>
        <c:axId val="764036160"/>
      </c:lineChart>
      <c:catAx>
        <c:axId val="76403714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6160"/>
        <c:crosses val="autoZero"/>
        <c:auto val="1"/>
        <c:lblAlgn val="ctr"/>
        <c:lblOffset val="100"/>
        <c:noMultiLvlLbl val="0"/>
      </c:catAx>
      <c:valAx>
        <c:axId val="7640361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3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104373190724114"/>
          <c:y val="0.28406129182438311"/>
          <c:w val="0.22031423126323496"/>
          <c:h val="8.5261758732600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Gas price, Fixed, NOK/Sm3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9876337888691898"/>
          <c:y val="7.1016412619896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Charts!$A$92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Charts!$B$91:$CA$91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Charts!$B$92:$CA$92</c:f>
              <c:numCache>
                <c:formatCode>0.00</c:formatCode>
                <c:ptCount val="78"/>
                <c:pt idx="0">
                  <c:v>5.9850571433501996</c:v>
                </c:pt>
                <c:pt idx="1">
                  <c:v>4.72728901145328</c:v>
                </c:pt>
                <c:pt idx="2">
                  <c:v>5.3241061998379102</c:v>
                </c:pt>
                <c:pt idx="3">
                  <c:v>3.98713055344958</c:v>
                </c:pt>
                <c:pt idx="4">
                  <c:v>3.18203688400303</c:v>
                </c:pt>
                <c:pt idx="5">
                  <c:v>3.18203688400303</c:v>
                </c:pt>
                <c:pt idx="6">
                  <c:v>3.18203688400303</c:v>
                </c:pt>
                <c:pt idx="7">
                  <c:v>2.52942109454998</c:v>
                </c:pt>
                <c:pt idx="8">
                  <c:v>2.4956953373589199</c:v>
                </c:pt>
                <c:pt idx="9">
                  <c:v>2.46196958016787</c:v>
                </c:pt>
                <c:pt idx="10">
                  <c:v>2.42824382297681</c:v>
                </c:pt>
                <c:pt idx="11">
                  <c:v>2.3945180657857601</c:v>
                </c:pt>
                <c:pt idx="12">
                  <c:v>2.3607923085947098</c:v>
                </c:pt>
                <c:pt idx="13">
                  <c:v>2.3270665514036502</c:v>
                </c:pt>
                <c:pt idx="14">
                  <c:v>2.2933407942125998</c:v>
                </c:pt>
                <c:pt idx="15">
                  <c:v>2.2596150370215402</c:v>
                </c:pt>
                <c:pt idx="16">
                  <c:v>2.2258892798304899</c:v>
                </c:pt>
                <c:pt idx="17">
                  <c:v>2.1921649486099799</c:v>
                </c:pt>
                <c:pt idx="18">
                  <c:v>2.1921649486099799</c:v>
                </c:pt>
                <c:pt idx="19">
                  <c:v>2.1921649486099799</c:v>
                </c:pt>
                <c:pt idx="20">
                  <c:v>2.1921649486099799</c:v>
                </c:pt>
                <c:pt idx="21">
                  <c:v>2.1921649486099799</c:v>
                </c:pt>
                <c:pt idx="22">
                  <c:v>2.1921649486099799</c:v>
                </c:pt>
                <c:pt idx="23">
                  <c:v>2.1921649486099799</c:v>
                </c:pt>
                <c:pt idx="24">
                  <c:v>2.1921649486099799</c:v>
                </c:pt>
                <c:pt idx="25">
                  <c:v>2.1921649486099799</c:v>
                </c:pt>
                <c:pt idx="26">
                  <c:v>2.1921649486099799</c:v>
                </c:pt>
                <c:pt idx="27">
                  <c:v>2.1921649486099799</c:v>
                </c:pt>
                <c:pt idx="28">
                  <c:v>2.1921649486099799</c:v>
                </c:pt>
                <c:pt idx="29">
                  <c:v>2.1921649486099799</c:v>
                </c:pt>
                <c:pt idx="30">
                  <c:v>2.1921649486099799</c:v>
                </c:pt>
                <c:pt idx="31">
                  <c:v>2.1921649486099799</c:v>
                </c:pt>
                <c:pt idx="32">
                  <c:v>2.1921649486099799</c:v>
                </c:pt>
                <c:pt idx="33">
                  <c:v>2.1921649486099799</c:v>
                </c:pt>
                <c:pt idx="34">
                  <c:v>2.1921649486099799</c:v>
                </c:pt>
                <c:pt idx="35">
                  <c:v>2.1921649486099799</c:v>
                </c:pt>
                <c:pt idx="36">
                  <c:v>2.1921649486099799</c:v>
                </c:pt>
                <c:pt idx="37">
                  <c:v>2.1921649486099799</c:v>
                </c:pt>
                <c:pt idx="38">
                  <c:v>2.1921649486099799</c:v>
                </c:pt>
                <c:pt idx="39">
                  <c:v>2.1921649486099799</c:v>
                </c:pt>
                <c:pt idx="40">
                  <c:v>2.1921649486099799</c:v>
                </c:pt>
                <c:pt idx="41">
                  <c:v>2.1921649486099799</c:v>
                </c:pt>
                <c:pt idx="42">
                  <c:v>2.1921649486099799</c:v>
                </c:pt>
                <c:pt idx="43">
                  <c:v>2.1921649486099799</c:v>
                </c:pt>
                <c:pt idx="44">
                  <c:v>2.1921649486099799</c:v>
                </c:pt>
                <c:pt idx="45">
                  <c:v>2.1921649486099799</c:v>
                </c:pt>
                <c:pt idx="46">
                  <c:v>2.1921649486099799</c:v>
                </c:pt>
                <c:pt idx="47">
                  <c:v>2.1921649486099799</c:v>
                </c:pt>
                <c:pt idx="48">
                  <c:v>2.1921649486099799</c:v>
                </c:pt>
                <c:pt idx="49">
                  <c:v>2.1921649486099799</c:v>
                </c:pt>
                <c:pt idx="50">
                  <c:v>2.1921649486099799</c:v>
                </c:pt>
                <c:pt idx="51">
                  <c:v>2.1921649486099799</c:v>
                </c:pt>
                <c:pt idx="52">
                  <c:v>2.1921649486099799</c:v>
                </c:pt>
                <c:pt idx="53">
                  <c:v>2.1921649486099799</c:v>
                </c:pt>
                <c:pt idx="54">
                  <c:v>2.1921649486099799</c:v>
                </c:pt>
                <c:pt idx="55">
                  <c:v>2.1921649486099799</c:v>
                </c:pt>
                <c:pt idx="56">
                  <c:v>2.1921649486099799</c:v>
                </c:pt>
                <c:pt idx="57">
                  <c:v>2.1921649486099799</c:v>
                </c:pt>
                <c:pt idx="58">
                  <c:v>2.1921649486099799</c:v>
                </c:pt>
                <c:pt idx="59">
                  <c:v>2.1921649486099799</c:v>
                </c:pt>
                <c:pt idx="60">
                  <c:v>2.1921649486099799</c:v>
                </c:pt>
                <c:pt idx="61">
                  <c:v>2.1921649486099799</c:v>
                </c:pt>
                <c:pt idx="62">
                  <c:v>2.1921649486099799</c:v>
                </c:pt>
                <c:pt idx="63">
                  <c:v>2.1921649486099799</c:v>
                </c:pt>
                <c:pt idx="64">
                  <c:v>2.1921649486099799</c:v>
                </c:pt>
                <c:pt idx="65">
                  <c:v>2.1921649486099799</c:v>
                </c:pt>
                <c:pt idx="66">
                  <c:v>2.1921649486099799</c:v>
                </c:pt>
                <c:pt idx="67">
                  <c:v>2.1921649486099799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C-41BF-A2BF-EF576538C933}"/>
            </c:ext>
          </c:extLst>
        </c:ser>
        <c:ser>
          <c:idx val="1"/>
          <c:order val="1"/>
          <c:tx>
            <c:strRef>
              <c:f>Charts!$A$93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Charts!$B$91:$CA$91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Charts!$B$93:$CA$93</c:f>
              <c:numCache>
                <c:formatCode>0.00</c:formatCode>
                <c:ptCount val="78"/>
                <c:pt idx="0">
                  <c:v>5.8698292887952137</c:v>
                </c:pt>
                <c:pt idx="1">
                  <c:v>4.6275676648064996</c:v>
                </c:pt>
                <c:pt idx="2">
                  <c:v>5.5078413902555949</c:v>
                </c:pt>
                <c:pt idx="3">
                  <c:v>4.2099978923426793</c:v>
                </c:pt>
                <c:pt idx="4">
                  <c:v>3.3679983138741516</c:v>
                </c:pt>
                <c:pt idx="5">
                  <c:v>3.3679983138741516</c:v>
                </c:pt>
                <c:pt idx="6">
                  <c:v>3.3679983138741516</c:v>
                </c:pt>
                <c:pt idx="7">
                  <c:v>2.6629157936953773</c:v>
                </c:pt>
                <c:pt idx="8">
                  <c:v>2.627408671471366</c:v>
                </c:pt>
                <c:pt idx="9">
                  <c:v>2.5919015492473445</c:v>
                </c:pt>
                <c:pt idx="10">
                  <c:v>2.556394427023323</c:v>
                </c:pt>
                <c:pt idx="11">
                  <c:v>2.5208873047993015</c:v>
                </c:pt>
                <c:pt idx="12">
                  <c:v>2.4853801825752906</c:v>
                </c:pt>
                <c:pt idx="13">
                  <c:v>2.4498730603512695</c:v>
                </c:pt>
                <c:pt idx="14">
                  <c:v>2.414365938127248</c:v>
                </c:pt>
                <c:pt idx="15">
                  <c:v>2.3788588159032371</c:v>
                </c:pt>
                <c:pt idx="16">
                  <c:v>2.3433516936792156</c:v>
                </c:pt>
                <c:pt idx="17">
                  <c:v>2.3078603545359981</c:v>
                </c:pt>
                <c:pt idx="18">
                  <c:v>2.3078603545359981</c:v>
                </c:pt>
                <c:pt idx="19">
                  <c:v>2.3078603545359981</c:v>
                </c:pt>
                <c:pt idx="20">
                  <c:v>2.3078603545359981</c:v>
                </c:pt>
                <c:pt idx="21">
                  <c:v>2.3078603545359981</c:v>
                </c:pt>
                <c:pt idx="22">
                  <c:v>2.3078603545359981</c:v>
                </c:pt>
                <c:pt idx="23">
                  <c:v>2.3078603545359981</c:v>
                </c:pt>
                <c:pt idx="24">
                  <c:v>2.3078603545359981</c:v>
                </c:pt>
                <c:pt idx="25">
                  <c:v>2.3078603545359981</c:v>
                </c:pt>
                <c:pt idx="26">
                  <c:v>2.3078603545359981</c:v>
                </c:pt>
                <c:pt idx="27">
                  <c:v>2.3078603545359981</c:v>
                </c:pt>
                <c:pt idx="28">
                  <c:v>2.3078603545359981</c:v>
                </c:pt>
                <c:pt idx="29">
                  <c:v>2.3078603545359981</c:v>
                </c:pt>
                <c:pt idx="30">
                  <c:v>2.3078603545359981</c:v>
                </c:pt>
                <c:pt idx="31">
                  <c:v>2.3078603545359981</c:v>
                </c:pt>
                <c:pt idx="32">
                  <c:v>2.3078603545359981</c:v>
                </c:pt>
                <c:pt idx="33">
                  <c:v>2.3078603545359981</c:v>
                </c:pt>
                <c:pt idx="34">
                  <c:v>2.3078603545359981</c:v>
                </c:pt>
                <c:pt idx="35">
                  <c:v>2.3078603545359981</c:v>
                </c:pt>
                <c:pt idx="36">
                  <c:v>2.3078603545359981</c:v>
                </c:pt>
                <c:pt idx="37">
                  <c:v>2.3078603545359981</c:v>
                </c:pt>
                <c:pt idx="38">
                  <c:v>2.3078603545359981</c:v>
                </c:pt>
                <c:pt idx="39">
                  <c:v>2.3078603545359981</c:v>
                </c:pt>
                <c:pt idx="40">
                  <c:v>2.3078603545359981</c:v>
                </c:pt>
                <c:pt idx="41">
                  <c:v>2.3078603545359981</c:v>
                </c:pt>
                <c:pt idx="42">
                  <c:v>2.3078603545359981</c:v>
                </c:pt>
                <c:pt idx="43">
                  <c:v>2.3078603545359981</c:v>
                </c:pt>
                <c:pt idx="44">
                  <c:v>2.3078603545359981</c:v>
                </c:pt>
                <c:pt idx="45">
                  <c:v>2.3078603545359981</c:v>
                </c:pt>
                <c:pt idx="46">
                  <c:v>2.3078603545359981</c:v>
                </c:pt>
                <c:pt idx="47">
                  <c:v>2.3078603545359981</c:v>
                </c:pt>
                <c:pt idx="48">
                  <c:v>2.3078603545359981</c:v>
                </c:pt>
                <c:pt idx="49">
                  <c:v>2.3078603545359981</c:v>
                </c:pt>
                <c:pt idx="50">
                  <c:v>2.3078603545359981</c:v>
                </c:pt>
                <c:pt idx="51">
                  <c:v>2.3078603545359981</c:v>
                </c:pt>
                <c:pt idx="52">
                  <c:v>2.3078603545359981</c:v>
                </c:pt>
                <c:pt idx="53">
                  <c:v>2.3078603545359981</c:v>
                </c:pt>
                <c:pt idx="54">
                  <c:v>2.3078603545359981</c:v>
                </c:pt>
                <c:pt idx="55">
                  <c:v>2.3078603545359981</c:v>
                </c:pt>
                <c:pt idx="56">
                  <c:v>2.3078603545359981</c:v>
                </c:pt>
                <c:pt idx="57">
                  <c:v>2.3078603545359981</c:v>
                </c:pt>
                <c:pt idx="58">
                  <c:v>2.3078603545359981</c:v>
                </c:pt>
                <c:pt idx="59">
                  <c:v>2.3078603545359981</c:v>
                </c:pt>
                <c:pt idx="60">
                  <c:v>2.3078603545359981</c:v>
                </c:pt>
                <c:pt idx="61">
                  <c:v>2.3078603545359981</c:v>
                </c:pt>
                <c:pt idx="62">
                  <c:v>2.3078603545359981</c:v>
                </c:pt>
                <c:pt idx="63">
                  <c:v>2.3078603545359981</c:v>
                </c:pt>
                <c:pt idx="64">
                  <c:v>2.3078603545359981</c:v>
                </c:pt>
                <c:pt idx="65">
                  <c:v>2.3078603545359981</c:v>
                </c:pt>
                <c:pt idx="66">
                  <c:v>2.3078603545359981</c:v>
                </c:pt>
                <c:pt idx="67">
                  <c:v>2.3078603545359981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C-41BF-A2BF-EF576538C933}"/>
            </c:ext>
          </c:extLst>
        </c:ser>
        <c:ser>
          <c:idx val="2"/>
          <c:order val="2"/>
          <c:tx>
            <c:strRef>
              <c:f>Charts!$A$94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Charts!$B$91:$CA$91</c:f>
              <c:numCache>
                <c:formatCode>@</c:formatCode>
                <c:ptCount val="7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Charts!$B$94:$CA$94</c:f>
              <c:numCache>
                <c:formatCode>0.00</c:formatCode>
                <c:ptCount val="7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3C-41BF-A2BF-EF576538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298840"/>
        <c:axId val="978299496"/>
      </c:lineChart>
      <c:catAx>
        <c:axId val="97829884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99496"/>
        <c:crosses val="autoZero"/>
        <c:auto val="1"/>
        <c:lblAlgn val="ctr"/>
        <c:lblOffset val="100"/>
        <c:tickLblSkip val="10"/>
        <c:noMultiLvlLbl val="0"/>
      </c:catAx>
      <c:valAx>
        <c:axId val="97829949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9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27845044228237"/>
          <c:y val="0.47707260281862462"/>
          <c:w val="0.3789682165797249"/>
          <c:h val="5.992051753630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Petroleum investments, current prices, OED definition</a:t>
            </a:r>
          </a:p>
        </c:rich>
      </c:tx>
      <c:layout>
        <c:manualLayout>
          <c:xMode val="edge"/>
          <c:yMode val="edge"/>
          <c:x val="0.2084378799171773"/>
          <c:y val="4.0973105887786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Charts!$A$395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Charts!$B$394:$AM$394</c:f>
              <c:numCache>
                <c:formatCode>yyyy</c:formatCode>
                <c:ptCount val="38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  <c:pt idx="36">
                  <c:v>58440</c:v>
                </c:pt>
                <c:pt idx="37">
                  <c:v>58806</c:v>
                </c:pt>
              </c:numCache>
            </c:numRef>
          </c:cat>
          <c:val>
            <c:numRef>
              <c:f>Charts!$B$395:$AM$395</c:f>
              <c:numCache>
                <c:formatCode>#,##0</c:formatCode>
                <c:ptCount val="38"/>
                <c:pt idx="0">
                  <c:v>218509.82</c:v>
                </c:pt>
                <c:pt idx="1">
                  <c:v>252419.64</c:v>
                </c:pt>
                <c:pt idx="2">
                  <c:v>281357.12540008221</c:v>
                </c:pt>
                <c:pt idx="3">
                  <c:v>271550.80686240003</c:v>
                </c:pt>
                <c:pt idx="4">
                  <c:v>244022.31901257913</c:v>
                </c:pt>
                <c:pt idx="5">
                  <c:v>228312.05673211871</c:v>
                </c:pt>
                <c:pt idx="6">
                  <c:v>231083.21380976852</c:v>
                </c:pt>
                <c:pt idx="7">
                  <c:v>229248.04188545007</c:v>
                </c:pt>
                <c:pt idx="8">
                  <c:v>219469.77747873697</c:v>
                </c:pt>
                <c:pt idx="9">
                  <c:v>215638.40294269667</c:v>
                </c:pt>
                <c:pt idx="10">
                  <c:v>217288.34506108184</c:v>
                </c:pt>
                <c:pt idx="11">
                  <c:v>210564.82851038862</c:v>
                </c:pt>
                <c:pt idx="12">
                  <c:v>203786.41886836005</c:v>
                </c:pt>
                <c:pt idx="13">
                  <c:v>201893.04955617577</c:v>
                </c:pt>
                <c:pt idx="14">
                  <c:v>203115.97710180675</c:v>
                </c:pt>
                <c:pt idx="15">
                  <c:v>207215.58502345558</c:v>
                </c:pt>
                <c:pt idx="16">
                  <c:v>207460.31347112704</c:v>
                </c:pt>
                <c:pt idx="17">
                  <c:v>207408.93748255176</c:v>
                </c:pt>
                <c:pt idx="18">
                  <c:v>209530.07936431421</c:v>
                </c:pt>
                <c:pt idx="19">
                  <c:v>209540.42024796171</c:v>
                </c:pt>
                <c:pt idx="20">
                  <c:v>209997.1922279422</c:v>
                </c:pt>
                <c:pt idx="21">
                  <c:v>207802.45740686078</c:v>
                </c:pt>
                <c:pt idx="22">
                  <c:v>206294.62503904203</c:v>
                </c:pt>
                <c:pt idx="23">
                  <c:v>203885.08007195528</c:v>
                </c:pt>
                <c:pt idx="24">
                  <c:v>202319.30479342651</c:v>
                </c:pt>
                <c:pt idx="25">
                  <c:v>200884.62662320925</c:v>
                </c:pt>
                <c:pt idx="26">
                  <c:v>201579.6635873034</c:v>
                </c:pt>
                <c:pt idx="27">
                  <c:v>198459.24877064137</c:v>
                </c:pt>
                <c:pt idx="28">
                  <c:v>192963.47354514466</c:v>
                </c:pt>
                <c:pt idx="29">
                  <c:v>192784.83714530742</c:v>
                </c:pt>
                <c:pt idx="30">
                  <c:v>192569.99274205466</c:v>
                </c:pt>
                <c:pt idx="31">
                  <c:v>192428.13745863055</c:v>
                </c:pt>
                <c:pt idx="32">
                  <c:v>190750.50749631299</c:v>
                </c:pt>
                <c:pt idx="33">
                  <c:v>188738.2355197861</c:v>
                </c:pt>
                <c:pt idx="34">
                  <c:v>185750.85483829374</c:v>
                </c:pt>
                <c:pt idx="35">
                  <c:v>184684.37595356585</c:v>
                </c:pt>
                <c:pt idx="36">
                  <c:v>181603.79645232446</c:v>
                </c:pt>
                <c:pt idx="37">
                  <c:v>179606.24256327021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0-4E0C-8C88-F943E673B6CF}"/>
            </c:ext>
          </c:extLst>
        </c:ser>
        <c:ser>
          <c:idx val="1"/>
          <c:order val="1"/>
          <c:tx>
            <c:strRef>
              <c:f>Charts!$A$396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Charts!$B$394:$AM$394</c:f>
              <c:numCache>
                <c:formatCode>yyyy</c:formatCode>
                <c:ptCount val="38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  <c:pt idx="36">
                  <c:v>58440</c:v>
                </c:pt>
                <c:pt idx="37">
                  <c:v>58806</c:v>
                </c:pt>
              </c:numCache>
            </c:numRef>
          </c:cat>
          <c:val>
            <c:numRef>
              <c:f>Charts!$B$396:$AM$396</c:f>
              <c:numCache>
                <c:formatCode>#,##0</c:formatCode>
                <c:ptCount val="38"/>
                <c:pt idx="0">
                  <c:v>218509.82</c:v>
                </c:pt>
                <c:pt idx="1">
                  <c:v>260141.64</c:v>
                </c:pt>
                <c:pt idx="2">
                  <c:v>272940.86040008219</c:v>
                </c:pt>
                <c:pt idx="3">
                  <c:v>248130.445485</c:v>
                </c:pt>
                <c:pt idx="4">
                  <c:v>230458.07594035193</c:v>
                </c:pt>
                <c:pt idx="5">
                  <c:v>225731.78490130944</c:v>
                </c:pt>
                <c:pt idx="6">
                  <c:v>232944.77666622688</c:v>
                </c:pt>
                <c:pt idx="7">
                  <c:v>232571.57822601785</c:v>
                </c:pt>
                <c:pt idx="8">
                  <c:v>225138.50303228377</c:v>
                </c:pt>
                <c:pt idx="9">
                  <c:v>218997.61338171546</c:v>
                </c:pt>
                <c:pt idx="10">
                  <c:v>216653.41185332544</c:v>
                </c:pt>
                <c:pt idx="11">
                  <c:v>209949.54193360882</c:v>
                </c:pt>
                <c:pt idx="12">
                  <c:v>203190.939324379</c:v>
                </c:pt>
                <c:pt idx="13">
                  <c:v>201303.10258252543</c:v>
                </c:pt>
                <c:pt idx="14">
                  <c:v>202522.45664008267</c:v>
                </c:pt>
                <c:pt idx="15">
                  <c:v>206610.08519299305</c:v>
                </c:pt>
                <c:pt idx="16">
                  <c:v>206854.09852537297</c:v>
                </c:pt>
                <c:pt idx="17">
                  <c:v>206802.87266137512</c:v>
                </c:pt>
                <c:pt idx="18">
                  <c:v>208917.81640389242</c:v>
                </c:pt>
                <c:pt idx="19">
                  <c:v>208928.12707068486</c:v>
                </c:pt>
                <c:pt idx="20">
                  <c:v>209383.56432791098</c:v>
                </c:pt>
                <c:pt idx="21">
                  <c:v>207195.24269028762</c:v>
                </c:pt>
                <c:pt idx="22">
                  <c:v>205691.81632428075</c:v>
                </c:pt>
                <c:pt idx="23">
                  <c:v>203289.312232372</c:v>
                </c:pt>
                <c:pt idx="24">
                  <c:v>201728.11226928368</c:v>
                </c:pt>
                <c:pt idx="25">
                  <c:v>200297.62633870315</c:v>
                </c:pt>
                <c:pt idx="26">
                  <c:v>200990.63235148721</c:v>
                </c:pt>
                <c:pt idx="27">
                  <c:v>197879.33562621774</c:v>
                </c:pt>
                <c:pt idx="28">
                  <c:v>193316.79838766373</c:v>
                </c:pt>
                <c:pt idx="29">
                  <c:v>192221.50506681501</c:v>
                </c:pt>
                <c:pt idx="30">
                  <c:v>192007.28845538414</c:v>
                </c:pt>
                <c:pt idx="31">
                  <c:v>191865.84768397734</c:v>
                </c:pt>
                <c:pt idx="32">
                  <c:v>190193.11988506425</c:v>
                </c:pt>
                <c:pt idx="33">
                  <c:v>188186.72792157088</c:v>
                </c:pt>
                <c:pt idx="34">
                  <c:v>185208.07659552692</c:v>
                </c:pt>
                <c:pt idx="35">
                  <c:v>184144.71404388669</c:v>
                </c:pt>
                <c:pt idx="36">
                  <c:v>181073.1362321937</c:v>
                </c:pt>
                <c:pt idx="37">
                  <c:v>179081.41934879139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0-4E0C-8C88-F943E673B6CF}"/>
            </c:ext>
          </c:extLst>
        </c:ser>
        <c:ser>
          <c:idx val="2"/>
          <c:order val="2"/>
          <c:tx>
            <c:strRef>
              <c:f>Charts!$A$397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Charts!$B$394:$AM$394</c:f>
              <c:numCache>
                <c:formatCode>yyyy</c:formatCode>
                <c:ptCount val="38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  <c:pt idx="36">
                  <c:v>58440</c:v>
                </c:pt>
                <c:pt idx="37">
                  <c:v>58806</c:v>
                </c:pt>
              </c:numCache>
            </c:numRef>
          </c:cat>
          <c:val>
            <c:numRef>
              <c:f>Charts!$B$397:$AM$397</c:f>
              <c:numCache>
                <c:formatCode>#,##0</c:formatCode>
                <c:ptCount val="3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80-4E0C-8C88-F943E673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494216"/>
        <c:axId val="1054495200"/>
      </c:lineChart>
      <c:dateAx>
        <c:axId val="1054494216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95200"/>
        <c:crosses val="autoZero"/>
        <c:auto val="1"/>
        <c:lblOffset val="100"/>
        <c:baseTimeUnit val="years"/>
      </c:dateAx>
      <c:valAx>
        <c:axId val="1054495200"/>
        <c:scaling>
          <c:orientation val="minMax"/>
          <c:min val="1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9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481236574527568"/>
          <c:y val="0.57362321357661605"/>
          <c:w val="0.2975790005776397"/>
          <c:h val="0.1224929177556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 b="1"/>
              <a:t>SNKS, Løpende</a:t>
            </a:r>
            <a:r>
              <a:rPr lang="en-US" sz="1700" b="1" baseline="0"/>
              <a:t> </a:t>
            </a:r>
            <a:endParaRPr lang="en-US" sz="1700" b="1"/>
          </a:p>
        </c:rich>
      </c:tx>
      <c:layout>
        <c:manualLayout>
          <c:xMode val="edge"/>
          <c:yMode val="edge"/>
          <c:x val="0.24268976889974367"/>
          <c:y val="9.2854541441594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569055424758705E-2"/>
          <c:y val="4.378671969855176E-2"/>
          <c:w val="0.89563785532456064"/>
          <c:h val="0.85791770035126624"/>
        </c:manualLayout>
      </c:layout>
      <c:lineChart>
        <c:grouping val="standard"/>
        <c:varyColors val="0"/>
        <c:ser>
          <c:idx val="0"/>
          <c:order val="0"/>
          <c:tx>
            <c:strRef>
              <c:f>Charts!$A$536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Charts!$B$535:$BQ$535</c:f>
              <c:numCache>
                <c:formatCode>yyyy</c:formatCode>
                <c:ptCount val="68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  <c:pt idx="36">
                  <c:v>58440</c:v>
                </c:pt>
                <c:pt idx="37">
                  <c:v>58806</c:v>
                </c:pt>
                <c:pt idx="38">
                  <c:v>59171</c:v>
                </c:pt>
                <c:pt idx="39">
                  <c:v>59536</c:v>
                </c:pt>
                <c:pt idx="40">
                  <c:v>59901</c:v>
                </c:pt>
                <c:pt idx="41">
                  <c:v>60267</c:v>
                </c:pt>
                <c:pt idx="42">
                  <c:v>60632</c:v>
                </c:pt>
                <c:pt idx="43">
                  <c:v>60997</c:v>
                </c:pt>
                <c:pt idx="44">
                  <c:v>61362</c:v>
                </c:pt>
                <c:pt idx="45">
                  <c:v>61728</c:v>
                </c:pt>
                <c:pt idx="46">
                  <c:v>62093</c:v>
                </c:pt>
                <c:pt idx="47">
                  <c:v>62458</c:v>
                </c:pt>
                <c:pt idx="48">
                  <c:v>62823</c:v>
                </c:pt>
                <c:pt idx="49">
                  <c:v>63189</c:v>
                </c:pt>
                <c:pt idx="50">
                  <c:v>63554</c:v>
                </c:pt>
                <c:pt idx="51">
                  <c:v>63919</c:v>
                </c:pt>
                <c:pt idx="52">
                  <c:v>64284</c:v>
                </c:pt>
                <c:pt idx="53">
                  <c:v>64650</c:v>
                </c:pt>
                <c:pt idx="54">
                  <c:v>65015</c:v>
                </c:pt>
                <c:pt idx="55">
                  <c:v>65380</c:v>
                </c:pt>
                <c:pt idx="56">
                  <c:v>65745</c:v>
                </c:pt>
                <c:pt idx="57">
                  <c:v>66111</c:v>
                </c:pt>
                <c:pt idx="58">
                  <c:v>66476</c:v>
                </c:pt>
                <c:pt idx="59">
                  <c:v>66841</c:v>
                </c:pt>
                <c:pt idx="60">
                  <c:v>67206</c:v>
                </c:pt>
                <c:pt idx="61">
                  <c:v>67572</c:v>
                </c:pt>
                <c:pt idx="62">
                  <c:v>67937</c:v>
                </c:pt>
                <c:pt idx="63">
                  <c:v>68302</c:v>
                </c:pt>
                <c:pt idx="64">
                  <c:v>68667</c:v>
                </c:pt>
                <c:pt idx="65">
                  <c:v>69033</c:v>
                </c:pt>
                <c:pt idx="66">
                  <c:v>69398</c:v>
                </c:pt>
                <c:pt idx="67">
                  <c:v>69763</c:v>
                </c:pt>
              </c:numCache>
            </c:numRef>
          </c:cat>
          <c:val>
            <c:numRef>
              <c:f>Charts!$B$536:$BQ$536</c:f>
              <c:numCache>
                <c:formatCode>#,##0</c:formatCode>
                <c:ptCount val="68"/>
                <c:pt idx="0">
                  <c:v>978064.87363299995</c:v>
                </c:pt>
                <c:pt idx="1">
                  <c:v>702159.39181099995</c:v>
                </c:pt>
                <c:pt idx="2">
                  <c:v>663615.54099999997</c:v>
                </c:pt>
                <c:pt idx="3">
                  <c:v>521305.59999999998</c:v>
                </c:pt>
                <c:pt idx="4">
                  <c:v>407654.37359999999</c:v>
                </c:pt>
                <c:pt idx="5">
                  <c:v>380031.60091275512</c:v>
                </c:pt>
                <c:pt idx="6">
                  <c:v>340095.0683479592</c:v>
                </c:pt>
                <c:pt idx="7">
                  <c:v>279907.85844141745</c:v>
                </c:pt>
                <c:pt idx="8">
                  <c:v>241434.71363651226</c:v>
                </c:pt>
                <c:pt idx="9">
                  <c:v>240877.07411134115</c:v>
                </c:pt>
                <c:pt idx="10">
                  <c:v>240207.64038628744</c:v>
                </c:pt>
                <c:pt idx="11">
                  <c:v>243004.96426466858</c:v>
                </c:pt>
                <c:pt idx="12">
                  <c:v>253485.96184610747</c:v>
                </c:pt>
                <c:pt idx="13">
                  <c:v>254640.18869715539</c:v>
                </c:pt>
                <c:pt idx="14">
                  <c:v>249473.30435239262</c:v>
                </c:pt>
                <c:pt idx="15">
                  <c:v>229935.56740300223</c:v>
                </c:pt>
                <c:pt idx="16">
                  <c:v>209224.21507105534</c:v>
                </c:pt>
                <c:pt idx="17">
                  <c:v>195906.54051383105</c:v>
                </c:pt>
                <c:pt idx="18">
                  <c:v>183556.1949552744</c:v>
                </c:pt>
                <c:pt idx="19">
                  <c:v>178137.25854185133</c:v>
                </c:pt>
                <c:pt idx="20">
                  <c:v>164620.78186490035</c:v>
                </c:pt>
                <c:pt idx="21">
                  <c:v>161561.27847178231</c:v>
                </c:pt>
                <c:pt idx="22">
                  <c:v>152065.09344408213</c:v>
                </c:pt>
                <c:pt idx="23">
                  <c:v>147006.49506473821</c:v>
                </c:pt>
                <c:pt idx="24">
                  <c:v>140314.59556650935</c:v>
                </c:pt>
                <c:pt idx="25">
                  <c:v>137796.20796118857</c:v>
                </c:pt>
                <c:pt idx="26">
                  <c:v>133349.55752020472</c:v>
                </c:pt>
                <c:pt idx="27">
                  <c:v>126817.75237058639</c:v>
                </c:pt>
                <c:pt idx="28">
                  <c:v>129073.78537878627</c:v>
                </c:pt>
                <c:pt idx="29">
                  <c:v>126418.40397636099</c:v>
                </c:pt>
                <c:pt idx="30">
                  <c:v>118683.20180295763</c:v>
                </c:pt>
                <c:pt idx="31">
                  <c:v>111774.15830552611</c:v>
                </c:pt>
                <c:pt idx="32">
                  <c:v>107715.42764511259</c:v>
                </c:pt>
                <c:pt idx="33">
                  <c:v>109415.49249540133</c:v>
                </c:pt>
                <c:pt idx="34">
                  <c:v>110259.82172594997</c:v>
                </c:pt>
                <c:pt idx="35">
                  <c:v>107836.65726143733</c:v>
                </c:pt>
                <c:pt idx="36">
                  <c:v>102763.83401222908</c:v>
                </c:pt>
                <c:pt idx="37">
                  <c:v>100035.63988825423</c:v>
                </c:pt>
                <c:pt idx="38">
                  <c:v>97788.48357434271</c:v>
                </c:pt>
                <c:pt idx="39">
                  <c:v>95428.04320408871</c:v>
                </c:pt>
                <c:pt idx="40">
                  <c:v>92951.52310025676</c:v>
                </c:pt>
                <c:pt idx="41">
                  <c:v>90356.100545180481</c:v>
                </c:pt>
                <c:pt idx="42">
                  <c:v>87638.927602131749</c:v>
                </c:pt>
                <c:pt idx="43">
                  <c:v>84797.133098618971</c:v>
                </c:pt>
                <c:pt idx="44">
                  <c:v>81827.824780713592</c:v>
                </c:pt>
                <c:pt idx="45">
                  <c:v>78728.091647946436</c:v>
                </c:pt>
                <c:pt idx="46">
                  <c:v>75495.006478772077</c:v>
                </c:pt>
                <c:pt idx="47">
                  <c:v>72125.628557083663</c:v>
                </c:pt>
                <c:pt idx="48">
                  <c:v>68617.006610758792</c:v>
                </c:pt>
                <c:pt idx="49">
                  <c:v>64966.181973744897</c:v>
                </c:pt>
                <c:pt idx="50">
                  <c:v>61170.191983738099</c:v>
                </c:pt>
                <c:pt idx="51">
                  <c:v>57226.073628084334</c:v>
                </c:pt>
                <c:pt idx="52">
                  <c:v>53130.867451124432</c:v>
                </c:pt>
                <c:pt idx="53">
                  <c:v>48881.621736838351</c:v>
                </c:pt>
                <c:pt idx="54">
                  <c:v>44475.396981283033</c:v>
                </c:pt>
                <c:pt idx="55">
                  <c:v>39909.270670013873</c:v>
                </c:pt>
                <c:pt idx="56">
                  <c:v>35180.342376378314</c:v>
                </c:pt>
                <c:pt idx="57">
                  <c:v>30285.739197318911</c:v>
                </c:pt>
                <c:pt idx="58">
                  <c:v>25222.621544101665</c:v>
                </c:pt>
                <c:pt idx="59">
                  <c:v>19988.189306183227</c:v>
                </c:pt>
                <c:pt idx="60">
                  <c:v>14579.68840729128</c:v>
                </c:pt>
                <c:pt idx="61">
                  <c:v>8994.417773659974</c:v>
                </c:pt>
                <c:pt idx="62">
                  <c:v>3229.7367352939241</c:v>
                </c:pt>
                <c:pt idx="63">
                  <c:v>-2716.9271179091807</c:v>
                </c:pt>
                <c:pt idx="64">
                  <c:v>-8848.0696023470973</c:v>
                </c:pt>
                <c:pt idx="65">
                  <c:v>-15166.101105326063</c:v>
                </c:pt>
                <c:pt idx="66">
                  <c:v>-21673.337223129347</c:v>
                </c:pt>
                <c:pt idx="67">
                  <c:v>-28371.988846424043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2-4072-9F8E-7C6AE2F5A27C}"/>
            </c:ext>
          </c:extLst>
        </c:ser>
        <c:ser>
          <c:idx val="1"/>
          <c:order val="1"/>
          <c:tx>
            <c:strRef>
              <c:f>Charts!$A$537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Charts!$B$535:$BQ$535</c:f>
              <c:numCache>
                <c:formatCode>yyyy</c:formatCode>
                <c:ptCount val="68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  <c:pt idx="36">
                  <c:v>58440</c:v>
                </c:pt>
                <c:pt idx="37">
                  <c:v>58806</c:v>
                </c:pt>
                <c:pt idx="38">
                  <c:v>59171</c:v>
                </c:pt>
                <c:pt idx="39">
                  <c:v>59536</c:v>
                </c:pt>
                <c:pt idx="40">
                  <c:v>59901</c:v>
                </c:pt>
                <c:pt idx="41">
                  <c:v>60267</c:v>
                </c:pt>
                <c:pt idx="42">
                  <c:v>60632</c:v>
                </c:pt>
                <c:pt idx="43">
                  <c:v>60997</c:v>
                </c:pt>
                <c:pt idx="44">
                  <c:v>61362</c:v>
                </c:pt>
                <c:pt idx="45">
                  <c:v>61728</c:v>
                </c:pt>
                <c:pt idx="46">
                  <c:v>62093</c:v>
                </c:pt>
                <c:pt idx="47">
                  <c:v>62458</c:v>
                </c:pt>
                <c:pt idx="48">
                  <c:v>62823</c:v>
                </c:pt>
                <c:pt idx="49">
                  <c:v>63189</c:v>
                </c:pt>
                <c:pt idx="50">
                  <c:v>63554</c:v>
                </c:pt>
                <c:pt idx="51">
                  <c:v>63919</c:v>
                </c:pt>
                <c:pt idx="52">
                  <c:v>64284</c:v>
                </c:pt>
                <c:pt idx="53">
                  <c:v>64650</c:v>
                </c:pt>
                <c:pt idx="54">
                  <c:v>65015</c:v>
                </c:pt>
                <c:pt idx="55">
                  <c:v>65380</c:v>
                </c:pt>
                <c:pt idx="56">
                  <c:v>65745</c:v>
                </c:pt>
                <c:pt idx="57">
                  <c:v>66111</c:v>
                </c:pt>
                <c:pt idx="58">
                  <c:v>66476</c:v>
                </c:pt>
                <c:pt idx="59">
                  <c:v>66841</c:v>
                </c:pt>
                <c:pt idx="60">
                  <c:v>67206</c:v>
                </c:pt>
                <c:pt idx="61">
                  <c:v>67572</c:v>
                </c:pt>
                <c:pt idx="62">
                  <c:v>67937</c:v>
                </c:pt>
                <c:pt idx="63">
                  <c:v>68302</c:v>
                </c:pt>
                <c:pt idx="64">
                  <c:v>68667</c:v>
                </c:pt>
                <c:pt idx="65">
                  <c:v>69033</c:v>
                </c:pt>
                <c:pt idx="66">
                  <c:v>69398</c:v>
                </c:pt>
                <c:pt idx="67">
                  <c:v>69763</c:v>
                </c:pt>
              </c:numCache>
            </c:numRef>
          </c:cat>
          <c:val>
            <c:numRef>
              <c:f>Charts!$B$537:$BQ$537</c:f>
              <c:numCache>
                <c:formatCode>#,##0</c:formatCode>
                <c:ptCount val="68"/>
                <c:pt idx="0">
                  <c:v>978064.87363299995</c:v>
                </c:pt>
                <c:pt idx="1">
                  <c:v>702159.39181099995</c:v>
                </c:pt>
                <c:pt idx="2">
                  <c:v>697701</c:v>
                </c:pt>
                <c:pt idx="3">
                  <c:v>594407.19999999995</c:v>
                </c:pt>
                <c:pt idx="4">
                  <c:v>474104.72048163268</c:v>
                </c:pt>
                <c:pt idx="5">
                  <c:v>433036.29231632652</c:v>
                </c:pt>
                <c:pt idx="6">
                  <c:v>387988.54277959181</c:v>
                </c:pt>
                <c:pt idx="7">
                  <c:v>320712.37809795735</c:v>
                </c:pt>
                <c:pt idx="8">
                  <c:v>271695.0263776778</c:v>
                </c:pt>
                <c:pt idx="9">
                  <c:v>267711.72863568878</c:v>
                </c:pt>
                <c:pt idx="10">
                  <c:v>268489.78449117515</c:v>
                </c:pt>
                <c:pt idx="11">
                  <c:v>273230.88477495237</c:v>
                </c:pt>
                <c:pt idx="12">
                  <c:v>283299.43402281922</c:v>
                </c:pt>
                <c:pt idx="13">
                  <c:v>284811.84696235677</c:v>
                </c:pt>
                <c:pt idx="14">
                  <c:v>278630.9746337398</c:v>
                </c:pt>
                <c:pt idx="15">
                  <c:v>258946.47167175202</c:v>
                </c:pt>
                <c:pt idx="16">
                  <c:v>238012.26325902369</c:v>
                </c:pt>
                <c:pt idx="17">
                  <c:v>224024.54025242565</c:v>
                </c:pt>
                <c:pt idx="18">
                  <c:v>210303.42146168451</c:v>
                </c:pt>
                <c:pt idx="19">
                  <c:v>204233.94315978501</c:v>
                </c:pt>
                <c:pt idx="20">
                  <c:v>190315.16326855516</c:v>
                </c:pt>
                <c:pt idx="21">
                  <c:v>186573.27696691829</c:v>
                </c:pt>
                <c:pt idx="22">
                  <c:v>176806.06384058954</c:v>
                </c:pt>
                <c:pt idx="23">
                  <c:v>171177.010725789</c:v>
                </c:pt>
                <c:pt idx="24">
                  <c:v>163585.7368217379</c:v>
                </c:pt>
                <c:pt idx="25">
                  <c:v>160329.08232850366</c:v>
                </c:pt>
                <c:pt idx="26">
                  <c:v>156267.32099049288</c:v>
                </c:pt>
                <c:pt idx="27">
                  <c:v>149063.20955555959</c:v>
                </c:pt>
                <c:pt idx="28">
                  <c:v>149897.2239329264</c:v>
                </c:pt>
                <c:pt idx="29">
                  <c:v>147174.10212249018</c:v>
                </c:pt>
                <c:pt idx="30">
                  <c:v>139138.08729693838</c:v>
                </c:pt>
                <c:pt idx="31">
                  <c:v>132339.56688914358</c:v>
                </c:pt>
                <c:pt idx="32">
                  <c:v>128182.62818701685</c:v>
                </c:pt>
                <c:pt idx="33">
                  <c:v>129929.58908740181</c:v>
                </c:pt>
                <c:pt idx="34">
                  <c:v>130040.16970816589</c:v>
                </c:pt>
                <c:pt idx="35">
                  <c:v>127430.51287744747</c:v>
                </c:pt>
                <c:pt idx="36">
                  <c:v>121777.61525763018</c:v>
                </c:pt>
                <c:pt idx="37">
                  <c:v>118961.2102263647</c:v>
                </c:pt>
                <c:pt idx="38">
                  <c:v>117055.68284978095</c:v>
                </c:pt>
                <c:pt idx="39">
                  <c:v>115045.08112698181</c:v>
                </c:pt>
                <c:pt idx="40">
                  <c:v>112926.87375204498</c:v>
                </c:pt>
                <c:pt idx="41">
                  <c:v>110698.51218896918</c:v>
                </c:pt>
                <c:pt idx="42">
                  <c:v>108357.43286771001</c:v>
                </c:pt>
                <c:pt idx="43">
                  <c:v>105901.05955629636</c:v>
                </c:pt>
                <c:pt idx="44">
                  <c:v>103326.80591865088</c:v>
                </c:pt>
                <c:pt idx="45">
                  <c:v>100632.07826820156</c:v>
                </c:pt>
                <c:pt idx="46">
                  <c:v>97814.278527845061</c:v>
                </c:pt>
                <c:pt idx="47">
                  <c:v>94870.807407329485</c:v>
                </c:pt>
                <c:pt idx="48">
                  <c:v>91799.067809643806</c:v>
                </c:pt>
                <c:pt idx="49">
                  <c:v>88596.468478549388</c:v>
                </c:pt>
                <c:pt idx="50">
                  <c:v>85260.427899958959</c:v>
                </c:pt>
                <c:pt idx="51">
                  <c:v>81788.378470465832</c:v>
                </c:pt>
                <c:pt idx="52">
                  <c:v>78177.770946946359</c:v>
                </c:pt>
                <c:pt idx="53">
                  <c:v>74426.079191811688</c:v>
                </c:pt>
                <c:pt idx="54">
                  <c:v>70530.805229159523</c:v>
                </c:pt>
                <c:pt idx="55">
                  <c:v>66489.484627788508</c:v>
                </c:pt>
                <c:pt idx="56">
                  <c:v>62299.692227774889</c:v>
                </c:pt>
                <c:pt idx="57">
                  <c:v>57959.048228085303</c:v>
                </c:pt>
                <c:pt idx="58">
                  <c:v>53465.224653500212</c:v>
                </c:pt>
                <c:pt idx="59">
                  <c:v>48815.952219972351</c:v>
                </c:pt>
                <c:pt idx="60">
                  <c:v>44009.027618413078</c:v>
                </c:pt>
                <c:pt idx="61">
                  <c:v>39042.321237820135</c:v>
                </c:pt>
                <c:pt idx="62">
                  <c:v>33913.785349617276</c:v>
                </c:pt>
                <c:pt idx="63">
                  <c:v>28621.462776069264</c:v>
                </c:pt>
                <c:pt idx="64">
                  <c:v>23163.496066682685</c:v>
                </c:pt>
                <c:pt idx="65">
                  <c:v>17538.137207581938</c:v>
                </c:pt>
                <c:pt idx="66">
                  <c:v>11743.757889991053</c:v>
                </c:pt>
                <c:pt idx="67">
                  <c:v>5778.8603651243448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52-4072-9F8E-7C6AE2F5A27C}"/>
            </c:ext>
          </c:extLst>
        </c:ser>
        <c:ser>
          <c:idx val="2"/>
          <c:order val="2"/>
          <c:tx>
            <c:strRef>
              <c:f>Charts!$A$538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Charts!$B$535:$BQ$535</c:f>
              <c:numCache>
                <c:formatCode>yyyy</c:formatCode>
                <c:ptCount val="68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  <c:pt idx="7">
                  <c:v>47848</c:v>
                </c:pt>
                <c:pt idx="8">
                  <c:v>48213</c:v>
                </c:pt>
                <c:pt idx="9">
                  <c:v>48579</c:v>
                </c:pt>
                <c:pt idx="10">
                  <c:v>48944</c:v>
                </c:pt>
                <c:pt idx="11">
                  <c:v>49309</c:v>
                </c:pt>
                <c:pt idx="12">
                  <c:v>49674</c:v>
                </c:pt>
                <c:pt idx="13">
                  <c:v>50040</c:v>
                </c:pt>
                <c:pt idx="14">
                  <c:v>50405</c:v>
                </c:pt>
                <c:pt idx="15">
                  <c:v>50770</c:v>
                </c:pt>
                <c:pt idx="16">
                  <c:v>51135</c:v>
                </c:pt>
                <c:pt idx="17">
                  <c:v>51501</c:v>
                </c:pt>
                <c:pt idx="18">
                  <c:v>51866</c:v>
                </c:pt>
                <c:pt idx="19">
                  <c:v>52231</c:v>
                </c:pt>
                <c:pt idx="20">
                  <c:v>52596</c:v>
                </c:pt>
                <c:pt idx="21">
                  <c:v>52962</c:v>
                </c:pt>
                <c:pt idx="22">
                  <c:v>53327</c:v>
                </c:pt>
                <c:pt idx="23">
                  <c:v>53692</c:v>
                </c:pt>
                <c:pt idx="24">
                  <c:v>54057</c:v>
                </c:pt>
                <c:pt idx="25">
                  <c:v>54423</c:v>
                </c:pt>
                <c:pt idx="26">
                  <c:v>54788</c:v>
                </c:pt>
                <c:pt idx="27">
                  <c:v>55153</c:v>
                </c:pt>
                <c:pt idx="28">
                  <c:v>55518</c:v>
                </c:pt>
                <c:pt idx="29">
                  <c:v>55884</c:v>
                </c:pt>
                <c:pt idx="30">
                  <c:v>56249</c:v>
                </c:pt>
                <c:pt idx="31">
                  <c:v>56614</c:v>
                </c:pt>
                <c:pt idx="32">
                  <c:v>56979</c:v>
                </c:pt>
                <c:pt idx="33">
                  <c:v>57345</c:v>
                </c:pt>
                <c:pt idx="34">
                  <c:v>57710</c:v>
                </c:pt>
                <c:pt idx="35">
                  <c:v>58075</c:v>
                </c:pt>
                <c:pt idx="36">
                  <c:v>58440</c:v>
                </c:pt>
                <c:pt idx="37">
                  <c:v>58806</c:v>
                </c:pt>
                <c:pt idx="38">
                  <c:v>59171</c:v>
                </c:pt>
                <c:pt idx="39">
                  <c:v>59536</c:v>
                </c:pt>
                <c:pt idx="40">
                  <c:v>59901</c:v>
                </c:pt>
                <c:pt idx="41">
                  <c:v>60267</c:v>
                </c:pt>
                <c:pt idx="42">
                  <c:v>60632</c:v>
                </c:pt>
                <c:pt idx="43">
                  <c:v>60997</c:v>
                </c:pt>
                <c:pt idx="44">
                  <c:v>61362</c:v>
                </c:pt>
                <c:pt idx="45">
                  <c:v>61728</c:v>
                </c:pt>
                <c:pt idx="46">
                  <c:v>62093</c:v>
                </c:pt>
                <c:pt idx="47">
                  <c:v>62458</c:v>
                </c:pt>
                <c:pt idx="48">
                  <c:v>62823</c:v>
                </c:pt>
                <c:pt idx="49">
                  <c:v>63189</c:v>
                </c:pt>
                <c:pt idx="50">
                  <c:v>63554</c:v>
                </c:pt>
                <c:pt idx="51">
                  <c:v>63919</c:v>
                </c:pt>
                <c:pt idx="52">
                  <c:v>64284</c:v>
                </c:pt>
                <c:pt idx="53">
                  <c:v>64650</c:v>
                </c:pt>
                <c:pt idx="54">
                  <c:v>65015</c:v>
                </c:pt>
                <c:pt idx="55">
                  <c:v>65380</c:v>
                </c:pt>
                <c:pt idx="56">
                  <c:v>65745</c:v>
                </c:pt>
                <c:pt idx="57">
                  <c:v>66111</c:v>
                </c:pt>
                <c:pt idx="58">
                  <c:v>66476</c:v>
                </c:pt>
                <c:pt idx="59">
                  <c:v>66841</c:v>
                </c:pt>
                <c:pt idx="60">
                  <c:v>67206</c:v>
                </c:pt>
                <c:pt idx="61">
                  <c:v>67572</c:v>
                </c:pt>
                <c:pt idx="62">
                  <c:v>67937</c:v>
                </c:pt>
                <c:pt idx="63">
                  <c:v>68302</c:v>
                </c:pt>
                <c:pt idx="64">
                  <c:v>68667</c:v>
                </c:pt>
                <c:pt idx="65">
                  <c:v>69033</c:v>
                </c:pt>
                <c:pt idx="66">
                  <c:v>69398</c:v>
                </c:pt>
                <c:pt idx="67">
                  <c:v>69763</c:v>
                </c:pt>
              </c:numCache>
            </c:numRef>
          </c:cat>
          <c:val>
            <c:numRef>
              <c:f>Charts!$B$538:$BQ$538</c:f>
              <c:numCache>
                <c:formatCode>#,##0</c:formatCode>
                <c:ptCount val="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52-4072-9F8E-7C6AE2F5A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686576"/>
        <c:axId val="604686248"/>
      </c:lineChart>
      <c:dateAx>
        <c:axId val="604686576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86248"/>
        <c:crosses val="autoZero"/>
        <c:auto val="1"/>
        <c:lblOffset val="100"/>
        <c:baseTimeUnit val="years"/>
      </c:dateAx>
      <c:valAx>
        <c:axId val="60468624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8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66121442858116419"/>
          <c:y val="0.15306467967696491"/>
          <c:w val="0.26056744817490574"/>
          <c:h val="0.19985523465192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Oljepris i USD (Faste)</a:t>
            </a:r>
          </a:p>
        </c:rich>
      </c:tx>
      <c:layout>
        <c:manualLayout>
          <c:xMode val="edge"/>
          <c:yMode val="edge"/>
          <c:x val="0.22882443379456854"/>
          <c:y val="0.12037027396368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Charts!$A$6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Charts!$B$5:$BQ$5</c:f>
              <c:numCache>
                <c:formatCode>@</c:formatCode>
                <c:ptCount val="6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Charts!$B$6:$BQ$6</c:f>
              <c:numCache>
                <c:formatCode>0</c:formatCode>
                <c:ptCount val="68"/>
                <c:pt idx="0">
                  <c:v>90.251068730598831</c:v>
                </c:pt>
                <c:pt idx="1">
                  <c:v>85.047828402487227</c:v>
                </c:pt>
                <c:pt idx="2">
                  <c:v>71.749300139516265</c:v>
                </c:pt>
                <c:pt idx="3">
                  <c:v>66.692499999999981</c:v>
                </c:pt>
                <c:pt idx="4">
                  <c:v>65.269343780607258</c:v>
                </c:pt>
                <c:pt idx="5">
                  <c:v>64.285812498421194</c:v>
                </c:pt>
                <c:pt idx="6">
                  <c:v>63.252490912390648</c:v>
                </c:pt>
                <c:pt idx="7">
                  <c:v>62.052929391118873</c:v>
                </c:pt>
                <c:pt idx="8">
                  <c:v>63.72792939111887</c:v>
                </c:pt>
                <c:pt idx="9">
                  <c:v>65.402929391118874</c:v>
                </c:pt>
                <c:pt idx="10">
                  <c:v>67.077929391118872</c:v>
                </c:pt>
                <c:pt idx="11">
                  <c:v>68.752929391118869</c:v>
                </c:pt>
                <c:pt idx="12">
                  <c:v>70.428062080808445</c:v>
                </c:pt>
                <c:pt idx="13">
                  <c:v>70.428062080808445</c:v>
                </c:pt>
                <c:pt idx="14">
                  <c:v>70.428062080808445</c:v>
                </c:pt>
                <c:pt idx="15">
                  <c:v>70.428062080808445</c:v>
                </c:pt>
                <c:pt idx="16">
                  <c:v>70.428062080808445</c:v>
                </c:pt>
                <c:pt idx="17">
                  <c:v>70.428062080808445</c:v>
                </c:pt>
                <c:pt idx="18">
                  <c:v>70.428062080808445</c:v>
                </c:pt>
                <c:pt idx="19">
                  <c:v>70.428062080808445</c:v>
                </c:pt>
                <c:pt idx="20">
                  <c:v>70.428062080808445</c:v>
                </c:pt>
                <c:pt idx="21">
                  <c:v>70.428062080808445</c:v>
                </c:pt>
                <c:pt idx="22">
                  <c:v>70.428062080808445</c:v>
                </c:pt>
                <c:pt idx="23">
                  <c:v>70.428062080808445</c:v>
                </c:pt>
                <c:pt idx="24">
                  <c:v>70.428062080808445</c:v>
                </c:pt>
                <c:pt idx="25">
                  <c:v>70.428062080808445</c:v>
                </c:pt>
                <c:pt idx="26">
                  <c:v>70.428062080808445</c:v>
                </c:pt>
                <c:pt idx="27">
                  <c:v>70.428062080808445</c:v>
                </c:pt>
                <c:pt idx="28">
                  <c:v>70.428062080808445</c:v>
                </c:pt>
                <c:pt idx="29">
                  <c:v>70.428062080808445</c:v>
                </c:pt>
                <c:pt idx="30">
                  <c:v>70.428062080808445</c:v>
                </c:pt>
                <c:pt idx="31">
                  <c:v>70.428062080808445</c:v>
                </c:pt>
                <c:pt idx="32">
                  <c:v>70.428062080808445</c:v>
                </c:pt>
                <c:pt idx="33">
                  <c:v>70.428062080808445</c:v>
                </c:pt>
                <c:pt idx="34">
                  <c:v>70.428062080808445</c:v>
                </c:pt>
                <c:pt idx="35">
                  <c:v>70.428062080808445</c:v>
                </c:pt>
                <c:pt idx="36">
                  <c:v>70.428062080808445</c:v>
                </c:pt>
                <c:pt idx="37">
                  <c:v>70.428062080808445</c:v>
                </c:pt>
                <c:pt idx="38">
                  <c:v>70.428062080808445</c:v>
                </c:pt>
                <c:pt idx="39">
                  <c:v>70.428062080808445</c:v>
                </c:pt>
                <c:pt idx="40">
                  <c:v>70.428062080808445</c:v>
                </c:pt>
                <c:pt idx="41">
                  <c:v>70.428062080808445</c:v>
                </c:pt>
                <c:pt idx="42">
                  <c:v>70.428062080808445</c:v>
                </c:pt>
                <c:pt idx="43">
                  <c:v>70.428062080808445</c:v>
                </c:pt>
                <c:pt idx="44">
                  <c:v>70.428062080808445</c:v>
                </c:pt>
                <c:pt idx="45">
                  <c:v>70.428062080808445</c:v>
                </c:pt>
                <c:pt idx="46">
                  <c:v>70.428062080808445</c:v>
                </c:pt>
                <c:pt idx="47">
                  <c:v>70.428062080808445</c:v>
                </c:pt>
                <c:pt idx="48">
                  <c:v>70.428062080808445</c:v>
                </c:pt>
                <c:pt idx="49">
                  <c:v>70.428062080808445</c:v>
                </c:pt>
                <c:pt idx="50">
                  <c:v>70.428062080808445</c:v>
                </c:pt>
                <c:pt idx="51">
                  <c:v>70.428062080808445</c:v>
                </c:pt>
                <c:pt idx="52">
                  <c:v>70.428062080808445</c:v>
                </c:pt>
                <c:pt idx="53">
                  <c:v>70.428062080808445</c:v>
                </c:pt>
                <c:pt idx="54">
                  <c:v>70.428062080808445</c:v>
                </c:pt>
                <c:pt idx="55">
                  <c:v>70.428062080808445</c:v>
                </c:pt>
                <c:pt idx="56">
                  <c:v>70.428062080808445</c:v>
                </c:pt>
                <c:pt idx="57">
                  <c:v>70.428062080808445</c:v>
                </c:pt>
                <c:pt idx="58">
                  <c:v>70.428062080808445</c:v>
                </c:pt>
                <c:pt idx="59">
                  <c:v>70.428062080808445</c:v>
                </c:pt>
                <c:pt idx="60">
                  <c:v>70.428062080808445</c:v>
                </c:pt>
                <c:pt idx="61">
                  <c:v>70.428062080808445</c:v>
                </c:pt>
                <c:pt idx="62">
                  <c:v>70.428062080808445</c:v>
                </c:pt>
                <c:pt idx="63">
                  <c:v>70.428062080808445</c:v>
                </c:pt>
                <c:pt idx="64">
                  <c:v>70.428062080808445</c:v>
                </c:pt>
                <c:pt idx="65">
                  <c:v>70.428062080808445</c:v>
                </c:pt>
                <c:pt idx="66">
                  <c:v>70.428062080808445</c:v>
                </c:pt>
                <c:pt idx="67">
                  <c:v>70.428062080808445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0-4E4A-9669-23D11E48C557}"/>
            </c:ext>
          </c:extLst>
        </c:ser>
        <c:ser>
          <c:idx val="1"/>
          <c:order val="1"/>
          <c:tx>
            <c:strRef>
              <c:f>Charts!$A$7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Charts!$B$5:$BQ$5</c:f>
              <c:numCache>
                <c:formatCode>@</c:formatCode>
                <c:ptCount val="6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Charts!$B$7:$BQ$7</c:f>
              <c:numCache>
                <c:formatCode>0</c:formatCode>
                <c:ptCount val="68"/>
                <c:pt idx="0">
                  <c:v>88.513501858296536</c:v>
                </c:pt>
                <c:pt idx="1">
                  <c:v>83.449414225616678</c:v>
                </c:pt>
                <c:pt idx="2">
                  <c:v>72.094609184782598</c:v>
                </c:pt>
                <c:pt idx="3">
                  <c:v>66.927499999999995</c:v>
                </c:pt>
                <c:pt idx="4">
                  <c:v>65.004897159647427</c:v>
                </c:pt>
                <c:pt idx="5">
                  <c:v>63.804570234670365</c:v>
                </c:pt>
                <c:pt idx="6">
                  <c:v>62.713812010752655</c:v>
                </c:pt>
                <c:pt idx="7">
                  <c:v>61.755096209068697</c:v>
                </c:pt>
                <c:pt idx="8">
                  <c:v>63.217986209068698</c:v>
                </c:pt>
                <c:pt idx="9">
                  <c:v>64.6808762090687</c:v>
                </c:pt>
                <c:pt idx="10">
                  <c:v>66.143766209068701</c:v>
                </c:pt>
                <c:pt idx="11">
                  <c:v>67.606656209068703</c:v>
                </c:pt>
                <c:pt idx="12">
                  <c:v>69.072152241223634</c:v>
                </c:pt>
                <c:pt idx="13">
                  <c:v>69.072152241223634</c:v>
                </c:pt>
                <c:pt idx="14">
                  <c:v>69.072152241223634</c:v>
                </c:pt>
                <c:pt idx="15">
                  <c:v>69.072152241223634</c:v>
                </c:pt>
                <c:pt idx="16">
                  <c:v>69.072152241223634</c:v>
                </c:pt>
                <c:pt idx="17">
                  <c:v>69.072152241223634</c:v>
                </c:pt>
                <c:pt idx="18">
                  <c:v>69.072152241223634</c:v>
                </c:pt>
                <c:pt idx="19">
                  <c:v>69.072152241223634</c:v>
                </c:pt>
                <c:pt idx="20">
                  <c:v>69.072152241223634</c:v>
                </c:pt>
                <c:pt idx="21">
                  <c:v>69.072152241223634</c:v>
                </c:pt>
                <c:pt idx="22">
                  <c:v>69.072152241223634</c:v>
                </c:pt>
                <c:pt idx="23">
                  <c:v>69.072152241223634</c:v>
                </c:pt>
                <c:pt idx="24">
                  <c:v>69.072152241223634</c:v>
                </c:pt>
                <c:pt idx="25">
                  <c:v>69.072152241223634</c:v>
                </c:pt>
                <c:pt idx="26">
                  <c:v>69.072152241223634</c:v>
                </c:pt>
                <c:pt idx="27">
                  <c:v>69.072152241223634</c:v>
                </c:pt>
                <c:pt idx="28">
                  <c:v>69.072152241223634</c:v>
                </c:pt>
                <c:pt idx="29">
                  <c:v>69.072152241223634</c:v>
                </c:pt>
                <c:pt idx="30">
                  <c:v>69.072152241223634</c:v>
                </c:pt>
                <c:pt idx="31">
                  <c:v>69.072152241223634</c:v>
                </c:pt>
                <c:pt idx="32">
                  <c:v>69.072152241223634</c:v>
                </c:pt>
                <c:pt idx="33">
                  <c:v>69.072152241223634</c:v>
                </c:pt>
                <c:pt idx="34">
                  <c:v>69.072152241223634</c:v>
                </c:pt>
                <c:pt idx="35">
                  <c:v>69.072152241223634</c:v>
                </c:pt>
                <c:pt idx="36">
                  <c:v>69.072152241223634</c:v>
                </c:pt>
                <c:pt idx="37">
                  <c:v>69.072152241223634</c:v>
                </c:pt>
                <c:pt idx="38">
                  <c:v>69.072152241223634</c:v>
                </c:pt>
                <c:pt idx="39">
                  <c:v>69.072152241223634</c:v>
                </c:pt>
                <c:pt idx="40">
                  <c:v>69.072152241223634</c:v>
                </c:pt>
                <c:pt idx="41">
                  <c:v>69.072152241223634</c:v>
                </c:pt>
                <c:pt idx="42">
                  <c:v>69.072152241223634</c:v>
                </c:pt>
                <c:pt idx="43">
                  <c:v>69.072152241223634</c:v>
                </c:pt>
                <c:pt idx="44">
                  <c:v>69.072152241223634</c:v>
                </c:pt>
                <c:pt idx="45">
                  <c:v>69.072152241223634</c:v>
                </c:pt>
                <c:pt idx="46">
                  <c:v>69.072152241223634</c:v>
                </c:pt>
                <c:pt idx="47">
                  <c:v>69.072152241223634</c:v>
                </c:pt>
                <c:pt idx="48">
                  <c:v>69.072152241223634</c:v>
                </c:pt>
                <c:pt idx="49">
                  <c:v>69.072152241223634</c:v>
                </c:pt>
                <c:pt idx="50">
                  <c:v>69.072152241223634</c:v>
                </c:pt>
                <c:pt idx="51">
                  <c:v>69.072152241223634</c:v>
                </c:pt>
                <c:pt idx="52">
                  <c:v>69.072152241223634</c:v>
                </c:pt>
                <c:pt idx="53">
                  <c:v>69.072152241223634</c:v>
                </c:pt>
                <c:pt idx="54">
                  <c:v>69.072152241223634</c:v>
                </c:pt>
                <c:pt idx="55">
                  <c:v>69.072152241223634</c:v>
                </c:pt>
                <c:pt idx="56">
                  <c:v>69.072152241223634</c:v>
                </c:pt>
                <c:pt idx="57">
                  <c:v>69.072152241223634</c:v>
                </c:pt>
                <c:pt idx="58">
                  <c:v>69.072152241223634</c:v>
                </c:pt>
                <c:pt idx="59">
                  <c:v>69.072152241223634</c:v>
                </c:pt>
                <c:pt idx="60">
                  <c:v>69.072152241223634</c:v>
                </c:pt>
                <c:pt idx="61">
                  <c:v>69.072152241223634</c:v>
                </c:pt>
                <c:pt idx="62">
                  <c:v>69.072152241223634</c:v>
                </c:pt>
                <c:pt idx="63">
                  <c:v>69.072152241223634</c:v>
                </c:pt>
                <c:pt idx="64">
                  <c:v>69.072152241223634</c:v>
                </c:pt>
                <c:pt idx="65">
                  <c:v>69.072152241223634</c:v>
                </c:pt>
                <c:pt idx="66">
                  <c:v>69.072152241223634</c:v>
                </c:pt>
                <c:pt idx="67">
                  <c:v>69.072152241223634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0-4E4A-9669-23D11E48C557}"/>
            </c:ext>
          </c:extLst>
        </c:ser>
        <c:ser>
          <c:idx val="2"/>
          <c:order val="2"/>
          <c:tx>
            <c:strRef>
              <c:f>Charts!$A$8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Charts!$B$5:$BQ$5</c:f>
              <c:numCache>
                <c:formatCode>@</c:formatCode>
                <c:ptCount val="6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Charts!$B$8:$BQ$8</c:f>
              <c:numCache>
                <c:formatCode>0</c:formatCode>
                <c:ptCount val="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0-4E4A-9669-23D11E48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949760"/>
        <c:axId val="1151954352"/>
      </c:lineChart>
      <c:catAx>
        <c:axId val="115194976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54352"/>
        <c:crosses val="autoZero"/>
        <c:auto val="1"/>
        <c:lblAlgn val="ctr"/>
        <c:lblOffset val="100"/>
        <c:tickLblSkip val="10"/>
        <c:noMultiLvlLbl val="0"/>
      </c:catAx>
      <c:valAx>
        <c:axId val="1151954352"/>
        <c:scaling>
          <c:orientation val="minMax"/>
          <c:min val="4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37000870443927"/>
          <c:y val="0.11604650658337126"/>
          <c:w val="0.13769102242143494"/>
          <c:h val="0.16770004989045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price, Fixed, USD/MMBtu </a:t>
            </a:r>
          </a:p>
        </c:rich>
      </c:tx>
      <c:layout>
        <c:manualLayout>
          <c:xMode val="edge"/>
          <c:yMode val="edge"/>
          <c:x val="0.37054685096345591"/>
          <c:y val="5.9196617336152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Charts!$A$134</c:f>
              <c:strCache>
                <c:ptCount val="1"/>
                <c:pt idx="0">
                  <c:v>NB26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Charts!$B$133:$BQ$133</c:f>
              <c:numCache>
                <c:formatCode>@</c:formatCode>
                <c:ptCount val="6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Charts!$B$134:$BQ$134</c:f>
              <c:numCache>
                <c:formatCode>0.00</c:formatCode>
                <c:ptCount val="68"/>
                <c:pt idx="0">
                  <c:v>14.946296028076521</c:v>
                </c:pt>
                <c:pt idx="1">
                  <c:v>11.600000000000012</c:v>
                </c:pt>
                <c:pt idx="2">
                  <c:v>13.499999999999993</c:v>
                </c:pt>
                <c:pt idx="3">
                  <c:v>10.399999999999991</c:v>
                </c:pt>
                <c:pt idx="4">
                  <c:v>8.2999999999999918</c:v>
                </c:pt>
                <c:pt idx="5">
                  <c:v>8.2999999999999918</c:v>
                </c:pt>
                <c:pt idx="6">
                  <c:v>8.2999999999999918</c:v>
                </c:pt>
                <c:pt idx="7">
                  <c:v>6.5977221038223588</c:v>
                </c:pt>
                <c:pt idx="8">
                  <c:v>6.5097521038223425</c:v>
                </c:pt>
                <c:pt idx="9">
                  <c:v>6.4217821038223528</c:v>
                </c:pt>
                <c:pt idx="10">
                  <c:v>6.3338121038223365</c:v>
                </c:pt>
                <c:pt idx="11">
                  <c:v>6.2458421038223468</c:v>
                </c:pt>
                <c:pt idx="12">
                  <c:v>6.1578721038223563</c:v>
                </c:pt>
                <c:pt idx="13">
                  <c:v>6.0699021038223409</c:v>
                </c:pt>
                <c:pt idx="14">
                  <c:v>5.9819321038223503</c:v>
                </c:pt>
                <c:pt idx="15">
                  <c:v>5.8939621038223349</c:v>
                </c:pt>
                <c:pt idx="16">
                  <c:v>5.8059921038223443</c:v>
                </c:pt>
                <c:pt idx="17">
                  <c:v>5.7180258233127033</c:v>
                </c:pt>
                <c:pt idx="18">
                  <c:v>5.7180258233127033</c:v>
                </c:pt>
                <c:pt idx="19">
                  <c:v>5.7180258233127033</c:v>
                </c:pt>
                <c:pt idx="20">
                  <c:v>5.7180258233127033</c:v>
                </c:pt>
                <c:pt idx="21">
                  <c:v>5.7180258233127033</c:v>
                </c:pt>
                <c:pt idx="22">
                  <c:v>5.7180258233127033</c:v>
                </c:pt>
                <c:pt idx="23">
                  <c:v>5.7180258233127033</c:v>
                </c:pt>
                <c:pt idx="24">
                  <c:v>5.7180258233127033</c:v>
                </c:pt>
                <c:pt idx="25">
                  <c:v>5.7180258233127033</c:v>
                </c:pt>
                <c:pt idx="26">
                  <c:v>5.7180258233127033</c:v>
                </c:pt>
                <c:pt idx="27">
                  <c:v>5.7180258233127033</c:v>
                </c:pt>
                <c:pt idx="28">
                  <c:v>5.7180258233127033</c:v>
                </c:pt>
                <c:pt idx="29">
                  <c:v>5.7180258233127033</c:v>
                </c:pt>
                <c:pt idx="30">
                  <c:v>5.7180258233127033</c:v>
                </c:pt>
                <c:pt idx="31">
                  <c:v>5.7180258233127033</c:v>
                </c:pt>
                <c:pt idx="32">
                  <c:v>5.7180258233127033</c:v>
                </c:pt>
                <c:pt idx="33">
                  <c:v>5.7180258233127033</c:v>
                </c:pt>
                <c:pt idx="34">
                  <c:v>5.7180258233127033</c:v>
                </c:pt>
                <c:pt idx="35">
                  <c:v>5.7180258233127033</c:v>
                </c:pt>
                <c:pt idx="36">
                  <c:v>5.7180258233127033</c:v>
                </c:pt>
                <c:pt idx="37">
                  <c:v>5.7180258233127033</c:v>
                </c:pt>
                <c:pt idx="38">
                  <c:v>5.7180258233127033</c:v>
                </c:pt>
                <c:pt idx="39">
                  <c:v>5.7180258233127033</c:v>
                </c:pt>
                <c:pt idx="40">
                  <c:v>5.7180258233127033</c:v>
                </c:pt>
                <c:pt idx="41">
                  <c:v>5.7180258233127033</c:v>
                </c:pt>
                <c:pt idx="42">
                  <c:v>5.7180258233127033</c:v>
                </c:pt>
                <c:pt idx="43">
                  <c:v>5.7180258233127033</c:v>
                </c:pt>
                <c:pt idx="44">
                  <c:v>5.7180258233127033</c:v>
                </c:pt>
                <c:pt idx="45">
                  <c:v>5.7180258233127033</c:v>
                </c:pt>
                <c:pt idx="46">
                  <c:v>5.7180258233127033</c:v>
                </c:pt>
                <c:pt idx="47">
                  <c:v>5.7180258233127033</c:v>
                </c:pt>
                <c:pt idx="48">
                  <c:v>5.7180258233127033</c:v>
                </c:pt>
                <c:pt idx="49">
                  <c:v>5.7180258233127033</c:v>
                </c:pt>
                <c:pt idx="50">
                  <c:v>5.7180258233127033</c:v>
                </c:pt>
                <c:pt idx="51">
                  <c:v>5.7180258233127033</c:v>
                </c:pt>
                <c:pt idx="52">
                  <c:v>5.7180258233127033</c:v>
                </c:pt>
                <c:pt idx="53">
                  <c:v>5.7180258233127033</c:v>
                </c:pt>
                <c:pt idx="54">
                  <c:v>5.7180258233127033</c:v>
                </c:pt>
                <c:pt idx="55">
                  <c:v>5.7180258233127033</c:v>
                </c:pt>
                <c:pt idx="56">
                  <c:v>5.7180258233127033</c:v>
                </c:pt>
                <c:pt idx="57">
                  <c:v>5.7180258233127033</c:v>
                </c:pt>
                <c:pt idx="58">
                  <c:v>5.7180258233127033</c:v>
                </c:pt>
                <c:pt idx="59">
                  <c:v>5.7180258233127033</c:v>
                </c:pt>
                <c:pt idx="60">
                  <c:v>5.7180258233127033</c:v>
                </c:pt>
                <c:pt idx="61">
                  <c:v>5.7180258233127033</c:v>
                </c:pt>
                <c:pt idx="62">
                  <c:v>5.7180258233127033</c:v>
                </c:pt>
                <c:pt idx="63">
                  <c:v>5.7180258233127033</c:v>
                </c:pt>
                <c:pt idx="64">
                  <c:v>5.7180258233127033</c:v>
                </c:pt>
                <c:pt idx="65">
                  <c:v>5.7180258233127033</c:v>
                </c:pt>
                <c:pt idx="66">
                  <c:v>5.7180258233127033</c:v>
                </c:pt>
                <c:pt idx="67">
                  <c:v>5.7180258233127033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1-4955-99E4-E3CE69D35929}"/>
            </c:ext>
          </c:extLst>
        </c:ser>
        <c:ser>
          <c:idx val="1"/>
          <c:order val="1"/>
          <c:tx>
            <c:strRef>
              <c:f>Charts!$A$135</c:f>
              <c:strCache>
                <c:ptCount val="1"/>
                <c:pt idx="0">
                  <c:v>RNB25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Charts!$B$133:$BQ$133</c:f>
              <c:numCache>
                <c:formatCode>@</c:formatCode>
                <c:ptCount val="6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  <c:pt idx="61">
                  <c:v>2084</c:v>
                </c:pt>
                <c:pt idx="62">
                  <c:v>2085</c:v>
                </c:pt>
                <c:pt idx="63">
                  <c:v>2086</c:v>
                </c:pt>
                <c:pt idx="64">
                  <c:v>2087</c:v>
                </c:pt>
                <c:pt idx="65">
                  <c:v>2088</c:v>
                </c:pt>
                <c:pt idx="66">
                  <c:v>2089</c:v>
                </c:pt>
                <c:pt idx="67">
                  <c:v>2090</c:v>
                </c:pt>
              </c:numCache>
            </c:numRef>
          </c:cat>
          <c:val>
            <c:numRef>
              <c:f>Charts!$B$135:$BQ$135</c:f>
              <c:numCache>
                <c:formatCode>0.00</c:formatCode>
                <c:ptCount val="68"/>
                <c:pt idx="0">
                  <c:v>14.658541110519472</c:v>
                </c:pt>
                <c:pt idx="1">
                  <c:v>11.355300000000003</c:v>
                </c:pt>
                <c:pt idx="2">
                  <c:v>13.299000000000005</c:v>
                </c:pt>
                <c:pt idx="3">
                  <c:v>10.229999999999988</c:v>
                </c:pt>
                <c:pt idx="4">
                  <c:v>8.1840000000000099</c:v>
                </c:pt>
                <c:pt idx="5">
                  <c:v>8.1840000000000099</c:v>
                </c:pt>
                <c:pt idx="6">
                  <c:v>8.1840000000000099</c:v>
                </c:pt>
                <c:pt idx="7">
                  <c:v>6.4706988616435872</c:v>
                </c:pt>
                <c:pt idx="8">
                  <c:v>6.3844190416436035</c:v>
                </c:pt>
                <c:pt idx="9">
                  <c:v>6.2981392216435967</c:v>
                </c:pt>
                <c:pt idx="10">
                  <c:v>6.2118594016435882</c:v>
                </c:pt>
                <c:pt idx="11">
                  <c:v>6.1255795816435814</c:v>
                </c:pt>
                <c:pt idx="12">
                  <c:v>6.0392997616435977</c:v>
                </c:pt>
                <c:pt idx="13">
                  <c:v>5.9530199416435909</c:v>
                </c:pt>
                <c:pt idx="14">
                  <c:v>5.8667401216435824</c:v>
                </c:pt>
                <c:pt idx="15">
                  <c:v>5.7804603016436005</c:v>
                </c:pt>
                <c:pt idx="16">
                  <c:v>5.6941804816435928</c:v>
                </c:pt>
                <c:pt idx="17">
                  <c:v>5.6079390134244536</c:v>
                </c:pt>
                <c:pt idx="18">
                  <c:v>5.6079390134244536</c:v>
                </c:pt>
                <c:pt idx="19">
                  <c:v>5.6079390134244536</c:v>
                </c:pt>
                <c:pt idx="20">
                  <c:v>5.6079390134244536</c:v>
                </c:pt>
                <c:pt idx="21">
                  <c:v>5.6079390134244536</c:v>
                </c:pt>
                <c:pt idx="22">
                  <c:v>5.6079390134244536</c:v>
                </c:pt>
                <c:pt idx="23">
                  <c:v>5.6079390134244536</c:v>
                </c:pt>
                <c:pt idx="24">
                  <c:v>5.6079390134244536</c:v>
                </c:pt>
                <c:pt idx="25">
                  <c:v>5.6079390134244536</c:v>
                </c:pt>
                <c:pt idx="26">
                  <c:v>5.6079390134244536</c:v>
                </c:pt>
                <c:pt idx="27">
                  <c:v>5.6079390134244536</c:v>
                </c:pt>
                <c:pt idx="28">
                  <c:v>5.6079390134244536</c:v>
                </c:pt>
                <c:pt idx="29">
                  <c:v>5.6079390134244536</c:v>
                </c:pt>
                <c:pt idx="30">
                  <c:v>5.6079390134244536</c:v>
                </c:pt>
                <c:pt idx="31">
                  <c:v>5.6079390134244536</c:v>
                </c:pt>
                <c:pt idx="32">
                  <c:v>5.6079390134244536</c:v>
                </c:pt>
                <c:pt idx="33">
                  <c:v>5.6079390134244536</c:v>
                </c:pt>
                <c:pt idx="34">
                  <c:v>5.6079390134244536</c:v>
                </c:pt>
                <c:pt idx="35">
                  <c:v>5.6079390134244536</c:v>
                </c:pt>
                <c:pt idx="36">
                  <c:v>5.6079390134244536</c:v>
                </c:pt>
                <c:pt idx="37">
                  <c:v>5.6079390134244536</c:v>
                </c:pt>
                <c:pt idx="38">
                  <c:v>5.6079390134244536</c:v>
                </c:pt>
                <c:pt idx="39">
                  <c:v>5.6079390134244536</c:v>
                </c:pt>
                <c:pt idx="40">
                  <c:v>5.6079390134244536</c:v>
                </c:pt>
                <c:pt idx="41">
                  <c:v>5.6079390134244536</c:v>
                </c:pt>
                <c:pt idx="42">
                  <c:v>5.6079390134244536</c:v>
                </c:pt>
                <c:pt idx="43">
                  <c:v>5.6079390134244536</c:v>
                </c:pt>
                <c:pt idx="44">
                  <c:v>5.6079390134244536</c:v>
                </c:pt>
                <c:pt idx="45">
                  <c:v>5.6079390134244536</c:v>
                </c:pt>
                <c:pt idx="46">
                  <c:v>5.6079390134244536</c:v>
                </c:pt>
                <c:pt idx="47">
                  <c:v>5.6079390134244536</c:v>
                </c:pt>
                <c:pt idx="48">
                  <c:v>5.6079390134244536</c:v>
                </c:pt>
                <c:pt idx="49">
                  <c:v>5.6079390134244536</c:v>
                </c:pt>
                <c:pt idx="50">
                  <c:v>5.6079390134244536</c:v>
                </c:pt>
                <c:pt idx="51">
                  <c:v>5.6079390134244536</c:v>
                </c:pt>
                <c:pt idx="52">
                  <c:v>5.6079390134244536</c:v>
                </c:pt>
                <c:pt idx="53">
                  <c:v>5.6079390134244536</c:v>
                </c:pt>
                <c:pt idx="54">
                  <c:v>5.6079390134244536</c:v>
                </c:pt>
                <c:pt idx="55">
                  <c:v>5.6079390134244536</c:v>
                </c:pt>
                <c:pt idx="56">
                  <c:v>5.6079390134244536</c:v>
                </c:pt>
                <c:pt idx="57">
                  <c:v>5.6079390134244536</c:v>
                </c:pt>
                <c:pt idx="58">
                  <c:v>5.6079390134244536</c:v>
                </c:pt>
                <c:pt idx="59">
                  <c:v>5.6079390134244536</c:v>
                </c:pt>
                <c:pt idx="60">
                  <c:v>5.6079390134244536</c:v>
                </c:pt>
                <c:pt idx="61">
                  <c:v>5.6079390134244536</c:v>
                </c:pt>
                <c:pt idx="62">
                  <c:v>5.6079390134244536</c:v>
                </c:pt>
                <c:pt idx="63">
                  <c:v>5.6079390134244536</c:v>
                </c:pt>
                <c:pt idx="64">
                  <c:v>5.6079390134244536</c:v>
                </c:pt>
                <c:pt idx="65">
                  <c:v>5.6079390134244536</c:v>
                </c:pt>
                <c:pt idx="66">
                  <c:v>5.6079390134244536</c:v>
                </c:pt>
                <c:pt idx="67">
                  <c:v>5.6079390134244536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1-4955-99E4-E3CE69D3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390872"/>
        <c:axId val="947386912"/>
      </c:lineChart>
      <c:catAx>
        <c:axId val="947390872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86912"/>
        <c:crosses val="autoZero"/>
        <c:auto val="1"/>
        <c:lblAlgn val="ctr"/>
        <c:lblOffset val="100"/>
        <c:tickLblSkip val="10"/>
        <c:noMultiLvlLbl val="0"/>
      </c:catAx>
      <c:valAx>
        <c:axId val="9473869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908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63460399857948679"/>
          <c:y val="0.43939360645458436"/>
          <c:w val="0.19622202580650339"/>
          <c:h val="0.13787950924739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Investeringer i oljevirksomhet</a:t>
            </a:r>
          </a:p>
        </c:rich>
      </c:tx>
      <c:layout>
        <c:manualLayout>
          <c:xMode val="edge"/>
          <c:yMode val="edge"/>
          <c:x val="0.41428571428571431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RNB01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34"/>
              <c:pt idx="0">
                <c:v>1997</c:v>
              </c:pt>
              <c:pt idx="1">
                <c:v>1998</c:v>
              </c:pt>
              <c:pt idx="2">
                <c:v>1999</c:v>
              </c:pt>
              <c:pt idx="3">
                <c:v>2000</c:v>
              </c:pt>
              <c:pt idx="4">
                <c:v>2001</c:v>
              </c:pt>
              <c:pt idx="5">
                <c:v>2002</c:v>
              </c:pt>
              <c:pt idx="6">
                <c:v>2003</c:v>
              </c:pt>
              <c:pt idx="7">
                <c:v>2004</c:v>
              </c:pt>
              <c:pt idx="8">
                <c:v>2005</c:v>
              </c:pt>
              <c:pt idx="9">
                <c:v>2006</c:v>
              </c:pt>
              <c:pt idx="10">
                <c:v>2007</c:v>
              </c:pt>
              <c:pt idx="11">
                <c:v>2008</c:v>
              </c:pt>
              <c:pt idx="12">
                <c:v>2009</c:v>
              </c:pt>
              <c:pt idx="13">
                <c:v>2010</c:v>
              </c:pt>
              <c:pt idx="14">
                <c:v>2011</c:v>
              </c:pt>
              <c:pt idx="15">
                <c:v>2012</c:v>
              </c:pt>
              <c:pt idx="16">
                <c:v>2013</c:v>
              </c:pt>
              <c:pt idx="17">
                <c:v>2014</c:v>
              </c:pt>
              <c:pt idx="18">
                <c:v>2015</c:v>
              </c:pt>
              <c:pt idx="19">
                <c:v>2016</c:v>
              </c:pt>
              <c:pt idx="20">
                <c:v>2017</c:v>
              </c:pt>
              <c:pt idx="21">
                <c:v>2018</c:v>
              </c:pt>
              <c:pt idx="22">
                <c:v>2019</c:v>
              </c:pt>
              <c:pt idx="23">
                <c:v>2020</c:v>
              </c:pt>
              <c:pt idx="24">
                <c:v>2021</c:v>
              </c:pt>
              <c:pt idx="25">
                <c:v>2022</c:v>
              </c:pt>
              <c:pt idx="26">
                <c:v>2023</c:v>
              </c:pt>
              <c:pt idx="27">
                <c:v>2024</c:v>
              </c:pt>
              <c:pt idx="28">
                <c:v>2025</c:v>
              </c:pt>
              <c:pt idx="29">
                <c:v>2026</c:v>
              </c:pt>
              <c:pt idx="30">
                <c:v>2027</c:v>
              </c:pt>
              <c:pt idx="31">
                <c:v>2028</c:v>
              </c:pt>
              <c:pt idx="32">
                <c:v>2029</c:v>
              </c:pt>
              <c:pt idx="33">
                <c:v>2030</c:v>
              </c:pt>
            </c:numLit>
          </c:cat>
          <c:val>
            <c:numLit>
              <c:formatCode>General</c:formatCode>
              <c:ptCount val="34"/>
              <c:pt idx="0">
                <c:v>62249</c:v>
              </c:pt>
              <c:pt idx="1">
                <c:v>77996</c:v>
              </c:pt>
              <c:pt idx="2">
                <c:v>62444</c:v>
              </c:pt>
              <c:pt idx="3">
                <c:v>51791</c:v>
              </c:pt>
              <c:pt idx="4">
                <c:v>51233.093116083801</c:v>
              </c:pt>
              <c:pt idx="5">
                <c:v>51233.093116083801</c:v>
              </c:pt>
              <c:pt idx="6">
                <c:v>45276.600268534603</c:v>
              </c:pt>
              <c:pt idx="7">
                <c:v>39384.615660043397</c:v>
              </c:pt>
              <c:pt idx="8">
                <c:v>34716.899925971004</c:v>
              </c:pt>
              <c:pt idx="9">
                <c:v>29193.431449087901</c:v>
              </c:pt>
              <c:pt idx="10">
                <c:v>29594.182943321801</c:v>
              </c:pt>
              <c:pt idx="11">
                <c:v>30305.1544140203</c:v>
              </c:pt>
              <c:pt idx="12">
                <c:v>32661.4846412599</c:v>
              </c:pt>
              <c:pt idx="13">
                <c:v>30203.7100822211</c:v>
              </c:pt>
              <c:pt idx="14">
                <c:v>23848.5185077524</c:v>
              </c:pt>
              <c:pt idx="15">
                <c:v>30156.5099067958</c:v>
              </c:pt>
              <c:pt idx="16">
                <c:v>33966.645466895003</c:v>
              </c:pt>
              <c:pt idx="17">
                <c:v>32335.096693656698</c:v>
              </c:pt>
              <c:pt idx="18">
                <c:v>26360.018482548501</c:v>
              </c:pt>
              <c:pt idx="19">
                <c:v>39459.7094206232</c:v>
              </c:pt>
              <c:pt idx="20">
                <c:v>38440.7247206229</c:v>
              </c:pt>
              <c:pt idx="21">
                <c:v>19617.0051068184</c:v>
              </c:pt>
              <c:pt idx="22">
                <c:v>15699.4209075614</c:v>
              </c:pt>
              <c:pt idx="23">
                <c:v>16901.063355063401</c:v>
              </c:pt>
              <c:pt idx="24">
                <c:v>16174.664823438099</c:v>
              </c:pt>
              <c:pt idx="25">
                <c:v>22637.142311179701</c:v>
              </c:pt>
              <c:pt idx="26">
                <c:v>21091.901611712801</c:v>
              </c:pt>
              <c:pt idx="27">
                <c:v>18302.822477583199</c:v>
              </c:pt>
              <c:pt idx="28">
                <c:v>19108.712789935402</c:v>
              </c:pt>
              <c:pt idx="29">
                <c:v>18387.192284921901</c:v>
              </c:pt>
              <c:pt idx="30">
                <c:v>18437.312220566</c:v>
              </c:pt>
              <c:pt idx="31">
                <c:v>18913.4762977832</c:v>
              </c:pt>
              <c:pt idx="32">
                <c:v>17176.894513038002</c:v>
              </c:pt>
              <c:pt idx="33">
                <c:v>18172.1638629398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F4C-4951-8AAB-76250FF68CC0}"/>
            </c:ext>
          </c:extLst>
        </c:ser>
        <c:ser>
          <c:idx val="1"/>
          <c:order val="1"/>
          <c:tx>
            <c:v>NB02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F4C-4951-8AAB-76250FF68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473856"/>
        <c:axId val="270487936"/>
      </c:lineChart>
      <c:catAx>
        <c:axId val="2704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048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048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Mill. 1997-kroner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04738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b-NO" sz="2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Investeringer i oljevirksomhet</a:t>
            </a:r>
            <a:endParaRPr lang="nb-NO" sz="32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b-NO" sz="2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Utenom oljeboring</a:t>
            </a:r>
          </a:p>
        </c:rich>
      </c:tx>
      <c:layout>
        <c:manualLayout>
          <c:xMode val="edge"/>
          <c:yMode val="edge"/>
          <c:x val="0.4554597701149425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HA02 før overstyring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34"/>
              <c:pt idx="0">
                <c:v>1997</c:v>
              </c:pt>
              <c:pt idx="1">
                <c:v>1998</c:v>
              </c:pt>
              <c:pt idx="2">
                <c:v>1999</c:v>
              </c:pt>
              <c:pt idx="3">
                <c:v>2000</c:v>
              </c:pt>
              <c:pt idx="4">
                <c:v>2001</c:v>
              </c:pt>
              <c:pt idx="5">
                <c:v>2002</c:v>
              </c:pt>
              <c:pt idx="6">
                <c:v>2003</c:v>
              </c:pt>
              <c:pt idx="7">
                <c:v>2004</c:v>
              </c:pt>
              <c:pt idx="8">
                <c:v>2005</c:v>
              </c:pt>
              <c:pt idx="9">
                <c:v>2006</c:v>
              </c:pt>
              <c:pt idx="10">
                <c:v>2007</c:v>
              </c:pt>
              <c:pt idx="11">
                <c:v>2008</c:v>
              </c:pt>
              <c:pt idx="12">
                <c:v>2009</c:v>
              </c:pt>
              <c:pt idx="13">
                <c:v>2010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14"/>
              <c:pt idx="0">
                <c:v>71907.584005770506</c:v>
              </c:pt>
              <c:pt idx="1">
                <c:v>87871.067655051505</c:v>
              </c:pt>
              <c:pt idx="2">
                <c:v>74509.799151839907</c:v>
              </c:pt>
              <c:pt idx="3">
                <c:v>63037.139110024596</c:v>
              </c:pt>
              <c:pt idx="4">
                <c:v>59658.731632523501</c:v>
              </c:pt>
              <c:pt idx="5">
                <c:v>59317</c:v>
              </c:pt>
              <c:pt idx="6">
                <c:v>60407.926229508201</c:v>
              </c:pt>
              <c:pt idx="7">
                <c:v>69451</c:v>
              </c:pt>
              <c:pt idx="8">
                <c:v>83432.829154133593</c:v>
              </c:pt>
              <c:pt idx="9">
                <c:v>92639.290407784807</c:v>
              </c:pt>
              <c:pt idx="10">
                <c:v>97271.254928174007</c:v>
              </c:pt>
              <c:pt idx="11">
                <c:v>97271.254928174007</c:v>
              </c:pt>
              <c:pt idx="12">
                <c:v>111861.943167399</c:v>
              </c:pt>
              <c:pt idx="13">
                <c:v>128641.23464251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23A-41F2-912F-B521B5791BD1}"/>
            </c:ext>
          </c:extLst>
        </c:ser>
        <c:ser>
          <c:idx val="1"/>
          <c:order val="1"/>
          <c:tx>
            <c:v>OED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23A-41F2-912F-B521B5791BD1}"/>
            </c:ext>
          </c:extLst>
        </c:ser>
        <c:ser>
          <c:idx val="2"/>
          <c:order val="2"/>
          <c:tx>
            <c:v>HA02 etter overstyring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23A-41F2-912F-B521B579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507392"/>
        <c:axId val="270525568"/>
      </c:lineChart>
      <c:catAx>
        <c:axId val="27050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0525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0525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Mill. 1997-kroner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0507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454828</xdr:colOff>
      <xdr:row>57</xdr:row>
      <xdr:rowOff>26193</xdr:rowOff>
    </xdr:from>
    <xdr:to>
      <xdr:col>11</xdr:col>
      <xdr:colOff>152401</xdr:colOff>
      <xdr:row>85</xdr:row>
      <xdr:rowOff>61912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385769</xdr:colOff>
      <xdr:row>228</xdr:row>
      <xdr:rowOff>1190</xdr:rowOff>
    </xdr:from>
    <xdr:to>
      <xdr:col>11</xdr:col>
      <xdr:colOff>228599</xdr:colOff>
      <xdr:row>254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440</xdr:row>
      <xdr:rowOff>8335</xdr:rowOff>
    </xdr:from>
    <xdr:to>
      <xdr:col>13</xdr:col>
      <xdr:colOff>228599</xdr:colOff>
      <xdr:row>468</xdr:row>
      <xdr:rowOff>133350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400050</xdr:colOff>
      <xdr:row>309</xdr:row>
      <xdr:rowOff>160734</xdr:rowOff>
    </xdr:from>
    <xdr:to>
      <xdr:col>12</xdr:col>
      <xdr:colOff>180975</xdr:colOff>
      <xdr:row>336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376246</xdr:colOff>
      <xdr:row>357</xdr:row>
      <xdr:rowOff>25002</xdr:rowOff>
    </xdr:from>
    <xdr:to>
      <xdr:col>13</xdr:col>
      <xdr:colOff>28575</xdr:colOff>
      <xdr:row>386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361950</xdr:colOff>
      <xdr:row>492</xdr:row>
      <xdr:rowOff>79770</xdr:rowOff>
    </xdr:from>
    <xdr:to>
      <xdr:col>11</xdr:col>
      <xdr:colOff>433386</xdr:colOff>
      <xdr:row>524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630</xdr:row>
      <xdr:rowOff>95250</xdr:rowOff>
    </xdr:from>
    <xdr:to>
      <xdr:col>13</xdr:col>
      <xdr:colOff>64294</xdr:colOff>
      <xdr:row>660</xdr:row>
      <xdr:rowOff>147637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186265</xdr:colOff>
      <xdr:row>182</xdr:row>
      <xdr:rowOff>70910</xdr:rowOff>
    </xdr:from>
    <xdr:to>
      <xdr:col>13</xdr:col>
      <xdr:colOff>125941</xdr:colOff>
      <xdr:row>208</xdr:row>
      <xdr:rowOff>81492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104775</xdr:colOff>
      <xdr:row>267</xdr:row>
      <xdr:rowOff>114300</xdr:rowOff>
    </xdr:from>
    <xdr:to>
      <xdr:col>11</xdr:col>
      <xdr:colOff>171456</xdr:colOff>
      <xdr:row>296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114300</xdr:colOff>
      <xdr:row>592</xdr:row>
      <xdr:rowOff>95250</xdr:rowOff>
    </xdr:from>
    <xdr:to>
      <xdr:col>11</xdr:col>
      <xdr:colOff>76199</xdr:colOff>
      <xdr:row>615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9530</xdr:colOff>
      <xdr:row>98</xdr:row>
      <xdr:rowOff>76200</xdr:rowOff>
    </xdr:from>
    <xdr:to>
      <xdr:col>11</xdr:col>
      <xdr:colOff>133350</xdr:colOff>
      <xdr:row>126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B44E6C-FAAD-4ED8-8C3A-62B95D50F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142875</xdr:colOff>
      <xdr:row>401</xdr:row>
      <xdr:rowOff>76200</xdr:rowOff>
    </xdr:from>
    <xdr:to>
      <xdr:col>9</xdr:col>
      <xdr:colOff>314325</xdr:colOff>
      <xdr:row>424</xdr:row>
      <xdr:rowOff>71438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132E23F-4240-407C-ABB1-DCC66C04E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247655</xdr:colOff>
      <xdr:row>543</xdr:row>
      <xdr:rowOff>109537</xdr:rowOff>
    </xdr:from>
    <xdr:to>
      <xdr:col>12</xdr:col>
      <xdr:colOff>466724</xdr:colOff>
      <xdr:row>570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B2471E-8D44-424C-B855-26FBCED11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409575</xdr:colOff>
      <xdr:row>12</xdr:row>
      <xdr:rowOff>38101</xdr:rowOff>
    </xdr:from>
    <xdr:to>
      <xdr:col>11</xdr:col>
      <xdr:colOff>352425</xdr:colOff>
      <xdr:row>40</xdr:row>
      <xdr:rowOff>114301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C430DA-6799-43C8-85C7-22999F282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342900</xdr:colOff>
      <xdr:row>141</xdr:row>
      <xdr:rowOff>123825</xdr:rowOff>
    </xdr:from>
    <xdr:to>
      <xdr:col>11</xdr:col>
      <xdr:colOff>190500</xdr:colOff>
      <xdr:row>169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57610C-1D98-2D00-8C92-093FFD4F0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43</xdr:row>
      <xdr:rowOff>123825</xdr:rowOff>
    </xdr:from>
    <xdr:to>
      <xdr:col>4</xdr:col>
      <xdr:colOff>657225</xdr:colOff>
      <xdr:row>51</xdr:row>
      <xdr:rowOff>0</xdr:rowOff>
    </xdr:to>
    <xdr:sp macro="" textlink="">
      <xdr:nvSpPr>
        <xdr:cNvPr id="11403" name="Text Box 1163">
          <a:extLst>
            <a:ext uri="{FF2B5EF4-FFF2-40B4-BE49-F238E27FC236}">
              <a16:creationId xmlns:a16="http://schemas.microsoft.com/office/drawing/2014/main" id="{00000000-0008-0000-0600-00008B2C0000}"/>
            </a:ext>
          </a:extLst>
        </xdr:cNvPr>
        <xdr:cNvSpPr txBox="1">
          <a:spLocks noChangeArrowheads="1"/>
        </xdr:cNvSpPr>
      </xdr:nvSpPr>
      <xdr:spPr bwMode="auto">
        <a:xfrm>
          <a:off x="4514850" y="6762750"/>
          <a:ext cx="2019300" cy="1171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Investeringene flyttes til eget ark, og kobles mot formuesberegningen. Venter med å slette linje 52-63 inntil det nye arket er opprettet</a:t>
          </a:r>
        </a:p>
      </xdr:txBody>
    </xdr:sp>
    <xdr:clientData/>
  </xdr:twoCellAnchor>
  <xdr:twoCellAnchor>
    <xdr:from>
      <xdr:col>35</xdr:col>
      <xdr:colOff>123825</xdr:colOff>
      <xdr:row>76</xdr:row>
      <xdr:rowOff>142875</xdr:rowOff>
    </xdr:from>
    <xdr:to>
      <xdr:col>37</xdr:col>
      <xdr:colOff>647700</xdr:colOff>
      <xdr:row>79</xdr:row>
      <xdr:rowOff>0</xdr:rowOff>
    </xdr:to>
    <xdr:sp macro="" textlink="">
      <xdr:nvSpPr>
        <xdr:cNvPr id="11427" name="Text Box 1187">
          <a:extLst>
            <a:ext uri="{FF2B5EF4-FFF2-40B4-BE49-F238E27FC236}">
              <a16:creationId xmlns:a16="http://schemas.microsoft.com/office/drawing/2014/main" id="{00000000-0008-0000-0600-0000A32C0000}"/>
            </a:ext>
          </a:extLst>
        </xdr:cNvPr>
        <xdr:cNvSpPr txBox="1">
          <a:spLocks noChangeArrowheads="1"/>
        </xdr:cNvSpPr>
      </xdr:nvSpPr>
      <xdr:spPr bwMode="auto">
        <a:xfrm>
          <a:off x="27765375" y="12163425"/>
          <a:ext cx="1819275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Markedsverdi f.o.m. 2031 er hentet fra formuesarket</a:t>
          </a:r>
        </a:p>
      </xdr:txBody>
    </xdr:sp>
    <xdr:clientData/>
  </xdr:twoCellAnchor>
  <xdr:twoCellAnchor>
    <xdr:from>
      <xdr:col>53</xdr:col>
      <xdr:colOff>57150</xdr:colOff>
      <xdr:row>50</xdr:row>
      <xdr:rowOff>28575</xdr:rowOff>
    </xdr:from>
    <xdr:to>
      <xdr:col>55</xdr:col>
      <xdr:colOff>257175</xdr:colOff>
      <xdr:row>53</xdr:row>
      <xdr:rowOff>0</xdr:rowOff>
    </xdr:to>
    <xdr:sp macro="" textlink="">
      <xdr:nvSpPr>
        <xdr:cNvPr id="11441" name="Text Box 1201">
          <a:extLst>
            <a:ext uri="{FF2B5EF4-FFF2-40B4-BE49-F238E27FC236}">
              <a16:creationId xmlns:a16="http://schemas.microsoft.com/office/drawing/2014/main" id="{00000000-0008-0000-0600-0000B12C0000}"/>
            </a:ext>
          </a:extLst>
        </xdr:cNvPr>
        <xdr:cNvSpPr txBox="1">
          <a:spLocks noChangeArrowheads="1"/>
        </xdr:cNvSpPr>
      </xdr:nvSpPr>
      <xdr:spPr bwMode="auto">
        <a:xfrm>
          <a:off x="39804975" y="9172575"/>
          <a:ext cx="1495425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Fra og med 2031 faller vareinnsatsen i takt med total produksjon</a:t>
          </a:r>
        </a:p>
      </xdr:txBody>
    </xdr:sp>
    <xdr:clientData/>
  </xdr:twoCellAnchor>
  <xdr:twoCellAnchor>
    <xdr:from>
      <xdr:col>6</xdr:col>
      <xdr:colOff>9525</xdr:colOff>
      <xdr:row>161</xdr:row>
      <xdr:rowOff>76200</xdr:rowOff>
    </xdr:from>
    <xdr:to>
      <xdr:col>11</xdr:col>
      <xdr:colOff>104775</xdr:colOff>
      <xdr:row>167</xdr:row>
      <xdr:rowOff>152400</xdr:rowOff>
    </xdr:to>
    <xdr:sp macro="" textlink="">
      <xdr:nvSpPr>
        <xdr:cNvPr id="11496" name="Text Box 1256">
          <a:extLst>
            <a:ext uri="{FF2B5EF4-FFF2-40B4-BE49-F238E27FC236}">
              <a16:creationId xmlns:a16="http://schemas.microsoft.com/office/drawing/2014/main" id="{00000000-0008-0000-0600-0000E82C0000}"/>
            </a:ext>
          </a:extLst>
        </xdr:cNvPr>
        <xdr:cNvSpPr txBox="1">
          <a:spLocks noChangeArrowheads="1"/>
        </xdr:cNvSpPr>
      </xdr:nvSpPr>
      <xdr:spPr bwMode="auto">
        <a:xfrm>
          <a:off x="7658100" y="26022300"/>
          <a:ext cx="4410075" cy="1047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 er kun gass som har underordnet nivå</a:t>
          </a:r>
        </a:p>
      </xdr:txBody>
    </xdr:sp>
    <xdr:clientData/>
  </xdr:twoCellAnchor>
  <xdr:twoCellAnchor>
    <xdr:from>
      <xdr:col>15</xdr:col>
      <xdr:colOff>123826</xdr:colOff>
      <xdr:row>199</xdr:row>
      <xdr:rowOff>37042</xdr:rowOff>
    </xdr:from>
    <xdr:to>
      <xdr:col>16</xdr:col>
      <xdr:colOff>607484</xdr:colOff>
      <xdr:row>205</xdr:row>
      <xdr:rowOff>113242</xdr:rowOff>
    </xdr:to>
    <xdr:sp macro="" textlink="">
      <xdr:nvSpPr>
        <xdr:cNvPr id="11514" name="Text Box 1274">
          <a:extLst>
            <a:ext uri="{FF2B5EF4-FFF2-40B4-BE49-F238E27FC236}">
              <a16:creationId xmlns:a16="http://schemas.microsoft.com/office/drawing/2014/main" id="{00000000-0008-0000-0600-0000FA2C0000}"/>
            </a:ext>
          </a:extLst>
        </xdr:cNvPr>
        <xdr:cNvSpPr txBox="1">
          <a:spLocks noChangeArrowheads="1"/>
        </xdr:cNvSpPr>
      </xdr:nvSpPr>
      <xdr:spPr bwMode="auto">
        <a:xfrm>
          <a:off x="14834659" y="31670625"/>
          <a:ext cx="1129242" cy="1028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Disse tallene beregnes for å finne volumvekst eksport i pst. Dvs. at det kun er behov for tallene for gasseksport?</a:t>
          </a:r>
        </a:p>
      </xdr:txBody>
    </xdr:sp>
    <xdr:clientData/>
  </xdr:twoCellAnchor>
  <xdr:twoCellAnchor>
    <xdr:from>
      <xdr:col>14</xdr:col>
      <xdr:colOff>38100</xdr:colOff>
      <xdr:row>365</xdr:row>
      <xdr:rowOff>152401</xdr:rowOff>
    </xdr:from>
    <xdr:to>
      <xdr:col>16</xdr:col>
      <xdr:colOff>142875</xdr:colOff>
      <xdr:row>368</xdr:row>
      <xdr:rowOff>161926</xdr:rowOff>
    </xdr:to>
    <xdr:sp macro="" textlink="">
      <xdr:nvSpPr>
        <xdr:cNvPr id="11573" name="Text Box 1333">
          <a:extLst>
            <a:ext uri="{FF2B5EF4-FFF2-40B4-BE49-F238E27FC236}">
              <a16:creationId xmlns:a16="http://schemas.microsoft.com/office/drawing/2014/main" id="{00000000-0008-0000-0600-0000352D0000}"/>
            </a:ext>
          </a:extLst>
        </xdr:cNvPr>
        <xdr:cNvSpPr txBox="1">
          <a:spLocks noChangeArrowheads="1"/>
        </xdr:cNvSpPr>
      </xdr:nvSpPr>
      <xdr:spPr bwMode="auto">
        <a:xfrm>
          <a:off x="13325475" y="67398901"/>
          <a:ext cx="1514475" cy="590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nb-N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Blir denne kontrollen brukt. Hvis ikke kan den slettes.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168</xdr:row>
      <xdr:rowOff>0</xdr:rowOff>
    </xdr:from>
    <xdr:to>
      <xdr:col>46</xdr:col>
      <xdr:colOff>457200</xdr:colOff>
      <xdr:row>168</xdr:row>
      <xdr:rowOff>0</xdr:rowOff>
    </xdr:to>
    <xdr:graphicFrame macro="">
      <xdr:nvGraphicFramePr>
        <xdr:cNvPr id="33325350" name="Chart 1">
          <a:extLst>
            <a:ext uri="{FF2B5EF4-FFF2-40B4-BE49-F238E27FC236}">
              <a16:creationId xmlns:a16="http://schemas.microsoft.com/office/drawing/2014/main" id="{00000000-0008-0000-0800-00002681F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168</xdr:row>
      <xdr:rowOff>0</xdr:rowOff>
    </xdr:from>
    <xdr:to>
      <xdr:col>49</xdr:col>
      <xdr:colOff>533400</xdr:colOff>
      <xdr:row>168</xdr:row>
      <xdr:rowOff>0</xdr:rowOff>
    </xdr:to>
    <xdr:graphicFrame macro="">
      <xdr:nvGraphicFramePr>
        <xdr:cNvPr id="33325351" name="Chart 2">
          <a:extLst>
            <a:ext uri="{FF2B5EF4-FFF2-40B4-BE49-F238E27FC236}">
              <a16:creationId xmlns:a16="http://schemas.microsoft.com/office/drawing/2014/main" id="{00000000-0008-0000-0800-00002781F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Petmod-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nh"/>
      <sheetName val="B Pris og  prod"/>
      <sheetName val="C Marg skatt"/>
      <sheetName val="D NR basis"/>
      <sheetName val="E Ber SDØE"/>
      <sheetName val="F Ber BPV"/>
      <sheetName val="G Ber Eksp"/>
      <sheetName val="H SNKS"/>
      <sheetName val="I Res SDØE"/>
      <sheetName val="J MODAG input"/>
      <sheetName val="K Oversikt"/>
      <sheetName val="L Basis sokkel"/>
      <sheetName val="M Basis SDØE"/>
      <sheetName val="N SDØE forrige"/>
      <sheetName val="O SDØE abs endr"/>
      <sheetName val="P SDØE pst endr"/>
      <sheetName val="Q Rapp sokkel"/>
      <sheetName val="R Figurer"/>
    </sheetNames>
    <sheetDataSet>
      <sheetData sheetId="0">
        <row r="7">
          <cell r="P7" t="str">
            <v>Data SDØE NOE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J:\OEA\PETRO\Petro-ex\BUDDATA\[Datnb02c.XLS]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opulator"/>
    </sheetNames>
    <definedNames>
      <definedName name="FAMEData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4">
    <pageSetUpPr fitToPage="1"/>
  </sheetPr>
  <dimension ref="A1:CR129"/>
  <sheetViews>
    <sheetView showOutlineSymbols="0" zoomScale="91" zoomScaleNormal="91" workbookViewId="0">
      <pane xSplit="1" ySplit="3" topLeftCell="AH4" activePane="bottomRight" state="frozen"/>
      <selection pane="topRight" activeCell="B1" sqref="B1"/>
      <selection pane="bottomLeft" activeCell="A4" sqref="A4"/>
      <selection pane="bottomRight" activeCell="BC99" sqref="BC99"/>
    </sheetView>
  </sheetViews>
  <sheetFormatPr baseColWidth="10" defaultColWidth="11.42578125" defaultRowHeight="15.75" customHeight="1" outlineLevelRow="3"/>
  <cols>
    <col min="1" max="1" width="61.7109375" style="79" customWidth="1"/>
    <col min="2" max="8" width="9.140625" style="79" hidden="1" customWidth="1"/>
    <col min="9" max="13" width="9.140625" style="79" customWidth="1"/>
    <col min="14" max="16" width="8.85546875" style="79" customWidth="1"/>
    <col min="17" max="17" width="9.5703125" style="79" customWidth="1"/>
    <col min="18" max="47" width="9.140625" style="79" customWidth="1"/>
    <col min="48" max="60" width="10.42578125" style="79" customWidth="1"/>
    <col min="61" max="65" width="11.5703125" style="79" customWidth="1"/>
    <col min="66" max="92" width="11.42578125" style="79" customWidth="1"/>
    <col min="93" max="16384" width="11.42578125" style="79"/>
  </cols>
  <sheetData>
    <row r="1" spans="1:92" ht="15.75" customHeight="1">
      <c r="B1" s="90"/>
    </row>
    <row r="2" spans="1:92" ht="15.75" customHeight="1">
      <c r="B2" s="90"/>
      <c r="D2" s="80"/>
    </row>
    <row r="3" spans="1:92" ht="15.75" customHeight="1">
      <c r="B3" s="176">
        <v>2007</v>
      </c>
      <c r="C3" s="176">
        <v>2008</v>
      </c>
      <c r="D3" s="176">
        <v>2009</v>
      </c>
      <c r="E3" s="176">
        <v>2010</v>
      </c>
      <c r="F3" s="176">
        <v>2011</v>
      </c>
      <c r="G3" s="176">
        <v>2012</v>
      </c>
      <c r="H3" s="176">
        <v>2013</v>
      </c>
      <c r="I3" s="176">
        <v>2014</v>
      </c>
      <c r="J3" s="176">
        <v>2015</v>
      </c>
      <c r="K3" s="176">
        <v>2016</v>
      </c>
      <c r="L3" s="176">
        <v>2017</v>
      </c>
      <c r="M3" s="176">
        <v>2018</v>
      </c>
      <c r="N3" s="176">
        <v>2019</v>
      </c>
      <c r="O3" s="176">
        <v>2020</v>
      </c>
      <c r="P3" s="176">
        <v>2021</v>
      </c>
      <c r="Q3" s="176">
        <v>2022</v>
      </c>
      <c r="R3" s="176">
        <v>2023</v>
      </c>
      <c r="S3" s="176">
        <v>2024</v>
      </c>
      <c r="T3" s="176">
        <v>2025</v>
      </c>
      <c r="U3" s="176">
        <v>2026</v>
      </c>
      <c r="V3" s="176">
        <v>2027</v>
      </c>
      <c r="W3" s="176">
        <v>2028</v>
      </c>
      <c r="X3" s="176">
        <v>2029</v>
      </c>
      <c r="Y3" s="176">
        <v>2030</v>
      </c>
      <c r="Z3" s="176">
        <v>2031</v>
      </c>
      <c r="AA3" s="176">
        <v>2032</v>
      </c>
      <c r="AB3" s="176">
        <v>2033</v>
      </c>
      <c r="AC3" s="176">
        <v>2034</v>
      </c>
      <c r="AD3" s="176">
        <v>2035</v>
      </c>
      <c r="AE3" s="176">
        <v>2036</v>
      </c>
      <c r="AF3" s="176">
        <v>2037</v>
      </c>
      <c r="AG3" s="176">
        <v>2038</v>
      </c>
      <c r="AH3" s="176">
        <v>2039</v>
      </c>
      <c r="AI3" s="176">
        <v>2040</v>
      </c>
      <c r="AJ3" s="176">
        <v>2041</v>
      </c>
      <c r="AK3" s="176">
        <v>2042</v>
      </c>
      <c r="AL3" s="176">
        <v>2043</v>
      </c>
      <c r="AM3" s="176">
        <v>2044</v>
      </c>
      <c r="AN3" s="176">
        <v>2045</v>
      </c>
      <c r="AO3" s="176">
        <v>2046</v>
      </c>
      <c r="AP3" s="176">
        <v>2047</v>
      </c>
      <c r="AQ3" s="176">
        <v>2048</v>
      </c>
      <c r="AR3" s="176">
        <v>2049</v>
      </c>
      <c r="AS3" s="176">
        <v>2050</v>
      </c>
      <c r="AT3" s="176">
        <v>2051</v>
      </c>
      <c r="AU3" s="176">
        <v>2052</v>
      </c>
      <c r="AV3" s="176">
        <v>2053</v>
      </c>
      <c r="AW3" s="176">
        <v>2054</v>
      </c>
      <c r="AX3" s="176">
        <v>2055</v>
      </c>
      <c r="AY3" s="176">
        <v>2056</v>
      </c>
      <c r="AZ3" s="176">
        <v>2057</v>
      </c>
      <c r="BA3" s="176">
        <v>2058</v>
      </c>
      <c r="BB3" s="176">
        <v>2059</v>
      </c>
      <c r="BC3" s="176">
        <v>2060</v>
      </c>
      <c r="BD3" s="176">
        <v>2061</v>
      </c>
      <c r="BE3" s="176">
        <v>2062</v>
      </c>
      <c r="BF3" s="176">
        <v>2063</v>
      </c>
      <c r="BG3" s="176">
        <v>2064</v>
      </c>
      <c r="BH3" s="176">
        <v>2065</v>
      </c>
      <c r="BI3" s="176">
        <v>2066</v>
      </c>
      <c r="BJ3" s="176">
        <v>2067</v>
      </c>
      <c r="BK3" s="176">
        <v>2068</v>
      </c>
      <c r="BL3" s="176">
        <v>2069</v>
      </c>
      <c r="BM3" s="176">
        <v>2070</v>
      </c>
      <c r="BN3" s="176">
        <v>2071</v>
      </c>
      <c r="BO3" s="176">
        <v>2072</v>
      </c>
      <c r="BP3" s="176">
        <v>2073</v>
      </c>
      <c r="BQ3" s="176">
        <v>2074</v>
      </c>
      <c r="BR3" s="176">
        <v>2075</v>
      </c>
      <c r="BS3" s="176">
        <v>2076</v>
      </c>
      <c r="BT3" s="176">
        <v>2077</v>
      </c>
      <c r="BU3" s="176">
        <v>2078</v>
      </c>
      <c r="BV3" s="176">
        <v>2079</v>
      </c>
      <c r="BW3" s="176">
        <v>2080</v>
      </c>
      <c r="BX3" s="176">
        <v>2081</v>
      </c>
      <c r="BY3" s="176">
        <v>2082</v>
      </c>
      <c r="BZ3" s="176">
        <v>2083</v>
      </c>
      <c r="CA3" s="176">
        <v>2084</v>
      </c>
      <c r="CB3" s="176">
        <v>2085</v>
      </c>
      <c r="CC3" s="176">
        <v>2086</v>
      </c>
      <c r="CD3" s="176">
        <v>2087</v>
      </c>
      <c r="CE3" s="176">
        <v>2088</v>
      </c>
      <c r="CF3" s="176">
        <v>2089</v>
      </c>
      <c r="CG3" s="176">
        <v>2090</v>
      </c>
      <c r="CH3" s="176"/>
      <c r="CI3" s="176"/>
      <c r="CJ3" s="176"/>
      <c r="CK3" s="176"/>
      <c r="CL3" s="176"/>
      <c r="CM3" s="176"/>
      <c r="CN3" s="176"/>
    </row>
    <row r="4" spans="1:92" ht="15.75" customHeight="1">
      <c r="A4" s="78" t="s">
        <v>579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</row>
    <row r="5" spans="1:92" ht="15.75" customHeight="1">
      <c r="A5" s="79" t="s">
        <v>580</v>
      </c>
      <c r="B5" s="176"/>
      <c r="C5" s="176"/>
      <c r="D5" s="176"/>
      <c r="E5" s="176"/>
      <c r="F5" s="176"/>
      <c r="G5" s="176"/>
      <c r="H5" s="176"/>
      <c r="I5" s="294">
        <v>60138</v>
      </c>
      <c r="J5" s="294">
        <v>37796</v>
      </c>
      <c r="K5" s="294">
        <v>21816</v>
      </c>
      <c r="L5" s="294">
        <v>34261.814952230103</v>
      </c>
      <c r="M5" s="294">
        <v>51315</v>
      </c>
      <c r="N5" s="294">
        <v>36861.545650353502</v>
      </c>
      <c r="O5" s="294">
        <v>18353.445935355601</v>
      </c>
      <c r="P5" s="294">
        <v>100738.235632399</v>
      </c>
      <c r="Q5" s="294">
        <v>278750.98912343697</v>
      </c>
      <c r="R5" s="294">
        <v>148738.99348801401</v>
      </c>
      <c r="S5" s="294">
        <v>123447.587365973</v>
      </c>
      <c r="T5" s="294">
        <v>113057.813718811</v>
      </c>
      <c r="U5" s="294">
        <v>79111.768896373702</v>
      </c>
      <c r="V5" s="294">
        <v>61731.8839471143</v>
      </c>
      <c r="W5" s="294">
        <v>53717.916898869698</v>
      </c>
      <c r="X5" s="294">
        <v>48154.134164989802</v>
      </c>
      <c r="Y5" s="294">
        <v>33976.939239703599</v>
      </c>
      <c r="Z5" s="294">
        <v>34056.199694394702</v>
      </c>
      <c r="AA5" s="294">
        <v>34943.586780177699</v>
      </c>
      <c r="AB5" s="294">
        <v>35075.417818258597</v>
      </c>
      <c r="AC5" s="294">
        <v>37388.295943001402</v>
      </c>
      <c r="AD5" s="294">
        <v>39542.571841146397</v>
      </c>
      <c r="AE5" s="294">
        <v>40283.954930579603</v>
      </c>
      <c r="AF5" s="294">
        <v>38056.096960234201</v>
      </c>
      <c r="AG5" s="294">
        <v>34508.552090750003</v>
      </c>
      <c r="AH5" s="294">
        <v>32815.230380916502</v>
      </c>
      <c r="AI5" s="294">
        <v>31607.413045214402</v>
      </c>
      <c r="AJ5" s="294">
        <v>30416.088260484601</v>
      </c>
      <c r="AK5" s="294">
        <v>27739.583594938598</v>
      </c>
      <c r="AL5" s="294">
        <v>26647.806014943399</v>
      </c>
      <c r="AM5" s="294">
        <v>24967.079909202301</v>
      </c>
      <c r="AN5" s="294">
        <v>23170.600521807701</v>
      </c>
      <c r="AO5" s="294">
        <v>21911.493008289701</v>
      </c>
      <c r="AP5" s="294">
        <v>20928.576090146002</v>
      </c>
      <c r="AQ5" s="294">
        <v>21671.311546921399</v>
      </c>
      <c r="AR5" s="294">
        <v>21645.0651498392</v>
      </c>
      <c r="AS5" s="294">
        <v>20456.331689373499</v>
      </c>
      <c r="AT5" s="475">
        <v>20912.885562249201</v>
      </c>
      <c r="AU5" s="475">
        <v>18907.423903061001</v>
      </c>
      <c r="AV5" s="475">
        <v>17694.762797921001</v>
      </c>
      <c r="AW5" s="475">
        <v>16332.8176107245</v>
      </c>
      <c r="AX5" s="475">
        <v>15475.9624697323</v>
      </c>
      <c r="AY5" s="475">
        <v>16093.911898754401</v>
      </c>
      <c r="AZ5" s="475">
        <v>15911.7872114809</v>
      </c>
      <c r="BA5" s="475">
        <v>13614.458524092899</v>
      </c>
      <c r="BB5" s="475">
        <v>12898.1073328069</v>
      </c>
      <c r="BC5" s="475">
        <v>11809.592229407101</v>
      </c>
      <c r="BD5" s="176"/>
      <c r="BE5" s="176"/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J5" s="176"/>
      <c r="CK5" s="176"/>
      <c r="CL5" s="176"/>
      <c r="CM5" s="176"/>
      <c r="CN5" s="176"/>
    </row>
    <row r="6" spans="1:92" ht="15.75" customHeight="1">
      <c r="A6" s="79" t="s">
        <v>581</v>
      </c>
      <c r="B6" s="176"/>
      <c r="C6" s="176"/>
      <c r="D6" s="176"/>
      <c r="E6" s="176"/>
      <c r="F6" s="176"/>
      <c r="G6" s="176"/>
      <c r="H6" s="176"/>
      <c r="I6" s="294">
        <v>98701</v>
      </c>
      <c r="J6" s="294">
        <v>58513</v>
      </c>
      <c r="K6" s="294">
        <v>35058</v>
      </c>
      <c r="L6" s="294">
        <v>63762.703713998599</v>
      </c>
      <c r="M6" s="294">
        <v>105445</v>
      </c>
      <c r="N6" s="294">
        <v>84676.523466024999</v>
      </c>
      <c r="O6" s="294">
        <v>-30102.968795676901</v>
      </c>
      <c r="P6" s="294">
        <v>193549.053452205</v>
      </c>
      <c r="Q6" s="294">
        <v>659385.80927069695</v>
      </c>
      <c r="R6" s="294">
        <v>319897.54596078099</v>
      </c>
      <c r="S6" s="294">
        <v>260941.741330374</v>
      </c>
      <c r="T6" s="294">
        <v>242277.94052845999</v>
      </c>
      <c r="U6" s="294">
        <v>185567.500533018</v>
      </c>
      <c r="V6" s="294">
        <v>164146.87102209299</v>
      </c>
      <c r="W6" s="294">
        <v>164228.32803355801</v>
      </c>
      <c r="X6" s="294">
        <v>151850.92505346701</v>
      </c>
      <c r="Y6" s="294">
        <v>114611.773375312</v>
      </c>
      <c r="Z6" s="294">
        <v>110678.249526652</v>
      </c>
      <c r="AA6" s="294">
        <v>106452.007586092</v>
      </c>
      <c r="AB6" s="294">
        <v>101299.095815062</v>
      </c>
      <c r="AC6" s="294">
        <v>108538.275086832</v>
      </c>
      <c r="AD6" s="294">
        <v>115480.139092392</v>
      </c>
      <c r="AE6" s="294">
        <v>118072.067250325</v>
      </c>
      <c r="AF6" s="294">
        <v>113048.899565837</v>
      </c>
      <c r="AG6" s="294">
        <v>103083.11379321601</v>
      </c>
      <c r="AH6" s="294">
        <v>95480.587189258105</v>
      </c>
      <c r="AI6" s="294">
        <v>88453.794812250504</v>
      </c>
      <c r="AJ6" s="294">
        <v>85172.444912968102</v>
      </c>
      <c r="AK6" s="294">
        <v>77329.305001896995</v>
      </c>
      <c r="AL6" s="294">
        <v>74578.952247499707</v>
      </c>
      <c r="AM6" s="294">
        <v>70614.447422733007</v>
      </c>
      <c r="AN6" s="294">
        <v>67073.079430416998</v>
      </c>
      <c r="AO6" s="294">
        <v>65724.433444997296</v>
      </c>
      <c r="AP6" s="294">
        <v>61674.243977891601</v>
      </c>
      <c r="AQ6" s="294">
        <v>63705.011052515401</v>
      </c>
      <c r="AR6" s="294">
        <v>63265.488209879702</v>
      </c>
      <c r="AS6" s="294">
        <v>61603.699620820102</v>
      </c>
      <c r="AT6" s="475">
        <v>63433.238513967597</v>
      </c>
      <c r="AU6" s="475">
        <v>59597.940842945201</v>
      </c>
      <c r="AV6" s="475">
        <v>56848.160746153597</v>
      </c>
      <c r="AW6" s="475">
        <v>52090.023980734397</v>
      </c>
      <c r="AX6" s="475">
        <v>50654.627534615996</v>
      </c>
      <c r="AY6" s="475">
        <v>53350.642826791998</v>
      </c>
      <c r="AZ6" s="475">
        <v>52052.157539294698</v>
      </c>
      <c r="BA6" s="475">
        <v>44396.376747476403</v>
      </c>
      <c r="BB6" s="475">
        <v>43820.6866972801</v>
      </c>
      <c r="BC6" s="475">
        <v>40229.362639227802</v>
      </c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76"/>
      <c r="BZ6" s="176"/>
      <c r="CA6" s="176"/>
      <c r="CB6" s="176"/>
      <c r="CC6" s="176"/>
      <c r="CD6" s="176"/>
      <c r="CE6" s="176"/>
      <c r="CF6" s="176"/>
      <c r="CG6" s="176"/>
      <c r="CH6" s="176"/>
      <c r="CI6" s="176"/>
      <c r="CJ6" s="176"/>
      <c r="CK6" s="176"/>
      <c r="CL6" s="176"/>
      <c r="CM6" s="176"/>
      <c r="CN6" s="176"/>
    </row>
    <row r="7" spans="1:92" ht="15.75" customHeight="1">
      <c r="A7" s="663" t="s">
        <v>636</v>
      </c>
      <c r="B7" s="176"/>
      <c r="C7" s="176"/>
      <c r="D7" s="176"/>
      <c r="E7" s="176"/>
      <c r="F7" s="176"/>
      <c r="G7" s="176"/>
      <c r="H7" s="176"/>
      <c r="I7" s="661">
        <v>-3805</v>
      </c>
      <c r="J7" s="661">
        <v>-4305</v>
      </c>
      <c r="K7" s="661">
        <v>-2297</v>
      </c>
      <c r="L7" s="661">
        <v>-1992.37609177487</v>
      </c>
      <c r="M7" s="661">
        <v>-1197</v>
      </c>
      <c r="N7" s="661">
        <v>-1334.59775648344</v>
      </c>
      <c r="O7" s="661">
        <v>-133.39072516736499</v>
      </c>
      <c r="P7" s="664">
        <v>-2984.1693205101328</v>
      </c>
      <c r="Q7" s="252">
        <v>-2395.6756887763599</v>
      </c>
      <c r="R7" s="252">
        <v>-2702.9706463882098</v>
      </c>
      <c r="S7" s="252">
        <v>-3208.78468146249</v>
      </c>
      <c r="T7" s="252">
        <v>-3323.4680345480301</v>
      </c>
      <c r="U7" s="252">
        <v>-4708.1237053825198</v>
      </c>
      <c r="V7" s="252">
        <v>-3186.10902910609</v>
      </c>
      <c r="W7" s="252">
        <v>-7371.3866756909601</v>
      </c>
      <c r="X7" s="252">
        <v>-8976.0046662636105</v>
      </c>
      <c r="Y7" s="252">
        <v>-15239.4727149394</v>
      </c>
      <c r="Z7" s="252">
        <v>-6534.6819608240703</v>
      </c>
      <c r="AA7" s="252">
        <v>-2464.9668544691699</v>
      </c>
      <c r="AB7" s="252">
        <v>-1935.80405786763</v>
      </c>
      <c r="AC7" s="252">
        <v>-1093.7500141442699</v>
      </c>
      <c r="AD7" s="252">
        <v>-1864.96112305613</v>
      </c>
      <c r="AE7" s="252">
        <v>-2551.7804461573201</v>
      </c>
      <c r="AF7" s="252">
        <v>-2990.4797081598199</v>
      </c>
      <c r="AG7" s="252">
        <v>-3509.3018035538198</v>
      </c>
      <c r="AH7" s="252">
        <v>-2363.5832018224</v>
      </c>
      <c r="AI7" s="252">
        <v>-1189.26262014242</v>
      </c>
      <c r="AJ7" s="252">
        <v>-1860.6842713083299</v>
      </c>
      <c r="AK7" s="252">
        <v>-2077.9027363907499</v>
      </c>
      <c r="AL7" s="252">
        <v>-940.65840861180698</v>
      </c>
      <c r="AM7" s="252">
        <v>-950.87582236654396</v>
      </c>
      <c r="AN7" s="252">
        <v>-850.94092184178896</v>
      </c>
      <c r="AO7" s="252">
        <v>-167.95633323757801</v>
      </c>
      <c r="AP7" s="252">
        <v>-644.96990878514998</v>
      </c>
      <c r="AQ7" s="252">
        <v>-4021.30834948541</v>
      </c>
      <c r="AR7" s="252">
        <v>-4932.3670906370598</v>
      </c>
      <c r="AS7" s="252">
        <v>-184.80181653148</v>
      </c>
      <c r="AT7" s="475">
        <v>-548.34446193414794</v>
      </c>
      <c r="AU7" s="475">
        <v>-411.24236262071503</v>
      </c>
      <c r="AV7" s="475">
        <v>-482.98069540239402</v>
      </c>
      <c r="AW7" s="475">
        <v>-404.459418318085</v>
      </c>
      <c r="AX7" s="475">
        <v>-269.99124419862898</v>
      </c>
      <c r="AY7" s="475">
        <v>-147.62064846204899</v>
      </c>
      <c r="AZ7" s="475">
        <v>-588.40853285061996</v>
      </c>
      <c r="BA7" s="475">
        <v>-2.75128480816646</v>
      </c>
      <c r="BB7" s="475">
        <v>-258.59974838491502</v>
      </c>
      <c r="BC7" s="475">
        <v>-312.41287730168301</v>
      </c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76"/>
      <c r="BZ7" s="176"/>
      <c r="CA7" s="176"/>
      <c r="CB7" s="176"/>
      <c r="CC7" s="176"/>
      <c r="CD7" s="176"/>
      <c r="CE7" s="176"/>
      <c r="CF7" s="176"/>
      <c r="CG7" s="176"/>
      <c r="CH7" s="176"/>
      <c r="CI7" s="176"/>
      <c r="CJ7" s="176"/>
      <c r="CK7" s="176"/>
      <c r="CL7" s="176"/>
      <c r="CM7" s="176"/>
      <c r="CN7" s="176"/>
    </row>
    <row r="8" spans="1:92" ht="15.75" customHeight="1">
      <c r="A8" s="318" t="s">
        <v>637</v>
      </c>
      <c r="B8" s="176"/>
      <c r="C8" s="176"/>
      <c r="D8" s="176"/>
      <c r="E8" s="176"/>
      <c r="F8" s="176"/>
      <c r="G8" s="176"/>
      <c r="H8" s="176"/>
      <c r="I8" s="661">
        <v>-7188</v>
      </c>
      <c r="J8" s="661">
        <v>-8132</v>
      </c>
      <c r="K8" s="661">
        <v>-4869</v>
      </c>
      <c r="L8" s="661">
        <v>-5089.2216545443298</v>
      </c>
      <c r="M8" s="661">
        <v>-4332</v>
      </c>
      <c r="N8" s="661">
        <v>-3445.0815702162699</v>
      </c>
      <c r="O8" s="662">
        <v>-161.50569381294</v>
      </c>
      <c r="P8" s="664">
        <v>-1069.1183657075701</v>
      </c>
      <c r="Q8" s="252">
        <v>-216.96911099303401</v>
      </c>
      <c r="R8" s="252">
        <v>-80.724424907626798</v>
      </c>
      <c r="S8" s="252">
        <v>-66.774000000000001</v>
      </c>
      <c r="T8" s="252">
        <v>-5396.2333372254498</v>
      </c>
      <c r="U8" s="252">
        <v>-4240.8334417182296</v>
      </c>
      <c r="V8" s="252">
        <v>-169.44800000000001</v>
      </c>
      <c r="W8" s="252">
        <v>-18.667999999999999</v>
      </c>
      <c r="X8" s="317">
        <v>0</v>
      </c>
      <c r="Y8" s="317">
        <v>0</v>
      </c>
      <c r="Z8" s="317">
        <v>0</v>
      </c>
      <c r="AA8" s="317">
        <v>0</v>
      </c>
      <c r="AB8" s="317">
        <v>0</v>
      </c>
      <c r="AC8" s="317">
        <v>0</v>
      </c>
      <c r="AD8" s="317">
        <v>0</v>
      </c>
      <c r="AE8" s="317">
        <v>0</v>
      </c>
      <c r="AF8" s="317">
        <v>0</v>
      </c>
      <c r="AG8" s="317">
        <v>0</v>
      </c>
      <c r="AH8" s="317">
        <v>0</v>
      </c>
      <c r="AI8" s="317">
        <v>0</v>
      </c>
      <c r="AJ8" s="317">
        <v>0</v>
      </c>
      <c r="AK8" s="317">
        <v>0</v>
      </c>
      <c r="AL8" s="317">
        <v>0</v>
      </c>
      <c r="AM8" s="317">
        <v>0</v>
      </c>
      <c r="AN8" s="317">
        <v>0</v>
      </c>
      <c r="AO8" s="317">
        <v>0</v>
      </c>
      <c r="AP8" s="317">
        <v>0</v>
      </c>
      <c r="AQ8" s="317">
        <v>0</v>
      </c>
      <c r="AR8" s="317">
        <v>0</v>
      </c>
      <c r="AS8" s="317">
        <v>0</v>
      </c>
      <c r="AT8" s="475">
        <v>0</v>
      </c>
      <c r="AU8" s="475">
        <v>0</v>
      </c>
      <c r="AV8" s="475">
        <v>0</v>
      </c>
      <c r="AW8" s="475">
        <v>0</v>
      </c>
      <c r="AX8" s="475">
        <v>0</v>
      </c>
      <c r="AY8" s="475">
        <v>0</v>
      </c>
      <c r="AZ8" s="475">
        <v>0</v>
      </c>
      <c r="BA8" s="475">
        <v>0</v>
      </c>
      <c r="BB8" s="475">
        <v>0</v>
      </c>
      <c r="BC8" s="475">
        <v>0</v>
      </c>
      <c r="BD8" s="176"/>
      <c r="BE8" s="176"/>
      <c r="BF8" s="176"/>
      <c r="BG8" s="176"/>
      <c r="BH8" s="176"/>
      <c r="BI8" s="176"/>
      <c r="BJ8" s="176"/>
      <c r="BK8" s="176"/>
      <c r="BL8" s="176"/>
      <c r="BM8" s="176"/>
      <c r="BN8" s="176"/>
      <c r="BO8" s="176"/>
      <c r="BP8" s="176"/>
      <c r="BQ8" s="176"/>
      <c r="BR8" s="176"/>
      <c r="BS8" s="176"/>
      <c r="BT8" s="176"/>
      <c r="BU8" s="176"/>
      <c r="BV8" s="176"/>
      <c r="BW8" s="176"/>
      <c r="BX8" s="176"/>
      <c r="BY8" s="176"/>
      <c r="BZ8" s="176"/>
      <c r="CA8" s="176"/>
      <c r="CB8" s="176"/>
      <c r="CC8" s="176"/>
      <c r="CD8" s="176"/>
      <c r="CE8" s="176"/>
      <c r="CF8" s="176"/>
      <c r="CG8" s="176"/>
      <c r="CH8" s="176"/>
      <c r="CI8" s="176"/>
      <c r="CJ8" s="176"/>
      <c r="CK8" s="176"/>
      <c r="CL8" s="176"/>
      <c r="CM8" s="176"/>
      <c r="CN8" s="176"/>
    </row>
    <row r="9" spans="1:92" ht="15.75" customHeight="1">
      <c r="A9" s="79" t="s">
        <v>28</v>
      </c>
      <c r="B9" s="80"/>
      <c r="C9" s="80"/>
      <c r="D9" s="80"/>
      <c r="E9" s="80"/>
      <c r="F9" s="80"/>
      <c r="G9" s="80"/>
      <c r="H9" s="80"/>
      <c r="I9" s="251">
        <v>0</v>
      </c>
      <c r="J9" s="251">
        <v>0</v>
      </c>
      <c r="K9" s="251">
        <v>0</v>
      </c>
      <c r="L9" s="251">
        <v>0</v>
      </c>
      <c r="M9" s="251">
        <v>0</v>
      </c>
      <c r="N9" s="251">
        <v>0</v>
      </c>
      <c r="O9" s="251">
        <v>0</v>
      </c>
      <c r="P9" s="251">
        <v>0</v>
      </c>
      <c r="Q9" s="251">
        <v>0</v>
      </c>
      <c r="R9" s="251">
        <v>0</v>
      </c>
      <c r="S9" s="251">
        <v>0</v>
      </c>
      <c r="T9" s="251">
        <v>0</v>
      </c>
      <c r="U9" s="251">
        <v>0</v>
      </c>
      <c r="V9" s="251">
        <v>0</v>
      </c>
      <c r="W9" s="251">
        <v>0</v>
      </c>
      <c r="X9" s="475">
        <v>0</v>
      </c>
      <c r="Y9" s="475">
        <v>0</v>
      </c>
      <c r="Z9" s="475">
        <v>0</v>
      </c>
      <c r="AA9" s="475">
        <v>0</v>
      </c>
      <c r="AB9" s="475">
        <v>0</v>
      </c>
      <c r="AC9" s="475">
        <v>0</v>
      </c>
      <c r="AD9" s="475">
        <v>0</v>
      </c>
      <c r="AE9" s="475">
        <v>0</v>
      </c>
      <c r="AF9" s="475">
        <v>0</v>
      </c>
      <c r="AG9" s="475">
        <v>0</v>
      </c>
      <c r="AH9" s="475">
        <v>0</v>
      </c>
      <c r="AI9" s="475">
        <v>0</v>
      </c>
      <c r="AJ9" s="475">
        <v>0</v>
      </c>
      <c r="AK9" s="475">
        <v>0</v>
      </c>
      <c r="AL9" s="475">
        <v>0</v>
      </c>
      <c r="AM9" s="475">
        <v>0</v>
      </c>
      <c r="AN9" s="475">
        <v>0</v>
      </c>
      <c r="AO9" s="475">
        <v>0</v>
      </c>
      <c r="AP9" s="475">
        <v>0</v>
      </c>
      <c r="AQ9" s="475">
        <v>0</v>
      </c>
      <c r="AR9" s="475">
        <v>0</v>
      </c>
      <c r="AS9" s="475">
        <v>0</v>
      </c>
      <c r="AT9" s="251"/>
      <c r="AU9" s="251"/>
      <c r="AV9" s="251"/>
      <c r="AW9" s="251"/>
      <c r="AX9" s="251"/>
      <c r="AY9" s="251"/>
      <c r="AZ9" s="251"/>
      <c r="BA9" s="251"/>
      <c r="BB9" s="251"/>
      <c r="BC9" s="251"/>
      <c r="BD9" s="80"/>
      <c r="BE9" s="80"/>
      <c r="BF9" s="80"/>
      <c r="BG9" s="80"/>
      <c r="BH9" s="80"/>
      <c r="BI9" s="80"/>
      <c r="BJ9" s="80"/>
      <c r="BK9" s="80"/>
      <c r="BL9" s="80"/>
      <c r="BM9" s="80"/>
    </row>
    <row r="10" spans="1:92" ht="15.75" customHeight="1">
      <c r="A10" s="79" t="s">
        <v>29</v>
      </c>
      <c r="B10" s="80"/>
      <c r="C10" s="80"/>
      <c r="D10" s="85"/>
      <c r="E10" s="85"/>
      <c r="F10" s="207"/>
      <c r="G10" s="219"/>
      <c r="H10" s="219"/>
      <c r="I10" s="252">
        <v>1766</v>
      </c>
      <c r="J10" s="252">
        <v>1636</v>
      </c>
      <c r="K10" s="252">
        <v>1500</v>
      </c>
      <c r="L10" s="252">
        <v>1359.4042240000001</v>
      </c>
      <c r="M10" s="252">
        <v>1379.8290218219199</v>
      </c>
      <c r="N10" s="252">
        <v>1488.301289</v>
      </c>
      <c r="O10" s="252">
        <v>1508.692896</v>
      </c>
      <c r="P10" s="252">
        <v>1372.14100279685</v>
      </c>
      <c r="Q10" s="252">
        <v>1209.3157819999999</v>
      </c>
      <c r="R10" s="252">
        <v>1127.203927</v>
      </c>
      <c r="S10" s="252">
        <v>1382.3287093287699</v>
      </c>
      <c r="T10" s="252">
        <v>1472.5540986575299</v>
      </c>
      <c r="U10" s="252">
        <v>1624.62615452055</v>
      </c>
      <c r="V10" s="252">
        <v>1696.2213774696299</v>
      </c>
      <c r="W10" s="252">
        <v>1879.5040931803701</v>
      </c>
      <c r="X10" s="252">
        <v>1905.7278970136999</v>
      </c>
      <c r="Y10" s="252">
        <v>1750.04125865172</v>
      </c>
      <c r="Z10" s="252">
        <v>1785.0420838247601</v>
      </c>
      <c r="AA10" s="252">
        <v>1820.7429255012501</v>
      </c>
      <c r="AB10" s="252">
        <v>1857.15778401128</v>
      </c>
      <c r="AC10" s="252">
        <v>1894.3009396914999</v>
      </c>
      <c r="AD10" s="252">
        <v>1932.18695848533</v>
      </c>
      <c r="AE10" s="252">
        <v>1970.83069765504</v>
      </c>
      <c r="AF10" s="252">
        <v>2010.2473116081401</v>
      </c>
      <c r="AG10" s="252">
        <v>2050.4522578402998</v>
      </c>
      <c r="AH10" s="252">
        <v>2091.4613029971101</v>
      </c>
      <c r="AI10" s="252">
        <v>2133.2905290570502</v>
      </c>
      <c r="AJ10" s="252">
        <v>2175.95633963819</v>
      </c>
      <c r="AK10" s="252">
        <v>2219.4754664309598</v>
      </c>
      <c r="AL10" s="252">
        <v>2263.8649757595799</v>
      </c>
      <c r="AM10" s="252">
        <v>2309.1422752747699</v>
      </c>
      <c r="AN10" s="252">
        <v>2355.32512078027</v>
      </c>
      <c r="AO10" s="252">
        <v>2402.4316231958701</v>
      </c>
      <c r="AP10" s="252">
        <v>2450.4802556597901</v>
      </c>
      <c r="AQ10" s="252">
        <v>2499.4898607729801</v>
      </c>
      <c r="AR10" s="252">
        <v>2549.4796579884401</v>
      </c>
      <c r="AS10" s="252">
        <v>2600.4692511482099</v>
      </c>
      <c r="AT10" s="251">
        <v>2652.4786361711799</v>
      </c>
      <c r="AU10" s="251">
        <v>2705.5282088946001</v>
      </c>
      <c r="AV10" s="251">
        <v>2759.63877307249</v>
      </c>
      <c r="AW10" s="251">
        <v>2814.8315485339399</v>
      </c>
      <c r="AX10" s="251">
        <v>2871.1281795046202</v>
      </c>
      <c r="AY10" s="251">
        <v>2928.55074309471</v>
      </c>
      <c r="AZ10" s="251">
        <v>2987.1217579566101</v>
      </c>
      <c r="BA10" s="251">
        <v>3046.8641931157399</v>
      </c>
      <c r="BB10" s="251">
        <v>3107.8014769780498</v>
      </c>
      <c r="BC10" s="251">
        <v>3169.95750651762</v>
      </c>
      <c r="BD10" s="80"/>
      <c r="BE10" s="80"/>
      <c r="BF10" s="80"/>
      <c r="BG10" s="80"/>
      <c r="BH10" s="80"/>
      <c r="BI10" s="80"/>
      <c r="BJ10" s="80"/>
      <c r="BK10" s="80"/>
      <c r="BL10" s="80"/>
      <c r="BM10" s="80"/>
    </row>
    <row r="11" spans="1:92" ht="15.75" customHeight="1">
      <c r="A11" s="147" t="s">
        <v>382</v>
      </c>
      <c r="B11" s="80"/>
      <c r="C11" s="87"/>
      <c r="D11" s="402"/>
      <c r="E11" s="402"/>
      <c r="F11" s="402"/>
      <c r="G11" s="403"/>
      <c r="H11" s="403"/>
      <c r="I11" s="336">
        <v>0</v>
      </c>
      <c r="J11" s="336">
        <v>0</v>
      </c>
      <c r="K11" s="336">
        <v>0</v>
      </c>
      <c r="L11" s="336">
        <v>0</v>
      </c>
      <c r="M11" s="336">
        <v>0</v>
      </c>
      <c r="N11" s="336">
        <v>0</v>
      </c>
      <c r="O11" s="336">
        <v>0</v>
      </c>
      <c r="P11" s="336">
        <v>0</v>
      </c>
      <c r="Q11" s="336">
        <v>0</v>
      </c>
      <c r="R11" s="336">
        <v>0</v>
      </c>
      <c r="S11" s="336">
        <v>0</v>
      </c>
      <c r="T11" s="336">
        <v>0</v>
      </c>
      <c r="U11" s="336">
        <v>0</v>
      </c>
      <c r="V11" s="336">
        <v>0</v>
      </c>
      <c r="W11" s="336">
        <v>0</v>
      </c>
      <c r="X11" s="336">
        <v>0</v>
      </c>
      <c r="Y11" s="336">
        <v>0</v>
      </c>
      <c r="Z11" s="336">
        <v>0</v>
      </c>
      <c r="AA11" s="336">
        <v>0</v>
      </c>
      <c r="AB11" s="336">
        <v>0</v>
      </c>
      <c r="AC11" s="336">
        <v>0</v>
      </c>
      <c r="AD11" s="336">
        <v>0</v>
      </c>
      <c r="AE11" s="336">
        <v>0</v>
      </c>
      <c r="AF11" s="336">
        <v>0</v>
      </c>
      <c r="AG11" s="336">
        <v>0</v>
      </c>
      <c r="AH11" s="336">
        <v>0</v>
      </c>
      <c r="AI11" s="336">
        <v>0</v>
      </c>
      <c r="AJ11" s="336">
        <v>0</v>
      </c>
      <c r="AK11" s="336">
        <v>0</v>
      </c>
      <c r="AL11" s="336">
        <v>0</v>
      </c>
      <c r="AM11" s="336">
        <v>0</v>
      </c>
      <c r="AN11" s="336">
        <v>0</v>
      </c>
      <c r="AO11" s="336">
        <v>0</v>
      </c>
      <c r="AP11" s="336">
        <v>0</v>
      </c>
      <c r="AQ11" s="336">
        <v>0</v>
      </c>
      <c r="AR11" s="336">
        <v>0</v>
      </c>
      <c r="AS11" s="336">
        <v>0</v>
      </c>
      <c r="AT11" s="251">
        <v>0</v>
      </c>
      <c r="AU11" s="251">
        <v>0</v>
      </c>
      <c r="AV11" s="251">
        <v>0</v>
      </c>
      <c r="AW11" s="251">
        <v>0</v>
      </c>
      <c r="AX11" s="251">
        <v>0</v>
      </c>
      <c r="AY11" s="251">
        <v>0</v>
      </c>
      <c r="AZ11" s="251">
        <v>0</v>
      </c>
      <c r="BA11" s="251">
        <v>0</v>
      </c>
      <c r="BB11" s="251">
        <v>0</v>
      </c>
      <c r="BC11" s="251">
        <v>0</v>
      </c>
      <c r="BD11" s="80"/>
      <c r="BE11" s="80"/>
      <c r="BF11" s="80"/>
      <c r="BG11" s="80"/>
      <c r="BH11" s="80"/>
      <c r="BI11" s="80"/>
      <c r="BJ11" s="80"/>
      <c r="BK11" s="80"/>
      <c r="BL11" s="80"/>
      <c r="BM11" s="80"/>
    </row>
    <row r="12" spans="1:92" ht="15.75" customHeight="1">
      <c r="A12" s="79" t="s">
        <v>30</v>
      </c>
      <c r="B12" s="80"/>
      <c r="C12" s="80"/>
      <c r="D12" s="85"/>
      <c r="E12" s="85"/>
      <c r="F12" s="84"/>
      <c r="G12" s="220"/>
      <c r="H12" s="238"/>
      <c r="I12" s="252">
        <v>4894</v>
      </c>
      <c r="J12" s="252">
        <v>5078</v>
      </c>
      <c r="K12" s="252">
        <v>5365</v>
      </c>
      <c r="L12" s="252">
        <v>5331.1905526669998</v>
      </c>
      <c r="M12" s="252">
        <v>5650.0240963751203</v>
      </c>
      <c r="N12" s="252">
        <v>5790.1281198608103</v>
      </c>
      <c r="O12" s="252">
        <v>6031.9858515378901</v>
      </c>
      <c r="P12" s="252">
        <v>5357.6102093300497</v>
      </c>
      <c r="Q12" s="252">
        <v>7082.6806609844898</v>
      </c>
      <c r="R12" s="252">
        <v>7586.99753871134</v>
      </c>
      <c r="S12" s="252">
        <v>7540.5542982201596</v>
      </c>
      <c r="T12" s="252">
        <v>9253.3619961248805</v>
      </c>
      <c r="U12" s="252">
        <v>9597.2284023121501</v>
      </c>
      <c r="V12" s="252">
        <v>9460.3313182000402</v>
      </c>
      <c r="W12" s="252">
        <v>8459.0003140441204</v>
      </c>
      <c r="X12" s="252">
        <v>7968.6141445593303</v>
      </c>
      <c r="Y12" s="252">
        <v>11153.701420405299</v>
      </c>
      <c r="Z12" s="252">
        <v>10592.4862693742</v>
      </c>
      <c r="AA12" s="252">
        <v>9681.5216242653496</v>
      </c>
      <c r="AB12" s="252">
        <v>9602.8419493236706</v>
      </c>
      <c r="AC12" s="252">
        <v>9105.9986948417409</v>
      </c>
      <c r="AD12" s="252">
        <v>8763.7090694978997</v>
      </c>
      <c r="AE12" s="252">
        <v>8839.6099947497005</v>
      </c>
      <c r="AF12" s="252">
        <v>8771.7959537016795</v>
      </c>
      <c r="AG12" s="252">
        <v>8382.0077994040294</v>
      </c>
      <c r="AH12" s="252">
        <v>8107.1451324734098</v>
      </c>
      <c r="AI12" s="252">
        <v>7144.8300680439597</v>
      </c>
      <c r="AJ12" s="252">
        <v>6382.6336328252801</v>
      </c>
      <c r="AK12" s="252">
        <v>6387.2586016785999</v>
      </c>
      <c r="AL12" s="252">
        <v>6123.7869900284004</v>
      </c>
      <c r="AM12" s="252">
        <v>5582.5921809149904</v>
      </c>
      <c r="AN12" s="252">
        <v>4944.2152774300002</v>
      </c>
      <c r="AO12" s="252">
        <v>4614.6849609267601</v>
      </c>
      <c r="AP12" s="252">
        <v>4447.8399503209002</v>
      </c>
      <c r="AQ12" s="252">
        <v>3953.3848541265102</v>
      </c>
      <c r="AR12" s="252">
        <v>3678.6206415585202</v>
      </c>
      <c r="AS12" s="252">
        <v>3399.1007150192299</v>
      </c>
      <c r="AT12" s="251">
        <v>3351.4057459702099</v>
      </c>
      <c r="AU12" s="251">
        <v>3563.7522212005001</v>
      </c>
      <c r="AV12" s="251">
        <v>3616.87681591611</v>
      </c>
      <c r="AW12" s="251">
        <v>3324.1836517289198</v>
      </c>
      <c r="AX12" s="251">
        <v>3331.7720311135599</v>
      </c>
      <c r="AY12" s="251">
        <v>3261.3247082103499</v>
      </c>
      <c r="AZ12" s="251">
        <v>3293.9936894100401</v>
      </c>
      <c r="BA12" s="251">
        <v>3396.8858623493902</v>
      </c>
      <c r="BB12" s="251">
        <v>3229.8769558962599</v>
      </c>
      <c r="BC12" s="251">
        <v>3066.4823423616199</v>
      </c>
      <c r="BD12" s="80"/>
      <c r="BE12" s="80"/>
      <c r="BF12" s="80"/>
      <c r="BG12" s="80"/>
      <c r="BH12" s="80"/>
      <c r="BI12" s="80"/>
      <c r="BJ12" s="80"/>
      <c r="BK12" s="80"/>
      <c r="BL12" s="80"/>
      <c r="BM12" s="80"/>
    </row>
    <row r="13" spans="1:92" ht="15.75" customHeight="1">
      <c r="A13" s="79" t="s">
        <v>585</v>
      </c>
      <c r="B13" s="80"/>
      <c r="C13" s="80"/>
      <c r="D13" s="85"/>
      <c r="E13" s="85"/>
      <c r="F13" s="84"/>
      <c r="G13" s="220"/>
      <c r="H13" s="238"/>
      <c r="I13" s="255">
        <f>SUM(I5:I8)</f>
        <v>147846</v>
      </c>
      <c r="J13" s="255">
        <f t="shared" ref="J13:AR13" si="0">SUM(J5:J8)</f>
        <v>83872</v>
      </c>
      <c r="K13" s="255">
        <f t="shared" si="0"/>
        <v>49708</v>
      </c>
      <c r="L13" s="255">
        <f t="shared" si="0"/>
        <v>90942.920919909491</v>
      </c>
      <c r="M13" s="255">
        <f t="shared" si="0"/>
        <v>151231</v>
      </c>
      <c r="N13" s="255">
        <f t="shared" si="0"/>
        <v>116758.38978967878</v>
      </c>
      <c r="O13" s="255">
        <f t="shared" si="0"/>
        <v>-12044.419279301605</v>
      </c>
      <c r="P13" s="255">
        <f t="shared" si="0"/>
        <v>290234.00139838632</v>
      </c>
      <c r="Q13" s="255">
        <f t="shared" si="0"/>
        <v>935524.15359436453</v>
      </c>
      <c r="R13" s="255">
        <f t="shared" si="0"/>
        <v>465852.84437749919</v>
      </c>
      <c r="S13" s="255">
        <f t="shared" si="0"/>
        <v>381113.77001488453</v>
      </c>
      <c r="T13" s="255">
        <f t="shared" si="0"/>
        <v>346616.05287549749</v>
      </c>
      <c r="U13" s="255">
        <f t="shared" si="0"/>
        <v>255730.31228229098</v>
      </c>
      <c r="V13" s="255">
        <f t="shared" si="0"/>
        <v>222523.19794010118</v>
      </c>
      <c r="W13" s="255">
        <f t="shared" si="0"/>
        <v>210556.19025673674</v>
      </c>
      <c r="X13" s="255">
        <f t="shared" si="0"/>
        <v>191029.05455219321</v>
      </c>
      <c r="Y13" s="255">
        <f t="shared" si="0"/>
        <v>133349.23990007621</v>
      </c>
      <c r="Z13" s="255">
        <f t="shared" si="0"/>
        <v>138199.76726022264</v>
      </c>
      <c r="AA13" s="255">
        <f t="shared" si="0"/>
        <v>138930.62751180053</v>
      </c>
      <c r="AB13" s="255">
        <f t="shared" si="0"/>
        <v>134438.70957545296</v>
      </c>
      <c r="AC13" s="255">
        <f t="shared" si="0"/>
        <v>144832.82101568914</v>
      </c>
      <c r="AD13" s="255">
        <f t="shared" si="0"/>
        <v>153157.74981048226</v>
      </c>
      <c r="AE13" s="255">
        <f t="shared" si="0"/>
        <v>155804.24173474728</v>
      </c>
      <c r="AF13" s="255">
        <f t="shared" si="0"/>
        <v>148114.51681791138</v>
      </c>
      <c r="AG13" s="255">
        <f t="shared" si="0"/>
        <v>134082.3640804122</v>
      </c>
      <c r="AH13" s="255">
        <f t="shared" si="0"/>
        <v>125932.2343683522</v>
      </c>
      <c r="AI13" s="255">
        <f t="shared" si="0"/>
        <v>118871.94523732249</v>
      </c>
      <c r="AJ13" s="255">
        <f t="shared" si="0"/>
        <v>113727.84890214437</v>
      </c>
      <c r="AK13" s="255">
        <f t="shared" si="0"/>
        <v>102990.98586044484</v>
      </c>
      <c r="AL13" s="255">
        <f t="shared" si="0"/>
        <v>100286.0998538313</v>
      </c>
      <c r="AM13" s="255">
        <f t="shared" si="0"/>
        <v>94630.65150956875</v>
      </c>
      <c r="AN13" s="255">
        <f t="shared" si="0"/>
        <v>89392.739030382916</v>
      </c>
      <c r="AO13" s="255">
        <f t="shared" si="0"/>
        <v>87467.970120049416</v>
      </c>
      <c r="AP13" s="255">
        <f t="shared" si="0"/>
        <v>81957.850159252455</v>
      </c>
      <c r="AQ13" s="255">
        <f t="shared" si="0"/>
        <v>81355.01424995139</v>
      </c>
      <c r="AR13" s="255">
        <f t="shared" si="0"/>
        <v>79978.186269081853</v>
      </c>
      <c r="AS13" s="255">
        <f>SUM(AS5:AS8)</f>
        <v>81875.229493662118</v>
      </c>
      <c r="AT13" s="255">
        <f t="shared" ref="AT13:BC13" si="1">SUM(AT5:AT8)</f>
        <v>83797.779614282656</v>
      </c>
      <c r="AU13" s="255">
        <f t="shared" si="1"/>
        <v>78094.122383385489</v>
      </c>
      <c r="AV13" s="255">
        <f t="shared" si="1"/>
        <v>74059.942848672203</v>
      </c>
      <c r="AW13" s="255">
        <f t="shared" si="1"/>
        <v>68018.38217314081</v>
      </c>
      <c r="AX13" s="255">
        <f t="shared" si="1"/>
        <v>65860.598760149674</v>
      </c>
      <c r="AY13" s="255">
        <f t="shared" si="1"/>
        <v>69296.934077084356</v>
      </c>
      <c r="AZ13" s="255">
        <f t="shared" si="1"/>
        <v>67375.536217924979</v>
      </c>
      <c r="BA13" s="255">
        <f t="shared" si="1"/>
        <v>58008.083986761136</v>
      </c>
      <c r="BB13" s="255">
        <f t="shared" si="1"/>
        <v>56460.194281702083</v>
      </c>
      <c r="BC13" s="255">
        <f t="shared" si="1"/>
        <v>51726.541991333215</v>
      </c>
      <c r="BD13" s="80"/>
      <c r="BE13" s="80"/>
      <c r="BF13" s="80"/>
      <c r="BG13" s="80"/>
      <c r="BH13" s="80"/>
      <c r="BI13" s="80"/>
      <c r="BJ13" s="80"/>
      <c r="BK13" s="80"/>
      <c r="BL13" s="80"/>
      <c r="BM13" s="80"/>
    </row>
    <row r="14" spans="1:92" ht="15.75" customHeight="1">
      <c r="A14" s="189" t="s">
        <v>383</v>
      </c>
      <c r="B14" s="190"/>
      <c r="C14" s="190"/>
      <c r="D14" s="190"/>
      <c r="E14" s="190"/>
      <c r="F14" s="190"/>
      <c r="G14" s="190"/>
      <c r="H14" s="190"/>
      <c r="I14" s="254">
        <f t="shared" ref="I14" si="2">SUM(I9:I12)</f>
        <v>6660</v>
      </c>
      <c r="J14" s="254">
        <f t="shared" ref="J14:AS14" si="3">SUM(J9:J12)</f>
        <v>6714</v>
      </c>
      <c r="K14" s="254">
        <f t="shared" si="3"/>
        <v>6865</v>
      </c>
      <c r="L14" s="254">
        <f t="shared" si="3"/>
        <v>6690.5947766669997</v>
      </c>
      <c r="M14" s="254">
        <f t="shared" si="3"/>
        <v>7029.8531181970402</v>
      </c>
      <c r="N14" s="254">
        <f t="shared" si="3"/>
        <v>7278.4294088608103</v>
      </c>
      <c r="O14" s="254">
        <f t="shared" si="3"/>
        <v>7540.6787475378896</v>
      </c>
      <c r="P14" s="254">
        <f t="shared" si="3"/>
        <v>6729.7512121268992</v>
      </c>
      <c r="Q14" s="254">
        <f t="shared" si="3"/>
        <v>8291.9964429844895</v>
      </c>
      <c r="R14" s="254">
        <f t="shared" si="3"/>
        <v>8714.2014657113396</v>
      </c>
      <c r="S14" s="254">
        <f t="shared" si="3"/>
        <v>8922.8830075489295</v>
      </c>
      <c r="T14" s="254">
        <f t="shared" si="3"/>
        <v>10725.916094782411</v>
      </c>
      <c r="U14" s="254">
        <f t="shared" si="3"/>
        <v>11221.854556832701</v>
      </c>
      <c r="V14" s="254">
        <f t="shared" si="3"/>
        <v>11156.55269566967</v>
      </c>
      <c r="W14" s="254">
        <f t="shared" si="3"/>
        <v>10338.504407224491</v>
      </c>
      <c r="X14" s="254">
        <f t="shared" si="3"/>
        <v>9874.3420415730307</v>
      </c>
      <c r="Y14" s="254">
        <f t="shared" si="3"/>
        <v>12903.742679057019</v>
      </c>
      <c r="Z14" s="254">
        <f t="shared" si="3"/>
        <v>12377.528353198959</v>
      </c>
      <c r="AA14" s="254">
        <f t="shared" si="3"/>
        <v>11502.2645497666</v>
      </c>
      <c r="AB14" s="254">
        <f t="shared" si="3"/>
        <v>11459.999733334951</v>
      </c>
      <c r="AC14" s="254">
        <f t="shared" si="3"/>
        <v>11000.299634533241</v>
      </c>
      <c r="AD14" s="254">
        <f t="shared" si="3"/>
        <v>10695.89602798323</v>
      </c>
      <c r="AE14" s="254">
        <f t="shared" si="3"/>
        <v>10810.44069240474</v>
      </c>
      <c r="AF14" s="254">
        <f t="shared" si="3"/>
        <v>10782.04326530982</v>
      </c>
      <c r="AG14" s="254">
        <f t="shared" si="3"/>
        <v>10432.460057244329</v>
      </c>
      <c r="AH14" s="254">
        <f t="shared" si="3"/>
        <v>10198.60643547052</v>
      </c>
      <c r="AI14" s="254">
        <f t="shared" si="3"/>
        <v>9278.1205971010095</v>
      </c>
      <c r="AJ14" s="254">
        <f t="shared" si="3"/>
        <v>8558.5899724634692</v>
      </c>
      <c r="AK14" s="254">
        <f t="shared" si="3"/>
        <v>8606.7340681095593</v>
      </c>
      <c r="AL14" s="254">
        <f t="shared" si="3"/>
        <v>8387.6519657879799</v>
      </c>
      <c r="AM14" s="254">
        <f t="shared" si="3"/>
        <v>7891.7344561897607</v>
      </c>
      <c r="AN14" s="254">
        <f t="shared" si="3"/>
        <v>7299.5403982102707</v>
      </c>
      <c r="AO14" s="254">
        <f t="shared" si="3"/>
        <v>7017.1165841226302</v>
      </c>
      <c r="AP14" s="254">
        <f t="shared" si="3"/>
        <v>6898.3202059806899</v>
      </c>
      <c r="AQ14" s="254">
        <f t="shared" si="3"/>
        <v>6452.8747148994898</v>
      </c>
      <c r="AR14" s="254">
        <f t="shared" si="3"/>
        <v>6228.1002995469607</v>
      </c>
      <c r="AS14" s="254">
        <f t="shared" si="3"/>
        <v>5999.5699661674398</v>
      </c>
      <c r="AT14" s="254">
        <f t="shared" ref="AT14:BC14" si="4">SUM(AT9:AT12)</f>
        <v>6003.8843821413902</v>
      </c>
      <c r="AU14" s="254">
        <f t="shared" si="4"/>
        <v>6269.2804300951002</v>
      </c>
      <c r="AV14" s="254">
        <f t="shared" si="4"/>
        <v>6376.5155889886</v>
      </c>
      <c r="AW14" s="254">
        <f t="shared" si="4"/>
        <v>6139.0152002628602</v>
      </c>
      <c r="AX14" s="254">
        <f t="shared" si="4"/>
        <v>6202.9002106181797</v>
      </c>
      <c r="AY14" s="254">
        <f t="shared" si="4"/>
        <v>6189.8754513050599</v>
      </c>
      <c r="AZ14" s="254">
        <f t="shared" si="4"/>
        <v>6281.1154473666502</v>
      </c>
      <c r="BA14" s="254">
        <f t="shared" si="4"/>
        <v>6443.7500554651306</v>
      </c>
      <c r="BB14" s="254">
        <f t="shared" si="4"/>
        <v>6337.6784328743097</v>
      </c>
      <c r="BC14" s="254">
        <f t="shared" si="4"/>
        <v>6236.4398488792394</v>
      </c>
      <c r="BD14" s="80"/>
      <c r="BE14" s="80"/>
      <c r="BF14" s="80"/>
      <c r="BG14" s="80"/>
      <c r="BH14" s="80"/>
      <c r="BI14" s="80"/>
      <c r="BJ14" s="80"/>
      <c r="BK14" s="80"/>
      <c r="BL14" s="80"/>
      <c r="BM14" s="80"/>
    </row>
    <row r="15" spans="1:92" ht="15.75" customHeight="1">
      <c r="A15" s="189" t="s">
        <v>33</v>
      </c>
      <c r="B15" s="190"/>
      <c r="C15" s="190"/>
      <c r="D15" s="190"/>
      <c r="E15" s="190"/>
      <c r="F15" s="190"/>
      <c r="G15" s="190"/>
      <c r="H15" s="190"/>
      <c r="I15" s="254">
        <f>I13+I14</f>
        <v>154506</v>
      </c>
      <c r="J15" s="254">
        <f t="shared" ref="J15:AR15" si="5">J13+J14</f>
        <v>90586</v>
      </c>
      <c r="K15" s="254">
        <f t="shared" si="5"/>
        <v>56573</v>
      </c>
      <c r="L15" s="254">
        <f t="shared" si="5"/>
        <v>97633.515696576491</v>
      </c>
      <c r="M15" s="254">
        <f t="shared" si="5"/>
        <v>158260.85311819703</v>
      </c>
      <c r="N15" s="254">
        <f t="shared" si="5"/>
        <v>124036.8191985396</v>
      </c>
      <c r="O15" s="254">
        <f t="shared" si="5"/>
        <v>-4503.7405317637149</v>
      </c>
      <c r="P15" s="254">
        <f t="shared" si="5"/>
        <v>296963.75261051324</v>
      </c>
      <c r="Q15" s="254">
        <f t="shared" si="5"/>
        <v>943816.15003734897</v>
      </c>
      <c r="R15" s="254">
        <f t="shared" si="5"/>
        <v>474567.04584321054</v>
      </c>
      <c r="S15" s="254">
        <f t="shared" si="5"/>
        <v>390036.65302243346</v>
      </c>
      <c r="T15" s="254">
        <f t="shared" si="5"/>
        <v>357341.96897027991</v>
      </c>
      <c r="U15" s="254">
        <f t="shared" si="5"/>
        <v>266952.1668391237</v>
      </c>
      <c r="V15" s="254">
        <f t="shared" si="5"/>
        <v>233679.75063577085</v>
      </c>
      <c r="W15" s="254">
        <f t="shared" si="5"/>
        <v>220894.69466396121</v>
      </c>
      <c r="X15" s="254">
        <f t="shared" si="5"/>
        <v>200903.39659376623</v>
      </c>
      <c r="Y15" s="254">
        <f t="shared" si="5"/>
        <v>146252.98257913324</v>
      </c>
      <c r="Z15" s="254">
        <f t="shared" si="5"/>
        <v>150577.29561342159</v>
      </c>
      <c r="AA15" s="254">
        <f t="shared" si="5"/>
        <v>150432.89206156714</v>
      </c>
      <c r="AB15" s="254">
        <f t="shared" si="5"/>
        <v>145898.70930878792</v>
      </c>
      <c r="AC15" s="254">
        <f t="shared" si="5"/>
        <v>155833.12065022238</v>
      </c>
      <c r="AD15" s="254">
        <f t="shared" si="5"/>
        <v>163853.64583846548</v>
      </c>
      <c r="AE15" s="254">
        <f t="shared" si="5"/>
        <v>166614.68242715203</v>
      </c>
      <c r="AF15" s="254">
        <f t="shared" si="5"/>
        <v>158896.56008322121</v>
      </c>
      <c r="AG15" s="254">
        <f t="shared" si="5"/>
        <v>144514.82413765651</v>
      </c>
      <c r="AH15" s="254">
        <f t="shared" si="5"/>
        <v>136130.84080382274</v>
      </c>
      <c r="AI15" s="254">
        <f t="shared" si="5"/>
        <v>128150.0658344235</v>
      </c>
      <c r="AJ15" s="254">
        <f t="shared" si="5"/>
        <v>122286.43887460783</v>
      </c>
      <c r="AK15" s="254">
        <f t="shared" si="5"/>
        <v>111597.7199285544</v>
      </c>
      <c r="AL15" s="254">
        <f t="shared" si="5"/>
        <v>108673.75181961928</v>
      </c>
      <c r="AM15" s="254">
        <f t="shared" si="5"/>
        <v>102522.38596575851</v>
      </c>
      <c r="AN15" s="254">
        <f t="shared" si="5"/>
        <v>96692.279428593189</v>
      </c>
      <c r="AO15" s="254">
        <f t="shared" si="5"/>
        <v>94485.086704172048</v>
      </c>
      <c r="AP15" s="254">
        <f t="shared" si="5"/>
        <v>88856.170365233149</v>
      </c>
      <c r="AQ15" s="254">
        <f t="shared" si="5"/>
        <v>87807.888964850878</v>
      </c>
      <c r="AR15" s="254">
        <f t="shared" si="5"/>
        <v>86206.286568628813</v>
      </c>
      <c r="AS15" s="254">
        <f>AS13+AS14</f>
        <v>87874.799459829563</v>
      </c>
      <c r="AT15" s="254">
        <f t="shared" ref="AT15:BC15" si="6">AT13+AT14</f>
        <v>89801.663996424046</v>
      </c>
      <c r="AU15" s="254">
        <f t="shared" si="6"/>
        <v>84363.402813480585</v>
      </c>
      <c r="AV15" s="254">
        <f t="shared" si="6"/>
        <v>80436.458437660796</v>
      </c>
      <c r="AW15" s="254">
        <f t="shared" si="6"/>
        <v>74157.39737340367</v>
      </c>
      <c r="AX15" s="254">
        <f t="shared" si="6"/>
        <v>72063.498970767861</v>
      </c>
      <c r="AY15" s="254">
        <f t="shared" si="6"/>
        <v>75486.809528389422</v>
      </c>
      <c r="AZ15" s="254">
        <f t="shared" si="6"/>
        <v>73656.651665291633</v>
      </c>
      <c r="BA15" s="254">
        <f t="shared" si="6"/>
        <v>64451.83404222627</v>
      </c>
      <c r="BB15" s="254">
        <f t="shared" si="6"/>
        <v>62797.872714576391</v>
      </c>
      <c r="BC15" s="254">
        <f t="shared" si="6"/>
        <v>57962.981840212451</v>
      </c>
      <c r="BD15" s="80"/>
      <c r="BE15" s="80"/>
      <c r="BF15" s="80"/>
      <c r="BG15" s="80"/>
      <c r="BH15" s="80"/>
      <c r="BI15" s="80"/>
      <c r="BJ15" s="80"/>
      <c r="BK15" s="80"/>
      <c r="BL15" s="80"/>
      <c r="BM15" s="80"/>
    </row>
    <row r="16" spans="1:92" ht="15.75" customHeight="1">
      <c r="A16" s="10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182"/>
      <c r="R16" s="182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</row>
    <row r="17" spans="1:65" ht="15.75" customHeight="1">
      <c r="A17" s="10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</row>
    <row r="18" spans="1:65" ht="15.75" customHeight="1">
      <c r="A18" s="78" t="s">
        <v>582</v>
      </c>
      <c r="B18" s="80"/>
      <c r="D18" s="80"/>
    </row>
    <row r="19" spans="1:65" ht="15.75" customHeight="1">
      <c r="A19" s="79" t="s">
        <v>39</v>
      </c>
      <c r="B19" s="87"/>
      <c r="C19" s="87"/>
      <c r="D19" s="87"/>
      <c r="E19" s="87"/>
      <c r="F19" s="87"/>
      <c r="G19" s="87"/>
      <c r="H19" s="87"/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  <c r="AG19" s="87">
        <v>0</v>
      </c>
      <c r="AH19" s="87">
        <v>0</v>
      </c>
      <c r="AI19" s="87">
        <v>0</v>
      </c>
      <c r="AJ19" s="87">
        <v>0</v>
      </c>
      <c r="AK19" s="87">
        <v>0</v>
      </c>
      <c r="AL19" s="87">
        <v>0</v>
      </c>
      <c r="AM19" s="87">
        <v>0</v>
      </c>
      <c r="AN19" s="87">
        <v>0</v>
      </c>
      <c r="AO19" s="87">
        <v>0</v>
      </c>
      <c r="AP19" s="87">
        <v>0</v>
      </c>
      <c r="AQ19" s="87">
        <v>0</v>
      </c>
      <c r="AR19" s="87">
        <v>0</v>
      </c>
      <c r="AS19" s="87">
        <v>0</v>
      </c>
      <c r="AT19" s="87">
        <v>0</v>
      </c>
      <c r="AU19" s="87">
        <v>0</v>
      </c>
      <c r="AV19" s="87">
        <v>0</v>
      </c>
      <c r="AW19" s="87">
        <v>0</v>
      </c>
      <c r="AX19" s="87">
        <v>0</v>
      </c>
      <c r="AY19" s="87">
        <v>0</v>
      </c>
      <c r="AZ19" s="87">
        <v>0</v>
      </c>
      <c r="BA19" s="87">
        <v>0</v>
      </c>
      <c r="BB19" s="87">
        <v>0</v>
      </c>
      <c r="BC19" s="87">
        <v>0</v>
      </c>
    </row>
    <row r="20" spans="1:65" ht="15.75" customHeight="1">
      <c r="A20" s="253" t="s">
        <v>583</v>
      </c>
      <c r="B20" s="80"/>
      <c r="C20" s="80"/>
      <c r="D20" s="80"/>
      <c r="E20" s="80"/>
      <c r="F20" s="80"/>
      <c r="G20" s="80"/>
      <c r="H20" s="80"/>
      <c r="I20" s="258">
        <f t="shared" ref="I20:J20" si="7">I5</f>
        <v>60138</v>
      </c>
      <c r="J20" s="258">
        <f t="shared" si="7"/>
        <v>37796</v>
      </c>
      <c r="K20" s="258">
        <f t="shared" ref="K20:K25" si="8">K5</f>
        <v>21816</v>
      </c>
      <c r="L20" s="258">
        <f t="shared" ref="L20:AS20" si="9">L5</f>
        <v>34261.814952230103</v>
      </c>
      <c r="M20" s="258">
        <f t="shared" si="9"/>
        <v>51315</v>
      </c>
      <c r="N20" s="258">
        <f t="shared" si="9"/>
        <v>36861.545650353502</v>
      </c>
      <c r="O20" s="258">
        <f t="shared" ref="O20:S20" si="10">O5</f>
        <v>18353.445935355601</v>
      </c>
      <c r="P20" s="258">
        <f t="shared" si="10"/>
        <v>100738.235632399</v>
      </c>
      <c r="Q20" s="258">
        <f t="shared" si="10"/>
        <v>278750.98912343697</v>
      </c>
      <c r="R20" s="258">
        <f t="shared" si="10"/>
        <v>148738.99348801401</v>
      </c>
      <c r="S20" s="258">
        <f t="shared" si="10"/>
        <v>123447.587365973</v>
      </c>
      <c r="T20" s="676">
        <v>107392</v>
      </c>
      <c r="U20" s="258">
        <f t="shared" si="9"/>
        <v>79111.768896373702</v>
      </c>
      <c r="V20" s="258">
        <f t="shared" si="9"/>
        <v>61731.8839471143</v>
      </c>
      <c r="W20" s="258">
        <f t="shared" si="9"/>
        <v>53717.916898869698</v>
      </c>
      <c r="X20" s="258">
        <f t="shared" si="9"/>
        <v>48154.134164989802</v>
      </c>
      <c r="Y20" s="258">
        <f t="shared" si="9"/>
        <v>33976.939239703599</v>
      </c>
      <c r="Z20" s="258">
        <f t="shared" si="9"/>
        <v>34056.199694394702</v>
      </c>
      <c r="AA20" s="258">
        <f t="shared" si="9"/>
        <v>34943.586780177699</v>
      </c>
      <c r="AB20" s="258">
        <f t="shared" si="9"/>
        <v>35075.417818258597</v>
      </c>
      <c r="AC20" s="258">
        <f t="shared" si="9"/>
        <v>37388.295943001402</v>
      </c>
      <c r="AD20" s="258">
        <f t="shared" si="9"/>
        <v>39542.571841146397</v>
      </c>
      <c r="AE20" s="258">
        <f t="shared" si="9"/>
        <v>40283.954930579603</v>
      </c>
      <c r="AF20" s="258">
        <f t="shared" si="9"/>
        <v>38056.096960234201</v>
      </c>
      <c r="AG20" s="258">
        <f t="shared" si="9"/>
        <v>34508.552090750003</v>
      </c>
      <c r="AH20" s="258">
        <f t="shared" si="9"/>
        <v>32815.230380916502</v>
      </c>
      <c r="AI20" s="258">
        <f t="shared" si="9"/>
        <v>31607.413045214402</v>
      </c>
      <c r="AJ20" s="258">
        <f t="shared" si="9"/>
        <v>30416.088260484601</v>
      </c>
      <c r="AK20" s="258">
        <f t="shared" si="9"/>
        <v>27739.583594938598</v>
      </c>
      <c r="AL20" s="258">
        <f t="shared" si="9"/>
        <v>26647.806014943399</v>
      </c>
      <c r="AM20" s="258">
        <f t="shared" si="9"/>
        <v>24967.079909202301</v>
      </c>
      <c r="AN20" s="258">
        <f t="shared" si="9"/>
        <v>23170.600521807701</v>
      </c>
      <c r="AO20" s="258">
        <f t="shared" si="9"/>
        <v>21911.493008289701</v>
      </c>
      <c r="AP20" s="258">
        <f t="shared" si="9"/>
        <v>20928.576090146002</v>
      </c>
      <c r="AQ20" s="258">
        <f t="shared" si="9"/>
        <v>21671.311546921399</v>
      </c>
      <c r="AR20" s="258">
        <f t="shared" si="9"/>
        <v>21645.0651498392</v>
      </c>
      <c r="AS20" s="258">
        <f t="shared" si="9"/>
        <v>20456.331689373499</v>
      </c>
      <c r="AT20" s="258">
        <f t="shared" ref="AT20:BC20" si="11">AT5</f>
        <v>20912.885562249201</v>
      </c>
      <c r="AU20" s="258">
        <f t="shared" si="11"/>
        <v>18907.423903061001</v>
      </c>
      <c r="AV20" s="258">
        <f t="shared" si="11"/>
        <v>17694.762797921001</v>
      </c>
      <c r="AW20" s="258">
        <f t="shared" si="11"/>
        <v>16332.8176107245</v>
      </c>
      <c r="AX20" s="258">
        <f t="shared" si="11"/>
        <v>15475.9624697323</v>
      </c>
      <c r="AY20" s="258">
        <f t="shared" si="11"/>
        <v>16093.911898754401</v>
      </c>
      <c r="AZ20" s="258">
        <f t="shared" si="11"/>
        <v>15911.7872114809</v>
      </c>
      <c r="BA20" s="258">
        <f t="shared" si="11"/>
        <v>13614.458524092899</v>
      </c>
      <c r="BB20" s="258">
        <f t="shared" si="11"/>
        <v>12898.1073328069</v>
      </c>
      <c r="BC20" s="258">
        <f t="shared" si="11"/>
        <v>11809.592229407101</v>
      </c>
    </row>
    <row r="21" spans="1:65" ht="15.75" customHeight="1">
      <c r="A21" s="665" t="s">
        <v>584</v>
      </c>
      <c r="B21" s="80"/>
      <c r="C21" s="80"/>
      <c r="D21" s="80"/>
      <c r="E21" s="80"/>
      <c r="F21" s="80"/>
      <c r="G21" s="80"/>
      <c r="H21" s="80"/>
      <c r="I21" s="258">
        <f t="shared" ref="I21:J21" si="12">I6</f>
        <v>98701</v>
      </c>
      <c r="J21" s="258">
        <f t="shared" si="12"/>
        <v>58513</v>
      </c>
      <c r="K21" s="258">
        <f t="shared" si="8"/>
        <v>35058</v>
      </c>
      <c r="L21" s="258">
        <f t="shared" ref="L21:AS21" si="13">L6</f>
        <v>63762.703713998599</v>
      </c>
      <c r="M21" s="258">
        <f t="shared" si="13"/>
        <v>105445</v>
      </c>
      <c r="N21" s="258">
        <f t="shared" si="13"/>
        <v>84676.523466024999</v>
      </c>
      <c r="O21" s="258">
        <f t="shared" ref="O21:S21" si="14">O6</f>
        <v>-30102.968795676901</v>
      </c>
      <c r="P21" s="258">
        <f t="shared" si="14"/>
        <v>193549.053452205</v>
      </c>
      <c r="Q21" s="258">
        <f t="shared" si="14"/>
        <v>659385.80927069695</v>
      </c>
      <c r="R21" s="258">
        <f t="shared" si="14"/>
        <v>319897.54596078099</v>
      </c>
      <c r="S21" s="258">
        <f t="shared" si="14"/>
        <v>260941.741330374</v>
      </c>
      <c r="T21" s="676">
        <v>228208.00000000003</v>
      </c>
      <c r="U21" s="258">
        <f t="shared" si="13"/>
        <v>185567.500533018</v>
      </c>
      <c r="V21" s="258">
        <f t="shared" si="13"/>
        <v>164146.87102209299</v>
      </c>
      <c r="W21" s="258">
        <f t="shared" si="13"/>
        <v>164228.32803355801</v>
      </c>
      <c r="X21" s="258">
        <f t="shared" si="13"/>
        <v>151850.92505346701</v>
      </c>
      <c r="Y21" s="258">
        <f t="shared" si="13"/>
        <v>114611.773375312</v>
      </c>
      <c r="Z21" s="258">
        <f t="shared" si="13"/>
        <v>110678.249526652</v>
      </c>
      <c r="AA21" s="258">
        <f t="shared" si="13"/>
        <v>106452.007586092</v>
      </c>
      <c r="AB21" s="258">
        <f t="shared" si="13"/>
        <v>101299.095815062</v>
      </c>
      <c r="AC21" s="258">
        <f t="shared" si="13"/>
        <v>108538.275086832</v>
      </c>
      <c r="AD21" s="258">
        <f t="shared" si="13"/>
        <v>115480.139092392</v>
      </c>
      <c r="AE21" s="258">
        <f t="shared" si="13"/>
        <v>118072.067250325</v>
      </c>
      <c r="AF21" s="258">
        <f t="shared" si="13"/>
        <v>113048.899565837</v>
      </c>
      <c r="AG21" s="258">
        <f t="shared" si="13"/>
        <v>103083.11379321601</v>
      </c>
      <c r="AH21" s="258">
        <f t="shared" si="13"/>
        <v>95480.587189258105</v>
      </c>
      <c r="AI21" s="258">
        <f t="shared" si="13"/>
        <v>88453.794812250504</v>
      </c>
      <c r="AJ21" s="258">
        <f t="shared" si="13"/>
        <v>85172.444912968102</v>
      </c>
      <c r="AK21" s="258">
        <f t="shared" si="13"/>
        <v>77329.305001896995</v>
      </c>
      <c r="AL21" s="258">
        <f t="shared" si="13"/>
        <v>74578.952247499707</v>
      </c>
      <c r="AM21" s="258">
        <f t="shared" si="13"/>
        <v>70614.447422733007</v>
      </c>
      <c r="AN21" s="258">
        <f t="shared" si="13"/>
        <v>67073.079430416998</v>
      </c>
      <c r="AO21" s="258">
        <f t="shared" si="13"/>
        <v>65724.433444997296</v>
      </c>
      <c r="AP21" s="258">
        <f t="shared" si="13"/>
        <v>61674.243977891601</v>
      </c>
      <c r="AQ21" s="258">
        <f t="shared" si="13"/>
        <v>63705.011052515401</v>
      </c>
      <c r="AR21" s="258">
        <f t="shared" si="13"/>
        <v>63265.488209879702</v>
      </c>
      <c r="AS21" s="258">
        <f t="shared" si="13"/>
        <v>61603.699620820102</v>
      </c>
      <c r="AT21" s="258">
        <f t="shared" ref="AT21:BC21" si="15">AT6</f>
        <v>63433.238513967597</v>
      </c>
      <c r="AU21" s="258">
        <f t="shared" si="15"/>
        <v>59597.940842945201</v>
      </c>
      <c r="AV21" s="258">
        <f t="shared" si="15"/>
        <v>56848.160746153597</v>
      </c>
      <c r="AW21" s="258">
        <f t="shared" si="15"/>
        <v>52090.023980734397</v>
      </c>
      <c r="AX21" s="258">
        <f t="shared" si="15"/>
        <v>50654.627534615996</v>
      </c>
      <c r="AY21" s="258">
        <f t="shared" si="15"/>
        <v>53350.642826791998</v>
      </c>
      <c r="AZ21" s="258">
        <f t="shared" si="15"/>
        <v>52052.157539294698</v>
      </c>
      <c r="BA21" s="258">
        <f t="shared" si="15"/>
        <v>44396.376747476403</v>
      </c>
      <c r="BB21" s="258">
        <f t="shared" si="15"/>
        <v>43820.6866972801</v>
      </c>
      <c r="BC21" s="258">
        <f t="shared" si="15"/>
        <v>40229.362639227802</v>
      </c>
    </row>
    <row r="22" spans="1:65" ht="15.75" customHeight="1">
      <c r="A22" s="663" t="s">
        <v>636</v>
      </c>
      <c r="B22" s="80"/>
      <c r="C22" s="80"/>
      <c r="D22" s="80"/>
      <c r="E22" s="80"/>
      <c r="F22" s="80"/>
      <c r="G22" s="80"/>
      <c r="H22" s="80"/>
      <c r="I22" s="258">
        <f t="shared" ref="I22:J22" si="16">I7</f>
        <v>-3805</v>
      </c>
      <c r="J22" s="258">
        <f t="shared" si="16"/>
        <v>-4305</v>
      </c>
      <c r="K22" s="258">
        <f t="shared" si="8"/>
        <v>-2297</v>
      </c>
      <c r="L22" s="258">
        <f t="shared" ref="L22:AS22" si="17">L7</f>
        <v>-1992.37609177487</v>
      </c>
      <c r="M22" s="258">
        <f t="shared" si="17"/>
        <v>-1197</v>
      </c>
      <c r="N22" s="258">
        <f t="shared" ref="N22" si="18">N7</f>
        <v>-1334.59775648344</v>
      </c>
      <c r="O22" s="258">
        <f t="shared" si="17"/>
        <v>-133.39072516736499</v>
      </c>
      <c r="P22" s="258">
        <f t="shared" si="17"/>
        <v>-2984.1693205101328</v>
      </c>
      <c r="Q22" s="258">
        <f t="shared" si="17"/>
        <v>-2395.6756887763599</v>
      </c>
      <c r="R22" s="258">
        <f t="shared" si="17"/>
        <v>-2702.9706463882098</v>
      </c>
      <c r="S22" s="258">
        <f t="shared" si="17"/>
        <v>-3208.78468146249</v>
      </c>
      <c r="T22" s="258">
        <f t="shared" si="17"/>
        <v>-3323.4680345480301</v>
      </c>
      <c r="U22" s="258">
        <f t="shared" si="17"/>
        <v>-4708.1237053825198</v>
      </c>
      <c r="V22" s="258">
        <f t="shared" si="17"/>
        <v>-3186.10902910609</v>
      </c>
      <c r="W22" s="258">
        <f t="shared" si="17"/>
        <v>-7371.3866756909601</v>
      </c>
      <c r="X22" s="258">
        <f t="shared" si="17"/>
        <v>-8976.0046662636105</v>
      </c>
      <c r="Y22" s="258">
        <f t="shared" si="17"/>
        <v>-15239.4727149394</v>
      </c>
      <c r="Z22" s="258">
        <f t="shared" si="17"/>
        <v>-6534.6819608240703</v>
      </c>
      <c r="AA22" s="258">
        <f t="shared" si="17"/>
        <v>-2464.9668544691699</v>
      </c>
      <c r="AB22" s="258">
        <f t="shared" si="17"/>
        <v>-1935.80405786763</v>
      </c>
      <c r="AC22" s="258">
        <f t="shared" si="17"/>
        <v>-1093.7500141442699</v>
      </c>
      <c r="AD22" s="258">
        <f t="shared" si="17"/>
        <v>-1864.96112305613</v>
      </c>
      <c r="AE22" s="258">
        <f t="shared" si="17"/>
        <v>-2551.7804461573201</v>
      </c>
      <c r="AF22" s="258">
        <f t="shared" si="17"/>
        <v>-2990.4797081598199</v>
      </c>
      <c r="AG22" s="258">
        <f t="shared" si="17"/>
        <v>-3509.3018035538198</v>
      </c>
      <c r="AH22" s="258">
        <f t="shared" si="17"/>
        <v>-2363.5832018224</v>
      </c>
      <c r="AI22" s="258">
        <f t="shared" si="17"/>
        <v>-1189.26262014242</v>
      </c>
      <c r="AJ22" s="258">
        <f t="shared" si="17"/>
        <v>-1860.6842713083299</v>
      </c>
      <c r="AK22" s="258">
        <f t="shared" si="17"/>
        <v>-2077.9027363907499</v>
      </c>
      <c r="AL22" s="258">
        <f t="shared" si="17"/>
        <v>-940.65840861180698</v>
      </c>
      <c r="AM22" s="258">
        <f t="shared" si="17"/>
        <v>-950.87582236654396</v>
      </c>
      <c r="AN22" s="258">
        <f t="shared" si="17"/>
        <v>-850.94092184178896</v>
      </c>
      <c r="AO22" s="258">
        <f t="shared" si="17"/>
        <v>-167.95633323757801</v>
      </c>
      <c r="AP22" s="258">
        <f t="shared" si="17"/>
        <v>-644.96990878514998</v>
      </c>
      <c r="AQ22" s="258">
        <f t="shared" si="17"/>
        <v>-4021.30834948541</v>
      </c>
      <c r="AR22" s="258">
        <f t="shared" si="17"/>
        <v>-4932.3670906370598</v>
      </c>
      <c r="AS22" s="258">
        <f t="shared" si="17"/>
        <v>-184.80181653148</v>
      </c>
      <c r="AT22" s="258">
        <f t="shared" ref="AT22:BC22" si="19">AT7</f>
        <v>-548.34446193414794</v>
      </c>
      <c r="AU22" s="258">
        <f t="shared" si="19"/>
        <v>-411.24236262071503</v>
      </c>
      <c r="AV22" s="258">
        <f t="shared" si="19"/>
        <v>-482.98069540239402</v>
      </c>
      <c r="AW22" s="258">
        <f t="shared" si="19"/>
        <v>-404.459418318085</v>
      </c>
      <c r="AX22" s="258">
        <f t="shared" si="19"/>
        <v>-269.99124419862898</v>
      </c>
      <c r="AY22" s="258">
        <f t="shared" si="19"/>
        <v>-147.62064846204899</v>
      </c>
      <c r="AZ22" s="258">
        <f t="shared" si="19"/>
        <v>-588.40853285061996</v>
      </c>
      <c r="BA22" s="258">
        <f t="shared" si="19"/>
        <v>-2.75128480816646</v>
      </c>
      <c r="BB22" s="258">
        <f t="shared" si="19"/>
        <v>-258.59974838491502</v>
      </c>
      <c r="BC22" s="258">
        <f t="shared" si="19"/>
        <v>-312.41287730168301</v>
      </c>
    </row>
    <row r="23" spans="1:65" ht="15.75" customHeight="1">
      <c r="A23" s="318" t="s">
        <v>637</v>
      </c>
      <c r="B23" s="80"/>
      <c r="C23" s="80"/>
      <c r="D23" s="80"/>
      <c r="E23" s="80"/>
      <c r="F23" s="80"/>
      <c r="G23" s="80"/>
      <c r="H23" s="80"/>
      <c r="I23" s="258">
        <f t="shared" ref="I23:J23" si="20">I8</f>
        <v>-7188</v>
      </c>
      <c r="J23" s="258">
        <f t="shared" si="20"/>
        <v>-8132</v>
      </c>
      <c r="K23" s="258">
        <f t="shared" si="8"/>
        <v>-4869</v>
      </c>
      <c r="L23" s="258">
        <f t="shared" ref="L23:AS24" si="21">L8</f>
        <v>-5089.2216545443298</v>
      </c>
      <c r="M23" s="258">
        <f t="shared" si="21"/>
        <v>-4332</v>
      </c>
      <c r="N23" s="258">
        <f t="shared" ref="N23" si="22">N8</f>
        <v>-3445.0815702162699</v>
      </c>
      <c r="O23" s="258">
        <f t="shared" si="21"/>
        <v>-161.50569381294</v>
      </c>
      <c r="P23" s="258">
        <f t="shared" si="21"/>
        <v>-1069.1183657075701</v>
      </c>
      <c r="Q23" s="258">
        <f t="shared" si="21"/>
        <v>-216.96911099303401</v>
      </c>
      <c r="R23" s="258">
        <f t="shared" si="21"/>
        <v>-80.724424907626798</v>
      </c>
      <c r="S23" s="258">
        <f t="shared" si="21"/>
        <v>-66.774000000000001</v>
      </c>
      <c r="T23" s="258">
        <f t="shared" si="21"/>
        <v>-5396.2333372254498</v>
      </c>
      <c r="U23" s="258">
        <f t="shared" si="21"/>
        <v>-4240.8334417182296</v>
      </c>
      <c r="V23" s="258">
        <f t="shared" si="21"/>
        <v>-169.44800000000001</v>
      </c>
      <c r="W23" s="258">
        <f t="shared" si="21"/>
        <v>-18.667999999999999</v>
      </c>
      <c r="X23" s="258">
        <f t="shared" si="21"/>
        <v>0</v>
      </c>
      <c r="Y23" s="258">
        <f t="shared" si="21"/>
        <v>0</v>
      </c>
      <c r="Z23" s="258">
        <f t="shared" si="21"/>
        <v>0</v>
      </c>
      <c r="AA23" s="258">
        <f t="shared" si="21"/>
        <v>0</v>
      </c>
      <c r="AB23" s="258">
        <f t="shared" si="21"/>
        <v>0</v>
      </c>
      <c r="AC23" s="258">
        <f t="shared" si="21"/>
        <v>0</v>
      </c>
      <c r="AD23" s="258">
        <f t="shared" si="21"/>
        <v>0</v>
      </c>
      <c r="AE23" s="258">
        <f t="shared" si="21"/>
        <v>0</v>
      </c>
      <c r="AF23" s="258">
        <f t="shared" si="21"/>
        <v>0</v>
      </c>
      <c r="AG23" s="258">
        <f t="shared" si="21"/>
        <v>0</v>
      </c>
      <c r="AH23" s="258">
        <f t="shared" si="21"/>
        <v>0</v>
      </c>
      <c r="AI23" s="258">
        <f t="shared" si="21"/>
        <v>0</v>
      </c>
      <c r="AJ23" s="258">
        <f t="shared" si="21"/>
        <v>0</v>
      </c>
      <c r="AK23" s="258">
        <f t="shared" si="21"/>
        <v>0</v>
      </c>
      <c r="AL23" s="258">
        <f t="shared" si="21"/>
        <v>0</v>
      </c>
      <c r="AM23" s="258">
        <f t="shared" si="21"/>
        <v>0</v>
      </c>
      <c r="AN23" s="258">
        <f t="shared" si="21"/>
        <v>0</v>
      </c>
      <c r="AO23" s="258">
        <f t="shared" si="21"/>
        <v>0</v>
      </c>
      <c r="AP23" s="258">
        <f t="shared" si="21"/>
        <v>0</v>
      </c>
      <c r="AQ23" s="258">
        <f t="shared" si="21"/>
        <v>0</v>
      </c>
      <c r="AR23" s="258">
        <f t="shared" si="21"/>
        <v>0</v>
      </c>
      <c r="AS23" s="258">
        <f t="shared" si="21"/>
        <v>0</v>
      </c>
      <c r="AT23" s="258">
        <f t="shared" ref="AT23:BC23" si="23">AT8</f>
        <v>0</v>
      </c>
      <c r="AU23" s="258">
        <f t="shared" si="23"/>
        <v>0</v>
      </c>
      <c r="AV23" s="258">
        <f t="shared" si="23"/>
        <v>0</v>
      </c>
      <c r="AW23" s="258">
        <f t="shared" si="23"/>
        <v>0</v>
      </c>
      <c r="AX23" s="258">
        <f t="shared" si="23"/>
        <v>0</v>
      </c>
      <c r="AY23" s="258">
        <f t="shared" si="23"/>
        <v>0</v>
      </c>
      <c r="AZ23" s="258">
        <f t="shared" si="23"/>
        <v>0</v>
      </c>
      <c r="BA23" s="258">
        <f t="shared" si="23"/>
        <v>0</v>
      </c>
      <c r="BB23" s="258">
        <f t="shared" si="23"/>
        <v>0</v>
      </c>
      <c r="BC23" s="258">
        <f t="shared" si="23"/>
        <v>0</v>
      </c>
    </row>
    <row r="24" spans="1:65" ht="15.75" customHeight="1">
      <c r="A24" s="79" t="s">
        <v>28</v>
      </c>
      <c r="B24" s="86"/>
      <c r="C24" s="86"/>
      <c r="D24" s="86"/>
      <c r="E24" s="86"/>
      <c r="F24" s="86"/>
      <c r="G24" s="86"/>
      <c r="H24" s="86"/>
      <c r="I24" s="86">
        <f t="shared" ref="I24:J24" si="24">I9</f>
        <v>0</v>
      </c>
      <c r="J24" s="86">
        <f t="shared" si="24"/>
        <v>0</v>
      </c>
      <c r="K24" s="86">
        <f t="shared" si="8"/>
        <v>0</v>
      </c>
      <c r="L24" s="86">
        <f t="shared" ref="L24:AS24" si="25">L9</f>
        <v>0</v>
      </c>
      <c r="M24" s="86">
        <f t="shared" si="25"/>
        <v>0</v>
      </c>
      <c r="N24" s="86">
        <f t="shared" si="25"/>
        <v>0</v>
      </c>
      <c r="O24" s="258">
        <f t="shared" si="21"/>
        <v>0</v>
      </c>
      <c r="P24" s="86">
        <f t="shared" si="25"/>
        <v>0</v>
      </c>
      <c r="Q24" s="86">
        <f t="shared" si="25"/>
        <v>0</v>
      </c>
      <c r="R24" s="86">
        <f t="shared" si="25"/>
        <v>0</v>
      </c>
      <c r="S24" s="86">
        <f t="shared" si="25"/>
        <v>0</v>
      </c>
      <c r="T24" s="86">
        <f t="shared" si="25"/>
        <v>0</v>
      </c>
      <c r="U24" s="86">
        <f t="shared" si="25"/>
        <v>0</v>
      </c>
      <c r="V24" s="86">
        <f t="shared" si="25"/>
        <v>0</v>
      </c>
      <c r="W24" s="86">
        <f t="shared" si="25"/>
        <v>0</v>
      </c>
      <c r="X24" s="86">
        <f t="shared" si="25"/>
        <v>0</v>
      </c>
      <c r="Y24" s="86">
        <f t="shared" si="25"/>
        <v>0</v>
      </c>
      <c r="Z24" s="86">
        <f t="shared" si="25"/>
        <v>0</v>
      </c>
      <c r="AA24" s="86">
        <f t="shared" si="25"/>
        <v>0</v>
      </c>
      <c r="AB24" s="86">
        <f t="shared" si="25"/>
        <v>0</v>
      </c>
      <c r="AC24" s="86">
        <f t="shared" si="25"/>
        <v>0</v>
      </c>
      <c r="AD24" s="86">
        <f t="shared" si="25"/>
        <v>0</v>
      </c>
      <c r="AE24" s="86">
        <f t="shared" si="25"/>
        <v>0</v>
      </c>
      <c r="AF24" s="86">
        <f t="shared" si="25"/>
        <v>0</v>
      </c>
      <c r="AG24" s="86">
        <f t="shared" si="25"/>
        <v>0</v>
      </c>
      <c r="AH24" s="86">
        <f t="shared" si="25"/>
        <v>0</v>
      </c>
      <c r="AI24" s="86">
        <f t="shared" si="25"/>
        <v>0</v>
      </c>
      <c r="AJ24" s="86">
        <f t="shared" si="25"/>
        <v>0</v>
      </c>
      <c r="AK24" s="86">
        <f t="shared" si="25"/>
        <v>0</v>
      </c>
      <c r="AL24" s="86">
        <f t="shared" si="25"/>
        <v>0</v>
      </c>
      <c r="AM24" s="86">
        <f t="shared" si="25"/>
        <v>0</v>
      </c>
      <c r="AN24" s="86">
        <f t="shared" si="25"/>
        <v>0</v>
      </c>
      <c r="AO24" s="86">
        <f t="shared" si="25"/>
        <v>0</v>
      </c>
      <c r="AP24" s="86">
        <f t="shared" si="25"/>
        <v>0</v>
      </c>
      <c r="AQ24" s="86">
        <f t="shared" si="25"/>
        <v>0</v>
      </c>
      <c r="AR24" s="86">
        <f t="shared" si="25"/>
        <v>0</v>
      </c>
      <c r="AS24" s="86">
        <f t="shared" si="25"/>
        <v>0</v>
      </c>
      <c r="AT24" s="86">
        <f t="shared" ref="AT24:BC24" si="26">AT9</f>
        <v>0</v>
      </c>
      <c r="AU24" s="86">
        <f t="shared" si="26"/>
        <v>0</v>
      </c>
      <c r="AV24" s="86">
        <f t="shared" si="26"/>
        <v>0</v>
      </c>
      <c r="AW24" s="86">
        <f t="shared" si="26"/>
        <v>0</v>
      </c>
      <c r="AX24" s="86">
        <f t="shared" si="26"/>
        <v>0</v>
      </c>
      <c r="AY24" s="86">
        <f t="shared" si="26"/>
        <v>0</v>
      </c>
      <c r="AZ24" s="86">
        <f t="shared" si="26"/>
        <v>0</v>
      </c>
      <c r="BA24" s="86">
        <f t="shared" si="26"/>
        <v>0</v>
      </c>
      <c r="BB24" s="86">
        <f t="shared" si="26"/>
        <v>0</v>
      </c>
      <c r="BC24" s="86">
        <f t="shared" si="26"/>
        <v>0</v>
      </c>
      <c r="BD24" s="86"/>
      <c r="BE24" s="86"/>
      <c r="BF24" s="86"/>
      <c r="BG24" s="86"/>
      <c r="BH24" s="86"/>
      <c r="BI24" s="86"/>
      <c r="BJ24" s="86"/>
      <c r="BK24" s="86"/>
      <c r="BL24" s="86"/>
      <c r="BM24" s="86"/>
    </row>
    <row r="25" spans="1:65" ht="15.75" customHeight="1">
      <c r="A25" s="79" t="s">
        <v>29</v>
      </c>
      <c r="B25" s="86"/>
      <c r="C25" s="86"/>
      <c r="D25" s="86"/>
      <c r="E25" s="86"/>
      <c r="F25" s="86"/>
      <c r="G25" s="86"/>
      <c r="H25" s="86"/>
      <c r="I25" s="86">
        <f t="shared" ref="I25:J25" si="27">I10</f>
        <v>1766</v>
      </c>
      <c r="J25" s="86">
        <f t="shared" si="27"/>
        <v>1636</v>
      </c>
      <c r="K25" s="86">
        <f t="shared" si="8"/>
        <v>1500</v>
      </c>
      <c r="L25" s="86">
        <f t="shared" ref="L25:Q25" si="28">L10</f>
        <v>1359.4042240000001</v>
      </c>
      <c r="M25" s="86">
        <f t="shared" si="28"/>
        <v>1379.8290218219199</v>
      </c>
      <c r="N25" s="86">
        <f t="shared" si="28"/>
        <v>1488.301289</v>
      </c>
      <c r="O25" s="86">
        <f t="shared" si="28"/>
        <v>1508.692896</v>
      </c>
      <c r="P25" s="86">
        <f t="shared" si="28"/>
        <v>1372.14100279685</v>
      </c>
      <c r="Q25" s="86">
        <f t="shared" si="28"/>
        <v>1209.3157819999999</v>
      </c>
      <c r="R25" s="86">
        <f t="shared" ref="R25:AS25" si="29">R10</f>
        <v>1127.203927</v>
      </c>
      <c r="S25" s="86">
        <f t="shared" si="29"/>
        <v>1382.3287093287699</v>
      </c>
      <c r="T25" s="86">
        <f t="shared" si="29"/>
        <v>1472.5540986575299</v>
      </c>
      <c r="U25" s="86">
        <f t="shared" si="29"/>
        <v>1624.62615452055</v>
      </c>
      <c r="V25" s="86">
        <f t="shared" si="29"/>
        <v>1696.2213774696299</v>
      </c>
      <c r="W25" s="86">
        <f t="shared" si="29"/>
        <v>1879.5040931803701</v>
      </c>
      <c r="X25" s="86">
        <f t="shared" si="29"/>
        <v>1905.7278970136999</v>
      </c>
      <c r="Y25" s="86">
        <f t="shared" si="29"/>
        <v>1750.04125865172</v>
      </c>
      <c r="Z25" s="86">
        <f t="shared" si="29"/>
        <v>1785.0420838247601</v>
      </c>
      <c r="AA25" s="86">
        <f t="shared" si="29"/>
        <v>1820.7429255012501</v>
      </c>
      <c r="AB25" s="86">
        <f t="shared" si="29"/>
        <v>1857.15778401128</v>
      </c>
      <c r="AC25" s="86">
        <f t="shared" si="29"/>
        <v>1894.3009396914999</v>
      </c>
      <c r="AD25" s="86">
        <f t="shared" si="29"/>
        <v>1932.18695848533</v>
      </c>
      <c r="AE25" s="86">
        <f t="shared" si="29"/>
        <v>1970.83069765504</v>
      </c>
      <c r="AF25" s="86">
        <f t="shared" si="29"/>
        <v>2010.2473116081401</v>
      </c>
      <c r="AG25" s="86">
        <f t="shared" si="29"/>
        <v>2050.4522578402998</v>
      </c>
      <c r="AH25" s="86">
        <f t="shared" si="29"/>
        <v>2091.4613029971101</v>
      </c>
      <c r="AI25" s="86">
        <f t="shared" si="29"/>
        <v>2133.2905290570502</v>
      </c>
      <c r="AJ25" s="86">
        <f t="shared" si="29"/>
        <v>2175.95633963819</v>
      </c>
      <c r="AK25" s="86">
        <f t="shared" si="29"/>
        <v>2219.4754664309598</v>
      </c>
      <c r="AL25" s="86">
        <f t="shared" si="29"/>
        <v>2263.8649757595799</v>
      </c>
      <c r="AM25" s="86">
        <f t="shared" si="29"/>
        <v>2309.1422752747699</v>
      </c>
      <c r="AN25" s="86">
        <f t="shared" si="29"/>
        <v>2355.32512078027</v>
      </c>
      <c r="AO25" s="86">
        <f t="shared" si="29"/>
        <v>2402.4316231958701</v>
      </c>
      <c r="AP25" s="86">
        <f t="shared" si="29"/>
        <v>2450.4802556597901</v>
      </c>
      <c r="AQ25" s="86">
        <f t="shared" si="29"/>
        <v>2499.4898607729801</v>
      </c>
      <c r="AR25" s="86">
        <f t="shared" si="29"/>
        <v>2549.4796579884401</v>
      </c>
      <c r="AS25" s="86">
        <f t="shared" si="29"/>
        <v>2600.4692511482099</v>
      </c>
      <c r="AT25" s="86">
        <f t="shared" ref="AT25:BC25" si="30">AT10</f>
        <v>2652.4786361711799</v>
      </c>
      <c r="AU25" s="86">
        <f t="shared" si="30"/>
        <v>2705.5282088946001</v>
      </c>
      <c r="AV25" s="86">
        <f t="shared" si="30"/>
        <v>2759.63877307249</v>
      </c>
      <c r="AW25" s="86">
        <f t="shared" si="30"/>
        <v>2814.8315485339399</v>
      </c>
      <c r="AX25" s="86">
        <f t="shared" si="30"/>
        <v>2871.1281795046202</v>
      </c>
      <c r="AY25" s="86">
        <f t="shared" si="30"/>
        <v>2928.55074309471</v>
      </c>
      <c r="AZ25" s="86">
        <f t="shared" si="30"/>
        <v>2987.1217579566101</v>
      </c>
      <c r="BA25" s="86">
        <f t="shared" si="30"/>
        <v>3046.8641931157399</v>
      </c>
      <c r="BB25" s="86">
        <f t="shared" si="30"/>
        <v>3107.8014769780498</v>
      </c>
      <c r="BC25" s="86">
        <f t="shared" si="30"/>
        <v>3169.95750651762</v>
      </c>
      <c r="BD25" s="86"/>
      <c r="BE25" s="86"/>
      <c r="BF25" s="86"/>
      <c r="BG25" s="86"/>
      <c r="BH25" s="86"/>
      <c r="BI25" s="86"/>
      <c r="BJ25" s="86"/>
      <c r="BK25" s="86"/>
      <c r="BL25" s="86"/>
      <c r="BM25" s="86"/>
    </row>
    <row r="26" spans="1:65" ht="15.75" customHeight="1">
      <c r="A26" s="79" t="s">
        <v>30</v>
      </c>
      <c r="B26" s="86"/>
      <c r="C26" s="86"/>
      <c r="D26" s="86"/>
      <c r="E26" s="86"/>
      <c r="F26" s="86"/>
      <c r="G26" s="86"/>
      <c r="H26" s="86"/>
      <c r="I26" s="86">
        <f t="shared" ref="I26:M26" si="31">I12</f>
        <v>4894</v>
      </c>
      <c r="J26" s="86">
        <f t="shared" si="31"/>
        <v>5078</v>
      </c>
      <c r="K26" s="86">
        <f t="shared" si="31"/>
        <v>5365</v>
      </c>
      <c r="L26" s="86">
        <f t="shared" si="31"/>
        <v>5331.1905526669998</v>
      </c>
      <c r="M26" s="86">
        <f t="shared" si="31"/>
        <v>5650.0240963751203</v>
      </c>
      <c r="N26" s="86">
        <f t="shared" ref="N26:O26" si="32">N12</f>
        <v>5790.1281198608103</v>
      </c>
      <c r="O26" s="86">
        <f t="shared" si="32"/>
        <v>6031.9858515378901</v>
      </c>
      <c r="P26" s="86">
        <f t="shared" ref="P26:Q26" si="33">P12</f>
        <v>5357.6102093300497</v>
      </c>
      <c r="Q26" s="86">
        <f t="shared" si="33"/>
        <v>7082.6806609844898</v>
      </c>
      <c r="R26" s="86">
        <f t="shared" ref="R26:AS26" si="34">R12</f>
        <v>7586.99753871134</v>
      </c>
      <c r="S26" s="86">
        <f t="shared" si="34"/>
        <v>7540.5542982201596</v>
      </c>
      <c r="T26" s="86">
        <f t="shared" si="34"/>
        <v>9253.3619961248805</v>
      </c>
      <c r="U26" s="86">
        <f t="shared" si="34"/>
        <v>9597.2284023121501</v>
      </c>
      <c r="V26" s="86">
        <f t="shared" si="34"/>
        <v>9460.3313182000402</v>
      </c>
      <c r="W26" s="86">
        <f t="shared" si="34"/>
        <v>8459.0003140441204</v>
      </c>
      <c r="X26" s="86">
        <f t="shared" si="34"/>
        <v>7968.6141445593303</v>
      </c>
      <c r="Y26" s="86">
        <f t="shared" si="34"/>
        <v>11153.701420405299</v>
      </c>
      <c r="Z26" s="86">
        <f t="shared" si="34"/>
        <v>10592.4862693742</v>
      </c>
      <c r="AA26" s="86">
        <f t="shared" si="34"/>
        <v>9681.5216242653496</v>
      </c>
      <c r="AB26" s="86">
        <f t="shared" si="34"/>
        <v>9602.8419493236706</v>
      </c>
      <c r="AC26" s="86">
        <f t="shared" si="34"/>
        <v>9105.9986948417409</v>
      </c>
      <c r="AD26" s="86">
        <f t="shared" si="34"/>
        <v>8763.7090694978997</v>
      </c>
      <c r="AE26" s="86">
        <f t="shared" si="34"/>
        <v>8839.6099947497005</v>
      </c>
      <c r="AF26" s="86">
        <f t="shared" si="34"/>
        <v>8771.7959537016795</v>
      </c>
      <c r="AG26" s="86">
        <f t="shared" si="34"/>
        <v>8382.0077994040294</v>
      </c>
      <c r="AH26" s="86">
        <f t="shared" si="34"/>
        <v>8107.1451324734098</v>
      </c>
      <c r="AI26" s="86">
        <f t="shared" si="34"/>
        <v>7144.8300680439597</v>
      </c>
      <c r="AJ26" s="86">
        <f t="shared" si="34"/>
        <v>6382.6336328252801</v>
      </c>
      <c r="AK26" s="86">
        <f t="shared" si="34"/>
        <v>6387.2586016785999</v>
      </c>
      <c r="AL26" s="86">
        <f t="shared" si="34"/>
        <v>6123.7869900284004</v>
      </c>
      <c r="AM26" s="86">
        <f t="shared" si="34"/>
        <v>5582.5921809149904</v>
      </c>
      <c r="AN26" s="86">
        <f t="shared" si="34"/>
        <v>4944.2152774300002</v>
      </c>
      <c r="AO26" s="86">
        <f t="shared" si="34"/>
        <v>4614.6849609267601</v>
      </c>
      <c r="AP26" s="86">
        <f t="shared" si="34"/>
        <v>4447.8399503209002</v>
      </c>
      <c r="AQ26" s="86">
        <f t="shared" si="34"/>
        <v>3953.3848541265102</v>
      </c>
      <c r="AR26" s="86">
        <f t="shared" si="34"/>
        <v>3678.6206415585202</v>
      </c>
      <c r="AS26" s="86">
        <f t="shared" si="34"/>
        <v>3399.1007150192299</v>
      </c>
      <c r="AT26" s="86">
        <f t="shared" ref="AT26:BC26" si="35">AT12</f>
        <v>3351.4057459702099</v>
      </c>
      <c r="AU26" s="86">
        <f t="shared" si="35"/>
        <v>3563.7522212005001</v>
      </c>
      <c r="AV26" s="86">
        <f t="shared" si="35"/>
        <v>3616.87681591611</v>
      </c>
      <c r="AW26" s="86">
        <f t="shared" si="35"/>
        <v>3324.1836517289198</v>
      </c>
      <c r="AX26" s="86">
        <f t="shared" si="35"/>
        <v>3331.7720311135599</v>
      </c>
      <c r="AY26" s="86">
        <f t="shared" si="35"/>
        <v>3261.3247082103499</v>
      </c>
      <c r="AZ26" s="86">
        <f t="shared" si="35"/>
        <v>3293.9936894100401</v>
      </c>
      <c r="BA26" s="86">
        <f t="shared" si="35"/>
        <v>3396.8858623493902</v>
      </c>
      <c r="BB26" s="86">
        <f t="shared" si="35"/>
        <v>3229.8769558962599</v>
      </c>
      <c r="BC26" s="86">
        <f t="shared" si="35"/>
        <v>3066.4823423616199</v>
      </c>
      <c r="BD26" s="86"/>
      <c r="BE26" s="86"/>
      <c r="BF26" s="86"/>
      <c r="BG26" s="86"/>
      <c r="BH26" s="86"/>
      <c r="BI26" s="86"/>
      <c r="BJ26" s="86"/>
      <c r="BK26" s="86"/>
      <c r="BL26" s="86"/>
      <c r="BM26" s="86"/>
    </row>
    <row r="27" spans="1:65" ht="15.75" customHeight="1">
      <c r="A27" s="79" t="s">
        <v>320</v>
      </c>
      <c r="B27" s="86"/>
      <c r="C27" s="86"/>
      <c r="D27" s="86"/>
      <c r="E27" s="86"/>
      <c r="F27" s="86"/>
      <c r="G27" s="86"/>
      <c r="H27" s="86"/>
      <c r="I27" s="86">
        <f t="shared" ref="I27:AS27" si="36">I11</f>
        <v>0</v>
      </c>
      <c r="J27" s="86">
        <f t="shared" si="36"/>
        <v>0</v>
      </c>
      <c r="K27" s="86">
        <f t="shared" si="36"/>
        <v>0</v>
      </c>
      <c r="L27" s="86">
        <f t="shared" si="36"/>
        <v>0</v>
      </c>
      <c r="M27" s="86">
        <f t="shared" si="36"/>
        <v>0</v>
      </c>
      <c r="N27" s="86">
        <f t="shared" ref="N27" si="37">N11</f>
        <v>0</v>
      </c>
      <c r="O27" s="86">
        <f t="shared" si="36"/>
        <v>0</v>
      </c>
      <c r="P27" s="86">
        <f t="shared" si="36"/>
        <v>0</v>
      </c>
      <c r="Q27" s="86">
        <f t="shared" si="36"/>
        <v>0</v>
      </c>
      <c r="R27" s="86">
        <f t="shared" si="36"/>
        <v>0</v>
      </c>
      <c r="S27" s="86">
        <f t="shared" si="36"/>
        <v>0</v>
      </c>
      <c r="T27" s="86">
        <f t="shared" si="36"/>
        <v>0</v>
      </c>
      <c r="U27" s="86">
        <f t="shared" si="36"/>
        <v>0</v>
      </c>
      <c r="V27" s="86">
        <f t="shared" si="36"/>
        <v>0</v>
      </c>
      <c r="W27" s="86">
        <f t="shared" si="36"/>
        <v>0</v>
      </c>
      <c r="X27" s="86">
        <f t="shared" si="36"/>
        <v>0</v>
      </c>
      <c r="Y27" s="86">
        <f t="shared" si="36"/>
        <v>0</v>
      </c>
      <c r="Z27" s="86">
        <f t="shared" si="36"/>
        <v>0</v>
      </c>
      <c r="AA27" s="86">
        <f t="shared" si="36"/>
        <v>0</v>
      </c>
      <c r="AB27" s="86">
        <f t="shared" si="36"/>
        <v>0</v>
      </c>
      <c r="AC27" s="86">
        <f t="shared" si="36"/>
        <v>0</v>
      </c>
      <c r="AD27" s="86">
        <f t="shared" si="36"/>
        <v>0</v>
      </c>
      <c r="AE27" s="86">
        <f t="shared" si="36"/>
        <v>0</v>
      </c>
      <c r="AF27" s="86">
        <f t="shared" si="36"/>
        <v>0</v>
      </c>
      <c r="AG27" s="86">
        <f t="shared" si="36"/>
        <v>0</v>
      </c>
      <c r="AH27" s="86">
        <f t="shared" si="36"/>
        <v>0</v>
      </c>
      <c r="AI27" s="86">
        <f t="shared" si="36"/>
        <v>0</v>
      </c>
      <c r="AJ27" s="86">
        <f t="shared" si="36"/>
        <v>0</v>
      </c>
      <c r="AK27" s="86">
        <f t="shared" si="36"/>
        <v>0</v>
      </c>
      <c r="AL27" s="86">
        <f t="shared" si="36"/>
        <v>0</v>
      </c>
      <c r="AM27" s="86">
        <f t="shared" si="36"/>
        <v>0</v>
      </c>
      <c r="AN27" s="86">
        <f t="shared" si="36"/>
        <v>0</v>
      </c>
      <c r="AO27" s="86">
        <f t="shared" si="36"/>
        <v>0</v>
      </c>
      <c r="AP27" s="86">
        <f t="shared" si="36"/>
        <v>0</v>
      </c>
      <c r="AQ27" s="86">
        <f t="shared" si="36"/>
        <v>0</v>
      </c>
      <c r="AR27" s="86">
        <f t="shared" si="36"/>
        <v>0</v>
      </c>
      <c r="AS27" s="86">
        <f t="shared" si="36"/>
        <v>0</v>
      </c>
      <c r="AT27" s="86">
        <f t="shared" ref="AT27:BC27" si="38">AT11</f>
        <v>0</v>
      </c>
      <c r="AU27" s="86">
        <f t="shared" si="38"/>
        <v>0</v>
      </c>
      <c r="AV27" s="86">
        <f t="shared" si="38"/>
        <v>0</v>
      </c>
      <c r="AW27" s="86">
        <f t="shared" si="38"/>
        <v>0</v>
      </c>
      <c r="AX27" s="86">
        <f t="shared" si="38"/>
        <v>0</v>
      </c>
      <c r="AY27" s="86">
        <f t="shared" si="38"/>
        <v>0</v>
      </c>
      <c r="AZ27" s="86">
        <f t="shared" si="38"/>
        <v>0</v>
      </c>
      <c r="BA27" s="86">
        <f t="shared" si="38"/>
        <v>0</v>
      </c>
      <c r="BB27" s="86">
        <f t="shared" si="38"/>
        <v>0</v>
      </c>
      <c r="BC27" s="86">
        <f t="shared" si="38"/>
        <v>0</v>
      </c>
      <c r="BD27" s="86"/>
      <c r="BE27" s="86"/>
      <c r="BF27" s="86"/>
      <c r="BG27" s="86"/>
      <c r="BH27" s="86"/>
      <c r="BI27" s="86"/>
      <c r="BJ27" s="86"/>
      <c r="BK27" s="86"/>
      <c r="BL27" s="86"/>
      <c r="BM27" s="86"/>
    </row>
    <row r="28" spans="1:65" ht="15.75" customHeight="1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</row>
    <row r="29" spans="1:65" ht="15.75" customHeight="1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</row>
    <row r="30" spans="1:65" ht="15.75" customHeight="1">
      <c r="A30" s="78" t="s">
        <v>27</v>
      </c>
      <c r="C30" s="90"/>
    </row>
    <row r="31" spans="1:65" ht="15.75" customHeight="1" outlineLevel="2">
      <c r="A31" s="253" t="s">
        <v>638</v>
      </c>
      <c r="B31" s="80"/>
      <c r="C31" s="103"/>
      <c r="D31" s="80"/>
      <c r="E31" s="80"/>
      <c r="F31" s="80"/>
      <c r="G31" s="80"/>
      <c r="H31" s="80"/>
      <c r="I31" s="80">
        <v>64212</v>
      </c>
      <c r="J31" s="80">
        <v>39476.659443680001</v>
      </c>
      <c r="K31" s="80">
        <v>16034.226274049999</v>
      </c>
      <c r="L31" s="80">
        <v>23688.094993999999</v>
      </c>
      <c r="M31" s="80">
        <v>38539.516748610004</v>
      </c>
      <c r="N31" s="80">
        <v>43011.140939999997</v>
      </c>
      <c r="O31" s="80">
        <v>16724.75885708</v>
      </c>
      <c r="P31" s="80">
        <v>51982.826558180001</v>
      </c>
      <c r="Q31" s="80">
        <v>212994.79011669999</v>
      </c>
      <c r="R31" s="80">
        <v>188239.111733</v>
      </c>
      <c r="S31" s="786">
        <v>132693.48035100001</v>
      </c>
      <c r="T31" s="676">
        <v>121052.34506767</v>
      </c>
      <c r="U31" s="86">
        <f t="shared" ref="U31:AS31" si="39">(T20+U20)/2</f>
        <v>93251.884448186844</v>
      </c>
      <c r="V31" s="86">
        <f t="shared" si="39"/>
        <v>70421.826421744001</v>
      </c>
      <c r="W31" s="86">
        <f t="shared" si="39"/>
        <v>57724.900422991996</v>
      </c>
      <c r="X31" s="86">
        <f t="shared" si="39"/>
        <v>50936.02553192975</v>
      </c>
      <c r="Y31" s="86">
        <f t="shared" si="39"/>
        <v>41065.536702346697</v>
      </c>
      <c r="Z31" s="86">
        <f t="shared" si="39"/>
        <v>34016.56946704915</v>
      </c>
      <c r="AA31" s="86">
        <f t="shared" si="39"/>
        <v>34499.893237286204</v>
      </c>
      <c r="AB31" s="86">
        <f t="shared" si="39"/>
        <v>35009.502299218148</v>
      </c>
      <c r="AC31" s="86">
        <f t="shared" si="39"/>
        <v>36231.856880630003</v>
      </c>
      <c r="AD31" s="86">
        <f t="shared" si="39"/>
        <v>38465.433892073896</v>
      </c>
      <c r="AE31" s="86">
        <f t="shared" si="39"/>
        <v>39913.263385863</v>
      </c>
      <c r="AF31" s="86">
        <f t="shared" si="39"/>
        <v>39170.025945406902</v>
      </c>
      <c r="AG31" s="86">
        <f t="shared" si="39"/>
        <v>36282.324525492106</v>
      </c>
      <c r="AH31" s="86">
        <f t="shared" si="39"/>
        <v>33661.891235833253</v>
      </c>
      <c r="AI31" s="86">
        <f t="shared" si="39"/>
        <v>32211.321713065452</v>
      </c>
      <c r="AJ31" s="86">
        <f t="shared" si="39"/>
        <v>31011.7506528495</v>
      </c>
      <c r="AK31" s="86">
        <f t="shared" si="39"/>
        <v>29077.8359277116</v>
      </c>
      <c r="AL31" s="86">
        <f t="shared" si="39"/>
        <v>27193.694804940998</v>
      </c>
      <c r="AM31" s="86">
        <f t="shared" si="39"/>
        <v>25807.442962072848</v>
      </c>
      <c r="AN31" s="86">
        <f t="shared" si="39"/>
        <v>24068.840215504999</v>
      </c>
      <c r="AO31" s="86">
        <f t="shared" si="39"/>
        <v>22541.046765048701</v>
      </c>
      <c r="AP31" s="86">
        <f t="shared" si="39"/>
        <v>21420.034549217853</v>
      </c>
      <c r="AQ31" s="86">
        <f t="shared" si="39"/>
        <v>21299.943818533699</v>
      </c>
      <c r="AR31" s="86">
        <f t="shared" si="39"/>
        <v>21658.188348380299</v>
      </c>
      <c r="AS31" s="86">
        <f t="shared" si="39"/>
        <v>21050.698419606349</v>
      </c>
      <c r="AT31" s="86">
        <f t="shared" ref="AT31" si="40">(AS20+AT20)/2</f>
        <v>20684.60862581135</v>
      </c>
      <c r="AU31" s="86">
        <f t="shared" ref="AU31" si="41">(AT20+AU20)/2</f>
        <v>19910.154732655101</v>
      </c>
      <c r="AV31" s="86">
        <f t="shared" ref="AV31" si="42">(AU20+AV20)/2</f>
        <v>18301.093350490999</v>
      </c>
      <c r="AW31" s="86">
        <f t="shared" ref="AW31" si="43">(AV20+AW20)/2</f>
        <v>17013.790204322751</v>
      </c>
      <c r="AX31" s="86">
        <f t="shared" ref="AX31" si="44">(AW20+AX20)/2</f>
        <v>15904.3900402284</v>
      </c>
      <c r="AY31" s="86">
        <f t="shared" ref="AY31" si="45">(AX20+AY20)/2</f>
        <v>15784.93718424335</v>
      </c>
      <c r="AZ31" s="86">
        <f t="shared" ref="AZ31" si="46">(AY20+AZ20)/2</f>
        <v>16002.849555117649</v>
      </c>
      <c r="BA31" s="86">
        <f t="shared" ref="BA31" si="47">(AZ20+BA20)/2</f>
        <v>14763.1228677869</v>
      </c>
      <c r="BB31" s="86">
        <f t="shared" ref="BB31" si="48">(BA20+BB20)/2</f>
        <v>13256.282928449898</v>
      </c>
      <c r="BC31" s="86">
        <f t="shared" ref="BC31" si="49">(BB20+BC20)/2</f>
        <v>12353.849781107001</v>
      </c>
      <c r="BD31" s="86"/>
      <c r="BE31" s="86"/>
      <c r="BF31" s="86"/>
      <c r="BG31" s="86"/>
      <c r="BH31" s="86"/>
      <c r="BI31" s="86"/>
      <c r="BJ31" s="86"/>
      <c r="BK31" s="86"/>
      <c r="BL31" s="86"/>
      <c r="BM31" s="86"/>
    </row>
    <row r="32" spans="1:65" ht="15.75" customHeight="1" outlineLevel="2">
      <c r="A32" s="665" t="s">
        <v>455</v>
      </c>
      <c r="B32" s="80"/>
      <c r="C32" s="103"/>
      <c r="D32" s="80"/>
      <c r="E32" s="80"/>
      <c r="F32" s="80"/>
      <c r="G32" s="80"/>
      <c r="H32" s="80"/>
      <c r="I32" s="80">
        <v>105837</v>
      </c>
      <c r="J32" s="80">
        <v>64195.817311320003</v>
      </c>
      <c r="K32" s="80">
        <v>25058.531532950001</v>
      </c>
      <c r="L32" s="80">
        <v>41360.999728000003</v>
      </c>
      <c r="M32" s="80">
        <v>71773.978570389998</v>
      </c>
      <c r="N32" s="80">
        <v>90490.326323999994</v>
      </c>
      <c r="O32" s="80">
        <v>11662.883913920001</v>
      </c>
      <c r="P32" s="80">
        <v>33728.419497809999</v>
      </c>
      <c r="Q32" s="80">
        <v>500626.48781030002</v>
      </c>
      <c r="R32" s="80">
        <v>426187.35876999999</v>
      </c>
      <c r="S32" s="786">
        <v>278773.956221</v>
      </c>
      <c r="T32" s="676">
        <v>252819.61266933003</v>
      </c>
      <c r="U32" s="86">
        <f t="shared" ref="U32:AS32" si="50">(T21+U21)/2+(T22+T23)</f>
        <v>198168.04889473552</v>
      </c>
      <c r="V32" s="86">
        <f t="shared" si="50"/>
        <v>165908.22863045477</v>
      </c>
      <c r="W32" s="86">
        <f t="shared" si="50"/>
        <v>160832.04249871938</v>
      </c>
      <c r="X32" s="86">
        <f t="shared" si="50"/>
        <v>150649.57186782156</v>
      </c>
      <c r="Y32" s="86">
        <f t="shared" si="50"/>
        <v>124255.3445481259</v>
      </c>
      <c r="Z32" s="86">
        <f t="shared" si="50"/>
        <v>97405.538736042596</v>
      </c>
      <c r="AA32" s="86">
        <f t="shared" si="50"/>
        <v>102030.44659554792</v>
      </c>
      <c r="AB32" s="86">
        <f t="shared" si="50"/>
        <v>101410.58484610783</v>
      </c>
      <c r="AC32" s="86">
        <f t="shared" si="50"/>
        <v>102982.88139307937</v>
      </c>
      <c r="AD32" s="86">
        <f t="shared" si="50"/>
        <v>110915.45707546773</v>
      </c>
      <c r="AE32" s="86">
        <f t="shared" si="50"/>
        <v>114911.14204830237</v>
      </c>
      <c r="AF32" s="86">
        <f t="shared" si="50"/>
        <v>113008.70296192367</v>
      </c>
      <c r="AG32" s="86">
        <f t="shared" si="50"/>
        <v>105075.52697136668</v>
      </c>
      <c r="AH32" s="86">
        <f t="shared" si="50"/>
        <v>95772.548687683229</v>
      </c>
      <c r="AI32" s="86">
        <f t="shared" si="50"/>
        <v>89603.607798931902</v>
      </c>
      <c r="AJ32" s="86">
        <f t="shared" si="50"/>
        <v>85623.857242466896</v>
      </c>
      <c r="AK32" s="86">
        <f t="shared" si="50"/>
        <v>79390.190686124217</v>
      </c>
      <c r="AL32" s="86">
        <f t="shared" si="50"/>
        <v>73876.225888307599</v>
      </c>
      <c r="AM32" s="86">
        <f t="shared" si="50"/>
        <v>71656.041426504555</v>
      </c>
      <c r="AN32" s="86">
        <f t="shared" si="50"/>
        <v>67892.887604208445</v>
      </c>
      <c r="AO32" s="86">
        <f t="shared" si="50"/>
        <v>65547.815515865354</v>
      </c>
      <c r="AP32" s="86">
        <f t="shared" si="50"/>
        <v>63531.382378206872</v>
      </c>
      <c r="AQ32" s="86">
        <f t="shared" si="50"/>
        <v>62044.657606418354</v>
      </c>
      <c r="AR32" s="86">
        <f t="shared" si="50"/>
        <v>59463.941281712148</v>
      </c>
      <c r="AS32" s="86">
        <f t="shared" si="50"/>
        <v>57502.226824712845</v>
      </c>
      <c r="AT32" s="86">
        <f t="shared" ref="AT32" si="51">(AS21+AT21)/2+(AS22+AS23)</f>
        <v>62333.667250862367</v>
      </c>
      <c r="AU32" s="86">
        <f t="shared" ref="AU32" si="52">(AT21+AU21)/2+(AT22+AT23)</f>
        <v>60967.245216522249</v>
      </c>
      <c r="AV32" s="86">
        <f t="shared" ref="AV32" si="53">(AU21+AV21)/2+(AU22+AU23)</f>
        <v>57811.808431928686</v>
      </c>
      <c r="AW32" s="86">
        <f t="shared" ref="AW32" si="54">(AV21+AW21)/2+(AV22+AV23)</f>
        <v>53986.111668041602</v>
      </c>
      <c r="AX32" s="86">
        <f t="shared" ref="AX32" si="55">(AW21+AX21)/2+(AW22+AW23)</f>
        <v>50967.866339357111</v>
      </c>
      <c r="AY32" s="86">
        <f t="shared" ref="AY32" si="56">(AX21+AY21)/2+(AX22+AX23)</f>
        <v>51732.643936505367</v>
      </c>
      <c r="AZ32" s="86">
        <f t="shared" ref="AZ32" si="57">(AY21+AZ21)/2+(AY22+AY23)</f>
        <v>52553.779534581299</v>
      </c>
      <c r="BA32" s="86">
        <f t="shared" ref="BA32" si="58">(AZ21+BA21)/2+(AZ22+AZ23)</f>
        <v>47635.858610534931</v>
      </c>
      <c r="BB32" s="86">
        <f t="shared" ref="BB32" si="59">(BA21+BB21)/2+(BA22+BA23)</f>
        <v>44105.78043757008</v>
      </c>
      <c r="BC32" s="86">
        <f t="shared" ref="BC32" si="60">(BB21+BC21)/2+(BB22+BB23)</f>
        <v>41766.424919869038</v>
      </c>
      <c r="BD32" s="86"/>
      <c r="BE32" s="86"/>
      <c r="BF32" s="86"/>
      <c r="BG32" s="86"/>
      <c r="BH32" s="86"/>
      <c r="BI32" s="86"/>
      <c r="BJ32" s="86"/>
      <c r="BK32" s="86"/>
      <c r="BL32" s="86"/>
      <c r="BM32" s="86"/>
    </row>
    <row r="33" spans="1:65" ht="15.75" customHeight="1" outlineLevel="3">
      <c r="A33" s="79" t="s">
        <v>28</v>
      </c>
      <c r="B33" s="86"/>
      <c r="C33" s="80"/>
      <c r="D33" s="80"/>
      <c r="E33" s="80"/>
      <c r="F33" s="80"/>
      <c r="G33" s="80"/>
      <c r="H33" s="80"/>
      <c r="I33" s="80">
        <f t="shared" ref="I33:M33" si="61">(1/12)*(H24)+(11/12)*(I24)</f>
        <v>0</v>
      </c>
      <c r="J33" s="80">
        <f t="shared" si="61"/>
        <v>0</v>
      </c>
      <c r="K33" s="80">
        <f t="shared" si="61"/>
        <v>0</v>
      </c>
      <c r="L33" s="80">
        <f t="shared" si="61"/>
        <v>0</v>
      </c>
      <c r="M33" s="80">
        <f t="shared" si="61"/>
        <v>0</v>
      </c>
      <c r="N33" s="80">
        <v>0</v>
      </c>
      <c r="O33" s="80">
        <f t="shared" ref="O33:AS33" si="62">(1/12)*(N24)+(11/12)*(O24)</f>
        <v>0</v>
      </c>
      <c r="P33" s="80">
        <f t="shared" si="62"/>
        <v>0</v>
      </c>
      <c r="Q33" s="80">
        <f t="shared" si="62"/>
        <v>0</v>
      </c>
      <c r="R33" s="80">
        <f t="shared" si="62"/>
        <v>0</v>
      </c>
      <c r="S33" s="80">
        <f t="shared" si="62"/>
        <v>0</v>
      </c>
      <c r="T33" s="86">
        <f t="shared" si="62"/>
        <v>0</v>
      </c>
      <c r="U33" s="86">
        <f t="shared" si="62"/>
        <v>0</v>
      </c>
      <c r="V33" s="86">
        <f t="shared" si="62"/>
        <v>0</v>
      </c>
      <c r="W33" s="86">
        <f t="shared" si="62"/>
        <v>0</v>
      </c>
      <c r="X33" s="86">
        <f t="shared" si="62"/>
        <v>0</v>
      </c>
      <c r="Y33" s="86">
        <f t="shared" si="62"/>
        <v>0</v>
      </c>
      <c r="Z33" s="86">
        <f t="shared" si="62"/>
        <v>0</v>
      </c>
      <c r="AA33" s="86">
        <f t="shared" si="62"/>
        <v>0</v>
      </c>
      <c r="AB33" s="86">
        <f t="shared" si="62"/>
        <v>0</v>
      </c>
      <c r="AC33" s="86">
        <f t="shared" si="62"/>
        <v>0</v>
      </c>
      <c r="AD33" s="86">
        <f t="shared" si="62"/>
        <v>0</v>
      </c>
      <c r="AE33" s="86">
        <f t="shared" si="62"/>
        <v>0</v>
      </c>
      <c r="AF33" s="86">
        <f t="shared" si="62"/>
        <v>0</v>
      </c>
      <c r="AG33" s="86">
        <f t="shared" si="62"/>
        <v>0</v>
      </c>
      <c r="AH33" s="86">
        <f t="shared" si="62"/>
        <v>0</v>
      </c>
      <c r="AI33" s="86">
        <f t="shared" si="62"/>
        <v>0</v>
      </c>
      <c r="AJ33" s="86">
        <f t="shared" si="62"/>
        <v>0</v>
      </c>
      <c r="AK33" s="86">
        <f t="shared" si="62"/>
        <v>0</v>
      </c>
      <c r="AL33" s="86">
        <f t="shared" si="62"/>
        <v>0</v>
      </c>
      <c r="AM33" s="86">
        <f t="shared" si="62"/>
        <v>0</v>
      </c>
      <c r="AN33" s="86">
        <f t="shared" si="62"/>
        <v>0</v>
      </c>
      <c r="AO33" s="86">
        <f t="shared" si="62"/>
        <v>0</v>
      </c>
      <c r="AP33" s="86">
        <f t="shared" si="62"/>
        <v>0</v>
      </c>
      <c r="AQ33" s="86">
        <f t="shared" si="62"/>
        <v>0</v>
      </c>
      <c r="AR33" s="86">
        <f t="shared" si="62"/>
        <v>0</v>
      </c>
      <c r="AS33" s="86">
        <f t="shared" si="62"/>
        <v>0</v>
      </c>
      <c r="AT33" s="86">
        <f t="shared" ref="AT33" si="63">(1/12)*(AS24)+(11/12)*(AT24)</f>
        <v>0</v>
      </c>
      <c r="AU33" s="86">
        <f t="shared" ref="AU33" si="64">(1/12)*(AT24)+(11/12)*(AU24)</f>
        <v>0</v>
      </c>
      <c r="AV33" s="86">
        <f t="shared" ref="AV33" si="65">(1/12)*(AU24)+(11/12)*(AV24)</f>
        <v>0</v>
      </c>
      <c r="AW33" s="86">
        <f t="shared" ref="AW33" si="66">(1/12)*(AV24)+(11/12)*(AW24)</f>
        <v>0</v>
      </c>
      <c r="AX33" s="86">
        <f t="shared" ref="AX33" si="67">(1/12)*(AW24)+(11/12)*(AX24)</f>
        <v>0</v>
      </c>
      <c r="AY33" s="86">
        <f t="shared" ref="AY33" si="68">(1/12)*(AX24)+(11/12)*(AY24)</f>
        <v>0</v>
      </c>
      <c r="AZ33" s="86">
        <f t="shared" ref="AZ33" si="69">(1/12)*(AY24)+(11/12)*(AZ24)</f>
        <v>0</v>
      </c>
      <c r="BA33" s="86">
        <f t="shared" ref="BA33" si="70">(1/12)*(AZ24)+(11/12)*(BA24)</f>
        <v>0</v>
      </c>
      <c r="BB33" s="86">
        <f t="shared" ref="BB33" si="71">(1/12)*(BA24)+(11/12)*(BB24)</f>
        <v>0</v>
      </c>
      <c r="BC33" s="86">
        <f t="shared" ref="BC33" si="72">(1/12)*(BB24)+(11/12)*(BC24)</f>
        <v>0</v>
      </c>
      <c r="BD33" s="86"/>
      <c r="BE33" s="86"/>
      <c r="BF33" s="86"/>
      <c r="BG33" s="86"/>
      <c r="BH33" s="86"/>
      <c r="BI33" s="86"/>
      <c r="BJ33" s="86"/>
      <c r="BK33" s="86"/>
      <c r="BL33" s="86"/>
      <c r="BM33" s="86"/>
    </row>
    <row r="34" spans="1:65" ht="15.75" customHeight="1" outlineLevel="3">
      <c r="A34" s="79" t="s">
        <v>29</v>
      </c>
      <c r="B34" s="191"/>
      <c r="C34" s="191"/>
      <c r="D34" s="192"/>
      <c r="E34" s="191"/>
      <c r="F34" s="191"/>
      <c r="G34" s="191"/>
      <c r="H34" s="192"/>
      <c r="I34" s="191">
        <v>1535.8387729999999</v>
      </c>
      <c r="J34" s="191">
        <v>1550.9333610000001</v>
      </c>
      <c r="K34" s="191">
        <v>1403.3694419999999</v>
      </c>
      <c r="L34" s="191">
        <v>939.15557899999999</v>
      </c>
      <c r="M34" s="191">
        <v>1779.7733049999999</v>
      </c>
      <c r="N34" s="191">
        <v>1504.9512480000001</v>
      </c>
      <c r="O34" s="191">
        <v>1417.6331700000001</v>
      </c>
      <c r="P34" s="191">
        <v>939.59584900000004</v>
      </c>
      <c r="Q34" s="191">
        <v>1049.9071200000001</v>
      </c>
      <c r="R34" s="191">
        <v>1319.4877550000001</v>
      </c>
      <c r="S34" s="787">
        <v>1179.889725</v>
      </c>
      <c r="T34" s="193">
        <f t="shared" ref="T34:AS34" si="73">T25</f>
        <v>1472.5540986575299</v>
      </c>
      <c r="U34" s="193">
        <f t="shared" si="73"/>
        <v>1624.62615452055</v>
      </c>
      <c r="V34" s="193">
        <f t="shared" si="73"/>
        <v>1696.2213774696299</v>
      </c>
      <c r="W34" s="193">
        <f t="shared" si="73"/>
        <v>1879.5040931803701</v>
      </c>
      <c r="X34" s="193">
        <f t="shared" si="73"/>
        <v>1905.7278970136999</v>
      </c>
      <c r="Y34" s="193">
        <f t="shared" si="73"/>
        <v>1750.04125865172</v>
      </c>
      <c r="Z34" s="193">
        <f t="shared" si="73"/>
        <v>1785.0420838247601</v>
      </c>
      <c r="AA34" s="193">
        <f t="shared" si="73"/>
        <v>1820.7429255012501</v>
      </c>
      <c r="AB34" s="193">
        <f t="shared" si="73"/>
        <v>1857.15778401128</v>
      </c>
      <c r="AC34" s="193">
        <f t="shared" si="73"/>
        <v>1894.3009396914999</v>
      </c>
      <c r="AD34" s="193">
        <f t="shared" si="73"/>
        <v>1932.18695848533</v>
      </c>
      <c r="AE34" s="193">
        <f t="shared" si="73"/>
        <v>1970.83069765504</v>
      </c>
      <c r="AF34" s="193">
        <f t="shared" si="73"/>
        <v>2010.2473116081401</v>
      </c>
      <c r="AG34" s="193">
        <f t="shared" si="73"/>
        <v>2050.4522578402998</v>
      </c>
      <c r="AH34" s="193">
        <f t="shared" si="73"/>
        <v>2091.4613029971101</v>
      </c>
      <c r="AI34" s="193">
        <f t="shared" si="73"/>
        <v>2133.2905290570502</v>
      </c>
      <c r="AJ34" s="193">
        <f t="shared" si="73"/>
        <v>2175.95633963819</v>
      </c>
      <c r="AK34" s="193">
        <f t="shared" si="73"/>
        <v>2219.4754664309598</v>
      </c>
      <c r="AL34" s="193">
        <f t="shared" si="73"/>
        <v>2263.8649757595799</v>
      </c>
      <c r="AM34" s="193">
        <f t="shared" si="73"/>
        <v>2309.1422752747699</v>
      </c>
      <c r="AN34" s="193">
        <f t="shared" si="73"/>
        <v>2355.32512078027</v>
      </c>
      <c r="AO34" s="193">
        <f t="shared" si="73"/>
        <v>2402.4316231958701</v>
      </c>
      <c r="AP34" s="193">
        <f t="shared" si="73"/>
        <v>2450.4802556597901</v>
      </c>
      <c r="AQ34" s="193">
        <f t="shared" si="73"/>
        <v>2499.4898607729801</v>
      </c>
      <c r="AR34" s="193">
        <f t="shared" si="73"/>
        <v>2549.4796579884401</v>
      </c>
      <c r="AS34" s="193">
        <f t="shared" si="73"/>
        <v>2600.4692511482099</v>
      </c>
      <c r="AT34" s="193">
        <f t="shared" ref="AT34:BC34" si="74">AT25</f>
        <v>2652.4786361711799</v>
      </c>
      <c r="AU34" s="193">
        <f t="shared" si="74"/>
        <v>2705.5282088946001</v>
      </c>
      <c r="AV34" s="193">
        <f t="shared" si="74"/>
        <v>2759.63877307249</v>
      </c>
      <c r="AW34" s="193">
        <f t="shared" si="74"/>
        <v>2814.8315485339399</v>
      </c>
      <c r="AX34" s="193">
        <f t="shared" si="74"/>
        <v>2871.1281795046202</v>
      </c>
      <c r="AY34" s="193">
        <f t="shared" si="74"/>
        <v>2928.55074309471</v>
      </c>
      <c r="AZ34" s="193">
        <f t="shared" si="74"/>
        <v>2987.1217579566101</v>
      </c>
      <c r="BA34" s="193">
        <f t="shared" si="74"/>
        <v>3046.8641931157399</v>
      </c>
      <c r="BB34" s="193">
        <f t="shared" si="74"/>
        <v>3107.8014769780498</v>
      </c>
      <c r="BC34" s="193">
        <f t="shared" si="74"/>
        <v>3169.95750651762</v>
      </c>
      <c r="BD34" s="193"/>
      <c r="BE34" s="193"/>
      <c r="BF34" s="193"/>
      <c r="BG34" s="193"/>
      <c r="BH34" s="193"/>
      <c r="BI34" s="193"/>
      <c r="BJ34" s="193"/>
      <c r="BK34" s="193"/>
      <c r="BL34" s="193"/>
      <c r="BM34" s="193"/>
    </row>
    <row r="35" spans="1:65" ht="15.75" customHeight="1" outlineLevel="3">
      <c r="A35" s="79" t="s">
        <v>30</v>
      </c>
      <c r="B35" s="191"/>
      <c r="C35" s="191"/>
      <c r="D35" s="192"/>
      <c r="E35" s="191"/>
      <c r="F35" s="191"/>
      <c r="G35" s="191"/>
      <c r="H35" s="192"/>
      <c r="I35" s="191">
        <v>4516.1052140000002</v>
      </c>
      <c r="J35" s="191">
        <v>4959.4259157500001</v>
      </c>
      <c r="K35" s="191">
        <v>5107.5202192799998</v>
      </c>
      <c r="L35" s="191">
        <v>5181.9696690000001</v>
      </c>
      <c r="M35" s="191">
        <v>5192.6893281499997</v>
      </c>
      <c r="N35" s="191">
        <v>5370.9069159999999</v>
      </c>
      <c r="O35" s="191">
        <v>5601.6462090000005</v>
      </c>
      <c r="P35" s="191">
        <v>5197.2109190000001</v>
      </c>
      <c r="Q35" s="191">
        <v>6258.3327740000004</v>
      </c>
      <c r="R35" s="191">
        <v>7495.8173669999996</v>
      </c>
      <c r="S35" s="787">
        <v>7694.7027859999998</v>
      </c>
      <c r="T35" s="193">
        <f t="shared" ref="T35:AS35" si="75">(S26+T26)/2</f>
        <v>8396.9581471725196</v>
      </c>
      <c r="U35" s="193">
        <f t="shared" si="75"/>
        <v>9425.2951992185153</v>
      </c>
      <c r="V35" s="193">
        <f t="shared" si="75"/>
        <v>9528.7798602560943</v>
      </c>
      <c r="W35" s="193">
        <f t="shared" si="75"/>
        <v>8959.6658161220803</v>
      </c>
      <c r="X35" s="193">
        <f t="shared" si="75"/>
        <v>8213.8072293017249</v>
      </c>
      <c r="Y35" s="193">
        <f t="shared" si="75"/>
        <v>9561.1577824823144</v>
      </c>
      <c r="Z35" s="193">
        <f t="shared" si="75"/>
        <v>10873.09384488975</v>
      </c>
      <c r="AA35" s="193">
        <f t="shared" si="75"/>
        <v>10137.003946819776</v>
      </c>
      <c r="AB35" s="193">
        <f t="shared" si="75"/>
        <v>9642.1817867945101</v>
      </c>
      <c r="AC35" s="193">
        <f t="shared" si="75"/>
        <v>9354.4203220827058</v>
      </c>
      <c r="AD35" s="193">
        <f t="shared" si="75"/>
        <v>8934.8538821698203</v>
      </c>
      <c r="AE35" s="193">
        <f t="shared" si="75"/>
        <v>8801.6595321238001</v>
      </c>
      <c r="AF35" s="193">
        <f t="shared" si="75"/>
        <v>8805.7029742256891</v>
      </c>
      <c r="AG35" s="193">
        <f t="shared" si="75"/>
        <v>8576.9018765528544</v>
      </c>
      <c r="AH35" s="193">
        <f t="shared" si="75"/>
        <v>8244.5764659387205</v>
      </c>
      <c r="AI35" s="193">
        <f t="shared" si="75"/>
        <v>7625.9876002586843</v>
      </c>
      <c r="AJ35" s="193">
        <f t="shared" si="75"/>
        <v>6763.7318504346204</v>
      </c>
      <c r="AK35" s="193">
        <f t="shared" si="75"/>
        <v>6384.9461172519404</v>
      </c>
      <c r="AL35" s="193">
        <f t="shared" si="75"/>
        <v>6255.5227958534997</v>
      </c>
      <c r="AM35" s="193">
        <f t="shared" si="75"/>
        <v>5853.189585471695</v>
      </c>
      <c r="AN35" s="193">
        <f t="shared" si="75"/>
        <v>5263.4037291724953</v>
      </c>
      <c r="AO35" s="193">
        <f t="shared" si="75"/>
        <v>4779.4501191783802</v>
      </c>
      <c r="AP35" s="193">
        <f t="shared" si="75"/>
        <v>4531.2624556238297</v>
      </c>
      <c r="AQ35" s="193">
        <f t="shared" si="75"/>
        <v>4200.6124022237054</v>
      </c>
      <c r="AR35" s="193">
        <f t="shared" si="75"/>
        <v>3816.0027478425154</v>
      </c>
      <c r="AS35" s="193">
        <f t="shared" si="75"/>
        <v>3538.8606782888751</v>
      </c>
      <c r="AT35" s="193">
        <f t="shared" ref="AT35" si="76">(AS26+AT26)/2</f>
        <v>3375.2532304947199</v>
      </c>
      <c r="AU35" s="193">
        <f t="shared" ref="AU35" si="77">(AT26+AU26)/2</f>
        <v>3457.5789835853548</v>
      </c>
      <c r="AV35" s="193">
        <f t="shared" ref="AV35" si="78">(AU26+AV26)/2</f>
        <v>3590.3145185583053</v>
      </c>
      <c r="AW35" s="193">
        <f t="shared" ref="AW35" si="79">(AV26+AW26)/2</f>
        <v>3470.5302338225147</v>
      </c>
      <c r="AX35" s="193">
        <f t="shared" ref="AX35" si="80">(AW26+AX26)/2</f>
        <v>3327.9778414212396</v>
      </c>
      <c r="AY35" s="193">
        <f t="shared" ref="AY35" si="81">(AX26+AY26)/2</f>
        <v>3296.5483696619549</v>
      </c>
      <c r="AZ35" s="193">
        <f t="shared" ref="AZ35" si="82">(AY26+AZ26)/2</f>
        <v>3277.659198810195</v>
      </c>
      <c r="BA35" s="193">
        <f t="shared" ref="BA35" si="83">(AZ26+BA26)/2</f>
        <v>3345.4397758797149</v>
      </c>
      <c r="BB35" s="193">
        <f t="shared" ref="BB35" si="84">(BA26+BB26)/2</f>
        <v>3313.3814091228251</v>
      </c>
      <c r="BC35" s="193">
        <f t="shared" ref="BC35" si="85">(BB26+BC26)/2</f>
        <v>3148.1796491289397</v>
      </c>
      <c r="BD35" s="193"/>
      <c r="BE35" s="193"/>
      <c r="BF35" s="193"/>
      <c r="BG35" s="193"/>
      <c r="BH35" s="193"/>
      <c r="BI35" s="193"/>
      <c r="BJ35" s="193"/>
      <c r="BK35" s="193"/>
      <c r="BL35" s="193"/>
      <c r="BM35" s="193"/>
    </row>
    <row r="36" spans="1:65" ht="15.75" customHeight="1" outlineLevel="3">
      <c r="A36" s="79" t="s">
        <v>320</v>
      </c>
      <c r="B36" s="80"/>
      <c r="C36" s="80"/>
      <c r="D36" s="80"/>
      <c r="E36" s="80"/>
      <c r="F36" s="80"/>
      <c r="G36" s="80"/>
      <c r="H36" s="80"/>
      <c r="I36" s="80">
        <v>61.899115999999999</v>
      </c>
      <c r="J36" s="80">
        <v>-25.682537</v>
      </c>
      <c r="K36" s="80">
        <v>2.199846</v>
      </c>
      <c r="L36" s="80">
        <v>6.5546819999999997</v>
      </c>
      <c r="M36" s="80">
        <v>1.030437</v>
      </c>
      <c r="N36" s="80">
        <v>1.715724</v>
      </c>
      <c r="O36" s="80">
        <v>0.95228800000000002</v>
      </c>
      <c r="P36" s="80">
        <v>0.72802299999999998</v>
      </c>
      <c r="Q36" s="80">
        <v>1.4472370000000001</v>
      </c>
      <c r="R36" s="80">
        <v>3.6490079999999998</v>
      </c>
      <c r="S36" s="786">
        <v>-2.6242719999999999</v>
      </c>
      <c r="T36" s="676">
        <v>1</v>
      </c>
      <c r="U36" s="676">
        <v>1</v>
      </c>
      <c r="V36" s="86">
        <f t="shared" ref="V36:AS36" si="86">0.25*U27+0.75*V27</f>
        <v>0</v>
      </c>
      <c r="W36" s="86">
        <f t="shared" si="86"/>
        <v>0</v>
      </c>
      <c r="X36" s="86">
        <f t="shared" si="86"/>
        <v>0</v>
      </c>
      <c r="Y36" s="86">
        <f t="shared" si="86"/>
        <v>0</v>
      </c>
      <c r="Z36" s="86">
        <f t="shared" si="86"/>
        <v>0</v>
      </c>
      <c r="AA36" s="86">
        <f t="shared" si="86"/>
        <v>0</v>
      </c>
      <c r="AB36" s="86">
        <f t="shared" si="86"/>
        <v>0</v>
      </c>
      <c r="AC36" s="86">
        <f t="shared" si="86"/>
        <v>0</v>
      </c>
      <c r="AD36" s="86">
        <f t="shared" si="86"/>
        <v>0</v>
      </c>
      <c r="AE36" s="86">
        <f t="shared" si="86"/>
        <v>0</v>
      </c>
      <c r="AF36" s="86">
        <f t="shared" si="86"/>
        <v>0</v>
      </c>
      <c r="AG36" s="86">
        <f t="shared" si="86"/>
        <v>0</v>
      </c>
      <c r="AH36" s="86">
        <f t="shared" si="86"/>
        <v>0</v>
      </c>
      <c r="AI36" s="86">
        <f t="shared" si="86"/>
        <v>0</v>
      </c>
      <c r="AJ36" s="86">
        <f t="shared" si="86"/>
        <v>0</v>
      </c>
      <c r="AK36" s="86">
        <f t="shared" si="86"/>
        <v>0</v>
      </c>
      <c r="AL36" s="86">
        <f t="shared" si="86"/>
        <v>0</v>
      </c>
      <c r="AM36" s="86">
        <f t="shared" si="86"/>
        <v>0</v>
      </c>
      <c r="AN36" s="86">
        <f t="shared" si="86"/>
        <v>0</v>
      </c>
      <c r="AO36" s="86">
        <f t="shared" si="86"/>
        <v>0</v>
      </c>
      <c r="AP36" s="86">
        <f t="shared" si="86"/>
        <v>0</v>
      </c>
      <c r="AQ36" s="86">
        <f t="shared" si="86"/>
        <v>0</v>
      </c>
      <c r="AR36" s="86">
        <f t="shared" si="86"/>
        <v>0</v>
      </c>
      <c r="AS36" s="86">
        <f t="shared" si="86"/>
        <v>0</v>
      </c>
      <c r="AT36" s="86">
        <f t="shared" ref="AT36" si="87">0.25*AS27+0.75*AT27</f>
        <v>0</v>
      </c>
      <c r="AU36" s="86">
        <f t="shared" ref="AU36" si="88">0.25*AT27+0.75*AU27</f>
        <v>0</v>
      </c>
      <c r="AV36" s="86">
        <f t="shared" ref="AV36" si="89">0.25*AU27+0.75*AV27</f>
        <v>0</v>
      </c>
      <c r="AW36" s="86">
        <f t="shared" ref="AW36" si="90">0.25*AV27+0.75*AW27</f>
        <v>0</v>
      </c>
      <c r="AX36" s="86">
        <f t="shared" ref="AX36" si="91">0.25*AW27+0.75*AX27</f>
        <v>0</v>
      </c>
      <c r="AY36" s="86">
        <f t="shared" ref="AY36" si="92">0.25*AX27+0.75*AY27</f>
        <v>0</v>
      </c>
      <c r="AZ36" s="86">
        <f t="shared" ref="AZ36" si="93">0.25*AY27+0.75*AZ27</f>
        <v>0</v>
      </c>
      <c r="BA36" s="86">
        <f t="shared" ref="BA36" si="94">0.25*AZ27+0.75*BA27</f>
        <v>0</v>
      </c>
      <c r="BB36" s="86">
        <f t="shared" ref="BB36" si="95">0.25*BA27+0.75*BB27</f>
        <v>0</v>
      </c>
      <c r="BC36" s="86">
        <f t="shared" ref="BC36" si="96">0.25*BB27+0.75*BC27</f>
        <v>0</v>
      </c>
      <c r="BD36" s="86"/>
      <c r="BE36" s="86"/>
      <c r="BF36" s="86"/>
      <c r="BG36" s="86"/>
      <c r="BH36" s="86"/>
      <c r="BI36" s="86"/>
      <c r="BJ36" s="86"/>
      <c r="BK36" s="86"/>
      <c r="BL36" s="86"/>
      <c r="BM36" s="86"/>
    </row>
    <row r="37" spans="1:65" ht="15.75" customHeight="1" outlineLevel="2">
      <c r="A37" s="79" t="s">
        <v>31</v>
      </c>
      <c r="B37" s="193"/>
      <c r="C37" s="193"/>
      <c r="D37" s="193"/>
      <c r="E37" s="193"/>
      <c r="F37" s="193"/>
      <c r="G37" s="193"/>
      <c r="H37" s="193"/>
      <c r="I37" s="193">
        <f t="shared" ref="I37:AS37" si="97">I31+I32</f>
        <v>170049</v>
      </c>
      <c r="J37" s="193">
        <f t="shared" si="97"/>
        <v>103672.47675500001</v>
      </c>
      <c r="K37" s="193">
        <f t="shared" si="97"/>
        <v>41092.757807000002</v>
      </c>
      <c r="L37" s="193">
        <f t="shared" si="97"/>
        <v>65049.094722000002</v>
      </c>
      <c r="M37" s="193">
        <f t="shared" si="97"/>
        <v>110313.49531900001</v>
      </c>
      <c r="N37" s="486">
        <f t="shared" si="97"/>
        <v>133501.46726399998</v>
      </c>
      <c r="O37" s="193">
        <f t="shared" si="97"/>
        <v>28387.642770999999</v>
      </c>
      <c r="P37" s="193">
        <f t="shared" si="97"/>
        <v>85711.246055989992</v>
      </c>
      <c r="Q37" s="193">
        <f t="shared" si="97"/>
        <v>713621.27792700008</v>
      </c>
      <c r="R37" s="193">
        <f t="shared" si="97"/>
        <v>614426.47050299996</v>
      </c>
      <c r="S37" s="193">
        <f t="shared" si="97"/>
        <v>411467.43657200004</v>
      </c>
      <c r="T37" s="193">
        <f t="shared" si="97"/>
        <v>373871.95773700002</v>
      </c>
      <c r="U37" s="193">
        <f t="shared" si="97"/>
        <v>291419.93334292236</v>
      </c>
      <c r="V37" s="193">
        <f t="shared" si="97"/>
        <v>236330.05505219876</v>
      </c>
      <c r="W37" s="193">
        <f t="shared" si="97"/>
        <v>218556.94292171136</v>
      </c>
      <c r="X37" s="193">
        <f t="shared" si="97"/>
        <v>201585.59739975131</v>
      </c>
      <c r="Y37" s="193">
        <f t="shared" si="97"/>
        <v>165320.88125047259</v>
      </c>
      <c r="Z37" s="193">
        <f t="shared" si="97"/>
        <v>131422.10820309175</v>
      </c>
      <c r="AA37" s="193">
        <f t="shared" si="97"/>
        <v>136530.33983283414</v>
      </c>
      <c r="AB37" s="193">
        <f t="shared" si="97"/>
        <v>136420.08714532596</v>
      </c>
      <c r="AC37" s="193">
        <f t="shared" si="97"/>
        <v>139214.73827370937</v>
      </c>
      <c r="AD37" s="193">
        <f t="shared" si="97"/>
        <v>149380.89096754161</v>
      </c>
      <c r="AE37" s="193">
        <f t="shared" si="97"/>
        <v>154824.40543416538</v>
      </c>
      <c r="AF37" s="193">
        <f t="shared" si="97"/>
        <v>152178.72890733057</v>
      </c>
      <c r="AG37" s="193">
        <f t="shared" si="97"/>
        <v>141357.85149685878</v>
      </c>
      <c r="AH37" s="193">
        <f t="shared" si="97"/>
        <v>129434.43992351647</v>
      </c>
      <c r="AI37" s="193">
        <f t="shared" si="97"/>
        <v>121814.92951199735</v>
      </c>
      <c r="AJ37" s="193">
        <f t="shared" si="97"/>
        <v>116635.6078953164</v>
      </c>
      <c r="AK37" s="193">
        <f t="shared" si="97"/>
        <v>108468.02661383581</v>
      </c>
      <c r="AL37" s="193">
        <f t="shared" si="97"/>
        <v>101069.9206932486</v>
      </c>
      <c r="AM37" s="193">
        <f t="shared" si="97"/>
        <v>97463.484388577403</v>
      </c>
      <c r="AN37" s="193">
        <f t="shared" si="97"/>
        <v>91961.727819713444</v>
      </c>
      <c r="AO37" s="193">
        <f t="shared" si="97"/>
        <v>88088.862280914051</v>
      </c>
      <c r="AP37" s="193">
        <f t="shared" si="97"/>
        <v>84951.416927424725</v>
      </c>
      <c r="AQ37" s="193">
        <f t="shared" si="97"/>
        <v>83344.601424952052</v>
      </c>
      <c r="AR37" s="193">
        <f t="shared" si="97"/>
        <v>81122.129630092444</v>
      </c>
      <c r="AS37" s="193">
        <f t="shared" si="97"/>
        <v>78552.925244319194</v>
      </c>
      <c r="AT37" s="193">
        <f t="shared" ref="AT37:BC37" si="98">AT31+AT32</f>
        <v>83018.275876673724</v>
      </c>
      <c r="AU37" s="193">
        <f t="shared" si="98"/>
        <v>80877.399949177343</v>
      </c>
      <c r="AV37" s="193">
        <f t="shared" si="98"/>
        <v>76112.901782419678</v>
      </c>
      <c r="AW37" s="193">
        <f t="shared" si="98"/>
        <v>70999.901872364353</v>
      </c>
      <c r="AX37" s="193">
        <f t="shared" si="98"/>
        <v>66872.256379585509</v>
      </c>
      <c r="AY37" s="193">
        <f t="shared" si="98"/>
        <v>67517.581120748713</v>
      </c>
      <c r="AZ37" s="193">
        <f t="shared" si="98"/>
        <v>68556.629089698952</v>
      </c>
      <c r="BA37" s="193">
        <f t="shared" si="98"/>
        <v>62398.981478321832</v>
      </c>
      <c r="BB37" s="193">
        <f t="shared" si="98"/>
        <v>57362.063366019982</v>
      </c>
      <c r="BC37" s="193">
        <f t="shared" si="98"/>
        <v>54120.274700976035</v>
      </c>
      <c r="BD37" s="193"/>
      <c r="BE37" s="193"/>
      <c r="BF37" s="193"/>
      <c r="BG37" s="193"/>
      <c r="BH37" s="193"/>
      <c r="BI37" s="193"/>
      <c r="BJ37" s="193"/>
      <c r="BK37" s="193"/>
      <c r="BL37" s="193"/>
      <c r="BM37" s="193"/>
    </row>
    <row r="38" spans="1:65" ht="15.75" customHeight="1" outlineLevel="1">
      <c r="A38" s="79" t="s">
        <v>32</v>
      </c>
      <c r="B38" s="193"/>
      <c r="C38" s="193"/>
      <c r="D38" s="193"/>
      <c r="E38" s="193"/>
      <c r="F38" s="193"/>
      <c r="G38" s="193"/>
      <c r="H38" s="193"/>
      <c r="I38" s="193">
        <f t="shared" ref="I38:Y38" si="99">I33+I34+I35+I36</f>
        <v>6113.8431030000002</v>
      </c>
      <c r="J38" s="193">
        <f t="shared" si="99"/>
        <v>6484.6767397500007</v>
      </c>
      <c r="K38" s="193">
        <f t="shared" si="99"/>
        <v>6513.0895072800004</v>
      </c>
      <c r="L38" s="193">
        <f t="shared" si="99"/>
        <v>6127.6799300000002</v>
      </c>
      <c r="M38" s="193">
        <f t="shared" si="99"/>
        <v>6973.4930701499998</v>
      </c>
      <c r="N38" s="193">
        <f t="shared" si="99"/>
        <v>6877.5738879999999</v>
      </c>
      <c r="O38" s="193">
        <f t="shared" si="99"/>
        <v>7020.2316670000009</v>
      </c>
      <c r="P38" s="193">
        <f t="shared" si="99"/>
        <v>6137.534791</v>
      </c>
      <c r="Q38" s="193">
        <f t="shared" si="99"/>
        <v>7309.6871310000006</v>
      </c>
      <c r="R38" s="193">
        <f t="shared" si="99"/>
        <v>8818.9541300000001</v>
      </c>
      <c r="S38" s="193">
        <f t="shared" si="99"/>
        <v>8871.9682389999998</v>
      </c>
      <c r="T38" s="193">
        <f t="shared" si="99"/>
        <v>9870.5122458300502</v>
      </c>
      <c r="U38" s="193">
        <f t="shared" si="99"/>
        <v>11050.921353739066</v>
      </c>
      <c r="V38" s="193">
        <f t="shared" si="99"/>
        <v>11225.001237725724</v>
      </c>
      <c r="W38" s="193">
        <f t="shared" si="99"/>
        <v>10839.169909302451</v>
      </c>
      <c r="X38" s="193">
        <f t="shared" si="99"/>
        <v>10119.535126315424</v>
      </c>
      <c r="Y38" s="193">
        <f t="shared" si="99"/>
        <v>11311.199041134034</v>
      </c>
      <c r="Z38" s="193">
        <f t="shared" ref="Z38:AS38" si="100">Z33+Z34+Z35+Z36</f>
        <v>12658.13592871451</v>
      </c>
      <c r="AA38" s="193">
        <f t="shared" si="100"/>
        <v>11957.746872321026</v>
      </c>
      <c r="AB38" s="193">
        <f t="shared" si="100"/>
        <v>11499.339570805791</v>
      </c>
      <c r="AC38" s="193">
        <f t="shared" si="100"/>
        <v>11248.721261774206</v>
      </c>
      <c r="AD38" s="193">
        <f t="shared" si="100"/>
        <v>10867.040840655151</v>
      </c>
      <c r="AE38" s="193">
        <f t="shared" si="100"/>
        <v>10772.490229778839</v>
      </c>
      <c r="AF38" s="193">
        <f t="shared" si="100"/>
        <v>10815.950285833829</v>
      </c>
      <c r="AG38" s="193">
        <f t="shared" si="100"/>
        <v>10627.354134393154</v>
      </c>
      <c r="AH38" s="193">
        <f t="shared" si="100"/>
        <v>10336.03776893583</v>
      </c>
      <c r="AI38" s="193">
        <f t="shared" si="100"/>
        <v>9759.278129315735</v>
      </c>
      <c r="AJ38" s="193">
        <f t="shared" si="100"/>
        <v>8939.6881900728113</v>
      </c>
      <c r="AK38" s="193">
        <f t="shared" si="100"/>
        <v>8604.4215836829007</v>
      </c>
      <c r="AL38" s="193">
        <f t="shared" si="100"/>
        <v>8519.3877716130792</v>
      </c>
      <c r="AM38" s="193">
        <f t="shared" si="100"/>
        <v>8162.3318607464644</v>
      </c>
      <c r="AN38" s="193">
        <f t="shared" si="100"/>
        <v>7618.7288499527658</v>
      </c>
      <c r="AO38" s="193">
        <f t="shared" si="100"/>
        <v>7181.8817423742503</v>
      </c>
      <c r="AP38" s="193">
        <f t="shared" si="100"/>
        <v>6981.7427112836194</v>
      </c>
      <c r="AQ38" s="193">
        <f t="shared" si="100"/>
        <v>6700.1022629966856</v>
      </c>
      <c r="AR38" s="193">
        <f t="shared" si="100"/>
        <v>6365.482405830955</v>
      </c>
      <c r="AS38" s="193">
        <f t="shared" si="100"/>
        <v>6139.3299294370845</v>
      </c>
      <c r="AT38" s="193">
        <f t="shared" ref="AT38:BC38" si="101">AT33+AT34+AT35+AT36</f>
        <v>6027.7318666658994</v>
      </c>
      <c r="AU38" s="193">
        <f t="shared" si="101"/>
        <v>6163.1071924799544</v>
      </c>
      <c r="AV38" s="193">
        <f t="shared" si="101"/>
        <v>6349.9532916307953</v>
      </c>
      <c r="AW38" s="193">
        <f t="shared" si="101"/>
        <v>6285.3617823564546</v>
      </c>
      <c r="AX38" s="193">
        <f t="shared" si="101"/>
        <v>6199.1060209258594</v>
      </c>
      <c r="AY38" s="193">
        <f t="shared" si="101"/>
        <v>6225.0991127566649</v>
      </c>
      <c r="AZ38" s="193">
        <f t="shared" si="101"/>
        <v>6264.7809567668046</v>
      </c>
      <c r="BA38" s="193">
        <f t="shared" si="101"/>
        <v>6392.3039689954549</v>
      </c>
      <c r="BB38" s="193">
        <f t="shared" si="101"/>
        <v>6421.1828861008744</v>
      </c>
      <c r="BC38" s="193">
        <f t="shared" si="101"/>
        <v>6318.1371556465601</v>
      </c>
      <c r="BD38" s="193"/>
      <c r="BE38" s="193"/>
      <c r="BF38" s="193"/>
      <c r="BG38" s="193"/>
      <c r="BH38" s="193"/>
      <c r="BI38" s="193"/>
      <c r="BJ38" s="193"/>
      <c r="BK38" s="193"/>
      <c r="BL38" s="193"/>
      <c r="BM38" s="193"/>
    </row>
    <row r="39" spans="1:65" ht="15.75" customHeight="1">
      <c r="A39" s="79" t="s">
        <v>33</v>
      </c>
      <c r="B39" s="193"/>
      <c r="C39" s="193"/>
      <c r="D39" s="193"/>
      <c r="E39" s="193"/>
      <c r="F39" s="193"/>
      <c r="G39" s="193"/>
      <c r="H39" s="193"/>
      <c r="I39" s="193">
        <f t="shared" ref="I39:Y39" si="102">I37+I38</f>
        <v>176162.84310299999</v>
      </c>
      <c r="J39" s="193">
        <f t="shared" si="102"/>
        <v>110157.15349475</v>
      </c>
      <c r="K39" s="193">
        <f t="shared" si="102"/>
        <v>47605.847314279999</v>
      </c>
      <c r="L39" s="193">
        <f t="shared" si="102"/>
        <v>71176.774652000007</v>
      </c>
      <c r="M39" s="193">
        <f t="shared" si="102"/>
        <v>117286.98838915001</v>
      </c>
      <c r="N39" s="193">
        <f t="shared" si="102"/>
        <v>140379.04115199999</v>
      </c>
      <c r="O39" s="193">
        <f t="shared" si="102"/>
        <v>35407.874437999999</v>
      </c>
      <c r="P39" s="193">
        <f t="shared" si="102"/>
        <v>91848.78084698999</v>
      </c>
      <c r="Q39" s="193">
        <f t="shared" si="102"/>
        <v>720930.96505800006</v>
      </c>
      <c r="R39" s="193">
        <f t="shared" si="102"/>
        <v>623245.42463299993</v>
      </c>
      <c r="S39" s="193">
        <f t="shared" si="102"/>
        <v>420339.40481100004</v>
      </c>
      <c r="T39" s="193">
        <f t="shared" si="102"/>
        <v>383742.46998283005</v>
      </c>
      <c r="U39" s="193">
        <f t="shared" si="102"/>
        <v>302470.85469666141</v>
      </c>
      <c r="V39" s="193">
        <f t="shared" si="102"/>
        <v>247555.05628992448</v>
      </c>
      <c r="W39" s="193">
        <f t="shared" si="102"/>
        <v>229396.1128310138</v>
      </c>
      <c r="X39" s="193">
        <f t="shared" si="102"/>
        <v>211705.13252606674</v>
      </c>
      <c r="Y39" s="193">
        <f t="shared" si="102"/>
        <v>176632.08029160663</v>
      </c>
      <c r="Z39" s="193">
        <f t="shared" ref="Z39:AS39" si="103">Z37+Z38</f>
        <v>144080.24413180625</v>
      </c>
      <c r="AA39" s="193">
        <f t="shared" si="103"/>
        <v>148488.08670515518</v>
      </c>
      <c r="AB39" s="193">
        <f t="shared" si="103"/>
        <v>147919.42671613174</v>
      </c>
      <c r="AC39" s="193">
        <f t="shared" si="103"/>
        <v>150463.45953548359</v>
      </c>
      <c r="AD39" s="193">
        <f t="shared" si="103"/>
        <v>160247.93180819676</v>
      </c>
      <c r="AE39" s="193">
        <f t="shared" si="103"/>
        <v>165596.89566394422</v>
      </c>
      <c r="AF39" s="193">
        <f t="shared" si="103"/>
        <v>162994.6791931644</v>
      </c>
      <c r="AG39" s="193">
        <f t="shared" si="103"/>
        <v>151985.20563125194</v>
      </c>
      <c r="AH39" s="193">
        <f t="shared" si="103"/>
        <v>139770.47769245232</v>
      </c>
      <c r="AI39" s="193">
        <f t="shared" si="103"/>
        <v>131574.20764131309</v>
      </c>
      <c r="AJ39" s="193">
        <f t="shared" si="103"/>
        <v>125575.29608538921</v>
      </c>
      <c r="AK39" s="193">
        <f t="shared" si="103"/>
        <v>117072.44819751871</v>
      </c>
      <c r="AL39" s="193">
        <f t="shared" si="103"/>
        <v>109589.30846486168</v>
      </c>
      <c r="AM39" s="193">
        <f t="shared" si="103"/>
        <v>105625.81624932386</v>
      </c>
      <c r="AN39" s="193">
        <f t="shared" si="103"/>
        <v>99580.456669666208</v>
      </c>
      <c r="AO39" s="193">
        <f t="shared" si="103"/>
        <v>95270.744023288295</v>
      </c>
      <c r="AP39" s="193">
        <f t="shared" si="103"/>
        <v>91933.159638708341</v>
      </c>
      <c r="AQ39" s="193">
        <f t="shared" si="103"/>
        <v>90044.703687948742</v>
      </c>
      <c r="AR39" s="193">
        <f t="shared" si="103"/>
        <v>87487.612035923405</v>
      </c>
      <c r="AS39" s="193">
        <f t="shared" si="103"/>
        <v>84692.255173756275</v>
      </c>
      <c r="AT39" s="193">
        <f t="shared" ref="AT39:BC39" si="104">AT37+AT38</f>
        <v>89046.007743339622</v>
      </c>
      <c r="AU39" s="193">
        <f t="shared" si="104"/>
        <v>87040.50714165729</v>
      </c>
      <c r="AV39" s="193">
        <f t="shared" si="104"/>
        <v>82462.855074050472</v>
      </c>
      <c r="AW39" s="193">
        <f t="shared" si="104"/>
        <v>77285.263654720809</v>
      </c>
      <c r="AX39" s="193">
        <f t="shared" si="104"/>
        <v>73071.362400511367</v>
      </c>
      <c r="AY39" s="193">
        <f t="shared" si="104"/>
        <v>73742.68023350538</v>
      </c>
      <c r="AZ39" s="193">
        <f t="shared" si="104"/>
        <v>74821.410046465753</v>
      </c>
      <c r="BA39" s="193">
        <f t="shared" si="104"/>
        <v>68791.285447317292</v>
      </c>
      <c r="BB39" s="193">
        <f t="shared" si="104"/>
        <v>63783.246252120858</v>
      </c>
      <c r="BC39" s="193">
        <f t="shared" si="104"/>
        <v>60438.411856622595</v>
      </c>
      <c r="BD39" s="193"/>
      <c r="BE39" s="193"/>
      <c r="BF39" s="193"/>
      <c r="BG39" s="193"/>
      <c r="BH39" s="193"/>
      <c r="BI39" s="193"/>
      <c r="BJ39" s="193"/>
      <c r="BK39" s="193"/>
      <c r="BL39" s="193"/>
      <c r="BM39" s="193"/>
    </row>
    <row r="40" spans="1:65" ht="15.75" customHeight="1"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  <c r="BM40" s="193"/>
    </row>
    <row r="41" spans="1:65" ht="15.75" customHeight="1"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  <c r="BI41" s="193"/>
      <c r="BJ41" s="193"/>
      <c r="BK41" s="193"/>
      <c r="BL41" s="193"/>
      <c r="BM41" s="193"/>
    </row>
    <row r="42" spans="1:65" ht="15.75" customHeight="1">
      <c r="A42" s="669" t="s">
        <v>643</v>
      </c>
      <c r="B42" s="486"/>
      <c r="C42" s="486"/>
      <c r="D42" s="486"/>
      <c r="E42" s="486"/>
      <c r="F42" s="486"/>
      <c r="G42" s="486"/>
      <c r="H42" s="486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  <c r="BK42" s="193"/>
      <c r="BL42" s="193"/>
      <c r="BM42" s="193"/>
    </row>
    <row r="43" spans="1:65" ht="15.75" customHeight="1">
      <c r="A43" s="79" t="s">
        <v>581</v>
      </c>
      <c r="B43" s="486"/>
      <c r="C43" s="486"/>
      <c r="D43" s="486"/>
      <c r="E43" s="486"/>
      <c r="F43" s="486"/>
      <c r="G43" s="486"/>
      <c r="H43" s="486"/>
      <c r="I43" s="670">
        <v>0</v>
      </c>
      <c r="J43" s="670">
        <v>0</v>
      </c>
      <c r="K43" s="670">
        <v>0</v>
      </c>
      <c r="L43" s="670">
        <v>0</v>
      </c>
      <c r="M43" s="670">
        <v>0</v>
      </c>
      <c r="N43" s="670">
        <v>0</v>
      </c>
      <c r="O43" s="670">
        <v>0</v>
      </c>
      <c r="P43" s="670">
        <v>0</v>
      </c>
      <c r="Q43" s="670">
        <v>0</v>
      </c>
      <c r="R43" s="670">
        <v>0</v>
      </c>
      <c r="S43" s="670">
        <v>0</v>
      </c>
      <c r="T43" s="670">
        <v>0</v>
      </c>
      <c r="U43" s="670">
        <v>0</v>
      </c>
      <c r="V43" s="670">
        <v>0</v>
      </c>
      <c r="W43" s="670">
        <v>0</v>
      </c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  <c r="BK43" s="193"/>
      <c r="BL43" s="193"/>
      <c r="BM43" s="193"/>
    </row>
    <row r="44" spans="1:65" ht="15.75" customHeight="1">
      <c r="A44" s="79" t="s">
        <v>639</v>
      </c>
      <c r="B44" s="486"/>
      <c r="C44" s="486"/>
      <c r="D44" s="486"/>
      <c r="E44" s="486"/>
      <c r="F44" s="486"/>
      <c r="G44" s="486"/>
      <c r="H44" s="486"/>
      <c r="I44" s="670">
        <v>0</v>
      </c>
      <c r="J44" s="670">
        <v>0</v>
      </c>
      <c r="K44" s="670">
        <v>0</v>
      </c>
      <c r="L44" s="670">
        <v>0</v>
      </c>
      <c r="M44" s="670">
        <v>0</v>
      </c>
      <c r="N44" s="670">
        <v>0</v>
      </c>
      <c r="O44" s="670">
        <v>0</v>
      </c>
      <c r="P44" s="670">
        <v>0</v>
      </c>
      <c r="Q44" s="670">
        <v>0</v>
      </c>
      <c r="R44" s="670">
        <v>0</v>
      </c>
      <c r="S44" s="670">
        <v>0</v>
      </c>
      <c r="T44" s="670">
        <v>0</v>
      </c>
      <c r="U44" s="670">
        <v>0</v>
      </c>
      <c r="V44" s="670">
        <v>0</v>
      </c>
      <c r="W44" s="670">
        <v>0</v>
      </c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  <c r="BM44" s="193"/>
    </row>
    <row r="45" spans="1:65" ht="15.75" customHeight="1"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  <c r="BK45" s="193"/>
      <c r="BL45" s="193"/>
      <c r="BM45" s="193"/>
    </row>
    <row r="46" spans="1:65" ht="15.75" customHeight="1">
      <c r="A46" s="195"/>
      <c r="B46" s="196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</row>
    <row r="47" spans="1:65" ht="15.75" customHeight="1">
      <c r="A47" s="195"/>
      <c r="B47" s="196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</row>
    <row r="48" spans="1:65" ht="15.75" customHeight="1">
      <c r="A48" s="195"/>
      <c r="B48" s="196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</row>
    <row r="49" spans="1:92" ht="15.75" customHeight="1">
      <c r="B49" s="90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</row>
    <row r="50" spans="1:92" ht="15.75" customHeight="1">
      <c r="E50" s="90"/>
      <c r="F50" s="90"/>
      <c r="G50" s="90"/>
    </row>
    <row r="51" spans="1:92" ht="15.75" customHeight="1">
      <c r="A51" s="78" t="s">
        <v>174</v>
      </c>
      <c r="E51" s="90"/>
      <c r="F51" s="90"/>
      <c r="G51" s="90"/>
      <c r="Q51" s="87"/>
    </row>
    <row r="52" spans="1:92" ht="15.75" customHeight="1">
      <c r="E52" s="90"/>
      <c r="F52" s="90"/>
      <c r="G52" s="90"/>
      <c r="Q52" s="87"/>
      <c r="R52" s="90"/>
    </row>
    <row r="53" spans="1:92" ht="15.75" customHeight="1">
      <c r="A53" s="81" t="s">
        <v>411</v>
      </c>
      <c r="E53" s="90"/>
      <c r="F53" s="90"/>
      <c r="G53" s="90"/>
    </row>
    <row r="54" spans="1:92" ht="15.75" customHeight="1">
      <c r="A54" s="253" t="s">
        <v>583</v>
      </c>
      <c r="B54" s="200"/>
      <c r="C54" s="80"/>
      <c r="D54" s="80"/>
      <c r="E54" s="80"/>
      <c r="F54" s="80"/>
      <c r="G54" s="80"/>
      <c r="H54" s="80"/>
      <c r="I54" s="258">
        <f t="shared" ref="I54:Q55" si="105">I20+I22</f>
        <v>56333</v>
      </c>
      <c r="J54" s="258">
        <f t="shared" si="105"/>
        <v>33491</v>
      </c>
      <c r="K54" s="258">
        <f t="shared" si="105"/>
        <v>19519</v>
      </c>
      <c r="L54" s="258">
        <f t="shared" si="105"/>
        <v>32269.438860455233</v>
      </c>
      <c r="M54" s="258">
        <f t="shared" si="105"/>
        <v>50118</v>
      </c>
      <c r="N54" s="258">
        <f t="shared" si="105"/>
        <v>35526.947893870063</v>
      </c>
      <c r="O54" s="258">
        <f t="shared" si="105"/>
        <v>18220.055210188235</v>
      </c>
      <c r="P54" s="258">
        <f t="shared" si="105"/>
        <v>97754.066311888862</v>
      </c>
      <c r="Q54" s="258">
        <f t="shared" si="105"/>
        <v>276355.31343466061</v>
      </c>
      <c r="R54" s="258">
        <f t="shared" ref="R54:S54" si="106">R20+R22</f>
        <v>146036.02284162579</v>
      </c>
      <c r="S54" s="258">
        <f t="shared" si="106"/>
        <v>120238.80268451051</v>
      </c>
      <c r="T54" s="86">
        <f t="shared" ref="T54:AS54" si="107">ROUND((T20)/100,T$66)*100</f>
        <v>107400</v>
      </c>
      <c r="U54" s="86">
        <f t="shared" si="107"/>
        <v>79100</v>
      </c>
      <c r="V54" s="86">
        <f t="shared" si="107"/>
        <v>61700</v>
      </c>
      <c r="W54" s="86">
        <f t="shared" si="107"/>
        <v>53700</v>
      </c>
      <c r="X54" s="86">
        <f t="shared" si="107"/>
        <v>48200</v>
      </c>
      <c r="Y54" s="86">
        <f t="shared" si="107"/>
        <v>34000</v>
      </c>
      <c r="Z54" s="86">
        <f t="shared" si="107"/>
        <v>34100</v>
      </c>
      <c r="AA54" s="86">
        <f t="shared" si="107"/>
        <v>34900</v>
      </c>
      <c r="AB54" s="86">
        <f t="shared" si="107"/>
        <v>35100</v>
      </c>
      <c r="AC54" s="86">
        <f t="shared" si="107"/>
        <v>37400</v>
      </c>
      <c r="AD54" s="86">
        <f t="shared" si="107"/>
        <v>39500</v>
      </c>
      <c r="AE54" s="86">
        <f t="shared" si="107"/>
        <v>40300</v>
      </c>
      <c r="AF54" s="86">
        <f t="shared" si="107"/>
        <v>38100</v>
      </c>
      <c r="AG54" s="86">
        <f t="shared" si="107"/>
        <v>34500</v>
      </c>
      <c r="AH54" s="86">
        <f t="shared" si="107"/>
        <v>32800</v>
      </c>
      <c r="AI54" s="86">
        <f t="shared" si="107"/>
        <v>31600</v>
      </c>
      <c r="AJ54" s="86">
        <f t="shared" si="107"/>
        <v>30400</v>
      </c>
      <c r="AK54" s="86">
        <f t="shared" si="107"/>
        <v>27700</v>
      </c>
      <c r="AL54" s="86">
        <f t="shared" si="107"/>
        <v>26600</v>
      </c>
      <c r="AM54" s="86">
        <f t="shared" si="107"/>
        <v>25000</v>
      </c>
      <c r="AN54" s="86">
        <f t="shared" si="107"/>
        <v>23200</v>
      </c>
      <c r="AO54" s="86">
        <f t="shared" si="107"/>
        <v>21900</v>
      </c>
      <c r="AP54" s="86">
        <f t="shared" si="107"/>
        <v>20900</v>
      </c>
      <c r="AQ54" s="86">
        <f t="shared" si="107"/>
        <v>21700</v>
      </c>
      <c r="AR54" s="86">
        <f t="shared" si="107"/>
        <v>21600</v>
      </c>
      <c r="AS54" s="86">
        <f t="shared" si="107"/>
        <v>20500</v>
      </c>
      <c r="AT54" s="86">
        <f t="shared" ref="AT54:BC54" si="108">ROUND((AT20)/100,AT$66)*100</f>
        <v>20900</v>
      </c>
      <c r="AU54" s="86">
        <f t="shared" si="108"/>
        <v>18900</v>
      </c>
      <c r="AV54" s="86">
        <f t="shared" si="108"/>
        <v>17700</v>
      </c>
      <c r="AW54" s="86">
        <f t="shared" si="108"/>
        <v>16300</v>
      </c>
      <c r="AX54" s="86">
        <f t="shared" si="108"/>
        <v>15500</v>
      </c>
      <c r="AY54" s="86">
        <f t="shared" si="108"/>
        <v>16100</v>
      </c>
      <c r="AZ54" s="86">
        <f t="shared" si="108"/>
        <v>15900</v>
      </c>
      <c r="BA54" s="86">
        <f t="shared" si="108"/>
        <v>13600</v>
      </c>
      <c r="BB54" s="86">
        <f t="shared" si="108"/>
        <v>12900</v>
      </c>
      <c r="BC54" s="86">
        <f t="shared" si="108"/>
        <v>11800</v>
      </c>
      <c r="BD54" s="86"/>
      <c r="BE54" s="86"/>
      <c r="BF54" s="86"/>
      <c r="BG54" s="86"/>
      <c r="BH54" s="86"/>
      <c r="BI54" s="86"/>
      <c r="BJ54" s="86"/>
      <c r="BK54" s="86"/>
      <c r="BL54" s="86"/>
      <c r="BM54" s="86"/>
    </row>
    <row r="55" spans="1:92" ht="15.75" customHeight="1">
      <c r="A55" s="665" t="s">
        <v>455</v>
      </c>
      <c r="B55" s="80"/>
      <c r="C55" s="80"/>
      <c r="D55" s="80"/>
      <c r="E55" s="80"/>
      <c r="F55" s="80"/>
      <c r="G55" s="80"/>
      <c r="H55" s="80"/>
      <c r="I55" s="258">
        <f t="shared" si="105"/>
        <v>91513</v>
      </c>
      <c r="J55" s="258">
        <f t="shared" si="105"/>
        <v>50381</v>
      </c>
      <c r="K55" s="258">
        <f t="shared" si="105"/>
        <v>30189</v>
      </c>
      <c r="L55" s="258">
        <f t="shared" si="105"/>
        <v>58673.482059454269</v>
      </c>
      <c r="M55" s="258">
        <f t="shared" si="105"/>
        <v>101113</v>
      </c>
      <c r="N55" s="258">
        <f t="shared" si="105"/>
        <v>81231.441895808734</v>
      </c>
      <c r="O55" s="258">
        <f t="shared" si="105"/>
        <v>-30264.474489489839</v>
      </c>
      <c r="P55" s="258">
        <f t="shared" si="105"/>
        <v>192479.93508649743</v>
      </c>
      <c r="Q55" s="258">
        <f t="shared" si="105"/>
        <v>659168.84015970386</v>
      </c>
      <c r="R55" s="258">
        <f t="shared" ref="R55:S55" si="109">R21+R23</f>
        <v>319816.82153587334</v>
      </c>
      <c r="S55" s="258">
        <f t="shared" si="109"/>
        <v>260874.967330374</v>
      </c>
      <c r="T55" s="666">
        <f t="shared" ref="T55:W55" si="110">ROUND((T21+T22+T23+T43)/100,T$66)*100</f>
        <v>219500</v>
      </c>
      <c r="U55" s="666">
        <f t="shared" si="110"/>
        <v>176600</v>
      </c>
      <c r="V55" s="666">
        <f t="shared" si="110"/>
        <v>160800</v>
      </c>
      <c r="W55" s="666">
        <f t="shared" si="110"/>
        <v>156800</v>
      </c>
      <c r="X55" s="86">
        <f t="shared" ref="X55:AS55" si="111">ROUND((X21+X22+X23)/100,X$66)*100</f>
        <v>142900</v>
      </c>
      <c r="Y55" s="86">
        <f t="shared" si="111"/>
        <v>99400</v>
      </c>
      <c r="Z55" s="86">
        <f t="shared" si="111"/>
        <v>104100</v>
      </c>
      <c r="AA55" s="86">
        <f t="shared" si="111"/>
        <v>104000</v>
      </c>
      <c r="AB55" s="86">
        <f t="shared" si="111"/>
        <v>99400</v>
      </c>
      <c r="AC55" s="86">
        <f t="shared" si="111"/>
        <v>107400</v>
      </c>
      <c r="AD55" s="86">
        <f t="shared" si="111"/>
        <v>113600</v>
      </c>
      <c r="AE55" s="86">
        <f t="shared" si="111"/>
        <v>115500</v>
      </c>
      <c r="AF55" s="86">
        <f t="shared" si="111"/>
        <v>110100</v>
      </c>
      <c r="AG55" s="86">
        <f t="shared" si="111"/>
        <v>99600</v>
      </c>
      <c r="AH55" s="86">
        <f t="shared" si="111"/>
        <v>93100</v>
      </c>
      <c r="AI55" s="86">
        <f t="shared" si="111"/>
        <v>87300</v>
      </c>
      <c r="AJ55" s="86">
        <f t="shared" si="111"/>
        <v>83300</v>
      </c>
      <c r="AK55" s="86">
        <f t="shared" si="111"/>
        <v>75300</v>
      </c>
      <c r="AL55" s="86">
        <f t="shared" si="111"/>
        <v>73600</v>
      </c>
      <c r="AM55" s="86">
        <f t="shared" si="111"/>
        <v>69700</v>
      </c>
      <c r="AN55" s="86">
        <f t="shared" si="111"/>
        <v>66200</v>
      </c>
      <c r="AO55" s="86">
        <f t="shared" si="111"/>
        <v>65600</v>
      </c>
      <c r="AP55" s="86">
        <f t="shared" si="111"/>
        <v>61000</v>
      </c>
      <c r="AQ55" s="86">
        <f t="shared" si="111"/>
        <v>59700</v>
      </c>
      <c r="AR55" s="86">
        <f t="shared" si="111"/>
        <v>58300</v>
      </c>
      <c r="AS55" s="86">
        <f t="shared" si="111"/>
        <v>61400</v>
      </c>
      <c r="AT55" s="86">
        <f t="shared" ref="AT55:BC55" si="112">ROUND((AT21+AT22+AT23)/100,AT$66)*100</f>
        <v>62900</v>
      </c>
      <c r="AU55" s="86">
        <f t="shared" si="112"/>
        <v>59200</v>
      </c>
      <c r="AV55" s="86">
        <f t="shared" si="112"/>
        <v>56400</v>
      </c>
      <c r="AW55" s="86">
        <f t="shared" si="112"/>
        <v>51700</v>
      </c>
      <c r="AX55" s="86">
        <f t="shared" si="112"/>
        <v>50400</v>
      </c>
      <c r="AY55" s="86">
        <f t="shared" si="112"/>
        <v>53200</v>
      </c>
      <c r="AZ55" s="86">
        <f t="shared" si="112"/>
        <v>51500</v>
      </c>
      <c r="BA55" s="86">
        <f t="shared" si="112"/>
        <v>44400</v>
      </c>
      <c r="BB55" s="86">
        <f t="shared" si="112"/>
        <v>43600</v>
      </c>
      <c r="BC55" s="86">
        <f t="shared" si="112"/>
        <v>39900</v>
      </c>
      <c r="BD55" s="86"/>
      <c r="BE55" s="86"/>
      <c r="BF55" s="86"/>
      <c r="BG55" s="86"/>
      <c r="BH55" s="86"/>
      <c r="BI55" s="86"/>
      <c r="BJ55" s="86"/>
      <c r="BK55" s="86"/>
      <c r="BL55" s="86"/>
      <c r="BM55" s="86"/>
    </row>
    <row r="56" spans="1:92" ht="15.75" customHeight="1">
      <c r="A56" s="199" t="s">
        <v>28</v>
      </c>
      <c r="B56" s="200"/>
      <c r="C56" s="80"/>
      <c r="D56" s="80"/>
      <c r="E56" s="80"/>
      <c r="F56" s="80"/>
      <c r="G56" s="80"/>
      <c r="H56" s="80"/>
      <c r="I56" s="258">
        <f t="shared" ref="I56:S59" si="113">I24</f>
        <v>0</v>
      </c>
      <c r="J56" s="258">
        <f t="shared" si="113"/>
        <v>0</v>
      </c>
      <c r="K56" s="258">
        <f t="shared" si="113"/>
        <v>0</v>
      </c>
      <c r="L56" s="258">
        <f t="shared" si="113"/>
        <v>0</v>
      </c>
      <c r="M56" s="258">
        <f t="shared" si="113"/>
        <v>0</v>
      </c>
      <c r="N56" s="258">
        <f t="shared" si="113"/>
        <v>0</v>
      </c>
      <c r="O56" s="258">
        <f t="shared" si="113"/>
        <v>0</v>
      </c>
      <c r="P56" s="258">
        <f t="shared" si="113"/>
        <v>0</v>
      </c>
      <c r="Q56" s="258">
        <f t="shared" si="113"/>
        <v>0</v>
      </c>
      <c r="R56" s="258">
        <f t="shared" si="113"/>
        <v>0</v>
      </c>
      <c r="S56" s="258">
        <f t="shared" si="113"/>
        <v>0</v>
      </c>
      <c r="T56" s="86">
        <f t="shared" ref="T56:AS56" si="114">ROUND(T24/100,T$66)*100</f>
        <v>0</v>
      </c>
      <c r="U56" s="86">
        <f t="shared" si="114"/>
        <v>0</v>
      </c>
      <c r="V56" s="86">
        <f t="shared" si="114"/>
        <v>0</v>
      </c>
      <c r="W56" s="86">
        <f t="shared" si="114"/>
        <v>0</v>
      </c>
      <c r="X56" s="86">
        <f t="shared" si="114"/>
        <v>0</v>
      </c>
      <c r="Y56" s="86">
        <f t="shared" si="114"/>
        <v>0</v>
      </c>
      <c r="Z56" s="86">
        <f t="shared" si="114"/>
        <v>0</v>
      </c>
      <c r="AA56" s="86">
        <f t="shared" si="114"/>
        <v>0</v>
      </c>
      <c r="AB56" s="86">
        <f t="shared" si="114"/>
        <v>0</v>
      </c>
      <c r="AC56" s="86">
        <f t="shared" si="114"/>
        <v>0</v>
      </c>
      <c r="AD56" s="86">
        <f t="shared" si="114"/>
        <v>0</v>
      </c>
      <c r="AE56" s="86">
        <f t="shared" si="114"/>
        <v>0</v>
      </c>
      <c r="AF56" s="86">
        <f t="shared" si="114"/>
        <v>0</v>
      </c>
      <c r="AG56" s="86">
        <f t="shared" si="114"/>
        <v>0</v>
      </c>
      <c r="AH56" s="86">
        <f t="shared" si="114"/>
        <v>0</v>
      </c>
      <c r="AI56" s="86">
        <f t="shared" si="114"/>
        <v>0</v>
      </c>
      <c r="AJ56" s="86">
        <f t="shared" si="114"/>
        <v>0</v>
      </c>
      <c r="AK56" s="86">
        <f t="shared" si="114"/>
        <v>0</v>
      </c>
      <c r="AL56" s="86">
        <f t="shared" si="114"/>
        <v>0</v>
      </c>
      <c r="AM56" s="86">
        <f t="shared" si="114"/>
        <v>0</v>
      </c>
      <c r="AN56" s="86">
        <f t="shared" si="114"/>
        <v>0</v>
      </c>
      <c r="AO56" s="86">
        <f t="shared" si="114"/>
        <v>0</v>
      </c>
      <c r="AP56" s="86">
        <f t="shared" si="114"/>
        <v>0</v>
      </c>
      <c r="AQ56" s="86">
        <f t="shared" si="114"/>
        <v>0</v>
      </c>
      <c r="AR56" s="86">
        <f t="shared" si="114"/>
        <v>0</v>
      </c>
      <c r="AS56" s="86">
        <f t="shared" si="114"/>
        <v>0</v>
      </c>
      <c r="AT56" s="86">
        <f t="shared" ref="AT56:BC56" si="115">ROUND(AT24/100,AT$66)*100</f>
        <v>0</v>
      </c>
      <c r="AU56" s="86">
        <f t="shared" si="115"/>
        <v>0</v>
      </c>
      <c r="AV56" s="86">
        <f t="shared" si="115"/>
        <v>0</v>
      </c>
      <c r="AW56" s="86">
        <f t="shared" si="115"/>
        <v>0</v>
      </c>
      <c r="AX56" s="86">
        <f t="shared" si="115"/>
        <v>0</v>
      </c>
      <c r="AY56" s="86">
        <f t="shared" si="115"/>
        <v>0</v>
      </c>
      <c r="AZ56" s="86">
        <f t="shared" si="115"/>
        <v>0</v>
      </c>
      <c r="BA56" s="86">
        <f t="shared" si="115"/>
        <v>0</v>
      </c>
      <c r="BB56" s="86">
        <f t="shared" si="115"/>
        <v>0</v>
      </c>
      <c r="BC56" s="86">
        <f t="shared" si="115"/>
        <v>0</v>
      </c>
      <c r="BD56" s="86"/>
      <c r="BE56" s="86"/>
      <c r="BF56" s="86"/>
      <c r="BG56" s="86"/>
      <c r="BH56" s="86"/>
      <c r="BI56" s="86"/>
      <c r="BJ56" s="86"/>
      <c r="BK56" s="86"/>
      <c r="BL56" s="86"/>
      <c r="BM56" s="86"/>
    </row>
    <row r="57" spans="1:92" ht="15.75" customHeight="1">
      <c r="A57" s="199" t="s">
        <v>29</v>
      </c>
      <c r="B57" s="200"/>
      <c r="C57" s="80"/>
      <c r="D57" s="80"/>
      <c r="E57" s="80"/>
      <c r="F57" s="80"/>
      <c r="G57" s="80"/>
      <c r="H57" s="80"/>
      <c r="I57" s="258">
        <f t="shared" si="113"/>
        <v>1766</v>
      </c>
      <c r="J57" s="258">
        <f t="shared" si="113"/>
        <v>1636</v>
      </c>
      <c r="K57" s="258">
        <f t="shared" si="113"/>
        <v>1500</v>
      </c>
      <c r="L57" s="258">
        <f t="shared" si="113"/>
        <v>1359.4042240000001</v>
      </c>
      <c r="M57" s="258">
        <f t="shared" si="113"/>
        <v>1379.8290218219199</v>
      </c>
      <c r="N57" s="258">
        <f t="shared" ref="N57:S59" si="116">N25</f>
        <v>1488.301289</v>
      </c>
      <c r="O57" s="258">
        <f t="shared" si="116"/>
        <v>1508.692896</v>
      </c>
      <c r="P57" s="258">
        <f t="shared" si="116"/>
        <v>1372.14100279685</v>
      </c>
      <c r="Q57" s="258">
        <f t="shared" si="116"/>
        <v>1209.3157819999999</v>
      </c>
      <c r="R57" s="258">
        <f t="shared" si="116"/>
        <v>1127.203927</v>
      </c>
      <c r="S57" s="258">
        <f t="shared" si="116"/>
        <v>1382.3287093287699</v>
      </c>
      <c r="T57" s="86">
        <f t="shared" ref="T57:AS57" si="117">ROUND(T25/100,T$66)*100</f>
        <v>1500</v>
      </c>
      <c r="U57" s="86">
        <f t="shared" si="117"/>
        <v>1600</v>
      </c>
      <c r="V57" s="86">
        <f t="shared" si="117"/>
        <v>1700</v>
      </c>
      <c r="W57" s="86">
        <f t="shared" si="117"/>
        <v>1900</v>
      </c>
      <c r="X57" s="86">
        <f t="shared" si="117"/>
        <v>1900</v>
      </c>
      <c r="Y57" s="86">
        <f t="shared" si="117"/>
        <v>1800</v>
      </c>
      <c r="Z57" s="86">
        <f t="shared" si="117"/>
        <v>1800</v>
      </c>
      <c r="AA57" s="86">
        <f t="shared" si="117"/>
        <v>1800</v>
      </c>
      <c r="AB57" s="86">
        <f t="shared" si="117"/>
        <v>1900</v>
      </c>
      <c r="AC57" s="86">
        <f t="shared" si="117"/>
        <v>1900</v>
      </c>
      <c r="AD57" s="86">
        <f t="shared" si="117"/>
        <v>1900</v>
      </c>
      <c r="AE57" s="86">
        <f t="shared" si="117"/>
        <v>2000</v>
      </c>
      <c r="AF57" s="86">
        <f t="shared" si="117"/>
        <v>2000</v>
      </c>
      <c r="AG57" s="86">
        <f t="shared" si="117"/>
        <v>2100</v>
      </c>
      <c r="AH57" s="86">
        <f t="shared" si="117"/>
        <v>2100</v>
      </c>
      <c r="AI57" s="86">
        <f t="shared" si="117"/>
        <v>2100</v>
      </c>
      <c r="AJ57" s="86">
        <f t="shared" si="117"/>
        <v>2200</v>
      </c>
      <c r="AK57" s="86">
        <f t="shared" si="117"/>
        <v>2200</v>
      </c>
      <c r="AL57" s="86">
        <f t="shared" si="117"/>
        <v>2300</v>
      </c>
      <c r="AM57" s="86">
        <f t="shared" si="117"/>
        <v>2300</v>
      </c>
      <c r="AN57" s="86">
        <f t="shared" si="117"/>
        <v>2400</v>
      </c>
      <c r="AO57" s="86">
        <f t="shared" si="117"/>
        <v>2400</v>
      </c>
      <c r="AP57" s="86">
        <f t="shared" si="117"/>
        <v>2500</v>
      </c>
      <c r="AQ57" s="86">
        <f t="shared" si="117"/>
        <v>2500</v>
      </c>
      <c r="AR57" s="86">
        <f t="shared" si="117"/>
        <v>2500</v>
      </c>
      <c r="AS57" s="86">
        <f t="shared" si="117"/>
        <v>2600</v>
      </c>
      <c r="AT57" s="86">
        <f t="shared" ref="AT57:BC57" si="118">ROUND(AT25/100,AT$66)*100</f>
        <v>2700</v>
      </c>
      <c r="AU57" s="86">
        <f t="shared" si="118"/>
        <v>2700</v>
      </c>
      <c r="AV57" s="86">
        <f t="shared" si="118"/>
        <v>2800</v>
      </c>
      <c r="AW57" s="86">
        <f t="shared" si="118"/>
        <v>2800</v>
      </c>
      <c r="AX57" s="86">
        <f t="shared" si="118"/>
        <v>2900</v>
      </c>
      <c r="AY57" s="86">
        <f t="shared" si="118"/>
        <v>2900</v>
      </c>
      <c r="AZ57" s="86">
        <f t="shared" si="118"/>
        <v>3000</v>
      </c>
      <c r="BA57" s="86">
        <f t="shared" si="118"/>
        <v>3000</v>
      </c>
      <c r="BB57" s="86">
        <f t="shared" si="118"/>
        <v>3100</v>
      </c>
      <c r="BC57" s="86">
        <f t="shared" si="118"/>
        <v>3200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</row>
    <row r="58" spans="1:92" ht="15.75" customHeight="1">
      <c r="A58" s="199" t="s">
        <v>30</v>
      </c>
      <c r="B58" s="200"/>
      <c r="C58" s="80"/>
      <c r="D58" s="80"/>
      <c r="E58" s="80"/>
      <c r="F58" s="80"/>
      <c r="G58" s="80"/>
      <c r="H58" s="80"/>
      <c r="I58" s="258">
        <f t="shared" si="113"/>
        <v>4894</v>
      </c>
      <c r="J58" s="258">
        <f t="shared" si="113"/>
        <v>5078</v>
      </c>
      <c r="K58" s="258">
        <f t="shared" si="113"/>
        <v>5365</v>
      </c>
      <c r="L58" s="258">
        <f t="shared" si="113"/>
        <v>5331.1905526669998</v>
      </c>
      <c r="M58" s="258">
        <f t="shared" si="113"/>
        <v>5650.0240963751203</v>
      </c>
      <c r="N58" s="258">
        <f t="shared" si="116"/>
        <v>5790.1281198608103</v>
      </c>
      <c r="O58" s="258">
        <f t="shared" si="116"/>
        <v>6031.9858515378901</v>
      </c>
      <c r="P58" s="258">
        <f t="shared" si="116"/>
        <v>5357.6102093300497</v>
      </c>
      <c r="Q58" s="258">
        <f t="shared" si="116"/>
        <v>7082.6806609844898</v>
      </c>
      <c r="R58" s="258">
        <f t="shared" si="116"/>
        <v>7586.99753871134</v>
      </c>
      <c r="S58" s="258">
        <f t="shared" si="116"/>
        <v>7540.5542982201596</v>
      </c>
      <c r="T58" s="86">
        <f t="shared" ref="T58:AS58" si="119">ROUND(T26/100,T$66)*100</f>
        <v>9300</v>
      </c>
      <c r="U58" s="86">
        <f t="shared" si="119"/>
        <v>9600</v>
      </c>
      <c r="V58" s="86">
        <f t="shared" si="119"/>
        <v>9500</v>
      </c>
      <c r="W58" s="86">
        <f t="shared" si="119"/>
        <v>8500</v>
      </c>
      <c r="X58" s="86">
        <f t="shared" si="119"/>
        <v>8000</v>
      </c>
      <c r="Y58" s="86">
        <f t="shared" si="119"/>
        <v>11200</v>
      </c>
      <c r="Z58" s="86">
        <f t="shared" si="119"/>
        <v>10600</v>
      </c>
      <c r="AA58" s="86">
        <f t="shared" si="119"/>
        <v>9700</v>
      </c>
      <c r="AB58" s="86">
        <f t="shared" si="119"/>
        <v>9600</v>
      </c>
      <c r="AC58" s="86">
        <f t="shared" si="119"/>
        <v>9100</v>
      </c>
      <c r="AD58" s="86">
        <f t="shared" si="119"/>
        <v>8800</v>
      </c>
      <c r="AE58" s="86">
        <f t="shared" si="119"/>
        <v>8800</v>
      </c>
      <c r="AF58" s="86">
        <f t="shared" si="119"/>
        <v>8800</v>
      </c>
      <c r="AG58" s="86">
        <f t="shared" si="119"/>
        <v>8400</v>
      </c>
      <c r="AH58" s="86">
        <f t="shared" si="119"/>
        <v>8100</v>
      </c>
      <c r="AI58" s="86">
        <f t="shared" si="119"/>
        <v>7100</v>
      </c>
      <c r="AJ58" s="86">
        <f t="shared" si="119"/>
        <v>6400</v>
      </c>
      <c r="AK58" s="86">
        <f t="shared" si="119"/>
        <v>6400</v>
      </c>
      <c r="AL58" s="86">
        <f t="shared" si="119"/>
        <v>6100</v>
      </c>
      <c r="AM58" s="86">
        <f t="shared" si="119"/>
        <v>5600</v>
      </c>
      <c r="AN58" s="86">
        <f t="shared" si="119"/>
        <v>4900</v>
      </c>
      <c r="AO58" s="86">
        <f t="shared" si="119"/>
        <v>4600</v>
      </c>
      <c r="AP58" s="86">
        <f t="shared" si="119"/>
        <v>4400</v>
      </c>
      <c r="AQ58" s="86">
        <f t="shared" si="119"/>
        <v>4000</v>
      </c>
      <c r="AR58" s="86">
        <f t="shared" si="119"/>
        <v>3700</v>
      </c>
      <c r="AS58" s="86">
        <f t="shared" si="119"/>
        <v>3400</v>
      </c>
      <c r="AT58" s="86">
        <f t="shared" ref="AT58:BC58" si="120">ROUND(AT26/100,AT$66)*100</f>
        <v>3400</v>
      </c>
      <c r="AU58" s="86">
        <f t="shared" si="120"/>
        <v>3600</v>
      </c>
      <c r="AV58" s="86">
        <f t="shared" si="120"/>
        <v>3600</v>
      </c>
      <c r="AW58" s="86">
        <f t="shared" si="120"/>
        <v>3300</v>
      </c>
      <c r="AX58" s="86">
        <f t="shared" si="120"/>
        <v>3300</v>
      </c>
      <c r="AY58" s="86">
        <f t="shared" si="120"/>
        <v>3300</v>
      </c>
      <c r="AZ58" s="86">
        <f t="shared" si="120"/>
        <v>3300</v>
      </c>
      <c r="BA58" s="86">
        <f t="shared" si="120"/>
        <v>3400</v>
      </c>
      <c r="BB58" s="86">
        <f t="shared" si="120"/>
        <v>3200</v>
      </c>
      <c r="BC58" s="86">
        <f t="shared" si="120"/>
        <v>3100</v>
      </c>
      <c r="BD58" s="86"/>
      <c r="BE58" s="86"/>
      <c r="BF58" s="86"/>
      <c r="BG58" s="86"/>
      <c r="BH58" s="86"/>
      <c r="BI58" s="86"/>
      <c r="BJ58" s="86"/>
      <c r="BK58" s="86"/>
      <c r="BL58" s="86"/>
      <c r="BM58" s="86"/>
    </row>
    <row r="59" spans="1:92" ht="15.75" customHeight="1">
      <c r="A59" s="199" t="s">
        <v>320</v>
      </c>
      <c r="B59" s="200"/>
      <c r="C59" s="80"/>
      <c r="D59" s="80"/>
      <c r="E59" s="80"/>
      <c r="F59" s="80"/>
      <c r="G59" s="80"/>
      <c r="H59" s="80"/>
      <c r="I59" s="258">
        <f t="shared" si="113"/>
        <v>0</v>
      </c>
      <c r="J59" s="258">
        <f t="shared" si="113"/>
        <v>0</v>
      </c>
      <c r="K59" s="258">
        <f t="shared" si="113"/>
        <v>0</v>
      </c>
      <c r="L59" s="258">
        <f t="shared" si="113"/>
        <v>0</v>
      </c>
      <c r="M59" s="258">
        <f t="shared" si="113"/>
        <v>0</v>
      </c>
      <c r="N59" s="258">
        <f t="shared" si="116"/>
        <v>0</v>
      </c>
      <c r="O59" s="258">
        <f t="shared" si="116"/>
        <v>0</v>
      </c>
      <c r="P59" s="258">
        <f t="shared" si="116"/>
        <v>0</v>
      </c>
      <c r="Q59" s="258">
        <f t="shared" si="116"/>
        <v>0</v>
      </c>
      <c r="R59" s="258">
        <f t="shared" si="116"/>
        <v>0</v>
      </c>
      <c r="S59" s="258">
        <f t="shared" si="116"/>
        <v>0</v>
      </c>
      <c r="T59" s="86">
        <f t="shared" ref="T59:AS59" si="121">ROUND(T27/100,T$66)*100</f>
        <v>0</v>
      </c>
      <c r="U59" s="86">
        <f t="shared" si="121"/>
        <v>0</v>
      </c>
      <c r="V59" s="86">
        <f t="shared" si="121"/>
        <v>0</v>
      </c>
      <c r="W59" s="86">
        <f t="shared" si="121"/>
        <v>0</v>
      </c>
      <c r="X59" s="86">
        <f t="shared" si="121"/>
        <v>0</v>
      </c>
      <c r="Y59" s="86">
        <f t="shared" si="121"/>
        <v>0</v>
      </c>
      <c r="Z59" s="86">
        <f t="shared" si="121"/>
        <v>0</v>
      </c>
      <c r="AA59" s="86">
        <f t="shared" si="121"/>
        <v>0</v>
      </c>
      <c r="AB59" s="86">
        <f t="shared" si="121"/>
        <v>0</v>
      </c>
      <c r="AC59" s="86">
        <f t="shared" si="121"/>
        <v>0</v>
      </c>
      <c r="AD59" s="86">
        <f t="shared" si="121"/>
        <v>0</v>
      </c>
      <c r="AE59" s="86">
        <f t="shared" si="121"/>
        <v>0</v>
      </c>
      <c r="AF59" s="86">
        <f t="shared" si="121"/>
        <v>0</v>
      </c>
      <c r="AG59" s="86">
        <f t="shared" si="121"/>
        <v>0</v>
      </c>
      <c r="AH59" s="86">
        <f t="shared" si="121"/>
        <v>0</v>
      </c>
      <c r="AI59" s="86">
        <f t="shared" si="121"/>
        <v>0</v>
      </c>
      <c r="AJ59" s="86">
        <f t="shared" si="121"/>
        <v>0</v>
      </c>
      <c r="AK59" s="86">
        <f t="shared" si="121"/>
        <v>0</v>
      </c>
      <c r="AL59" s="86">
        <f t="shared" si="121"/>
        <v>0</v>
      </c>
      <c r="AM59" s="86">
        <f t="shared" si="121"/>
        <v>0</v>
      </c>
      <c r="AN59" s="86">
        <f t="shared" si="121"/>
        <v>0</v>
      </c>
      <c r="AO59" s="86">
        <f t="shared" si="121"/>
        <v>0</v>
      </c>
      <c r="AP59" s="86">
        <f t="shared" si="121"/>
        <v>0</v>
      </c>
      <c r="AQ59" s="86">
        <f t="shared" si="121"/>
        <v>0</v>
      </c>
      <c r="AR59" s="86">
        <f t="shared" si="121"/>
        <v>0</v>
      </c>
      <c r="AS59" s="86">
        <f t="shared" si="121"/>
        <v>0</v>
      </c>
      <c r="AT59" s="86">
        <f t="shared" ref="AT59:BC59" si="122">ROUND(AT27/100,AT$66)*100</f>
        <v>0</v>
      </c>
      <c r="AU59" s="86">
        <f t="shared" si="122"/>
        <v>0</v>
      </c>
      <c r="AV59" s="86">
        <f t="shared" si="122"/>
        <v>0</v>
      </c>
      <c r="AW59" s="86">
        <f t="shared" si="122"/>
        <v>0</v>
      </c>
      <c r="AX59" s="86">
        <f t="shared" si="122"/>
        <v>0</v>
      </c>
      <c r="AY59" s="86">
        <f t="shared" si="122"/>
        <v>0</v>
      </c>
      <c r="AZ59" s="86">
        <f t="shared" si="122"/>
        <v>0</v>
      </c>
      <c r="BA59" s="86">
        <f t="shared" si="122"/>
        <v>0</v>
      </c>
      <c r="BB59" s="86">
        <f t="shared" si="122"/>
        <v>0</v>
      </c>
      <c r="BC59" s="86">
        <f t="shared" si="122"/>
        <v>0</v>
      </c>
      <c r="BD59" s="86"/>
      <c r="BE59" s="86"/>
      <c r="BF59" s="86"/>
      <c r="BG59" s="86"/>
      <c r="BH59" s="86"/>
      <c r="BI59" s="86"/>
      <c r="BJ59" s="86"/>
      <c r="BK59" s="86"/>
      <c r="BL59" s="86"/>
      <c r="BM59" s="86"/>
    </row>
    <row r="60" spans="1:92" ht="15.75" customHeight="1">
      <c r="A60" s="199" t="s">
        <v>31</v>
      </c>
      <c r="B60" s="200"/>
      <c r="C60" s="80"/>
      <c r="D60" s="80"/>
      <c r="E60" s="80"/>
      <c r="F60" s="80"/>
      <c r="G60" s="80"/>
      <c r="H60" s="80"/>
      <c r="I60" s="258">
        <f t="shared" ref="I60:J60" si="123">I54+I55</f>
        <v>147846</v>
      </c>
      <c r="J60" s="258">
        <f t="shared" si="123"/>
        <v>83872</v>
      </c>
      <c r="K60" s="86">
        <f>K54+K55</f>
        <v>49708</v>
      </c>
      <c r="L60" s="86">
        <f>L54+L55</f>
        <v>90942.920919909506</v>
      </c>
      <c r="M60" s="86">
        <f t="shared" ref="M60:AS60" si="124">M54+M55</f>
        <v>151231</v>
      </c>
      <c r="N60" s="86">
        <f t="shared" si="124"/>
        <v>116758.3897896788</v>
      </c>
      <c r="O60" s="86">
        <f t="shared" si="124"/>
        <v>-12044.419279301605</v>
      </c>
      <c r="P60" s="86">
        <f t="shared" ref="P60" si="125">P54+P55</f>
        <v>290234.00139838632</v>
      </c>
      <c r="Q60" s="86">
        <f t="shared" si="124"/>
        <v>935524.15359436441</v>
      </c>
      <c r="R60" s="86">
        <f t="shared" si="124"/>
        <v>465852.84437749913</v>
      </c>
      <c r="S60" s="86">
        <f t="shared" si="124"/>
        <v>381113.77001488453</v>
      </c>
      <c r="T60" s="86">
        <f t="shared" si="124"/>
        <v>326900</v>
      </c>
      <c r="U60" s="86">
        <f t="shared" si="124"/>
        <v>255700</v>
      </c>
      <c r="V60" s="86">
        <f t="shared" si="124"/>
        <v>222500</v>
      </c>
      <c r="W60" s="86">
        <f t="shared" si="124"/>
        <v>210500</v>
      </c>
      <c r="X60" s="86">
        <f t="shared" si="124"/>
        <v>191100</v>
      </c>
      <c r="Y60" s="86">
        <f t="shared" si="124"/>
        <v>133400</v>
      </c>
      <c r="Z60" s="86">
        <f t="shared" si="124"/>
        <v>138200</v>
      </c>
      <c r="AA60" s="86">
        <f t="shared" si="124"/>
        <v>138900</v>
      </c>
      <c r="AB60" s="86">
        <f t="shared" si="124"/>
        <v>134500</v>
      </c>
      <c r="AC60" s="86">
        <f t="shared" si="124"/>
        <v>144800</v>
      </c>
      <c r="AD60" s="86">
        <f t="shared" si="124"/>
        <v>153100</v>
      </c>
      <c r="AE60" s="86">
        <f t="shared" si="124"/>
        <v>155800</v>
      </c>
      <c r="AF60" s="86">
        <f t="shared" si="124"/>
        <v>148200</v>
      </c>
      <c r="AG60" s="86">
        <f t="shared" si="124"/>
        <v>134100</v>
      </c>
      <c r="AH60" s="86">
        <f t="shared" si="124"/>
        <v>125900</v>
      </c>
      <c r="AI60" s="86">
        <f t="shared" si="124"/>
        <v>118900</v>
      </c>
      <c r="AJ60" s="86">
        <f t="shared" si="124"/>
        <v>113700</v>
      </c>
      <c r="AK60" s="86">
        <f t="shared" si="124"/>
        <v>103000</v>
      </c>
      <c r="AL60" s="86">
        <f t="shared" si="124"/>
        <v>100200</v>
      </c>
      <c r="AM60" s="86">
        <f t="shared" si="124"/>
        <v>94700</v>
      </c>
      <c r="AN60" s="86">
        <f t="shared" si="124"/>
        <v>89400</v>
      </c>
      <c r="AO60" s="86">
        <f t="shared" si="124"/>
        <v>87500</v>
      </c>
      <c r="AP60" s="86">
        <f t="shared" si="124"/>
        <v>81900</v>
      </c>
      <c r="AQ60" s="86">
        <f t="shared" si="124"/>
        <v>81400</v>
      </c>
      <c r="AR60" s="86">
        <f t="shared" si="124"/>
        <v>79900</v>
      </c>
      <c r="AS60" s="86">
        <f t="shared" si="124"/>
        <v>81900</v>
      </c>
      <c r="AT60" s="86">
        <f t="shared" ref="AT60:BC60" si="126">AT54+AT55</f>
        <v>83800</v>
      </c>
      <c r="AU60" s="86">
        <f t="shared" si="126"/>
        <v>78100</v>
      </c>
      <c r="AV60" s="86">
        <f t="shared" si="126"/>
        <v>74100</v>
      </c>
      <c r="AW60" s="86">
        <f t="shared" si="126"/>
        <v>68000</v>
      </c>
      <c r="AX60" s="86">
        <f t="shared" si="126"/>
        <v>65900</v>
      </c>
      <c r="AY60" s="86">
        <f t="shared" si="126"/>
        <v>69300</v>
      </c>
      <c r="AZ60" s="86">
        <f t="shared" si="126"/>
        <v>67400</v>
      </c>
      <c r="BA60" s="86">
        <f t="shared" si="126"/>
        <v>58000</v>
      </c>
      <c r="BB60" s="86">
        <f t="shared" si="126"/>
        <v>56500</v>
      </c>
      <c r="BC60" s="86">
        <f t="shared" si="126"/>
        <v>51700</v>
      </c>
      <c r="BD60" s="86"/>
      <c r="BE60" s="86"/>
      <c r="BF60" s="86"/>
      <c r="BG60" s="86"/>
      <c r="BH60" s="86"/>
      <c r="BI60" s="86"/>
      <c r="BJ60" s="86"/>
      <c r="BK60" s="86"/>
      <c r="BL60" s="86"/>
      <c r="BM60" s="86"/>
    </row>
    <row r="61" spans="1:92" ht="15.75" customHeight="1">
      <c r="A61" s="199" t="s">
        <v>32</v>
      </c>
      <c r="B61" s="200"/>
      <c r="C61" s="80"/>
      <c r="D61" s="80"/>
      <c r="E61" s="80"/>
      <c r="F61" s="80"/>
      <c r="G61" s="80"/>
      <c r="H61" s="80"/>
      <c r="I61" s="258">
        <f t="shared" ref="I61:Y61" si="127">SUM(I56:I59)</f>
        <v>6660</v>
      </c>
      <c r="J61" s="258">
        <f t="shared" si="127"/>
        <v>6714</v>
      </c>
      <c r="K61" s="86">
        <f t="shared" si="127"/>
        <v>6865</v>
      </c>
      <c r="L61" s="86">
        <f t="shared" ref="L61" si="128">SUM(L56:L59)</f>
        <v>6690.5947766669997</v>
      </c>
      <c r="M61" s="86">
        <f t="shared" si="127"/>
        <v>7029.8531181970402</v>
      </c>
      <c r="N61" s="86">
        <f t="shared" si="127"/>
        <v>7278.4294088608103</v>
      </c>
      <c r="O61" s="86">
        <f t="shared" si="127"/>
        <v>7540.6787475378896</v>
      </c>
      <c r="P61" s="86">
        <f t="shared" ref="P61" si="129">SUM(P56:P59)</f>
        <v>6729.7512121268992</v>
      </c>
      <c r="Q61" s="86">
        <f t="shared" si="127"/>
        <v>8291.9964429844895</v>
      </c>
      <c r="R61" s="86">
        <f t="shared" si="127"/>
        <v>8714.2014657113396</v>
      </c>
      <c r="S61" s="86">
        <f t="shared" si="127"/>
        <v>8922.8830075489295</v>
      </c>
      <c r="T61" s="86">
        <f t="shared" si="127"/>
        <v>10800</v>
      </c>
      <c r="U61" s="86">
        <f t="shared" si="127"/>
        <v>11200</v>
      </c>
      <c r="V61" s="86">
        <f t="shared" si="127"/>
        <v>11200</v>
      </c>
      <c r="W61" s="86">
        <f t="shared" si="127"/>
        <v>10400</v>
      </c>
      <c r="X61" s="86">
        <f t="shared" si="127"/>
        <v>9900</v>
      </c>
      <c r="Y61" s="86">
        <f t="shared" si="127"/>
        <v>13000</v>
      </c>
      <c r="Z61" s="86">
        <f t="shared" ref="Z61:AS61" si="130">SUM(Z56:Z59)</f>
        <v>12400</v>
      </c>
      <c r="AA61" s="86">
        <f t="shared" si="130"/>
        <v>11500</v>
      </c>
      <c r="AB61" s="86">
        <f t="shared" si="130"/>
        <v>11500</v>
      </c>
      <c r="AC61" s="86">
        <f t="shared" si="130"/>
        <v>11000</v>
      </c>
      <c r="AD61" s="86">
        <f t="shared" si="130"/>
        <v>10700</v>
      </c>
      <c r="AE61" s="86">
        <f t="shared" si="130"/>
        <v>10800</v>
      </c>
      <c r="AF61" s="86">
        <f t="shared" si="130"/>
        <v>10800</v>
      </c>
      <c r="AG61" s="86">
        <f t="shared" si="130"/>
        <v>10500</v>
      </c>
      <c r="AH61" s="86">
        <f t="shared" si="130"/>
        <v>10200</v>
      </c>
      <c r="AI61" s="86">
        <f t="shared" si="130"/>
        <v>9200</v>
      </c>
      <c r="AJ61" s="86">
        <f t="shared" si="130"/>
        <v>8600</v>
      </c>
      <c r="AK61" s="86">
        <f t="shared" si="130"/>
        <v>8600</v>
      </c>
      <c r="AL61" s="86">
        <f t="shared" si="130"/>
        <v>8400</v>
      </c>
      <c r="AM61" s="86">
        <f t="shared" si="130"/>
        <v>7900</v>
      </c>
      <c r="AN61" s="86">
        <f t="shared" si="130"/>
        <v>7300</v>
      </c>
      <c r="AO61" s="86">
        <f t="shared" si="130"/>
        <v>7000</v>
      </c>
      <c r="AP61" s="86">
        <f t="shared" si="130"/>
        <v>6900</v>
      </c>
      <c r="AQ61" s="86">
        <f t="shared" si="130"/>
        <v>6500</v>
      </c>
      <c r="AR61" s="86">
        <f t="shared" si="130"/>
        <v>6200</v>
      </c>
      <c r="AS61" s="86">
        <f t="shared" si="130"/>
        <v>6000</v>
      </c>
      <c r="AT61" s="86">
        <f t="shared" ref="AT61:BC61" si="131">SUM(AT56:AT59)</f>
        <v>6100</v>
      </c>
      <c r="AU61" s="86">
        <f t="shared" si="131"/>
        <v>6300</v>
      </c>
      <c r="AV61" s="86">
        <f t="shared" si="131"/>
        <v>6400</v>
      </c>
      <c r="AW61" s="86">
        <f t="shared" si="131"/>
        <v>6100</v>
      </c>
      <c r="AX61" s="86">
        <f t="shared" si="131"/>
        <v>6200</v>
      </c>
      <c r="AY61" s="86">
        <f t="shared" si="131"/>
        <v>6200</v>
      </c>
      <c r="AZ61" s="86">
        <f t="shared" si="131"/>
        <v>6300</v>
      </c>
      <c r="BA61" s="86">
        <f t="shared" si="131"/>
        <v>6400</v>
      </c>
      <c r="BB61" s="86">
        <f t="shared" si="131"/>
        <v>6300</v>
      </c>
      <c r="BC61" s="86">
        <f t="shared" si="131"/>
        <v>6300</v>
      </c>
      <c r="BD61" s="86"/>
      <c r="BE61" s="86"/>
      <c r="BF61" s="86"/>
      <c r="BG61" s="86"/>
      <c r="BH61" s="86"/>
      <c r="BI61" s="86"/>
      <c r="BJ61" s="86"/>
      <c r="BK61" s="86"/>
      <c r="BL61" s="86"/>
      <c r="BM61" s="86"/>
    </row>
    <row r="62" spans="1:92" ht="15.75" customHeight="1">
      <c r="A62" s="199" t="s">
        <v>33</v>
      </c>
      <c r="B62" s="200"/>
      <c r="C62" s="80"/>
      <c r="D62" s="80"/>
      <c r="E62" s="80"/>
      <c r="F62" s="80"/>
      <c r="G62" s="80"/>
      <c r="H62" s="80"/>
      <c r="I62" s="258">
        <f t="shared" ref="I62:BC62" si="132">I60+I61</f>
        <v>154506</v>
      </c>
      <c r="J62" s="258">
        <f t="shared" si="132"/>
        <v>90586</v>
      </c>
      <c r="K62" s="86">
        <f t="shared" si="132"/>
        <v>56573</v>
      </c>
      <c r="L62" s="86">
        <f t="shared" ref="L62" si="133">L60+L61</f>
        <v>97633.515696576505</v>
      </c>
      <c r="M62" s="86">
        <f t="shared" si="132"/>
        <v>158260.85311819703</v>
      </c>
      <c r="N62" s="86">
        <f t="shared" si="132"/>
        <v>124036.81919853961</v>
      </c>
      <c r="O62" s="86">
        <f t="shared" si="132"/>
        <v>-4503.7405317637149</v>
      </c>
      <c r="P62" s="86">
        <f t="shared" ref="P62" si="134">P60+P61</f>
        <v>296963.75261051324</v>
      </c>
      <c r="Q62" s="86">
        <f t="shared" si="132"/>
        <v>943816.15003734885</v>
      </c>
      <c r="R62" s="86">
        <f t="shared" si="132"/>
        <v>474567.04584321048</v>
      </c>
      <c r="S62" s="86">
        <f t="shared" si="132"/>
        <v>390036.65302243346</v>
      </c>
      <c r="T62" s="86">
        <f t="shared" si="132"/>
        <v>337700</v>
      </c>
      <c r="U62" s="86">
        <f t="shared" si="132"/>
        <v>266900</v>
      </c>
      <c r="V62" s="86">
        <f t="shared" si="132"/>
        <v>233700</v>
      </c>
      <c r="W62" s="86">
        <f t="shared" si="132"/>
        <v>220900</v>
      </c>
      <c r="X62" s="86">
        <f t="shared" si="132"/>
        <v>201000</v>
      </c>
      <c r="Y62" s="86">
        <f t="shared" si="132"/>
        <v>146400</v>
      </c>
      <c r="Z62" s="86">
        <f t="shared" si="132"/>
        <v>150600</v>
      </c>
      <c r="AA62" s="86">
        <f t="shared" si="132"/>
        <v>150400</v>
      </c>
      <c r="AB62" s="86">
        <f t="shared" si="132"/>
        <v>146000</v>
      </c>
      <c r="AC62" s="86">
        <f t="shared" si="132"/>
        <v>155800</v>
      </c>
      <c r="AD62" s="86">
        <f t="shared" si="132"/>
        <v>163800</v>
      </c>
      <c r="AE62" s="86">
        <f t="shared" si="132"/>
        <v>166600</v>
      </c>
      <c r="AF62" s="86">
        <f t="shared" si="132"/>
        <v>159000</v>
      </c>
      <c r="AG62" s="86">
        <f t="shared" si="132"/>
        <v>144600</v>
      </c>
      <c r="AH62" s="86">
        <f t="shared" si="132"/>
        <v>136100</v>
      </c>
      <c r="AI62" s="86">
        <f t="shared" si="132"/>
        <v>128100</v>
      </c>
      <c r="AJ62" s="86">
        <f t="shared" si="132"/>
        <v>122300</v>
      </c>
      <c r="AK62" s="86">
        <f t="shared" si="132"/>
        <v>111600</v>
      </c>
      <c r="AL62" s="86">
        <f t="shared" si="132"/>
        <v>108600</v>
      </c>
      <c r="AM62" s="86">
        <f t="shared" si="132"/>
        <v>102600</v>
      </c>
      <c r="AN62" s="86">
        <f t="shared" si="132"/>
        <v>96700</v>
      </c>
      <c r="AO62" s="86">
        <f t="shared" si="132"/>
        <v>94500</v>
      </c>
      <c r="AP62" s="86">
        <f t="shared" si="132"/>
        <v>88800</v>
      </c>
      <c r="AQ62" s="86">
        <f t="shared" si="132"/>
        <v>87900</v>
      </c>
      <c r="AR62" s="86">
        <f t="shared" si="132"/>
        <v>86100</v>
      </c>
      <c r="AS62" s="86">
        <f t="shared" si="132"/>
        <v>87900</v>
      </c>
      <c r="AT62" s="86">
        <f t="shared" si="132"/>
        <v>89900</v>
      </c>
      <c r="AU62" s="86">
        <f t="shared" si="132"/>
        <v>84400</v>
      </c>
      <c r="AV62" s="86">
        <f t="shared" si="132"/>
        <v>80500</v>
      </c>
      <c r="AW62" s="86">
        <f t="shared" si="132"/>
        <v>74100</v>
      </c>
      <c r="AX62" s="86">
        <f t="shared" si="132"/>
        <v>72100</v>
      </c>
      <c r="AY62" s="86">
        <f t="shared" si="132"/>
        <v>75500</v>
      </c>
      <c r="AZ62" s="86">
        <f t="shared" si="132"/>
        <v>73700</v>
      </c>
      <c r="BA62" s="86">
        <f t="shared" si="132"/>
        <v>64400</v>
      </c>
      <c r="BB62" s="86">
        <f t="shared" si="132"/>
        <v>62800</v>
      </c>
      <c r="BC62" s="86">
        <f t="shared" si="132"/>
        <v>58000</v>
      </c>
      <c r="BD62" s="99">
        <f>Formue!BK69</f>
        <v>56697.113685158009</v>
      </c>
      <c r="BE62" s="99">
        <f>Formue!BL69</f>
        <v>55328.546026394957</v>
      </c>
      <c r="BF62" s="99">
        <f>Formue!BM69</f>
        <v>53892.676108606604</v>
      </c>
      <c r="BG62" s="99">
        <f>Formue!BN69</f>
        <v>52387.867338826349</v>
      </c>
      <c r="BH62" s="99">
        <f>Formue!BO69</f>
        <v>50812.468502242999</v>
      </c>
      <c r="BI62" s="99">
        <f>Formue!BP69</f>
        <v>49164.814912103931</v>
      </c>
      <c r="BJ62" s="99">
        <f>Formue!BQ69</f>
        <v>47443.229658779295</v>
      </c>
      <c r="BK62" s="99">
        <f>Formue!BR69</f>
        <v>45646.024963519441</v>
      </c>
      <c r="BL62" s="99">
        <f>Formue!BS69</f>
        <v>43771.503642702351</v>
      </c>
      <c r="BM62" s="99">
        <f>Formue!BT69</f>
        <v>41817.960688648891</v>
      </c>
      <c r="BN62" s="99">
        <f>Formue!BU69</f>
        <v>39783.684973372176</v>
      </c>
      <c r="BO62" s="99">
        <f>Formue!BV69</f>
        <v>37666.961081933674</v>
      </c>
      <c r="BP62" s="99">
        <f>Formue!BW69</f>
        <v>35466.071282394885</v>
      </c>
      <c r="BQ62" s="99">
        <f>Formue!BX69</f>
        <v>33179.297639686592</v>
      </c>
      <c r="BR62" s="99">
        <f>Formue!BY69</f>
        <v>30804.924281061602</v>
      </c>
      <c r="BS62" s="99">
        <f>Formue!BZ69</f>
        <v>28341.239821164119</v>
      </c>
      <c r="BT62" s="99">
        <f>Formue!CA69</f>
        <v>25786.539955119522</v>
      </c>
      <c r="BU62" s="99">
        <f>Formue!CB69</f>
        <v>23139.130228451628</v>
      </c>
      <c r="BV62" s="99">
        <f>Formue!CC69</f>
        <v>20397.328993039457</v>
      </c>
      <c r="BW62" s="99">
        <f>Formue!CD69</f>
        <v>17559.470558759793</v>
      </c>
      <c r="BX62" s="99">
        <f>Formue!CE69</f>
        <v>14623.90855091302</v>
      </c>
      <c r="BY62" s="99">
        <f>Formue!CF69</f>
        <v>11589.019483992417</v>
      </c>
      <c r="BZ62" s="99">
        <f>Formue!CG69</f>
        <v>8453.2065628560413</v>
      </c>
      <c r="CA62" s="99">
        <f>Formue!CH69</f>
        <v>5214.9037228633906</v>
      </c>
      <c r="CB62" s="99">
        <f>Formue!CI69</f>
        <v>1872.5799210791322</v>
      </c>
      <c r="CC62" s="99">
        <f>Formue!CJ69</f>
        <v>-1575.2563087991512</v>
      </c>
      <c r="CD62" s="99">
        <f>Formue!CK69</f>
        <v>-5130.0520245523821</v>
      </c>
      <c r="CE62" s="99">
        <f>Formue!CL69</f>
        <v>-8793.2047527412742</v>
      </c>
      <c r="CF62" s="99">
        <f>Formue!CM69</f>
        <v>-12566.057060720617</v>
      </c>
      <c r="CG62" s="99">
        <f>Formue!CN69</f>
        <v>-16449.89080822395</v>
      </c>
      <c r="CH62" s="99"/>
      <c r="CI62" s="99"/>
      <c r="CJ62" s="99"/>
      <c r="CK62" s="99"/>
      <c r="CL62" s="99"/>
      <c r="CM62" s="99"/>
      <c r="CN62" s="99"/>
    </row>
    <row r="63" spans="1:92" ht="15.75" customHeight="1">
      <c r="A63" s="199"/>
      <c r="B63" s="20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</row>
    <row r="64" spans="1:92" ht="15.75" customHeight="1">
      <c r="A64" s="199"/>
      <c r="B64" s="200"/>
      <c r="C64" s="201"/>
      <c r="D64" s="201"/>
      <c r="E64" s="201"/>
      <c r="F64" s="201"/>
      <c r="G64" s="201"/>
      <c r="H64" s="201"/>
      <c r="I64" s="201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</row>
    <row r="65" spans="1:92" ht="15.75" customHeight="1">
      <c r="A65" s="202" t="s">
        <v>172</v>
      </c>
      <c r="B65" s="20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</row>
    <row r="66" spans="1:92" ht="15.75" customHeight="1">
      <c r="A66" s="199" t="s">
        <v>412</v>
      </c>
      <c r="B66" s="200"/>
      <c r="C66" s="80"/>
      <c r="D66" s="80"/>
      <c r="E66" s="80"/>
      <c r="F66" s="80"/>
      <c r="G66" s="80"/>
      <c r="H66" s="80"/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0">
        <v>0</v>
      </c>
      <c r="AH66" s="80">
        <v>0</v>
      </c>
      <c r="AI66" s="80">
        <v>0</v>
      </c>
      <c r="AJ66" s="80">
        <v>0</v>
      </c>
      <c r="AK66" s="80">
        <v>0</v>
      </c>
      <c r="AL66" s="80">
        <v>0</v>
      </c>
      <c r="AM66" s="80">
        <v>0</v>
      </c>
      <c r="AN66" s="80">
        <v>0</v>
      </c>
      <c r="AO66" s="80">
        <v>0</v>
      </c>
      <c r="AP66" s="80">
        <v>0</v>
      </c>
      <c r="AQ66" s="80">
        <v>0</v>
      </c>
      <c r="AR66" s="80">
        <v>0</v>
      </c>
      <c r="AS66" s="80">
        <v>0</v>
      </c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</row>
    <row r="67" spans="1:92" ht="15.75" customHeight="1">
      <c r="A67" s="253" t="s">
        <v>583</v>
      </c>
      <c r="B67" s="257"/>
      <c r="C67" s="258"/>
      <c r="D67" s="258"/>
      <c r="E67" s="258"/>
      <c r="F67" s="258"/>
      <c r="G67" s="258"/>
      <c r="H67" s="258"/>
      <c r="I67" s="258">
        <f t="shared" ref="I67:I72" si="135">I31</f>
        <v>64212</v>
      </c>
      <c r="J67" s="258">
        <f t="shared" ref="J67:N67" si="136">J31</f>
        <v>39476.659443680001</v>
      </c>
      <c r="K67" s="258">
        <f t="shared" si="136"/>
        <v>16034.226274049999</v>
      </c>
      <c r="L67" s="258">
        <f t="shared" si="136"/>
        <v>23688.094993999999</v>
      </c>
      <c r="M67" s="258">
        <f t="shared" si="136"/>
        <v>38539.516748610004</v>
      </c>
      <c r="N67" s="258">
        <f t="shared" si="136"/>
        <v>43011.140939999997</v>
      </c>
      <c r="O67" s="258">
        <f t="shared" ref="O67:S67" si="137">O31</f>
        <v>16724.75885708</v>
      </c>
      <c r="P67" s="258">
        <f t="shared" si="137"/>
        <v>51982.826558180001</v>
      </c>
      <c r="Q67" s="258">
        <f t="shared" si="137"/>
        <v>212994.79011669999</v>
      </c>
      <c r="R67" s="258">
        <f t="shared" si="137"/>
        <v>188239.111733</v>
      </c>
      <c r="S67" s="258">
        <f t="shared" si="137"/>
        <v>132693.48035100001</v>
      </c>
      <c r="T67" s="258">
        <f t="shared" ref="T67:AS67" si="138">ROUND(T31/100,T$66)*100</f>
        <v>121100</v>
      </c>
      <c r="U67" s="258">
        <f t="shared" si="138"/>
        <v>93300</v>
      </c>
      <c r="V67" s="258">
        <f t="shared" si="138"/>
        <v>70400</v>
      </c>
      <c r="W67" s="258">
        <f t="shared" si="138"/>
        <v>57700</v>
      </c>
      <c r="X67" s="258">
        <f t="shared" si="138"/>
        <v>50900</v>
      </c>
      <c r="Y67" s="258">
        <f t="shared" si="138"/>
        <v>41100</v>
      </c>
      <c r="Z67" s="258">
        <f t="shared" si="138"/>
        <v>34000</v>
      </c>
      <c r="AA67" s="258">
        <f t="shared" si="138"/>
        <v>34500</v>
      </c>
      <c r="AB67" s="258">
        <f t="shared" si="138"/>
        <v>35000</v>
      </c>
      <c r="AC67" s="258">
        <f t="shared" si="138"/>
        <v>36200</v>
      </c>
      <c r="AD67" s="258">
        <f t="shared" si="138"/>
        <v>38500</v>
      </c>
      <c r="AE67" s="258">
        <f t="shared" si="138"/>
        <v>39900</v>
      </c>
      <c r="AF67" s="258">
        <f t="shared" si="138"/>
        <v>39200</v>
      </c>
      <c r="AG67" s="258">
        <f t="shared" si="138"/>
        <v>36300</v>
      </c>
      <c r="AH67" s="258">
        <f t="shared" si="138"/>
        <v>33700</v>
      </c>
      <c r="AI67" s="258">
        <f t="shared" si="138"/>
        <v>32200</v>
      </c>
      <c r="AJ67" s="258">
        <f t="shared" si="138"/>
        <v>31000</v>
      </c>
      <c r="AK67" s="258">
        <f t="shared" si="138"/>
        <v>29100</v>
      </c>
      <c r="AL67" s="258">
        <f t="shared" si="138"/>
        <v>27200</v>
      </c>
      <c r="AM67" s="258">
        <f t="shared" si="138"/>
        <v>25800</v>
      </c>
      <c r="AN67" s="258">
        <f t="shared" si="138"/>
        <v>24100</v>
      </c>
      <c r="AO67" s="258">
        <f t="shared" si="138"/>
        <v>22500</v>
      </c>
      <c r="AP67" s="258">
        <f t="shared" si="138"/>
        <v>21400</v>
      </c>
      <c r="AQ67" s="258">
        <f t="shared" si="138"/>
        <v>21300</v>
      </c>
      <c r="AR67" s="258">
        <f t="shared" si="138"/>
        <v>21700</v>
      </c>
      <c r="AS67" s="258">
        <f t="shared" si="138"/>
        <v>21100</v>
      </c>
      <c r="AT67" s="258">
        <f t="shared" ref="AT67:BC67" si="139">ROUND(AT31/100,AT$66)*100</f>
        <v>20700</v>
      </c>
      <c r="AU67" s="258">
        <f t="shared" si="139"/>
        <v>19900</v>
      </c>
      <c r="AV67" s="258">
        <f t="shared" si="139"/>
        <v>18300</v>
      </c>
      <c r="AW67" s="258">
        <f t="shared" si="139"/>
        <v>17000</v>
      </c>
      <c r="AX67" s="258">
        <f t="shared" si="139"/>
        <v>15900</v>
      </c>
      <c r="AY67" s="258">
        <f t="shared" si="139"/>
        <v>15800</v>
      </c>
      <c r="AZ67" s="258">
        <f t="shared" si="139"/>
        <v>16000</v>
      </c>
      <c r="BA67" s="258">
        <f t="shared" si="139"/>
        <v>14800</v>
      </c>
      <c r="BB67" s="258">
        <f t="shared" si="139"/>
        <v>13300</v>
      </c>
      <c r="BC67" s="258">
        <f t="shared" si="139"/>
        <v>12400</v>
      </c>
      <c r="BD67" s="86"/>
      <c r="BE67" s="86"/>
      <c r="BF67" s="86"/>
      <c r="BG67" s="86"/>
      <c r="BH67" s="86"/>
      <c r="BI67" s="86"/>
      <c r="BJ67" s="86"/>
      <c r="BK67" s="86"/>
      <c r="BL67" s="86"/>
      <c r="BM67" s="86"/>
    </row>
    <row r="68" spans="1:92" ht="15.75" customHeight="1">
      <c r="A68" s="665" t="s">
        <v>455</v>
      </c>
      <c r="B68" s="257"/>
      <c r="C68" s="258"/>
      <c r="D68" s="258"/>
      <c r="E68" s="258"/>
      <c r="F68" s="258"/>
      <c r="G68" s="258"/>
      <c r="H68" s="258"/>
      <c r="I68" s="258">
        <f t="shared" si="135"/>
        <v>105837</v>
      </c>
      <c r="J68" s="258">
        <f t="shared" ref="J68:N68" si="140">J32</f>
        <v>64195.817311320003</v>
      </c>
      <c r="K68" s="258">
        <f t="shared" si="140"/>
        <v>25058.531532950001</v>
      </c>
      <c r="L68" s="258">
        <f t="shared" si="140"/>
        <v>41360.999728000003</v>
      </c>
      <c r="M68" s="258">
        <f t="shared" si="140"/>
        <v>71773.978570389998</v>
      </c>
      <c r="N68" s="258">
        <f t="shared" si="140"/>
        <v>90490.326323999994</v>
      </c>
      <c r="O68" s="258">
        <f t="shared" ref="O68:S68" si="141">O32</f>
        <v>11662.883913920001</v>
      </c>
      <c r="P68" s="258">
        <f t="shared" si="141"/>
        <v>33728.419497809999</v>
      </c>
      <c r="Q68" s="258">
        <f t="shared" si="141"/>
        <v>500626.48781030002</v>
      </c>
      <c r="R68" s="258">
        <f t="shared" si="141"/>
        <v>426187.35876999999</v>
      </c>
      <c r="S68" s="258">
        <f t="shared" si="141"/>
        <v>278773.956221</v>
      </c>
      <c r="T68" s="667">
        <f t="shared" ref="T68:W68" si="142">(ROUND(T32/100,T$66)*100)+T44</f>
        <v>252800</v>
      </c>
      <c r="U68" s="667">
        <f t="shared" si="142"/>
        <v>198200</v>
      </c>
      <c r="V68" s="667">
        <f t="shared" si="142"/>
        <v>165900</v>
      </c>
      <c r="W68" s="667">
        <f t="shared" si="142"/>
        <v>160800</v>
      </c>
      <c r="X68" s="258">
        <f t="shared" ref="X68:AS68" si="143">ROUND(X32/100,X$66)*100</f>
        <v>150600</v>
      </c>
      <c r="Y68" s="258">
        <f t="shared" si="143"/>
        <v>124300</v>
      </c>
      <c r="Z68" s="258">
        <f t="shared" si="143"/>
        <v>97400</v>
      </c>
      <c r="AA68" s="258">
        <f t="shared" si="143"/>
        <v>102000</v>
      </c>
      <c r="AB68" s="258">
        <f t="shared" si="143"/>
        <v>101400</v>
      </c>
      <c r="AC68" s="258">
        <f t="shared" si="143"/>
        <v>103000</v>
      </c>
      <c r="AD68" s="258">
        <f t="shared" si="143"/>
        <v>110900</v>
      </c>
      <c r="AE68" s="258">
        <f t="shared" si="143"/>
        <v>114900</v>
      </c>
      <c r="AF68" s="258">
        <f t="shared" si="143"/>
        <v>113000</v>
      </c>
      <c r="AG68" s="258">
        <f t="shared" si="143"/>
        <v>105100</v>
      </c>
      <c r="AH68" s="258">
        <f t="shared" si="143"/>
        <v>95800</v>
      </c>
      <c r="AI68" s="258">
        <f t="shared" si="143"/>
        <v>89600</v>
      </c>
      <c r="AJ68" s="258">
        <f t="shared" si="143"/>
        <v>85600</v>
      </c>
      <c r="AK68" s="258">
        <f t="shared" si="143"/>
        <v>79400</v>
      </c>
      <c r="AL68" s="258">
        <f t="shared" si="143"/>
        <v>73900</v>
      </c>
      <c r="AM68" s="258">
        <f t="shared" si="143"/>
        <v>71700</v>
      </c>
      <c r="AN68" s="258">
        <f t="shared" si="143"/>
        <v>67900</v>
      </c>
      <c r="AO68" s="258">
        <f t="shared" si="143"/>
        <v>65500</v>
      </c>
      <c r="AP68" s="258">
        <f t="shared" si="143"/>
        <v>63500</v>
      </c>
      <c r="AQ68" s="258">
        <f t="shared" si="143"/>
        <v>62000</v>
      </c>
      <c r="AR68" s="258">
        <f t="shared" si="143"/>
        <v>59500</v>
      </c>
      <c r="AS68" s="258">
        <f t="shared" si="143"/>
        <v>57500</v>
      </c>
      <c r="AT68" s="258">
        <f t="shared" ref="AT68:BC68" si="144">ROUND(AT32/100,AT$66)*100</f>
        <v>62300</v>
      </c>
      <c r="AU68" s="258">
        <f t="shared" si="144"/>
        <v>61000</v>
      </c>
      <c r="AV68" s="258">
        <f t="shared" si="144"/>
        <v>57800</v>
      </c>
      <c r="AW68" s="258">
        <f t="shared" si="144"/>
        <v>54000</v>
      </c>
      <c r="AX68" s="258">
        <f t="shared" si="144"/>
        <v>51000</v>
      </c>
      <c r="AY68" s="258">
        <f t="shared" si="144"/>
        <v>51700</v>
      </c>
      <c r="AZ68" s="258">
        <f t="shared" si="144"/>
        <v>52600</v>
      </c>
      <c r="BA68" s="258">
        <f t="shared" si="144"/>
        <v>47600</v>
      </c>
      <c r="BB68" s="258">
        <f t="shared" si="144"/>
        <v>44100</v>
      </c>
      <c r="BC68" s="258">
        <f t="shared" si="144"/>
        <v>41800</v>
      </c>
      <c r="BD68" s="86"/>
      <c r="BE68" s="86"/>
      <c r="BF68" s="86"/>
      <c r="BG68" s="86"/>
      <c r="BH68" s="86"/>
      <c r="BI68" s="86"/>
      <c r="BJ68" s="86"/>
      <c r="BK68" s="86"/>
      <c r="BL68" s="86"/>
      <c r="BM68" s="86"/>
    </row>
    <row r="69" spans="1:92" ht="15.75" customHeight="1">
      <c r="A69" s="199" t="s">
        <v>28</v>
      </c>
      <c r="B69" s="257"/>
      <c r="C69" s="258"/>
      <c r="D69" s="258"/>
      <c r="E69" s="258"/>
      <c r="F69" s="258"/>
      <c r="G69" s="258"/>
      <c r="H69" s="258"/>
      <c r="I69" s="258">
        <f t="shared" si="135"/>
        <v>0</v>
      </c>
      <c r="J69" s="258">
        <f t="shared" ref="J69:S72" si="145">J33</f>
        <v>0</v>
      </c>
      <c r="K69" s="258">
        <f t="shared" si="145"/>
        <v>0</v>
      </c>
      <c r="L69" s="258">
        <f t="shared" si="145"/>
        <v>0</v>
      </c>
      <c r="M69" s="258">
        <f t="shared" si="145"/>
        <v>0</v>
      </c>
      <c r="N69" s="258">
        <f t="shared" si="145"/>
        <v>0</v>
      </c>
      <c r="O69" s="258">
        <f t="shared" si="145"/>
        <v>0</v>
      </c>
      <c r="P69" s="258">
        <f t="shared" si="145"/>
        <v>0</v>
      </c>
      <c r="Q69" s="258">
        <f t="shared" si="145"/>
        <v>0</v>
      </c>
      <c r="R69" s="258">
        <f t="shared" si="145"/>
        <v>0</v>
      </c>
      <c r="S69" s="258">
        <f t="shared" si="145"/>
        <v>0</v>
      </c>
      <c r="T69" s="86">
        <f t="shared" ref="T69:AS69" si="146">ROUND(T33/100,T$66)*100</f>
        <v>0</v>
      </c>
      <c r="U69" s="86">
        <f t="shared" si="146"/>
        <v>0</v>
      </c>
      <c r="V69" s="86">
        <f t="shared" si="146"/>
        <v>0</v>
      </c>
      <c r="W69" s="86">
        <f t="shared" si="146"/>
        <v>0</v>
      </c>
      <c r="X69" s="86">
        <f t="shared" si="146"/>
        <v>0</v>
      </c>
      <c r="Y69" s="86">
        <f t="shared" si="146"/>
        <v>0</v>
      </c>
      <c r="Z69" s="86">
        <f t="shared" si="146"/>
        <v>0</v>
      </c>
      <c r="AA69" s="86">
        <f t="shared" si="146"/>
        <v>0</v>
      </c>
      <c r="AB69" s="86">
        <f t="shared" si="146"/>
        <v>0</v>
      </c>
      <c r="AC69" s="86">
        <f t="shared" si="146"/>
        <v>0</v>
      </c>
      <c r="AD69" s="86">
        <f t="shared" si="146"/>
        <v>0</v>
      </c>
      <c r="AE69" s="86">
        <f t="shared" si="146"/>
        <v>0</v>
      </c>
      <c r="AF69" s="86">
        <f t="shared" si="146"/>
        <v>0</v>
      </c>
      <c r="AG69" s="86">
        <f t="shared" si="146"/>
        <v>0</v>
      </c>
      <c r="AH69" s="86">
        <f t="shared" si="146"/>
        <v>0</v>
      </c>
      <c r="AI69" s="86">
        <f t="shared" si="146"/>
        <v>0</v>
      </c>
      <c r="AJ69" s="86">
        <f t="shared" si="146"/>
        <v>0</v>
      </c>
      <c r="AK69" s="86">
        <f t="shared" si="146"/>
        <v>0</v>
      </c>
      <c r="AL69" s="86">
        <f t="shared" si="146"/>
        <v>0</v>
      </c>
      <c r="AM69" s="86">
        <f t="shared" si="146"/>
        <v>0</v>
      </c>
      <c r="AN69" s="86">
        <f t="shared" si="146"/>
        <v>0</v>
      </c>
      <c r="AO69" s="86">
        <f t="shared" si="146"/>
        <v>0</v>
      </c>
      <c r="AP69" s="86">
        <f t="shared" si="146"/>
        <v>0</v>
      </c>
      <c r="AQ69" s="86">
        <f t="shared" si="146"/>
        <v>0</v>
      </c>
      <c r="AR69" s="86">
        <f t="shared" si="146"/>
        <v>0</v>
      </c>
      <c r="AS69" s="86">
        <f t="shared" si="146"/>
        <v>0</v>
      </c>
      <c r="AT69" s="86">
        <f t="shared" ref="AT69:BC69" si="147">ROUND(AT33/100,AT$66)*100</f>
        <v>0</v>
      </c>
      <c r="AU69" s="86">
        <f t="shared" si="147"/>
        <v>0</v>
      </c>
      <c r="AV69" s="86">
        <f t="shared" si="147"/>
        <v>0</v>
      </c>
      <c r="AW69" s="86">
        <f t="shared" si="147"/>
        <v>0</v>
      </c>
      <c r="AX69" s="86">
        <f t="shared" si="147"/>
        <v>0</v>
      </c>
      <c r="AY69" s="86">
        <f t="shared" si="147"/>
        <v>0</v>
      </c>
      <c r="AZ69" s="86">
        <f t="shared" si="147"/>
        <v>0</v>
      </c>
      <c r="BA69" s="86">
        <f t="shared" si="147"/>
        <v>0</v>
      </c>
      <c r="BB69" s="86">
        <f t="shared" si="147"/>
        <v>0</v>
      </c>
      <c r="BC69" s="86">
        <f t="shared" si="147"/>
        <v>0</v>
      </c>
      <c r="BD69" s="86"/>
      <c r="BE69" s="86"/>
      <c r="BF69" s="86"/>
      <c r="BG69" s="86"/>
      <c r="BH69" s="86"/>
      <c r="BI69" s="86"/>
      <c r="BJ69" s="86"/>
      <c r="BK69" s="86"/>
      <c r="BL69" s="86"/>
      <c r="BM69" s="86"/>
    </row>
    <row r="70" spans="1:92" ht="15.75" customHeight="1">
      <c r="A70" s="199" t="s">
        <v>29</v>
      </c>
      <c r="B70" s="257"/>
      <c r="C70" s="258"/>
      <c r="D70" s="258"/>
      <c r="E70" s="258"/>
      <c r="F70" s="258"/>
      <c r="G70" s="258"/>
      <c r="H70" s="258"/>
      <c r="I70" s="258">
        <f t="shared" si="135"/>
        <v>1535.8387729999999</v>
      </c>
      <c r="J70" s="258">
        <f t="shared" si="145"/>
        <v>1550.9333610000001</v>
      </c>
      <c r="K70" s="258">
        <f t="shared" si="145"/>
        <v>1403.3694419999999</v>
      </c>
      <c r="L70" s="258">
        <f t="shared" si="145"/>
        <v>939.15557899999999</v>
      </c>
      <c r="M70" s="258">
        <f t="shared" si="145"/>
        <v>1779.7733049999999</v>
      </c>
      <c r="N70" s="258">
        <f t="shared" si="145"/>
        <v>1504.9512480000001</v>
      </c>
      <c r="O70" s="258">
        <f t="shared" si="145"/>
        <v>1417.6331700000001</v>
      </c>
      <c r="P70" s="258">
        <f t="shared" si="145"/>
        <v>939.59584900000004</v>
      </c>
      <c r="Q70" s="258">
        <f t="shared" si="145"/>
        <v>1049.9071200000001</v>
      </c>
      <c r="R70" s="258">
        <f t="shared" si="145"/>
        <v>1319.4877550000001</v>
      </c>
      <c r="S70" s="258">
        <f t="shared" si="145"/>
        <v>1179.889725</v>
      </c>
      <c r="T70" s="86">
        <f t="shared" ref="T70:AS70" si="148">ROUND(T34/100,T$66)*100</f>
        <v>1500</v>
      </c>
      <c r="U70" s="86">
        <f t="shared" si="148"/>
        <v>1600</v>
      </c>
      <c r="V70" s="86">
        <f t="shared" si="148"/>
        <v>1700</v>
      </c>
      <c r="W70" s="86">
        <f t="shared" si="148"/>
        <v>1900</v>
      </c>
      <c r="X70" s="86">
        <f t="shared" si="148"/>
        <v>1900</v>
      </c>
      <c r="Y70" s="86">
        <f t="shared" si="148"/>
        <v>1800</v>
      </c>
      <c r="Z70" s="86">
        <f t="shared" si="148"/>
        <v>1800</v>
      </c>
      <c r="AA70" s="86">
        <f t="shared" si="148"/>
        <v>1800</v>
      </c>
      <c r="AB70" s="86">
        <f t="shared" si="148"/>
        <v>1900</v>
      </c>
      <c r="AC70" s="86">
        <f t="shared" si="148"/>
        <v>1900</v>
      </c>
      <c r="AD70" s="86">
        <f t="shared" si="148"/>
        <v>1900</v>
      </c>
      <c r="AE70" s="86">
        <f t="shared" si="148"/>
        <v>2000</v>
      </c>
      <c r="AF70" s="86">
        <f t="shared" si="148"/>
        <v>2000</v>
      </c>
      <c r="AG70" s="86">
        <f t="shared" si="148"/>
        <v>2100</v>
      </c>
      <c r="AH70" s="86">
        <f t="shared" si="148"/>
        <v>2100</v>
      </c>
      <c r="AI70" s="86">
        <f t="shared" si="148"/>
        <v>2100</v>
      </c>
      <c r="AJ70" s="86">
        <f t="shared" si="148"/>
        <v>2200</v>
      </c>
      <c r="AK70" s="86">
        <f t="shared" si="148"/>
        <v>2200</v>
      </c>
      <c r="AL70" s="86">
        <f t="shared" si="148"/>
        <v>2300</v>
      </c>
      <c r="AM70" s="86">
        <f t="shared" si="148"/>
        <v>2300</v>
      </c>
      <c r="AN70" s="86">
        <f t="shared" si="148"/>
        <v>2400</v>
      </c>
      <c r="AO70" s="86">
        <f t="shared" si="148"/>
        <v>2400</v>
      </c>
      <c r="AP70" s="86">
        <f t="shared" si="148"/>
        <v>2500</v>
      </c>
      <c r="AQ70" s="86">
        <f t="shared" si="148"/>
        <v>2500</v>
      </c>
      <c r="AR70" s="86">
        <f t="shared" si="148"/>
        <v>2500</v>
      </c>
      <c r="AS70" s="86">
        <f t="shared" si="148"/>
        <v>2600</v>
      </c>
      <c r="AT70" s="86">
        <f t="shared" ref="AT70:BC70" si="149">ROUND(AT34/100,AT$66)*100</f>
        <v>2700</v>
      </c>
      <c r="AU70" s="86">
        <f t="shared" si="149"/>
        <v>2700</v>
      </c>
      <c r="AV70" s="86">
        <f t="shared" si="149"/>
        <v>2800</v>
      </c>
      <c r="AW70" s="86">
        <f t="shared" si="149"/>
        <v>2800</v>
      </c>
      <c r="AX70" s="86">
        <f t="shared" si="149"/>
        <v>2900</v>
      </c>
      <c r="AY70" s="86">
        <f t="shared" si="149"/>
        <v>2900</v>
      </c>
      <c r="AZ70" s="86">
        <f t="shared" si="149"/>
        <v>3000</v>
      </c>
      <c r="BA70" s="86">
        <f t="shared" si="149"/>
        <v>3000</v>
      </c>
      <c r="BB70" s="86">
        <f t="shared" si="149"/>
        <v>3100</v>
      </c>
      <c r="BC70" s="86">
        <f t="shared" si="149"/>
        <v>3200</v>
      </c>
      <c r="BD70" s="86"/>
      <c r="BE70" s="86"/>
      <c r="BF70" s="86"/>
      <c r="BG70" s="86"/>
      <c r="BH70" s="86"/>
      <c r="BI70" s="86"/>
      <c r="BJ70" s="86"/>
      <c r="BK70" s="86"/>
      <c r="BL70" s="86"/>
      <c r="BM70" s="86"/>
    </row>
    <row r="71" spans="1:92" ht="15.75" customHeight="1">
      <c r="A71" s="199" t="s">
        <v>30</v>
      </c>
      <c r="B71" s="257"/>
      <c r="C71" s="258"/>
      <c r="D71" s="258"/>
      <c r="E71" s="258"/>
      <c r="F71" s="258"/>
      <c r="G71" s="258"/>
      <c r="H71" s="258"/>
      <c r="I71" s="258">
        <f t="shared" si="135"/>
        <v>4516.1052140000002</v>
      </c>
      <c r="J71" s="258">
        <f t="shared" si="145"/>
        <v>4959.4259157500001</v>
      </c>
      <c r="K71" s="258">
        <f t="shared" si="145"/>
        <v>5107.5202192799998</v>
      </c>
      <c r="L71" s="258">
        <f t="shared" si="145"/>
        <v>5181.9696690000001</v>
      </c>
      <c r="M71" s="258">
        <f t="shared" si="145"/>
        <v>5192.6893281499997</v>
      </c>
      <c r="N71" s="258">
        <f t="shared" si="145"/>
        <v>5370.9069159999999</v>
      </c>
      <c r="O71" s="258">
        <f t="shared" si="145"/>
        <v>5601.6462090000005</v>
      </c>
      <c r="P71" s="258">
        <f t="shared" si="145"/>
        <v>5197.2109190000001</v>
      </c>
      <c r="Q71" s="258">
        <f t="shared" si="145"/>
        <v>6258.3327740000004</v>
      </c>
      <c r="R71" s="258">
        <f t="shared" si="145"/>
        <v>7495.8173669999996</v>
      </c>
      <c r="S71" s="258">
        <f t="shared" si="145"/>
        <v>7694.7027859999998</v>
      </c>
      <c r="T71" s="86">
        <f t="shared" ref="T71:AS71" si="150">ROUND(T35/100,T$66)*100</f>
        <v>8400</v>
      </c>
      <c r="U71" s="86">
        <f t="shared" si="150"/>
        <v>9400</v>
      </c>
      <c r="V71" s="86">
        <f t="shared" si="150"/>
        <v>9500</v>
      </c>
      <c r="W71" s="86">
        <f t="shared" si="150"/>
        <v>9000</v>
      </c>
      <c r="X71" s="86">
        <f t="shared" si="150"/>
        <v>8200</v>
      </c>
      <c r="Y71" s="86">
        <f t="shared" si="150"/>
        <v>9600</v>
      </c>
      <c r="Z71" s="86">
        <f t="shared" si="150"/>
        <v>10900</v>
      </c>
      <c r="AA71" s="86">
        <f t="shared" si="150"/>
        <v>10100</v>
      </c>
      <c r="AB71" s="86">
        <f t="shared" si="150"/>
        <v>9600</v>
      </c>
      <c r="AC71" s="86">
        <f t="shared" si="150"/>
        <v>9400</v>
      </c>
      <c r="AD71" s="86">
        <f t="shared" si="150"/>
        <v>8900</v>
      </c>
      <c r="AE71" s="86">
        <f t="shared" si="150"/>
        <v>8800</v>
      </c>
      <c r="AF71" s="86">
        <f t="shared" si="150"/>
        <v>8800</v>
      </c>
      <c r="AG71" s="86">
        <f t="shared" si="150"/>
        <v>8600</v>
      </c>
      <c r="AH71" s="86">
        <f t="shared" si="150"/>
        <v>8200</v>
      </c>
      <c r="AI71" s="86">
        <f t="shared" si="150"/>
        <v>7600</v>
      </c>
      <c r="AJ71" s="86">
        <f t="shared" si="150"/>
        <v>6800</v>
      </c>
      <c r="AK71" s="86">
        <f t="shared" si="150"/>
        <v>6400</v>
      </c>
      <c r="AL71" s="86">
        <f t="shared" si="150"/>
        <v>6300</v>
      </c>
      <c r="AM71" s="86">
        <f t="shared" si="150"/>
        <v>5900</v>
      </c>
      <c r="AN71" s="86">
        <f t="shared" si="150"/>
        <v>5300</v>
      </c>
      <c r="AO71" s="86">
        <f t="shared" si="150"/>
        <v>4800</v>
      </c>
      <c r="AP71" s="86">
        <f t="shared" si="150"/>
        <v>4500</v>
      </c>
      <c r="AQ71" s="86">
        <f t="shared" si="150"/>
        <v>4200</v>
      </c>
      <c r="AR71" s="86">
        <f t="shared" si="150"/>
        <v>3800</v>
      </c>
      <c r="AS71" s="86">
        <f t="shared" si="150"/>
        <v>3500</v>
      </c>
      <c r="AT71" s="86">
        <f t="shared" ref="AT71:BC71" si="151">ROUND(AT35/100,AT$66)*100</f>
        <v>3400</v>
      </c>
      <c r="AU71" s="86">
        <f t="shared" si="151"/>
        <v>3500</v>
      </c>
      <c r="AV71" s="86">
        <f t="shared" si="151"/>
        <v>3600</v>
      </c>
      <c r="AW71" s="86">
        <f t="shared" si="151"/>
        <v>3500</v>
      </c>
      <c r="AX71" s="86">
        <f t="shared" si="151"/>
        <v>3300</v>
      </c>
      <c r="AY71" s="86">
        <f t="shared" si="151"/>
        <v>3300</v>
      </c>
      <c r="AZ71" s="86">
        <f t="shared" si="151"/>
        <v>3300</v>
      </c>
      <c r="BA71" s="86">
        <f t="shared" si="151"/>
        <v>3300</v>
      </c>
      <c r="BB71" s="86">
        <f t="shared" si="151"/>
        <v>3300</v>
      </c>
      <c r="BC71" s="86">
        <f t="shared" si="151"/>
        <v>3100</v>
      </c>
      <c r="BD71" s="86"/>
      <c r="BE71" s="86"/>
      <c r="BF71" s="86"/>
      <c r="BG71" s="86"/>
      <c r="BH71" s="86"/>
      <c r="BI71" s="86"/>
      <c r="BJ71" s="86"/>
      <c r="BK71" s="86"/>
      <c r="BL71" s="86"/>
      <c r="BM71" s="86"/>
    </row>
    <row r="72" spans="1:92" ht="15.75" customHeight="1">
      <c r="A72" s="199" t="s">
        <v>320</v>
      </c>
      <c r="B72" s="257"/>
      <c r="C72" s="258"/>
      <c r="D72" s="258"/>
      <c r="E72" s="258"/>
      <c r="F72" s="258"/>
      <c r="G72" s="258"/>
      <c r="H72" s="258"/>
      <c r="I72" s="258">
        <f t="shared" si="135"/>
        <v>61.899115999999999</v>
      </c>
      <c r="J72" s="258">
        <f t="shared" si="145"/>
        <v>-25.682537</v>
      </c>
      <c r="K72" s="258">
        <f t="shared" si="145"/>
        <v>2.199846</v>
      </c>
      <c r="L72" s="258">
        <f t="shared" si="145"/>
        <v>6.5546819999999997</v>
      </c>
      <c r="M72" s="233">
        <f t="shared" si="145"/>
        <v>1.030437</v>
      </c>
      <c r="N72" s="233">
        <f t="shared" si="145"/>
        <v>1.715724</v>
      </c>
      <c r="O72" s="233">
        <f t="shared" si="145"/>
        <v>0.95228800000000002</v>
      </c>
      <c r="P72" s="233">
        <f t="shared" si="145"/>
        <v>0.72802299999999998</v>
      </c>
      <c r="Q72" s="233">
        <f t="shared" ref="Q72:AS72" si="152">Q36</f>
        <v>1.4472370000000001</v>
      </c>
      <c r="R72" s="233">
        <f t="shared" si="152"/>
        <v>3.6490079999999998</v>
      </c>
      <c r="S72" s="233">
        <f t="shared" si="152"/>
        <v>-2.6242719999999999</v>
      </c>
      <c r="T72" s="233">
        <f t="shared" si="152"/>
        <v>1</v>
      </c>
      <c r="U72" s="233">
        <f t="shared" si="152"/>
        <v>1</v>
      </c>
      <c r="V72" s="233">
        <f t="shared" si="152"/>
        <v>0</v>
      </c>
      <c r="W72" s="233">
        <f t="shared" si="152"/>
        <v>0</v>
      </c>
      <c r="X72" s="233">
        <f t="shared" si="152"/>
        <v>0</v>
      </c>
      <c r="Y72" s="233">
        <f t="shared" si="152"/>
        <v>0</v>
      </c>
      <c r="Z72" s="233">
        <f t="shared" si="152"/>
        <v>0</v>
      </c>
      <c r="AA72" s="233">
        <f t="shared" si="152"/>
        <v>0</v>
      </c>
      <c r="AB72" s="233">
        <f t="shared" si="152"/>
        <v>0</v>
      </c>
      <c r="AC72" s="233">
        <f t="shared" si="152"/>
        <v>0</v>
      </c>
      <c r="AD72" s="233">
        <f t="shared" si="152"/>
        <v>0</v>
      </c>
      <c r="AE72" s="233">
        <f t="shared" si="152"/>
        <v>0</v>
      </c>
      <c r="AF72" s="233">
        <f t="shared" si="152"/>
        <v>0</v>
      </c>
      <c r="AG72" s="233">
        <f t="shared" si="152"/>
        <v>0</v>
      </c>
      <c r="AH72" s="233">
        <f t="shared" si="152"/>
        <v>0</v>
      </c>
      <c r="AI72" s="233">
        <f t="shared" si="152"/>
        <v>0</v>
      </c>
      <c r="AJ72" s="233">
        <f t="shared" si="152"/>
        <v>0</v>
      </c>
      <c r="AK72" s="233">
        <f t="shared" si="152"/>
        <v>0</v>
      </c>
      <c r="AL72" s="233">
        <f t="shared" si="152"/>
        <v>0</v>
      </c>
      <c r="AM72" s="233">
        <f t="shared" si="152"/>
        <v>0</v>
      </c>
      <c r="AN72" s="233">
        <f t="shared" si="152"/>
        <v>0</v>
      </c>
      <c r="AO72" s="233">
        <f t="shared" si="152"/>
        <v>0</v>
      </c>
      <c r="AP72" s="233">
        <f t="shared" si="152"/>
        <v>0</v>
      </c>
      <c r="AQ72" s="233">
        <f t="shared" si="152"/>
        <v>0</v>
      </c>
      <c r="AR72" s="233">
        <f t="shared" si="152"/>
        <v>0</v>
      </c>
      <c r="AS72" s="233">
        <f t="shared" si="152"/>
        <v>0</v>
      </c>
      <c r="AT72" s="233">
        <f t="shared" ref="AT72:BC72" si="153">AT36</f>
        <v>0</v>
      </c>
      <c r="AU72" s="233">
        <f t="shared" si="153"/>
        <v>0</v>
      </c>
      <c r="AV72" s="233">
        <f t="shared" si="153"/>
        <v>0</v>
      </c>
      <c r="AW72" s="233">
        <f t="shared" si="153"/>
        <v>0</v>
      </c>
      <c r="AX72" s="233">
        <f t="shared" si="153"/>
        <v>0</v>
      </c>
      <c r="AY72" s="233">
        <f t="shared" si="153"/>
        <v>0</v>
      </c>
      <c r="AZ72" s="233">
        <f t="shared" si="153"/>
        <v>0</v>
      </c>
      <c r="BA72" s="233">
        <f t="shared" si="153"/>
        <v>0</v>
      </c>
      <c r="BB72" s="233">
        <f t="shared" si="153"/>
        <v>0</v>
      </c>
      <c r="BC72" s="233">
        <f t="shared" si="153"/>
        <v>0</v>
      </c>
      <c r="BD72" s="86"/>
      <c r="BE72" s="86"/>
      <c r="BF72" s="86"/>
      <c r="BG72" s="86"/>
      <c r="BH72" s="86"/>
      <c r="BI72" s="86"/>
      <c r="BJ72" s="86"/>
      <c r="BK72" s="86"/>
      <c r="BL72" s="86"/>
      <c r="BM72" s="86"/>
    </row>
    <row r="73" spans="1:92" ht="15.75" customHeight="1">
      <c r="A73" s="199" t="s">
        <v>31</v>
      </c>
      <c r="B73" s="257"/>
      <c r="C73" s="258"/>
      <c r="D73" s="258"/>
      <c r="E73" s="258"/>
      <c r="F73" s="258"/>
      <c r="G73" s="258"/>
      <c r="H73" s="258"/>
      <c r="I73" s="258">
        <f t="shared" ref="I73:AS73" si="154">SUM(I67:I68)</f>
        <v>170049</v>
      </c>
      <c r="J73" s="258">
        <f t="shared" si="154"/>
        <v>103672.47675500001</v>
      </c>
      <c r="K73" s="258">
        <f t="shared" ref="K73" si="155">SUM(K67:K68)</f>
        <v>41092.757807000002</v>
      </c>
      <c r="L73" s="86">
        <f t="shared" si="154"/>
        <v>65049.094722000002</v>
      </c>
      <c r="M73" s="86">
        <f t="shared" si="154"/>
        <v>110313.49531900001</v>
      </c>
      <c r="N73" s="86">
        <f t="shared" si="154"/>
        <v>133501.46726399998</v>
      </c>
      <c r="O73" s="86">
        <f t="shared" si="154"/>
        <v>28387.642770999999</v>
      </c>
      <c r="P73" s="86">
        <f t="shared" ref="P73" si="156">SUM(P67:P68)</f>
        <v>85711.246055989992</v>
      </c>
      <c r="Q73" s="86">
        <f t="shared" si="154"/>
        <v>713621.27792700008</v>
      </c>
      <c r="R73" s="86">
        <f t="shared" si="154"/>
        <v>614426.47050299996</v>
      </c>
      <c r="S73" s="86">
        <f t="shared" si="154"/>
        <v>411467.43657200004</v>
      </c>
      <c r="T73" s="86">
        <f t="shared" si="154"/>
        <v>373900</v>
      </c>
      <c r="U73" s="86">
        <f t="shared" si="154"/>
        <v>291500</v>
      </c>
      <c r="V73" s="86">
        <f t="shared" si="154"/>
        <v>236300</v>
      </c>
      <c r="W73" s="86">
        <f t="shared" si="154"/>
        <v>218500</v>
      </c>
      <c r="X73" s="86">
        <f t="shared" si="154"/>
        <v>201500</v>
      </c>
      <c r="Y73" s="86">
        <f t="shared" si="154"/>
        <v>165400</v>
      </c>
      <c r="Z73" s="86">
        <f t="shared" si="154"/>
        <v>131400</v>
      </c>
      <c r="AA73" s="86">
        <f t="shared" si="154"/>
        <v>136500</v>
      </c>
      <c r="AB73" s="86">
        <f t="shared" si="154"/>
        <v>136400</v>
      </c>
      <c r="AC73" s="86">
        <f t="shared" si="154"/>
        <v>139200</v>
      </c>
      <c r="AD73" s="86">
        <f t="shared" si="154"/>
        <v>149400</v>
      </c>
      <c r="AE73" s="86">
        <f t="shared" si="154"/>
        <v>154800</v>
      </c>
      <c r="AF73" s="86">
        <f t="shared" si="154"/>
        <v>152200</v>
      </c>
      <c r="AG73" s="86">
        <f t="shared" si="154"/>
        <v>141400</v>
      </c>
      <c r="AH73" s="86">
        <f t="shared" si="154"/>
        <v>129500</v>
      </c>
      <c r="AI73" s="86">
        <f t="shared" si="154"/>
        <v>121800</v>
      </c>
      <c r="AJ73" s="86">
        <f t="shared" si="154"/>
        <v>116600</v>
      </c>
      <c r="AK73" s="86">
        <f t="shared" si="154"/>
        <v>108500</v>
      </c>
      <c r="AL73" s="86">
        <f t="shared" si="154"/>
        <v>101100</v>
      </c>
      <c r="AM73" s="86">
        <f t="shared" si="154"/>
        <v>97500</v>
      </c>
      <c r="AN73" s="86">
        <f t="shared" si="154"/>
        <v>92000</v>
      </c>
      <c r="AO73" s="86">
        <f t="shared" si="154"/>
        <v>88000</v>
      </c>
      <c r="AP73" s="86">
        <f t="shared" si="154"/>
        <v>84900</v>
      </c>
      <c r="AQ73" s="86">
        <f t="shared" si="154"/>
        <v>83300</v>
      </c>
      <c r="AR73" s="86">
        <f t="shared" si="154"/>
        <v>81200</v>
      </c>
      <c r="AS73" s="86">
        <f t="shared" si="154"/>
        <v>78600</v>
      </c>
      <c r="AT73" s="86">
        <f t="shared" ref="AT73:BC73" si="157">SUM(AT67:AT68)</f>
        <v>83000</v>
      </c>
      <c r="AU73" s="86">
        <f t="shared" si="157"/>
        <v>80900</v>
      </c>
      <c r="AV73" s="86">
        <f t="shared" si="157"/>
        <v>76100</v>
      </c>
      <c r="AW73" s="86">
        <f t="shared" si="157"/>
        <v>71000</v>
      </c>
      <c r="AX73" s="86">
        <f t="shared" si="157"/>
        <v>66900</v>
      </c>
      <c r="AY73" s="86">
        <f t="shared" si="157"/>
        <v>67500</v>
      </c>
      <c r="AZ73" s="86">
        <f t="shared" si="157"/>
        <v>68600</v>
      </c>
      <c r="BA73" s="86">
        <f t="shared" si="157"/>
        <v>62400</v>
      </c>
      <c r="BB73" s="86">
        <f t="shared" si="157"/>
        <v>57400</v>
      </c>
      <c r="BC73" s="86">
        <f t="shared" si="157"/>
        <v>54200</v>
      </c>
      <c r="BD73" s="86"/>
      <c r="BE73" s="86"/>
      <c r="BF73" s="86"/>
      <c r="BG73" s="86"/>
      <c r="BH73" s="86"/>
      <c r="BI73" s="86"/>
      <c r="BJ73" s="86"/>
      <c r="BK73" s="86"/>
      <c r="BL73" s="86"/>
      <c r="BM73" s="86"/>
    </row>
    <row r="74" spans="1:92" ht="15.75" customHeight="1">
      <c r="A74" s="199" t="s">
        <v>32</v>
      </c>
      <c r="B74" s="257"/>
      <c r="C74" s="258"/>
      <c r="D74" s="258"/>
      <c r="E74" s="258"/>
      <c r="F74" s="258"/>
      <c r="G74" s="258"/>
      <c r="H74" s="258"/>
      <c r="I74" s="258">
        <f t="shared" ref="I74:AS74" si="158">SUM(I69:I72)</f>
        <v>6113.8431030000002</v>
      </c>
      <c r="J74" s="258">
        <f t="shared" si="158"/>
        <v>6484.6767397500007</v>
      </c>
      <c r="K74" s="258">
        <f t="shared" ref="K74" si="159">SUM(K69:K72)</f>
        <v>6513.0895072800004</v>
      </c>
      <c r="L74" s="86">
        <f t="shared" si="158"/>
        <v>6127.6799300000002</v>
      </c>
      <c r="M74" s="86">
        <f t="shared" si="158"/>
        <v>6973.4930701499998</v>
      </c>
      <c r="N74" s="86">
        <f t="shared" si="158"/>
        <v>6877.5738879999999</v>
      </c>
      <c r="O74" s="86">
        <f t="shared" si="158"/>
        <v>7020.2316670000009</v>
      </c>
      <c r="P74" s="86">
        <f t="shared" ref="P74" si="160">SUM(P69:P72)</f>
        <v>6137.534791</v>
      </c>
      <c r="Q74" s="86">
        <f t="shared" si="158"/>
        <v>7309.6871310000006</v>
      </c>
      <c r="R74" s="86">
        <f t="shared" si="158"/>
        <v>8818.9541300000001</v>
      </c>
      <c r="S74" s="86">
        <f t="shared" si="158"/>
        <v>8871.9682389999998</v>
      </c>
      <c r="T74" s="86">
        <f t="shared" si="158"/>
        <v>9901</v>
      </c>
      <c r="U74" s="86">
        <f t="shared" si="158"/>
        <v>11001</v>
      </c>
      <c r="V74" s="86">
        <f t="shared" si="158"/>
        <v>11200</v>
      </c>
      <c r="W74" s="86">
        <f t="shared" si="158"/>
        <v>10900</v>
      </c>
      <c r="X74" s="86">
        <f t="shared" si="158"/>
        <v>10100</v>
      </c>
      <c r="Y74" s="86">
        <f t="shared" si="158"/>
        <v>11400</v>
      </c>
      <c r="Z74" s="86">
        <f t="shared" si="158"/>
        <v>12700</v>
      </c>
      <c r="AA74" s="86">
        <f t="shared" si="158"/>
        <v>11900</v>
      </c>
      <c r="AB74" s="86">
        <f t="shared" si="158"/>
        <v>11500</v>
      </c>
      <c r="AC74" s="86">
        <f t="shared" si="158"/>
        <v>11300</v>
      </c>
      <c r="AD74" s="86">
        <f t="shared" si="158"/>
        <v>10800</v>
      </c>
      <c r="AE74" s="86">
        <f t="shared" si="158"/>
        <v>10800</v>
      </c>
      <c r="AF74" s="86">
        <f t="shared" si="158"/>
        <v>10800</v>
      </c>
      <c r="AG74" s="86">
        <f t="shared" si="158"/>
        <v>10700</v>
      </c>
      <c r="AH74" s="86">
        <f t="shared" si="158"/>
        <v>10300</v>
      </c>
      <c r="AI74" s="86">
        <f t="shared" si="158"/>
        <v>9700</v>
      </c>
      <c r="AJ74" s="86">
        <f t="shared" si="158"/>
        <v>9000</v>
      </c>
      <c r="AK74" s="86">
        <f t="shared" si="158"/>
        <v>8600</v>
      </c>
      <c r="AL74" s="86">
        <f t="shared" si="158"/>
        <v>8600</v>
      </c>
      <c r="AM74" s="86">
        <f t="shared" si="158"/>
        <v>8200</v>
      </c>
      <c r="AN74" s="86">
        <f t="shared" si="158"/>
        <v>7700</v>
      </c>
      <c r="AO74" s="86">
        <f t="shared" si="158"/>
        <v>7200</v>
      </c>
      <c r="AP74" s="86">
        <f t="shared" si="158"/>
        <v>7000</v>
      </c>
      <c r="AQ74" s="86">
        <f t="shared" si="158"/>
        <v>6700</v>
      </c>
      <c r="AR74" s="86">
        <f t="shared" si="158"/>
        <v>6300</v>
      </c>
      <c r="AS74" s="86">
        <f t="shared" si="158"/>
        <v>6100</v>
      </c>
      <c r="AT74" s="86">
        <f t="shared" ref="AT74:BC74" si="161">SUM(AT69:AT72)</f>
        <v>6100</v>
      </c>
      <c r="AU74" s="86">
        <f t="shared" si="161"/>
        <v>6200</v>
      </c>
      <c r="AV74" s="86">
        <f t="shared" si="161"/>
        <v>6400</v>
      </c>
      <c r="AW74" s="86">
        <f t="shared" si="161"/>
        <v>6300</v>
      </c>
      <c r="AX74" s="86">
        <f t="shared" si="161"/>
        <v>6200</v>
      </c>
      <c r="AY74" s="86">
        <f t="shared" si="161"/>
        <v>6200</v>
      </c>
      <c r="AZ74" s="86">
        <f t="shared" si="161"/>
        <v>6300</v>
      </c>
      <c r="BA74" s="86">
        <f t="shared" si="161"/>
        <v>6300</v>
      </c>
      <c r="BB74" s="86">
        <f t="shared" si="161"/>
        <v>6400</v>
      </c>
      <c r="BC74" s="86">
        <f t="shared" si="161"/>
        <v>6300</v>
      </c>
      <c r="BD74" s="86"/>
      <c r="BE74" s="86"/>
      <c r="BF74" s="86"/>
      <c r="BG74" s="86"/>
      <c r="BH74" s="86"/>
      <c r="BI74" s="86"/>
      <c r="BJ74" s="86"/>
      <c r="BK74" s="86"/>
      <c r="BL74" s="86"/>
      <c r="BM74" s="86"/>
    </row>
    <row r="75" spans="1:92" ht="15.75" customHeight="1">
      <c r="A75" s="199" t="s">
        <v>33</v>
      </c>
      <c r="B75" s="257"/>
      <c r="C75" s="258"/>
      <c r="D75" s="258"/>
      <c r="E75" s="258"/>
      <c r="F75" s="258"/>
      <c r="G75" s="258"/>
      <c r="H75" s="258"/>
      <c r="I75" s="258">
        <f t="shared" ref="I75:BC75" si="162">I73+I74</f>
        <v>176162.84310299999</v>
      </c>
      <c r="J75" s="258">
        <f t="shared" si="162"/>
        <v>110157.15349475</v>
      </c>
      <c r="K75" s="258">
        <f t="shared" ref="K75" si="163">K73+K74</f>
        <v>47605.847314279999</v>
      </c>
      <c r="L75" s="86">
        <f t="shared" si="162"/>
        <v>71176.774652000007</v>
      </c>
      <c r="M75" s="86">
        <f t="shared" si="162"/>
        <v>117286.98838915001</v>
      </c>
      <c r="N75" s="86">
        <f t="shared" si="162"/>
        <v>140379.04115199999</v>
      </c>
      <c r="O75" s="86">
        <f t="shared" si="162"/>
        <v>35407.874437999999</v>
      </c>
      <c r="P75" s="86">
        <f t="shared" ref="P75" si="164">P73+P74</f>
        <v>91848.78084698999</v>
      </c>
      <c r="Q75" s="86">
        <f t="shared" si="162"/>
        <v>720930.96505800006</v>
      </c>
      <c r="R75" s="86">
        <f t="shared" si="162"/>
        <v>623245.42463299993</v>
      </c>
      <c r="S75" s="86">
        <f t="shared" si="162"/>
        <v>420339.40481100004</v>
      </c>
      <c r="T75" s="86">
        <f t="shared" si="162"/>
        <v>383801</v>
      </c>
      <c r="U75" s="86">
        <f t="shared" si="162"/>
        <v>302501</v>
      </c>
      <c r="V75" s="86">
        <f t="shared" si="162"/>
        <v>247500</v>
      </c>
      <c r="W75" s="86">
        <f t="shared" si="162"/>
        <v>229400</v>
      </c>
      <c r="X75" s="86">
        <f t="shared" si="162"/>
        <v>211600</v>
      </c>
      <c r="Y75" s="86">
        <f t="shared" si="162"/>
        <v>176800</v>
      </c>
      <c r="Z75" s="86">
        <f t="shared" si="162"/>
        <v>144100</v>
      </c>
      <c r="AA75" s="86">
        <f t="shared" si="162"/>
        <v>148400</v>
      </c>
      <c r="AB75" s="86">
        <f t="shared" si="162"/>
        <v>147900</v>
      </c>
      <c r="AC75" s="86">
        <f t="shared" si="162"/>
        <v>150500</v>
      </c>
      <c r="AD75" s="86">
        <f t="shared" si="162"/>
        <v>160200</v>
      </c>
      <c r="AE75" s="86">
        <f t="shared" si="162"/>
        <v>165600</v>
      </c>
      <c r="AF75" s="86">
        <f t="shared" si="162"/>
        <v>163000</v>
      </c>
      <c r="AG75" s="86">
        <f t="shared" si="162"/>
        <v>152100</v>
      </c>
      <c r="AH75" s="86">
        <f t="shared" si="162"/>
        <v>139800</v>
      </c>
      <c r="AI75" s="86">
        <f t="shared" si="162"/>
        <v>131500</v>
      </c>
      <c r="AJ75" s="86">
        <f t="shared" si="162"/>
        <v>125600</v>
      </c>
      <c r="AK75" s="86">
        <f t="shared" si="162"/>
        <v>117100</v>
      </c>
      <c r="AL75" s="86">
        <f t="shared" si="162"/>
        <v>109700</v>
      </c>
      <c r="AM75" s="86">
        <f t="shared" si="162"/>
        <v>105700</v>
      </c>
      <c r="AN75" s="86">
        <f t="shared" si="162"/>
        <v>99700</v>
      </c>
      <c r="AO75" s="86">
        <f t="shared" si="162"/>
        <v>95200</v>
      </c>
      <c r="AP75" s="86">
        <f t="shared" si="162"/>
        <v>91900</v>
      </c>
      <c r="AQ75" s="86">
        <f t="shared" si="162"/>
        <v>90000</v>
      </c>
      <c r="AR75" s="86">
        <f t="shared" si="162"/>
        <v>87500</v>
      </c>
      <c r="AS75" s="86">
        <f t="shared" si="162"/>
        <v>84700</v>
      </c>
      <c r="AT75" s="86">
        <f t="shared" si="162"/>
        <v>89100</v>
      </c>
      <c r="AU75" s="86">
        <f t="shared" si="162"/>
        <v>87100</v>
      </c>
      <c r="AV75" s="86">
        <f t="shared" si="162"/>
        <v>82500</v>
      </c>
      <c r="AW75" s="86">
        <f t="shared" si="162"/>
        <v>77300</v>
      </c>
      <c r="AX75" s="86">
        <f t="shared" si="162"/>
        <v>73100</v>
      </c>
      <c r="AY75" s="86">
        <f t="shared" si="162"/>
        <v>73700</v>
      </c>
      <c r="AZ75" s="86">
        <f t="shared" si="162"/>
        <v>74900</v>
      </c>
      <c r="BA75" s="86">
        <f t="shared" si="162"/>
        <v>68700</v>
      </c>
      <c r="BB75" s="86">
        <f t="shared" si="162"/>
        <v>63800</v>
      </c>
      <c r="BC75" s="86">
        <f t="shared" si="162"/>
        <v>60500</v>
      </c>
      <c r="BD75" s="99">
        <f>Formue!BK70</f>
        <v>59140.954792276891</v>
      </c>
      <c r="BE75" s="99">
        <f>Formue!BL70</f>
        <v>57713.397148222328</v>
      </c>
      <c r="BF75" s="99">
        <f>Formue!BM70</f>
        <v>56215.636285701716</v>
      </c>
      <c r="BG75" s="99">
        <f>Formue!BN70</f>
        <v>54645.965068948171</v>
      </c>
      <c r="BH75" s="99">
        <f>Formue!BO70</f>
        <v>53002.661110098299</v>
      </c>
      <c r="BI75" s="99">
        <f>Formue!BP70</f>
        <v>51283.987968660134</v>
      </c>
      <c r="BJ75" s="99">
        <f>Formue!BQ70</f>
        <v>49488.196454416335</v>
      </c>
      <c r="BK75" s="99">
        <f>Formue!BR70</f>
        <v>47613.526039533208</v>
      </c>
      <c r="BL75" s="99">
        <f>Formue!BS70</f>
        <v>45658.206385922276</v>
      </c>
      <c r="BM75" s="99">
        <f>Formue!BT70</f>
        <v>43620.458994194101</v>
      </c>
      <c r="BN75" s="99">
        <f>Formue!BU70</f>
        <v>41498.498980845114</v>
      </c>
      <c r="BO75" s="99">
        <f>Formue!BV70</f>
        <v>39290.536990637716</v>
      </c>
      <c r="BP75" s="99">
        <f>Formue!BW70</f>
        <v>36994.781251463632</v>
      </c>
      <c r="BQ75" s="99">
        <f>Formue!BX70</f>
        <v>34609.439779328255</v>
      </c>
      <c r="BR75" s="99">
        <f>Formue!BY70</f>
        <v>32132.722741452188</v>
      </c>
      <c r="BS75" s="99">
        <f>Formue!BZ70</f>
        <v>29562.844985869469</v>
      </c>
      <c r="BT75" s="99">
        <f>Formue!CA70</f>
        <v>26898.028746288466</v>
      </c>
      <c r="BU75" s="99">
        <f>Formue!CB70</f>
        <v>24136.506531402127</v>
      </c>
      <c r="BV75" s="99">
        <f>Formue!CC70</f>
        <v>21276.524208256673</v>
      </c>
      <c r="BW75" s="99">
        <f>Formue!CD70</f>
        <v>18316.344289740817</v>
      </c>
      <c r="BX75" s="99">
        <f>Formue!CE70</f>
        <v>15254.249436728236</v>
      </c>
      <c r="BY75" s="99">
        <f>Formue!CF70</f>
        <v>12088.546185888641</v>
      </c>
      <c r="BZ75" s="99">
        <f>Formue!CG70</f>
        <v>8817.5689147032845</v>
      </c>
      <c r="CA75" s="99">
        <f>Formue!CH70</f>
        <v>5439.6840557454334</v>
      </c>
      <c r="CB75" s="99">
        <f>Formue!CI70</f>
        <v>1953.2945728497846</v>
      </c>
      <c r="CC75" s="99">
        <f>Formue!CJ70</f>
        <v>-1643.1552876267008</v>
      </c>
      <c r="CD75" s="99">
        <f>Formue!CK70</f>
        <v>-5351.1749566451572</v>
      </c>
      <c r="CE75" s="99">
        <f>Formue!CL70</f>
        <v>-9172.2221989801219</v>
      </c>
      <c r="CF75" s="99">
        <f>Formue!CM70</f>
        <v>-13107.697451268921</v>
      </c>
      <c r="CG75" s="99">
        <f>Formue!CN70</f>
        <v>-17158.937825819812</v>
      </c>
      <c r="CH75" s="99"/>
      <c r="CI75" s="99"/>
      <c r="CJ75" s="99"/>
      <c r="CK75" s="99"/>
      <c r="CL75" s="99"/>
      <c r="CM75" s="99"/>
      <c r="CN75" s="99"/>
    </row>
    <row r="76" spans="1:92" ht="15.75" customHeight="1">
      <c r="A76" s="199"/>
      <c r="B76" s="200"/>
      <c r="C76" s="80"/>
      <c r="D76" s="80"/>
      <c r="E76" s="80"/>
      <c r="F76" s="80"/>
      <c r="G76" s="80"/>
      <c r="H76" s="80"/>
      <c r="I76" s="80"/>
      <c r="J76" s="80"/>
      <c r="K76" s="86"/>
      <c r="L76" s="86"/>
      <c r="M76" s="80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</row>
    <row r="77" spans="1:92" ht="15.75" customHeight="1">
      <c r="A77" s="199"/>
      <c r="B77" s="200"/>
      <c r="C77" s="80"/>
      <c r="D77" s="80"/>
      <c r="E77" s="80"/>
      <c r="F77" s="80"/>
      <c r="G77" s="182"/>
      <c r="H77" s="80"/>
      <c r="I77" s="80"/>
      <c r="J77" s="80"/>
      <c r="K77" s="86"/>
      <c r="L77" s="86"/>
      <c r="M77" s="80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</row>
    <row r="78" spans="1:92" ht="15.75" customHeight="1">
      <c r="A78" s="202" t="s">
        <v>167</v>
      </c>
      <c r="B78" s="200"/>
      <c r="C78" s="80"/>
      <c r="D78" s="80"/>
      <c r="E78" s="80"/>
      <c r="F78" s="80"/>
      <c r="G78" s="182"/>
      <c r="H78" s="80"/>
      <c r="I78" s="80"/>
      <c r="J78" s="80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</row>
    <row r="79" spans="1:92" ht="15.75" customHeight="1">
      <c r="A79" s="199" t="s">
        <v>34</v>
      </c>
      <c r="B79" s="257"/>
      <c r="C79" s="258"/>
      <c r="D79" s="258"/>
      <c r="E79" s="258"/>
      <c r="F79" s="258"/>
      <c r="G79" s="258"/>
      <c r="H79" s="258"/>
      <c r="I79" s="258">
        <f>Petoro!T50</f>
        <v>185514</v>
      </c>
      <c r="J79" s="258">
        <f>Petoro!U50</f>
        <v>158512.79766216001</v>
      </c>
      <c r="K79" s="86">
        <f>Petoro!V50</f>
        <v>127908.6035217</v>
      </c>
      <c r="L79" s="86">
        <f>Petoro!W50</f>
        <v>145043.04111016</v>
      </c>
      <c r="M79" s="86">
        <f>Petoro!X50</f>
        <v>175454.20522308999</v>
      </c>
      <c r="N79" s="86">
        <f>Petoro!Y50</f>
        <v>155059.30379999999</v>
      </c>
      <c r="O79" s="86">
        <f>Petoro!Z50</f>
        <v>113793.97199999999</v>
      </c>
      <c r="P79" s="86">
        <f>Petoro!AA50</f>
        <v>249674.30031106999</v>
      </c>
      <c r="Q79" s="86">
        <f>Petoro!AB50</f>
        <v>634025.31200000003</v>
      </c>
      <c r="R79" s="86">
        <f>Petoro!AC50</f>
        <v>363492.33100000001</v>
      </c>
      <c r="S79" s="86">
        <f>Petoro!AD50</f>
        <v>313874.00199999998</v>
      </c>
      <c r="T79" s="86">
        <f>Petoro!AE50</f>
        <v>318700</v>
      </c>
      <c r="U79" s="86">
        <f>Petoro!AF50</f>
        <v>274200</v>
      </c>
      <c r="V79" s="86">
        <f>Petoro!AG50</f>
        <v>229300</v>
      </c>
      <c r="W79" s="86">
        <f>Petoro!AH50</f>
        <v>219800</v>
      </c>
      <c r="X79" s="86">
        <f>Petoro!AI50</f>
        <v>201100</v>
      </c>
      <c r="Y79" s="86">
        <f>Petoro!AJ50</f>
        <v>171905.25007065799</v>
      </c>
      <c r="Z79" s="86">
        <f>Petoro!AK50</f>
        <v>163056.490727525</v>
      </c>
      <c r="AA79" s="86">
        <f>Petoro!AL50</f>
        <v>158113.64487799199</v>
      </c>
      <c r="AB79" s="86">
        <f>Petoro!AM50</f>
        <v>154788.13639629199</v>
      </c>
      <c r="AC79" s="86">
        <f>Petoro!AN50</f>
        <v>153597.50381018501</v>
      </c>
      <c r="AD79" s="86">
        <f>Petoro!AO50</f>
        <v>148878.38927844801</v>
      </c>
      <c r="AE79" s="86">
        <f>Petoro!AP50</f>
        <v>143381.38962081901</v>
      </c>
      <c r="AF79" s="86">
        <f>Petoro!AQ50</f>
        <v>139496.814859217</v>
      </c>
      <c r="AG79" s="86">
        <f>Petoro!AR50</f>
        <v>132433.220489598</v>
      </c>
      <c r="AH79" s="86">
        <f>Petoro!AS50</f>
        <v>124366.15268948799</v>
      </c>
      <c r="AI79" s="86">
        <f>Petoro!AT50</f>
        <v>118857.906613835</v>
      </c>
      <c r="AJ79" s="86">
        <f>Petoro!AU50</f>
        <v>110263.40665705</v>
      </c>
      <c r="AK79" s="86">
        <f>Petoro!AV50</f>
        <v>110983.308632883</v>
      </c>
      <c r="AL79" s="86">
        <f>Petoro!AW50</f>
        <v>107681.55483588501</v>
      </c>
      <c r="AM79" s="86">
        <f>Petoro!AX50</f>
        <v>104287.00319829999</v>
      </c>
      <c r="AN79" s="86">
        <f>Petoro!AY50</f>
        <v>100931.619478685</v>
      </c>
      <c r="AO79" s="86">
        <f>Petoro!AZ50</f>
        <v>97694.896501908093</v>
      </c>
      <c r="AP79" s="86">
        <f>Petoro!BA50</f>
        <v>94342.060549847098</v>
      </c>
      <c r="AQ79" s="86">
        <f>Petoro!BB50</f>
        <v>91099.772357952097</v>
      </c>
      <c r="AR79" s="86">
        <f>Petoro!BC50</f>
        <v>86722.044441611695</v>
      </c>
      <c r="AS79" s="86">
        <f>Petoro!BD50</f>
        <v>79477.729937137105</v>
      </c>
      <c r="AT79" s="86">
        <f>Petoro!BE50</f>
        <v>76662.145305462007</v>
      </c>
      <c r="AU79" s="86">
        <f>Petoro!BF50</f>
        <v>73824.363498456005</v>
      </c>
      <c r="AV79" s="86">
        <f>Petoro!BG50</f>
        <v>70277.5396014367</v>
      </c>
      <c r="AW79" s="86">
        <f>Petoro!BH50</f>
        <v>67712.022161670495</v>
      </c>
      <c r="AX79" s="86">
        <f>Petoro!BI50</f>
        <v>66157.812538461396</v>
      </c>
      <c r="AY79" s="86">
        <f>Petoro!BJ50</f>
        <v>62891.002529808298</v>
      </c>
      <c r="AZ79" s="86">
        <f>Petoro!BK50</f>
        <v>62182.571533725197</v>
      </c>
      <c r="BA79" s="86">
        <f>Petoro!BL50</f>
        <v>61313.045060715798</v>
      </c>
      <c r="BB79" s="86">
        <f>Petoro!BM50</f>
        <v>60387.929835043498</v>
      </c>
      <c r="BC79" s="86">
        <f>Petoro!BN50</f>
        <v>60253.732043391698</v>
      </c>
      <c r="BD79" s="86"/>
      <c r="BE79" s="86"/>
      <c r="BF79" s="86"/>
      <c r="BG79" s="86"/>
      <c r="BH79" s="86"/>
      <c r="BI79" s="86"/>
      <c r="BJ79" s="86"/>
      <c r="BK79" s="86"/>
      <c r="BL79" s="86"/>
      <c r="BM79" s="86"/>
    </row>
    <row r="80" spans="1:92" ht="15.75" customHeight="1">
      <c r="A80" s="199" t="s">
        <v>35</v>
      </c>
      <c r="B80" s="257"/>
      <c r="C80" s="258"/>
      <c r="D80" s="258"/>
      <c r="E80" s="258"/>
      <c r="F80" s="258"/>
      <c r="G80" s="258"/>
      <c r="H80" s="258"/>
      <c r="I80" s="258">
        <f>Petoro!T51</f>
        <v>72655.084898639994</v>
      </c>
      <c r="J80" s="258">
        <f>Petoro!U51</f>
        <v>65796.319825259998</v>
      </c>
      <c r="K80" s="86">
        <f>Petoro!V51</f>
        <v>61453.29539213</v>
      </c>
      <c r="L80" s="86">
        <f>Petoro!W51</f>
        <v>56771.007258100006</v>
      </c>
      <c r="M80" s="86">
        <f>Petoro!X51</f>
        <v>56766.51525869</v>
      </c>
      <c r="N80" s="86">
        <f>Petoro!Y51</f>
        <v>58571.66062576</v>
      </c>
      <c r="O80" s="86">
        <f>Petoro!Z51</f>
        <v>57407.276038170006</v>
      </c>
      <c r="P80" s="86">
        <f>Petoro!AA51</f>
        <v>64504.231860610002</v>
      </c>
      <c r="Q80" s="86">
        <f>Petoro!AB51</f>
        <v>104991.48699999999</v>
      </c>
      <c r="R80" s="86">
        <f>Petoro!AC51</f>
        <v>86981.882000000012</v>
      </c>
      <c r="S80" s="86">
        <f>Petoro!AD51</f>
        <v>94632.014999999999</v>
      </c>
      <c r="T80" s="86">
        <f>Petoro!AE51</f>
        <v>76653.559000000008</v>
      </c>
      <c r="U80" s="86">
        <f>Petoro!AF51</f>
        <v>81200</v>
      </c>
      <c r="V80" s="86">
        <f>Petoro!AG51</f>
        <v>82900</v>
      </c>
      <c r="W80" s="86">
        <f>Petoro!AH51</f>
        <v>83000</v>
      </c>
      <c r="X80" s="86">
        <f>Petoro!AI51</f>
        <v>86500</v>
      </c>
      <c r="Y80" s="86">
        <f>Petoro!AJ51</f>
        <v>82701.57589607728</v>
      </c>
      <c r="Z80" s="86">
        <f>Petoro!AK51</f>
        <v>80286.868208071159</v>
      </c>
      <c r="AA80" s="86">
        <f>Petoro!AL51</f>
        <v>80883.443334233089</v>
      </c>
      <c r="AB80" s="86">
        <f>Petoro!AM51</f>
        <v>78430.595249684746</v>
      </c>
      <c r="AC80" s="86">
        <f>Petoro!AN51</f>
        <v>77767.895775151439</v>
      </c>
      <c r="AD80" s="86">
        <f>Petoro!AO51</f>
        <v>73015.703718082004</v>
      </c>
      <c r="AE80" s="86">
        <f>Petoro!AP51</f>
        <v>72112.942735119897</v>
      </c>
      <c r="AF80" s="86">
        <f>Petoro!AQ51</f>
        <v>71150.687154509811</v>
      </c>
      <c r="AG80" s="86">
        <f>Petoro!AR51</f>
        <v>73087.373267234885</v>
      </c>
      <c r="AH80" s="86">
        <f>Petoro!AS51</f>
        <v>73801.452202684566</v>
      </c>
      <c r="AI80" s="86">
        <f>Petoro!AT51</f>
        <v>73688.070975940893</v>
      </c>
      <c r="AJ80" s="86">
        <f>Petoro!AU51</f>
        <v>71928.6506752313</v>
      </c>
      <c r="AK80" s="86">
        <f>Petoro!AV51</f>
        <v>69959.917843956457</v>
      </c>
      <c r="AL80" s="86">
        <f>Petoro!AW51</f>
        <v>73174.918078967967</v>
      </c>
      <c r="AM80" s="86">
        <f>Petoro!AX51</f>
        <v>69248.152736660646</v>
      </c>
      <c r="AN80" s="86">
        <f>Petoro!AY51</f>
        <v>69805.402604948671</v>
      </c>
      <c r="AO80" s="86">
        <f>Petoro!AZ51</f>
        <v>67552.055538922621</v>
      </c>
      <c r="AP80" s="86">
        <f>Petoro!BA51</f>
        <v>68024.392167125523</v>
      </c>
      <c r="AQ80" s="86">
        <f>Petoro!BB51</f>
        <v>65842.430124227074</v>
      </c>
      <c r="AR80" s="86">
        <f>Petoro!BC51</f>
        <v>63862.129963419779</v>
      </c>
      <c r="AS80" s="86">
        <f>Petoro!BD51</f>
        <v>60809.413469403778</v>
      </c>
      <c r="AT80" s="86">
        <f>Petoro!BE51</f>
        <v>60606.784547585863</v>
      </c>
      <c r="AU80" s="86">
        <f>Petoro!BF51</f>
        <v>58902.752635423341</v>
      </c>
      <c r="AV80" s="86">
        <f>Petoro!BG51</f>
        <v>58979.066774073959</v>
      </c>
      <c r="AW80" s="86">
        <f>Petoro!BH51</f>
        <v>58620.287411251178</v>
      </c>
      <c r="AX80" s="86">
        <f>Petoro!BI51</f>
        <v>57432.456919557735</v>
      </c>
      <c r="AY80" s="86">
        <f>Petoro!BJ51</f>
        <v>53583.383501140081</v>
      </c>
      <c r="AZ80" s="86">
        <f>Petoro!BK51</f>
        <v>53758.78074384301</v>
      </c>
      <c r="BA80" s="86">
        <f>Petoro!BL51</f>
        <v>49651.139354067607</v>
      </c>
      <c r="BB80" s="86">
        <f>Petoro!BM51</f>
        <v>49448.34240869934</v>
      </c>
      <c r="BC80" s="86">
        <f>Petoro!BN51</f>
        <v>49302.823672740087</v>
      </c>
      <c r="BD80" s="86"/>
      <c r="BE80" s="86"/>
      <c r="BF80" s="86"/>
      <c r="BG80" s="86"/>
      <c r="BH80" s="86"/>
      <c r="BI80" s="86"/>
      <c r="BJ80" s="86"/>
      <c r="BK80" s="86"/>
      <c r="BL80" s="86"/>
      <c r="BM80" s="86"/>
    </row>
    <row r="81" spans="1:92" ht="15.75" customHeight="1">
      <c r="A81" s="199" t="s">
        <v>36</v>
      </c>
      <c r="B81" s="257"/>
      <c r="C81" s="258"/>
      <c r="D81" s="258"/>
      <c r="E81" s="258"/>
      <c r="F81" s="258"/>
      <c r="G81" s="258"/>
      <c r="H81" s="258"/>
      <c r="I81" s="258">
        <f>Petoro!T52</f>
        <v>112858.91510136001</v>
      </c>
      <c r="J81" s="258">
        <f>Petoro!U52</f>
        <v>92716.477836900012</v>
      </c>
      <c r="K81" s="86">
        <f>Petoro!V52</f>
        <v>66455.30812957001</v>
      </c>
      <c r="L81" s="86">
        <f>Petoro!W52</f>
        <v>88272.033852060005</v>
      </c>
      <c r="M81" s="86">
        <f>Petoro!X52</f>
        <v>118687.68996439999</v>
      </c>
      <c r="N81" s="86">
        <f>Petoro!Y52</f>
        <v>96487.643174239987</v>
      </c>
      <c r="O81" s="86">
        <f>Petoro!Z52</f>
        <v>56386.695961829988</v>
      </c>
      <c r="P81" s="86">
        <f>Petoro!AA52</f>
        <v>185170.06845045998</v>
      </c>
      <c r="Q81" s="86">
        <f>Petoro!AB52</f>
        <v>529033.82500000007</v>
      </c>
      <c r="R81" s="86">
        <f>Petoro!AC52</f>
        <v>276510.44900000002</v>
      </c>
      <c r="S81" s="86">
        <f>Petoro!AD52</f>
        <v>219241.98699999996</v>
      </c>
      <c r="T81" s="86">
        <f>Petoro!AE52</f>
        <v>242046.44099999999</v>
      </c>
      <c r="U81" s="86">
        <f>Petoro!AF52</f>
        <v>193000</v>
      </c>
      <c r="V81" s="86">
        <f>Petoro!AG52</f>
        <v>146400</v>
      </c>
      <c r="W81" s="86">
        <f>Petoro!AH52</f>
        <v>136800</v>
      </c>
      <c r="X81" s="86">
        <f>Petoro!AI52</f>
        <v>114600</v>
      </c>
      <c r="Y81" s="86">
        <f>Petoro!AJ52</f>
        <v>89203.674174580708</v>
      </c>
      <c r="Z81" s="86">
        <f>Petoro!AK52</f>
        <v>82769.622519453842</v>
      </c>
      <c r="AA81" s="86">
        <f>Petoro!AL52</f>
        <v>77230.2015437589</v>
      </c>
      <c r="AB81" s="86">
        <f>Petoro!AM52</f>
        <v>76357.54114660724</v>
      </c>
      <c r="AC81" s="86">
        <f>Petoro!AN52</f>
        <v>75829.608035033569</v>
      </c>
      <c r="AD81" s="86">
        <f>Petoro!AO52</f>
        <v>75862.685560366008</v>
      </c>
      <c r="AE81" s="86">
        <f>Petoro!AP52</f>
        <v>71268.446885699115</v>
      </c>
      <c r="AF81" s="86">
        <f>Petoro!AQ52</f>
        <v>68346.127704707193</v>
      </c>
      <c r="AG81" s="86">
        <f>Petoro!AR52</f>
        <v>59345.847222363111</v>
      </c>
      <c r="AH81" s="86">
        <f>Petoro!AS52</f>
        <v>50564.700486803427</v>
      </c>
      <c r="AI81" s="86">
        <f>Petoro!AT52</f>
        <v>45169.83563789411</v>
      </c>
      <c r="AJ81" s="86">
        <f>Petoro!AU52</f>
        <v>38334.7559818187</v>
      </c>
      <c r="AK81" s="86">
        <f>Petoro!AV52</f>
        <v>41023.390788926539</v>
      </c>
      <c r="AL81" s="86">
        <f>Petoro!AW52</f>
        <v>34506.63675691704</v>
      </c>
      <c r="AM81" s="86">
        <f>Petoro!AX52</f>
        <v>35038.850461639347</v>
      </c>
      <c r="AN81" s="86">
        <f>Petoro!AY52</f>
        <v>31126.216873736324</v>
      </c>
      <c r="AO81" s="86">
        <f>Petoro!AZ52</f>
        <v>30142.840962985472</v>
      </c>
      <c r="AP81" s="86">
        <f>Petoro!BA52</f>
        <v>26317.668382721575</v>
      </c>
      <c r="AQ81" s="86">
        <f>Petoro!BB52</f>
        <v>25257.342233725023</v>
      </c>
      <c r="AR81" s="86">
        <f>Petoro!BC52</f>
        <v>22859.914478191917</v>
      </c>
      <c r="AS81" s="86">
        <f>Petoro!BD52</f>
        <v>18668.316467733326</v>
      </c>
      <c r="AT81" s="86">
        <f>Petoro!BE52</f>
        <v>16055.360757876144</v>
      </c>
      <c r="AU81" s="86">
        <f>Petoro!BF52</f>
        <v>14921.610863032663</v>
      </c>
      <c r="AV81" s="86">
        <f>Petoro!BG52</f>
        <v>11298.472827362741</v>
      </c>
      <c r="AW81" s="86">
        <f>Petoro!BH52</f>
        <v>9091.7347504193167</v>
      </c>
      <c r="AX81" s="86">
        <f>Petoro!BI52</f>
        <v>8725.3556189036608</v>
      </c>
      <c r="AY81" s="86">
        <f>Petoro!BJ52</f>
        <v>9307.6190286682177</v>
      </c>
      <c r="AZ81" s="86">
        <f>Petoro!BK52</f>
        <v>8423.7907898821868</v>
      </c>
      <c r="BA81" s="86">
        <f>Petoro!BL52</f>
        <v>11661.905706648191</v>
      </c>
      <c r="BB81" s="86">
        <f>Petoro!BM52</f>
        <v>10939.587426344158</v>
      </c>
      <c r="BC81" s="86">
        <f>Petoro!BN52</f>
        <v>10950.90837065161</v>
      </c>
      <c r="BD81" s="99">
        <f>Formue!BK71</f>
        <v>10704.912014596255</v>
      </c>
      <c r="BE81" s="99">
        <f>Formue!BL71</f>
        <v>10446.514445110886</v>
      </c>
      <c r="BF81" s="99">
        <f>Formue!BM71</f>
        <v>10175.409619216483</v>
      </c>
      <c r="BG81" s="99">
        <f>Formue!BN71</f>
        <v>9891.2885338161996</v>
      </c>
      <c r="BH81" s="99">
        <f>Formue!BO71</f>
        <v>9593.8394250807614</v>
      </c>
      <c r="BI81" s="99">
        <f>Formue!BP71</f>
        <v>9282.747985560276</v>
      </c>
      <c r="BJ81" s="99">
        <f>Formue!BQ71</f>
        <v>8957.6976000184986</v>
      </c>
      <c r="BK81" s="99">
        <f>Formue!BR71</f>
        <v>8618.3696010340918</v>
      </c>
      <c r="BL81" s="99">
        <f>Formue!BS71</f>
        <v>8264.4435454633895</v>
      </c>
      <c r="BM81" s="99">
        <f>Formue!BT71</f>
        <v>7895.5975129121571</v>
      </c>
      <c r="BN81" s="99">
        <f>Formue!BU71</f>
        <v>7511.5084274184146</v>
      </c>
      <c r="BO81" s="99">
        <f>Formue!BV71</f>
        <v>7111.8524036061362</v>
      </c>
      <c r="BP81" s="99">
        <f>Formue!BW71</f>
        <v>6696.3051186293942</v>
      </c>
      <c r="BQ81" s="99">
        <f>Formue!BX71</f>
        <v>6264.5422112893984</v>
      </c>
      <c r="BR81" s="99">
        <f>Formue!BY71</f>
        <v>5816.2397097718367</v>
      </c>
      <c r="BS81" s="99">
        <f>Formue!BZ71</f>
        <v>5351.0744895212229</v>
      </c>
      <c r="BT81" s="99">
        <f>Formue!CA71</f>
        <v>4868.7247628389759</v>
      </c>
      <c r="BU81" s="99">
        <f>Formue!CB71</f>
        <v>4368.8706018680805</v>
      </c>
      <c r="BV81" s="99">
        <f>Formue!CC71</f>
        <v>3851.1944967036311</v>
      </c>
      <c r="BW81" s="99">
        <f>Formue!CD71</f>
        <v>3315.3819504505718</v>
      </c>
      <c r="BX81" s="99">
        <f>Formue!CE71</f>
        <v>2761.1221131351222</v>
      </c>
      <c r="BY81" s="99">
        <f>Formue!CF71</f>
        <v>2188.1084564637445</v>
      </c>
      <c r="BZ81" s="99">
        <f>Formue!CG71</f>
        <v>1596.0394915177133</v>
      </c>
      <c r="CA81" s="99">
        <f>Formue!CH71</f>
        <v>984.61953156632694</v>
      </c>
      <c r="CB81" s="99">
        <f>Formue!CI71</f>
        <v>353.55950228378629</v>
      </c>
      <c r="CC81" s="99">
        <f>Formue!CJ71</f>
        <v>-297.42219824052387</v>
      </c>
      <c r="CD81" s="99">
        <f>Formue!CK71</f>
        <v>-968.59878719911956</v>
      </c>
      <c r="CE81" s="99">
        <f>Formue!CL71</f>
        <v>-1660.2341298559993</v>
      </c>
      <c r="CF81" s="99">
        <f>Formue!CM71</f>
        <v>-2372.5817146953659</v>
      </c>
      <c r="CG81" s="99">
        <f>Formue!CN71</f>
        <v>-3105.8835680704256</v>
      </c>
      <c r="CH81" s="99"/>
      <c r="CI81" s="99"/>
      <c r="CJ81" s="99"/>
      <c r="CK81" s="99"/>
      <c r="CL81" s="99"/>
      <c r="CM81" s="99"/>
      <c r="CN81" s="99"/>
    </row>
    <row r="82" spans="1:92" ht="15.75" customHeight="1">
      <c r="A82" s="203"/>
      <c r="B82" s="200"/>
      <c r="C82" s="182"/>
      <c r="D82" s="80"/>
      <c r="E82" s="80"/>
      <c r="F82" s="80"/>
      <c r="G82" s="80"/>
      <c r="H82" s="80"/>
      <c r="I82" s="80"/>
      <c r="J82" s="80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</row>
    <row r="83" spans="1:92" ht="15.75" customHeight="1">
      <c r="A83" s="199"/>
      <c r="B83" s="200"/>
      <c r="C83" s="80"/>
      <c r="D83" s="80"/>
      <c r="E83" s="80"/>
      <c r="F83" s="80"/>
      <c r="G83" s="80"/>
      <c r="H83" s="80"/>
      <c r="I83" s="80"/>
      <c r="J83" s="80"/>
      <c r="K83" s="86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</row>
    <row r="84" spans="1:92" ht="15.75" customHeight="1">
      <c r="A84" s="202" t="s">
        <v>168</v>
      </c>
      <c r="B84" s="200"/>
      <c r="C84" s="80"/>
      <c r="D84" s="80"/>
      <c r="E84" s="80"/>
      <c r="F84" s="80"/>
      <c r="G84" s="182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</row>
    <row r="85" spans="1:92" s="679" customFormat="1" ht="15.75" customHeight="1">
      <c r="A85" s="675" t="s">
        <v>645</v>
      </c>
      <c r="B85" s="676">
        <v>14005.699000000001</v>
      </c>
      <c r="C85" s="676">
        <v>16940.157781499998</v>
      </c>
      <c r="D85" s="676">
        <v>15489</v>
      </c>
      <c r="E85" s="676">
        <v>12818</v>
      </c>
      <c r="F85" s="676">
        <v>13352.46</v>
      </c>
      <c r="G85" s="676">
        <v>13886.558134000001</v>
      </c>
      <c r="H85" s="676">
        <v>14420.656523</v>
      </c>
      <c r="I85" s="676">
        <v>22646</v>
      </c>
      <c r="J85" s="676">
        <v>15382</v>
      </c>
      <c r="K85" s="676">
        <v>10717.497974</v>
      </c>
      <c r="L85" s="676">
        <v>8397.82</v>
      </c>
      <c r="M85" s="676">
        <v>14984.124</v>
      </c>
      <c r="N85" s="676">
        <v>20056.967203</v>
      </c>
      <c r="O85" s="676">
        <v>15029.919</v>
      </c>
      <c r="P85" s="676">
        <v>10493.748337999999</v>
      </c>
      <c r="Q85" s="676">
        <v>35258.259493999998</v>
      </c>
      <c r="R85" s="676">
        <v>76600</v>
      </c>
      <c r="S85" s="677">
        <f>R85*(KVARTS!AB5/KVARTS!AA5)</f>
        <v>69834.06940063092</v>
      </c>
      <c r="T85" s="677">
        <f>S85*(KVARTS!AC5/KVARTS!AB5)</f>
        <v>68948.054679284964</v>
      </c>
      <c r="U85" s="677">
        <f>T85*(KVARTS!AD5/KVARTS!AC5)</f>
        <v>58316.975105267928</v>
      </c>
      <c r="V85" s="677">
        <f>U85*(KVARTS!AE5/KVARTS!AD5)</f>
        <v>54328.430442381701</v>
      </c>
      <c r="W85" s="677">
        <f>V85*(KVARTS!AF5/KVARTS!AE5)</f>
        <v>54285.663375646705</v>
      </c>
      <c r="X85" s="677">
        <f>W85*(KVARTS!AG5/KVARTS!AF5)</f>
        <v>54590.463581424832</v>
      </c>
      <c r="Y85" s="677">
        <f>X85*(KVARTS!AH5/KVARTS!AG5)</f>
        <v>54840.956400872798</v>
      </c>
      <c r="Z85" s="677">
        <f>Y85*(KVARTS!AI5/KVARTS!AH5)</f>
        <v>54876.935044316539</v>
      </c>
      <c r="AA85" s="677">
        <f>Z85*(KVARTS!AJ5/KVARTS!AI5)</f>
        <v>57485.397475044265</v>
      </c>
      <c r="AB85" s="677">
        <f>AA85*(KVARTS!AK5/KVARTS!AJ5)</f>
        <v>60176.247628983401</v>
      </c>
      <c r="AC85" s="677">
        <f>AB85*(KVARTS!AL5/KVARTS!AK5)</f>
        <v>62951.73763009008</v>
      </c>
      <c r="AD85" s="677">
        <f>AC85*(KVARTS!AM5/KVARTS!AL5)</f>
        <v>65814.1767321894</v>
      </c>
      <c r="AE85" s="677">
        <f>AD85*(KVARTS!AN5/KVARTS!AM5)</f>
        <v>68766.062261726591</v>
      </c>
      <c r="AF85" s="677">
        <f>AE85*(KVARTS!AO5/KVARTS!AN5)</f>
        <v>70141.383506961123</v>
      </c>
      <c r="AG85" s="677">
        <f>AF85*(KVARTS!AP5/KVARTS!AO5)</f>
        <v>71544.21117710034</v>
      </c>
      <c r="AH85" s="677">
        <f>AG85*(KVARTS!AQ5/KVARTS!AP5)</f>
        <v>72975.095400642342</v>
      </c>
      <c r="AI85" s="677">
        <f>AH85*(KVARTS!AR5/KVARTS!AQ5)</f>
        <v>74434.597308655197</v>
      </c>
      <c r="AJ85" s="677">
        <f>AI85*(KVARTS!AS5/KVARTS!AR5)</f>
        <v>75923.289254828283</v>
      </c>
      <c r="AK85" s="677">
        <f>AJ85*(KVARTS!AT5/KVARTS!AS5)</f>
        <v>77441.755039924858</v>
      </c>
      <c r="AL85" s="677">
        <f>AK85*(KVARTS!AU5/KVARTS!AT5)</f>
        <v>78990.590140723361</v>
      </c>
      <c r="AM85" s="677">
        <f>AL85*(KVARTS!AV5/KVARTS!AU5)</f>
        <v>80570.401943537829</v>
      </c>
      <c r="AN85" s="677">
        <f>AM85*(KVARTS!AW5/KVARTS!AV5)</f>
        <v>82181.80998240858</v>
      </c>
      <c r="AO85" s="677">
        <f>AN85*(KVARTS!AX5/KVARTS!AW5)</f>
        <v>83825.446182056738</v>
      </c>
      <c r="AP85" s="677">
        <f>AO85*(KVARTS!AY5/KVARTS!AX5)</f>
        <v>85501.955105697896</v>
      </c>
      <c r="AQ85" s="677">
        <f>AP85*(KVARTS!AZ5/KVARTS!AY5)</f>
        <v>87211.994207811862</v>
      </c>
      <c r="AR85" s="677">
        <f>AQ85*(KVARTS!BA5/KVARTS!AZ5)</f>
        <v>88956.234091968086</v>
      </c>
      <c r="AS85" s="677">
        <f>AR85*(KVARTS!BB5/KVARTS!BA5)</f>
        <v>90735.358773807471</v>
      </c>
      <c r="AT85" s="677">
        <f>AS85*(KVARTS!BC5/KVARTS!BB5)</f>
        <v>92550.065949283628</v>
      </c>
      <c r="AU85" s="677">
        <f>AT85*(KVARTS!BD5/KVARTS!BC5)</f>
        <v>94401.067268269282</v>
      </c>
      <c r="AV85" s="677">
        <f>AU85*(KVARTS!BE5/KVARTS!BD5)</f>
        <v>96289.088613634667</v>
      </c>
      <c r="AW85" s="677">
        <f>AV85*(KVARTS!BF5/KVARTS!BE5)</f>
        <v>98214.870385907358</v>
      </c>
      <c r="AX85" s="677">
        <f>AW85*(KVARTS!BG5/KVARTS!BF5)</f>
        <v>100179.16779362553</v>
      </c>
      <c r="AY85" s="677">
        <f>AX85*(KVARTS!BH5/KVARTS!BG5)</f>
        <v>102182.75114949804</v>
      </c>
      <c r="AZ85" s="677">
        <f>AY85*(KVARTS!BI5/KVARTS!BH5)</f>
        <v>104226.406172488</v>
      </c>
      <c r="BA85" s="677">
        <f>AZ85*(KVARTS!BJ5/KVARTS!BI5)</f>
        <v>106310.93429593777</v>
      </c>
      <c r="BB85" s="677">
        <f>BA85*(KVARTS!BK5/KVARTS!BJ5)</f>
        <v>108437.15298185653</v>
      </c>
      <c r="BC85" s="677">
        <f>BB85*(KVARTS!BL5/KVARTS!BK5)</f>
        <v>110605.89604149366</v>
      </c>
      <c r="BD85" s="678"/>
      <c r="BE85" s="678"/>
      <c r="BF85" s="678"/>
      <c r="BG85" s="678"/>
      <c r="BH85" s="678"/>
      <c r="BI85" s="678"/>
      <c r="BJ85" s="678"/>
      <c r="BK85" s="678"/>
      <c r="BL85" s="678"/>
      <c r="BM85" s="678"/>
    </row>
    <row r="86" spans="1:92" ht="15.75" customHeight="1">
      <c r="A86" s="674" t="s">
        <v>646</v>
      </c>
      <c r="B86" s="251">
        <v>14005.699000000001</v>
      </c>
      <c r="C86" s="251">
        <v>16940.157781499998</v>
      </c>
      <c r="D86" s="251">
        <v>15489</v>
      </c>
      <c r="E86" s="251">
        <v>12818</v>
      </c>
      <c r="F86" s="251">
        <v>13352.46</v>
      </c>
      <c r="G86" s="251">
        <v>13886.558134000001</v>
      </c>
      <c r="H86" s="251">
        <v>14420.656523</v>
      </c>
      <c r="I86" s="251">
        <v>22646</v>
      </c>
      <c r="J86" s="251">
        <v>15382</v>
      </c>
      <c r="K86" s="251">
        <v>10717.497974</v>
      </c>
      <c r="L86" s="251">
        <v>8397.82</v>
      </c>
      <c r="M86" s="251">
        <v>14984.124</v>
      </c>
      <c r="N86" s="251">
        <v>20056.967203</v>
      </c>
      <c r="O86" s="251">
        <v>15029.919</v>
      </c>
      <c r="P86" s="251">
        <v>10493.748337999999</v>
      </c>
      <c r="Q86" s="251">
        <v>35258.259493999998</v>
      </c>
      <c r="R86" s="251">
        <v>78309</v>
      </c>
      <c r="S86" s="251">
        <v>62578</v>
      </c>
      <c r="T86" s="251">
        <v>37768.1</v>
      </c>
      <c r="U86" s="251">
        <v>25804.6</v>
      </c>
      <c r="V86" s="258">
        <f>KVARTS!AF5/0.049</f>
        <v>13754.373600000003</v>
      </c>
      <c r="W86" s="258">
        <f>KVARTS!AG5/0.049</f>
        <v>13831.600912755104</v>
      </c>
      <c r="X86" s="258">
        <f>KVARTS!AH5/0.049</f>
        <v>13895.068347959188</v>
      </c>
      <c r="Y86" s="258">
        <f>KVARTS!AI5/0.049</f>
        <v>13904.184266836739</v>
      </c>
      <c r="Z86" s="258">
        <f>KVARTS!AJ5/0.049</f>
        <v>14565.091117058424</v>
      </c>
      <c r="AA86" s="258">
        <f>KVARTS!AK5/0.049</f>
        <v>15246.872567582244</v>
      </c>
      <c r="AB86" s="258">
        <f>KVARTS!AL5/0.049</f>
        <v>15950.099239680194</v>
      </c>
      <c r="AC86" s="258">
        <f>KVARTS!AM5/0.049</f>
        <v>16675.356229635025</v>
      </c>
      <c r="AD86" s="258">
        <f>KVARTS!AN5/0.049</f>
        <v>17423.276285741453</v>
      </c>
      <c r="AE86" s="258">
        <f>KVARTS!AO5/0.049</f>
        <v>17771.741811456279</v>
      </c>
      <c r="AF86" s="258">
        <f>KVARTS!AP5/0.049</f>
        <v>18127.176647685406</v>
      </c>
      <c r="AG86" s="258">
        <f>KVARTS!AQ5/0.049</f>
        <v>18489.720180639113</v>
      </c>
      <c r="AH86" s="258">
        <f>KVARTS!AR5/0.049</f>
        <v>18859.514584251898</v>
      </c>
      <c r="AI86" s="258">
        <f>KVARTS!AS5/0.049</f>
        <v>19236.704875936935</v>
      </c>
      <c r="AJ86" s="258">
        <f>KVARTS!AT5/0.049</f>
        <v>19621.438973455675</v>
      </c>
      <c r="AK86" s="258">
        <f>KVARTS!AU5/0.049</f>
        <v>20013.867752924791</v>
      </c>
      <c r="AL86" s="258">
        <f>KVARTS!AV5/0.049</f>
        <v>20414.145107983288</v>
      </c>
      <c r="AM86" s="258">
        <f>KVARTS!AW5/0.049</f>
        <v>20822.42801014295</v>
      </c>
      <c r="AN86" s="258">
        <f>KVARTS!AX5/0.049</f>
        <v>21238.876570345808</v>
      </c>
      <c r="AO86" s="258">
        <f>KVARTS!AY5/0.049</f>
        <v>21663.654101752727</v>
      </c>
      <c r="AP86" s="258">
        <f>KVARTS!AZ5/0.049</f>
        <v>22096.927183787782</v>
      </c>
      <c r="AQ86" s="258">
        <f>KVARTS!BA5/0.049</f>
        <v>22538.865727463537</v>
      </c>
      <c r="AR86" s="258">
        <f>KVARTS!BB5/0.049</f>
        <v>22989.643042012813</v>
      </c>
      <c r="AS86" s="258">
        <f>KVARTS!BC5/0.049</f>
        <v>23449.435902853067</v>
      </c>
      <c r="AT86" s="258">
        <f>KVARTS!BD5/0.049</f>
        <v>23918.424620910126</v>
      </c>
      <c r="AU86" s="258">
        <f>KVARTS!BE5/0.049</f>
        <v>24396.793113328327</v>
      </c>
      <c r="AV86" s="258">
        <f>KVARTS!BF5/0.049</f>
        <v>24884.728975594895</v>
      </c>
      <c r="AW86" s="258">
        <f>KVARTS!BG5/0.049</f>
        <v>25382.423555106798</v>
      </c>
      <c r="AX86" s="258">
        <f>KVARTS!BH5/0.049</f>
        <v>25890.072026208934</v>
      </c>
      <c r="AY86" s="258">
        <f>KVARTS!BI5/0.049</f>
        <v>26407.873466733115</v>
      </c>
      <c r="AZ86" s="258">
        <f>KVARTS!BJ5/0.049</f>
        <v>26936.030936067778</v>
      </c>
      <c r="BA86" s="258">
        <f>KVARTS!BK5/0.049</f>
        <v>27474.751554789134</v>
      </c>
      <c r="BB86" s="258">
        <f>KVARTS!BL5/0.049</f>
        <v>28024.246585884917</v>
      </c>
      <c r="BC86" s="258">
        <f>KVARTS!BM5/0.049</f>
        <v>28584.73151760261</v>
      </c>
      <c r="BD86" s="99">
        <f>Formue!BK72</f>
        <v>27942.616767469561</v>
      </c>
      <c r="BE86" s="99">
        <f>Formue!BL72</f>
        <v>27268.131610755492</v>
      </c>
      <c r="BF86" s="99">
        <f>Formue!BM72</f>
        <v>26560.477195338557</v>
      </c>
      <c r="BG86" s="99">
        <f>Formue!BN72</f>
        <v>25818.846942416105</v>
      </c>
      <c r="BH86" s="99">
        <f>Formue!BO72</f>
        <v>25042.427066952681</v>
      </c>
      <c r="BI86" s="99">
        <f>Formue!BP72</f>
        <v>24230.397144398554</v>
      </c>
      <c r="BJ86" s="99">
        <f>Formue!BQ72</f>
        <v>23381.930726278752</v>
      </c>
      <c r="BK86" s="99">
        <f>Formue!BR72</f>
        <v>22496.196007379131</v>
      </c>
      <c r="BL86" s="99">
        <f>Formue!BS72</f>
        <v>21572.356547386404</v>
      </c>
      <c r="BM86" s="99">
        <f>Formue!BT72</f>
        <v>20609.572049977396</v>
      </c>
      <c r="BN86" s="99">
        <f>Formue!BU72</f>
        <v>19606.999202495259</v>
      </c>
      <c r="BO86" s="99">
        <f>Formue!BV72</f>
        <v>18563.792579501041</v>
      </c>
      <c r="BP86" s="99">
        <f>Formue!BW72</f>
        <v>17479.105613645068</v>
      </c>
      <c r="BQ86" s="99">
        <f>Formue!BX72</f>
        <v>16352.091637466678</v>
      </c>
      <c r="BR86" s="99">
        <f>Formue!BY72</f>
        <v>15181.904999900406</v>
      </c>
      <c r="BS86" s="99">
        <f>Formue!BZ72</f>
        <v>13967.702261447659</v>
      </c>
      <c r="BT86" s="99">
        <f>Formue!CA72</f>
        <v>12708.643472155587</v>
      </c>
      <c r="BU86" s="99">
        <f>Formue!CB72</f>
        <v>11403.893536743664</v>
      </c>
      <c r="BV86" s="99">
        <f>Formue!CC72</f>
        <v>10052.623671418009</v>
      </c>
      <c r="BW86" s="99">
        <f>Formue!CD72</f>
        <v>8654.0129571275211</v>
      </c>
      <c r="BX86" s="99">
        <f>Formue!CE72</f>
        <v>7207.2499942383056</v>
      </c>
      <c r="BY86" s="99">
        <f>Formue!CF72</f>
        <v>5711.5346638308411</v>
      </c>
      <c r="BZ86" s="99">
        <f>Formue!CG72</f>
        <v>4166.0800010702815</v>
      </c>
      <c r="CA86" s="99">
        <f>Formue!CH72</f>
        <v>2570.114186348213</v>
      </c>
      <c r="CB86" s="99">
        <f>Formue!CI72</f>
        <v>922.88266016035311</v>
      </c>
      <c r="CC86" s="99">
        <f>Formue!CJ72</f>
        <v>-776.34963204195594</v>
      </c>
      <c r="CD86" s="99">
        <f>Formue!CK72</f>
        <v>-2528.29585850282</v>
      </c>
      <c r="CE86" s="99">
        <f>Formue!CL72</f>
        <v>-4333.6447764899413</v>
      </c>
      <c r="CF86" s="99">
        <f>Formue!CM72</f>
        <v>-6193.0580571650598</v>
      </c>
      <c r="CG86" s="99">
        <f>Formue!CN72</f>
        <v>-8107.1674525338049</v>
      </c>
      <c r="CH86" s="99"/>
      <c r="CI86" s="99"/>
      <c r="CJ86" s="99"/>
      <c r="CK86" s="99"/>
      <c r="CL86" s="99"/>
      <c r="CM86" s="99"/>
      <c r="CN86" s="99"/>
    </row>
    <row r="87" spans="1:92" ht="15.75" customHeight="1">
      <c r="A87" s="199"/>
      <c r="B87" s="20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314" t="s">
        <v>486</v>
      </c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</row>
    <row r="88" spans="1:92" ht="15.75" customHeight="1">
      <c r="A88" s="199"/>
      <c r="B88" s="20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301"/>
      <c r="O88" s="80"/>
      <c r="P88" s="80"/>
      <c r="Q88" s="16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</row>
    <row r="89" spans="1:92" ht="15.75" customHeight="1">
      <c r="A89" s="199" t="s">
        <v>413</v>
      </c>
      <c r="B89" s="20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</row>
    <row r="90" spans="1:92" ht="15.75" customHeight="1">
      <c r="A90" s="199" t="s">
        <v>405</v>
      </c>
      <c r="B90" s="257"/>
      <c r="C90" s="258"/>
      <c r="D90" s="258"/>
      <c r="E90" s="258"/>
      <c r="F90" s="259">
        <f t="shared" ref="F90:AA90" si="165">(F86/E86-1)*100</f>
        <v>4.1696052426275498</v>
      </c>
      <c r="G90" s="259">
        <f t="shared" si="165"/>
        <v>3.9999980078577302</v>
      </c>
      <c r="H90" s="259">
        <f t="shared" si="165"/>
        <v>3.8461538406144413</v>
      </c>
      <c r="I90" s="259">
        <f t="shared" si="165"/>
        <v>57.038620009297894</v>
      </c>
      <c r="J90" s="259">
        <f t="shared" si="165"/>
        <v>-32.076304866201532</v>
      </c>
      <c r="K90" s="259">
        <f t="shared" si="165"/>
        <v>-30.324418320114422</v>
      </c>
      <c r="L90" s="259">
        <f t="shared" si="165"/>
        <v>-21.643838698429406</v>
      </c>
      <c r="M90" s="259">
        <f t="shared" si="165"/>
        <v>78.428735076484131</v>
      </c>
      <c r="N90" s="259">
        <f t="shared" si="165"/>
        <v>33.854786592796479</v>
      </c>
      <c r="O90" s="259">
        <f t="shared" si="165"/>
        <v>-25.063850143046974</v>
      </c>
      <c r="P90" s="259">
        <f t="shared" si="165"/>
        <v>-30.180938846044349</v>
      </c>
      <c r="Q90" s="259">
        <f t="shared" si="165"/>
        <v>235.99299657609149</v>
      </c>
      <c r="R90" s="259">
        <f t="shared" si="165"/>
        <v>122.10115054977706</v>
      </c>
      <c r="S90" s="259">
        <f t="shared" si="165"/>
        <v>-20.088367875978498</v>
      </c>
      <c r="T90" s="259">
        <f t="shared" si="165"/>
        <v>-39.646361341046379</v>
      </c>
      <c r="U90" s="259">
        <f t="shared" si="165"/>
        <v>-31.676202933163179</v>
      </c>
      <c r="V90" s="259">
        <f t="shared" si="165"/>
        <v>-46.69797787991287</v>
      </c>
      <c r="W90" s="259">
        <f t="shared" si="165"/>
        <v>0.56147458983593079</v>
      </c>
      <c r="X90" s="259">
        <f t="shared" si="165"/>
        <v>0.45885820162405722</v>
      </c>
      <c r="Y90" s="259">
        <f t="shared" si="165"/>
        <v>6.5605426682835422E-2</v>
      </c>
      <c r="Z90" s="259">
        <f t="shared" si="165"/>
        <v>4.7532946740215021</v>
      </c>
      <c r="AA90" s="259">
        <f t="shared" si="165"/>
        <v>4.680928152418673</v>
      </c>
      <c r="AB90" s="259">
        <f t="shared" ref="AB90:AS90" si="166">(AB86/AA86-1)*100</f>
        <v>4.6122683126055941</v>
      </c>
      <c r="AC90" s="259">
        <f t="shared" si="166"/>
        <v>4.5470374764224442</v>
      </c>
      <c r="AD90" s="259">
        <f t="shared" si="166"/>
        <v>4.4851818804161114</v>
      </c>
      <c r="AE90" s="259">
        <f t="shared" si="166"/>
        <v>1.9999999999999796</v>
      </c>
      <c r="AF90" s="259">
        <f t="shared" si="166"/>
        <v>2.0000000000000018</v>
      </c>
      <c r="AG90" s="259">
        <f t="shared" si="166"/>
        <v>2.0000000000000018</v>
      </c>
      <c r="AH90" s="259">
        <f t="shared" si="166"/>
        <v>2.000000000000024</v>
      </c>
      <c r="AI90" s="259">
        <f t="shared" si="166"/>
        <v>2.0000000000000018</v>
      </c>
      <c r="AJ90" s="259">
        <f t="shared" si="166"/>
        <v>2.0000000000000018</v>
      </c>
      <c r="AK90" s="259">
        <f t="shared" si="166"/>
        <v>2.0000000000000018</v>
      </c>
      <c r="AL90" s="259">
        <f t="shared" si="166"/>
        <v>2.0000000000000018</v>
      </c>
      <c r="AM90" s="259">
        <f t="shared" si="166"/>
        <v>1.9999999999999796</v>
      </c>
      <c r="AN90" s="259">
        <f t="shared" si="166"/>
        <v>2.0000000000000018</v>
      </c>
      <c r="AO90" s="259">
        <f t="shared" si="166"/>
        <v>2.0000000000000018</v>
      </c>
      <c r="AP90" s="259">
        <f t="shared" si="166"/>
        <v>2.0000000000000018</v>
      </c>
      <c r="AQ90" s="259">
        <f t="shared" si="166"/>
        <v>2.0000000000000018</v>
      </c>
      <c r="AR90" s="259">
        <f t="shared" si="166"/>
        <v>2.000000000000024</v>
      </c>
      <c r="AS90" s="259">
        <f t="shared" si="166"/>
        <v>2.0000000000000018</v>
      </c>
      <c r="AT90" s="259">
        <f t="shared" ref="AT90" si="167">(AT86/AS86-1)*100</f>
        <v>1.9999999999999796</v>
      </c>
      <c r="AU90" s="259">
        <f t="shared" ref="AU90" si="168">(AU86/AT86-1)*100</f>
        <v>2.0000000000000018</v>
      </c>
      <c r="AV90" s="259">
        <f t="shared" ref="AV90" si="169">(AV86/AU86-1)*100</f>
        <v>2.0000000000000018</v>
      </c>
      <c r="AW90" s="259">
        <f t="shared" ref="AW90" si="170">(AW86/AV86-1)*100</f>
        <v>2.000000000000024</v>
      </c>
      <c r="AX90" s="259">
        <f t="shared" ref="AX90" si="171">(AX86/AW86-1)*100</f>
        <v>2.0000000000000018</v>
      </c>
      <c r="AY90" s="259">
        <f t="shared" ref="AY90" si="172">(AY86/AX86-1)*100</f>
        <v>2.0000000000000018</v>
      </c>
      <c r="AZ90" s="259">
        <f t="shared" ref="AZ90" si="173">(AZ86/AY86-1)*100</f>
        <v>2.0000000000000018</v>
      </c>
      <c r="BA90" s="259">
        <f t="shared" ref="BA90" si="174">(BA86/AZ86-1)*100</f>
        <v>2.0000000000000018</v>
      </c>
      <c r="BB90" s="259">
        <f t="shared" ref="BB90" si="175">(BB86/BA86-1)*100</f>
        <v>2.0000000000000018</v>
      </c>
      <c r="BC90" s="259">
        <f t="shared" ref="BC90" si="176">(BC86/BB86-1)*100</f>
        <v>1.9999999999999796</v>
      </c>
      <c r="BD90" s="80"/>
      <c r="BE90" s="80"/>
      <c r="BF90" s="80"/>
      <c r="BG90" s="80"/>
      <c r="BH90" s="80"/>
      <c r="BI90" s="80"/>
      <c r="BJ90" s="80"/>
      <c r="BK90" s="80"/>
      <c r="BL90" s="80"/>
      <c r="BM90" s="80"/>
    </row>
    <row r="91" spans="1:92" ht="15.75" customHeight="1">
      <c r="A91" s="199" t="s">
        <v>406</v>
      </c>
      <c r="B91" s="257"/>
      <c r="C91" s="258"/>
      <c r="D91" s="258"/>
      <c r="E91" s="258"/>
      <c r="F91" s="259">
        <f>(KVARTS!P5/KVARTS!O5-1)*100</f>
        <v>28.247422680412381</v>
      </c>
      <c r="G91" s="259">
        <f>(KVARTS!Q5/KVARTS!P5-1)*100</f>
        <v>4.5016077170418001</v>
      </c>
      <c r="H91" s="259">
        <f>(KVARTS!R5/KVARTS!Q5-1)*100</f>
        <v>-1.692307692307693</v>
      </c>
      <c r="I91" s="259">
        <f>(KVARTS!S5/KVARTS!R5-1)*100</f>
        <v>-1.8779342723004744</v>
      </c>
      <c r="J91" s="259">
        <f>(KVARTS!T5/KVARTS!S5-1)*100</f>
        <v>-31.259968102073366</v>
      </c>
      <c r="K91" s="259">
        <f>(KVARTS!U5/KVARTS!T5-1)*100</f>
        <v>-12.064965197215782</v>
      </c>
      <c r="L91" s="259">
        <f>(KVARTS!V5/KVARTS!U5-1)*100</f>
        <v>19.261213720316618</v>
      </c>
      <c r="M91" s="259">
        <f>(KVARTS!W5/KVARTS!V5-1)*100</f>
        <v>28.982300884955748</v>
      </c>
      <c r="N91" s="259">
        <f>(KVARTS!X5/KVARTS!W5-1)*100</f>
        <v>-3.2590051457975999</v>
      </c>
      <c r="O91" s="259">
        <f>(KVARTS!Y5/KVARTS!X5-1)*100</f>
        <v>-27.836879432624116</v>
      </c>
      <c r="P91" s="259">
        <f>(KVARTS!Z5/KVARTS!Y5-1)*100</f>
        <v>49.631449631449634</v>
      </c>
      <c r="Q91" s="259">
        <f>(KVARTS!AA5/KVARTS!Z5-1)*100</f>
        <v>56.157635467980292</v>
      </c>
      <c r="R91" s="259">
        <f>(KVARTS!AB5/KVARTS!AA5-1)*100</f>
        <v>-8.8328075709779181</v>
      </c>
      <c r="S91" s="259">
        <f>(KVARTS!AC5/KVARTS!AB5-1)*100</f>
        <v>-1.2687427912341454</v>
      </c>
      <c r="T91" s="259">
        <f>(KVARTS!AD5/KVARTS!AC5-1)*100</f>
        <v>-15.41896957567257</v>
      </c>
      <c r="U91" s="259">
        <f>(KVARTS!AE5/KVARTS!AD5-1)*100</f>
        <v>-6.8394230936815736</v>
      </c>
      <c r="V91" s="259">
        <f>(KVARTS!AF5/KVARTS!AE5-1)*100</f>
        <v>-7.8719496195189809E-2</v>
      </c>
      <c r="W91" s="259">
        <f>(KVARTS!AG5/KVARTS!AF5-1)*100</f>
        <v>0.56147458983593079</v>
      </c>
      <c r="X91" s="259">
        <f>(KVARTS!AH5/KVARTS!AG5-1)*100</f>
        <v>0.45885820162405722</v>
      </c>
      <c r="Y91" s="259">
        <f>(KVARTS!AI5/KVARTS!AH5-1)*100</f>
        <v>6.5605426682835422E-2</v>
      </c>
      <c r="Z91" s="259">
        <f>(KVARTS!AJ5/KVARTS!AI5-1)*100</f>
        <v>4.7532946740214799</v>
      </c>
      <c r="AA91" s="259">
        <f>(KVARTS!AK5/KVARTS!AJ5-1)*100</f>
        <v>4.6809281524186952</v>
      </c>
      <c r="AB91" s="259">
        <f>(KVARTS!AL5/KVARTS!AK5-1)*100</f>
        <v>4.6122683126055941</v>
      </c>
      <c r="AC91" s="259">
        <f>(KVARTS!AM5/KVARTS!AL5-1)*100</f>
        <v>4.5470374764224442</v>
      </c>
      <c r="AD91" s="259">
        <f>(KVARTS!AN5/KVARTS!AM5-1)*100</f>
        <v>4.4851818804161114</v>
      </c>
      <c r="AE91" s="259">
        <f>(KVARTS!AO5/KVARTS!AN5-1)*100</f>
        <v>2.0000000000000018</v>
      </c>
      <c r="AF91" s="259">
        <f>(KVARTS!AP5/KVARTS!AO5-1)*100</f>
        <v>2.0000000000000018</v>
      </c>
      <c r="AG91" s="259">
        <f>(KVARTS!AQ5/KVARTS!AP5-1)*100</f>
        <v>2.0000000000000018</v>
      </c>
      <c r="AH91" s="259">
        <f>(KVARTS!AR5/KVARTS!AQ5-1)*100</f>
        <v>2.0000000000000018</v>
      </c>
      <c r="AI91" s="259">
        <f>(KVARTS!AS5/KVARTS!AR5-1)*100</f>
        <v>1.9999999999999796</v>
      </c>
      <c r="AJ91" s="259">
        <f>(KVARTS!AT5/KVARTS!AS5-1)*100</f>
        <v>2.0000000000000018</v>
      </c>
      <c r="AK91" s="259">
        <f>(KVARTS!AU5/KVARTS!AT5-1)*100</f>
        <v>2.0000000000000018</v>
      </c>
      <c r="AL91" s="259">
        <f>(KVARTS!AV5/KVARTS!AU5-1)*100</f>
        <v>2.0000000000000018</v>
      </c>
      <c r="AM91" s="259">
        <f>(KVARTS!AW5/KVARTS!AV5-1)*100</f>
        <v>2.0000000000000018</v>
      </c>
      <c r="AN91" s="259">
        <f>(KVARTS!AX5/KVARTS!AW5-1)*100</f>
        <v>1.9999999999999796</v>
      </c>
      <c r="AO91" s="259">
        <f>(KVARTS!AY5/KVARTS!AX5-1)*100</f>
        <v>2.000000000000024</v>
      </c>
      <c r="AP91" s="259">
        <f>(KVARTS!AZ5/KVARTS!AY5-1)*100</f>
        <v>2.0000000000000018</v>
      </c>
      <c r="AQ91" s="259">
        <f>(KVARTS!BA5/KVARTS!AZ5-1)*100</f>
        <v>1.9999999999999796</v>
      </c>
      <c r="AR91" s="259">
        <f>(KVARTS!BB5/KVARTS!BA5-1)*100</f>
        <v>2.000000000000024</v>
      </c>
      <c r="AS91" s="259">
        <f>(KVARTS!BC5/KVARTS!BB5-1)*100</f>
        <v>2.0000000000000018</v>
      </c>
      <c r="AT91" s="259">
        <f>(KVARTS!BD5/KVARTS!BC5-1)*100</f>
        <v>1.9999999999999796</v>
      </c>
      <c r="AU91" s="259">
        <f>(KVARTS!BE5/KVARTS!BD5-1)*100</f>
        <v>2.0000000000000018</v>
      </c>
      <c r="AV91" s="259">
        <f>(KVARTS!BF5/KVARTS!BE5-1)*100</f>
        <v>2.0000000000000018</v>
      </c>
      <c r="AW91" s="259">
        <f>(KVARTS!BG5/KVARTS!BF5-1)*100</f>
        <v>2.000000000000024</v>
      </c>
      <c r="AX91" s="259">
        <f>(KVARTS!BH5/KVARTS!BG5-1)*100</f>
        <v>2.0000000000000018</v>
      </c>
      <c r="AY91" s="259">
        <f>(KVARTS!BI5/KVARTS!BH5-1)*100</f>
        <v>2.0000000000000018</v>
      </c>
      <c r="AZ91" s="259">
        <f>(KVARTS!BJ5/KVARTS!BI5-1)*100</f>
        <v>2.0000000000000018</v>
      </c>
      <c r="BA91" s="259">
        <f>(KVARTS!BK5/KVARTS!BJ5-1)*100</f>
        <v>2.0000000000000018</v>
      </c>
      <c r="BB91" s="259">
        <f>(KVARTS!BL5/KVARTS!BK5-1)*100</f>
        <v>2.0000000000000018</v>
      </c>
      <c r="BC91" s="259">
        <f>(KVARTS!BM5/KVARTS!BL5-1)*100</f>
        <v>1.9999999999999796</v>
      </c>
      <c r="BD91" s="80"/>
      <c r="BE91" s="80"/>
      <c r="BF91" s="80"/>
      <c r="BG91" s="80"/>
      <c r="BH91" s="80"/>
      <c r="BI91" s="80"/>
      <c r="BJ91" s="80"/>
      <c r="BK91" s="80"/>
      <c r="BL91" s="80"/>
      <c r="BM91" s="80"/>
    </row>
    <row r="92" spans="1:92" ht="15.75" customHeight="1">
      <c r="A92" s="199" t="s">
        <v>471</v>
      </c>
      <c r="B92" s="257"/>
      <c r="C92" s="302">
        <f>C86/B99</f>
        <v>5.3542120356186045E-2</v>
      </c>
      <c r="D92" s="302">
        <f t="shared" ref="D92:BO92" si="177">D86/C99</f>
        <v>3.7245159017836517E-2</v>
      </c>
      <c r="E92" s="302">
        <f t="shared" si="177"/>
        <v>4.5812292711929367E-2</v>
      </c>
      <c r="F92" s="302">
        <f t="shared" si="177"/>
        <v>4.8385953715407173E-2</v>
      </c>
      <c r="G92" s="302">
        <f t="shared" si="177"/>
        <v>3.9585004647459739E-2</v>
      </c>
      <c r="H92" s="302">
        <f t="shared" si="177"/>
        <v>3.6463426126852418E-2</v>
      </c>
      <c r="I92" s="302">
        <f t="shared" si="177"/>
        <v>6.5611799935092627E-2</v>
      </c>
      <c r="J92" s="302">
        <f t="shared" si="177"/>
        <v>4.9354154555259114E-2</v>
      </c>
      <c r="K92" s="302">
        <f t="shared" si="177"/>
        <v>4.9105252902795632E-2</v>
      </c>
      <c r="L92" s="302">
        <f t="shared" si="177"/>
        <v>6.730173607402197E-2</v>
      </c>
      <c r="M92" s="302">
        <f t="shared" si="177"/>
        <v>8.9272713628784917E-2</v>
      </c>
      <c r="N92" s="302">
        <f t="shared" si="177"/>
        <v>7.9921353683955684E-2</v>
      </c>
      <c r="O92" s="302">
        <f t="shared" si="177"/>
        <v>5.8499553896809976E-2</v>
      </c>
      <c r="P92" s="302">
        <f t="shared" si="177"/>
        <v>9.8233545481535442E-2</v>
      </c>
      <c r="Q92" s="302">
        <f t="shared" si="177"/>
        <v>0.12263205085262217</v>
      </c>
      <c r="R92" s="302">
        <f t="shared" si="177"/>
        <v>6.0930279788630276E-2</v>
      </c>
      <c r="S92" s="302">
        <f t="shared" si="177"/>
        <v>6.3981440993331487E-2</v>
      </c>
      <c r="T92" s="302">
        <f t="shared" si="177"/>
        <v>5.3788499364209923E-2</v>
      </c>
      <c r="U92" s="302">
        <f t="shared" si="177"/>
        <v>3.8884863909478574E-2</v>
      </c>
      <c r="V92" s="302">
        <f t="shared" si="177"/>
        <v>2.6384473138212985E-2</v>
      </c>
      <c r="W92" s="302">
        <f t="shared" si="177"/>
        <v>3.3929725297948098E-2</v>
      </c>
      <c r="X92" s="302">
        <f t="shared" si="177"/>
        <v>3.6562928752730532E-2</v>
      </c>
      <c r="Y92" s="302">
        <f t="shared" si="177"/>
        <v>4.0883228134937388E-2</v>
      </c>
      <c r="Z92" s="302">
        <f t="shared" si="177"/>
        <v>5.2035306183112341E-2</v>
      </c>
      <c r="AA92" s="302">
        <f t="shared" si="177"/>
        <v>6.3151119977456524E-2</v>
      </c>
      <c r="AB92" s="302">
        <f t="shared" si="177"/>
        <v>6.6216759309802739E-2</v>
      </c>
      <c r="AC92" s="302">
        <f t="shared" si="177"/>
        <v>6.9420590464228035E-2</v>
      </c>
      <c r="AD92" s="302">
        <f t="shared" si="177"/>
        <v>7.1699260706315909E-2</v>
      </c>
      <c r="AE92" s="302">
        <f t="shared" si="177"/>
        <v>7.0109372850578555E-2</v>
      </c>
      <c r="AF92" s="302">
        <f t="shared" si="177"/>
        <v>7.1187414447152056E-2</v>
      </c>
      <c r="AG92" s="302">
        <f t="shared" si="177"/>
        <v>7.4115024966845855E-2</v>
      </c>
      <c r="AH92" s="302">
        <f t="shared" si="177"/>
        <v>8.2020866963993022E-2</v>
      </c>
      <c r="AI92" s="302">
        <f t="shared" si="177"/>
        <v>9.1943013715711119E-2</v>
      </c>
      <c r="AJ92" s="302">
        <f t="shared" si="177"/>
        <v>0.10015714085906385</v>
      </c>
      <c r="AK92" s="302">
        <f t="shared" si="177"/>
        <v>0.10903400867402706</v>
      </c>
      <c r="AL92" s="302">
        <f t="shared" si="177"/>
        <v>0.11459784031192562</v>
      </c>
      <c r="AM92" s="302">
        <f t="shared" si="177"/>
        <v>0.12648723796750846</v>
      </c>
      <c r="AN92" s="302">
        <f t="shared" si="177"/>
        <v>0.1314601912738349</v>
      </c>
      <c r="AO92" s="302">
        <f t="shared" si="177"/>
        <v>0.14246303087117726</v>
      </c>
      <c r="AP92" s="302">
        <f t="shared" si="177"/>
        <v>0.15031259111413284</v>
      </c>
      <c r="AQ92" s="302">
        <f t="shared" si="177"/>
        <v>0.16063094246514131</v>
      </c>
      <c r="AR92" s="302">
        <f t="shared" si="177"/>
        <v>0.16683799490685575</v>
      </c>
      <c r="AS92" s="302">
        <f t="shared" si="177"/>
        <v>0.17584937167339368</v>
      </c>
      <c r="AT92" s="302">
        <f t="shared" si="177"/>
        <v>0.18860470378796645</v>
      </c>
      <c r="AU92" s="302">
        <f t="shared" si="177"/>
        <v>0.18901431488766135</v>
      </c>
      <c r="AV92" s="302">
        <f t="shared" si="177"/>
        <v>0.19684419509241785</v>
      </c>
      <c r="AW92" s="302">
        <f t="shared" si="177"/>
        <v>0.21386702725839554</v>
      </c>
      <c r="AX92" s="302">
        <f t="shared" si="177"/>
        <v>0.23162842305142126</v>
      </c>
      <c r="AY92" s="302">
        <f t="shared" si="177"/>
        <v>0.24516333494713957</v>
      </c>
      <c r="AZ92" s="302">
        <f t="shared" si="177"/>
        <v>0.24618114237524347</v>
      </c>
      <c r="BA92" s="302">
        <f t="shared" si="177"/>
        <v>0.24918189712910513</v>
      </c>
      <c r="BB92" s="302">
        <f t="shared" si="177"/>
        <v>0.25987681088763182</v>
      </c>
      <c r="BC92" s="302">
        <f t="shared" si="177"/>
        <v>0.27815944969706924</v>
      </c>
      <c r="BD92" s="302">
        <f t="shared" si="177"/>
        <v>0.2793266159808957</v>
      </c>
      <c r="BE92" s="302">
        <f t="shared" si="177"/>
        <v>0.27884808736220118</v>
      </c>
      <c r="BF92" s="302">
        <f t="shared" si="177"/>
        <v>0.27832989447907436</v>
      </c>
      <c r="BG92" s="302">
        <f t="shared" si="177"/>
        <v>0.27776679801758714</v>
      </c>
      <c r="BH92" s="302">
        <f t="shared" si="177"/>
        <v>0.27715258754920252</v>
      </c>
      <c r="BI92" s="302">
        <f t="shared" si="177"/>
        <v>0.2764798452852037</v>
      </c>
      <c r="BJ92" s="302">
        <f t="shared" si="177"/>
        <v>0.27573963731870027</v>
      </c>
      <c r="BK92" s="302">
        <f t="shared" si="177"/>
        <v>0.27492110498678896</v>
      </c>
      <c r="BL92" s="302">
        <f t="shared" si="177"/>
        <v>0.27401091650808612</v>
      </c>
      <c r="BM92" s="302">
        <f t="shared" si="177"/>
        <v>0.2729925197870201</v>
      </c>
      <c r="BN92" s="302">
        <f t="shared" si="177"/>
        <v>0.2718451068606958</v>
      </c>
      <c r="BO92" s="302">
        <f t="shared" si="177"/>
        <v>0.27054215123092146</v>
      </c>
      <c r="BP92" s="302">
        <f t="shared" ref="BP92:CB92" si="178">BP86/BO99</f>
        <v>0.26904929738227473</v>
      </c>
      <c r="BQ92" s="302">
        <f t="shared" si="178"/>
        <v>0.26732124106809785</v>
      </c>
      <c r="BR92" s="302">
        <f t="shared" si="178"/>
        <v>0.26529698854701289</v>
      </c>
      <c r="BS92" s="302">
        <f t="shared" si="178"/>
        <v>0.26289241888054388</v>
      </c>
      <c r="BT92" s="302">
        <f t="shared" si="178"/>
        <v>0.25998817184451251</v>
      </c>
      <c r="BU92" s="302">
        <f t="shared" si="178"/>
        <v>0.25640903310076946</v>
      </c>
      <c r="BV92" s="302">
        <f t="shared" si="178"/>
        <v>0.25188693009544577</v>
      </c>
      <c r="BW92" s="302">
        <f t="shared" si="178"/>
        <v>0.24599001523470732</v>
      </c>
      <c r="BX92" s="302">
        <f t="shared" si="178"/>
        <v>0.23797503991173305</v>
      </c>
      <c r="BY92" s="302">
        <f t="shared" si="178"/>
        <v>0.22644492579188261</v>
      </c>
      <c r="BZ92" s="302">
        <f t="shared" si="178"/>
        <v>0.20842708347681746</v>
      </c>
      <c r="CA92" s="302">
        <f t="shared" si="178"/>
        <v>0.17628046049755788</v>
      </c>
      <c r="CB92" s="302">
        <f t="shared" si="178"/>
        <v>0.10260615899597214</v>
      </c>
      <c r="CC92" s="302">
        <f t="shared" ref="CC92" si="179">CC86/CB99</f>
        <v>-0.24037551530382051</v>
      </c>
      <c r="CD92" s="302">
        <f t="shared" ref="CD92" si="180">CD86/CC99</f>
        <v>0.93057183677730659</v>
      </c>
      <c r="CE92" s="302">
        <f t="shared" ref="CE92" si="181">CE86/CD99</f>
        <v>0.48978420957949631</v>
      </c>
      <c r="CF92" s="302">
        <f t="shared" ref="CF92" si="182">CF86/CE99</f>
        <v>0.40834872550006729</v>
      </c>
      <c r="CG92" s="302">
        <f t="shared" ref="CG92" si="183">CG86/CF99</f>
        <v>0.374061796255447</v>
      </c>
      <c r="CH92" s="302"/>
      <c r="CI92" s="302"/>
      <c r="CJ92" s="302"/>
      <c r="CK92" s="302"/>
      <c r="CL92" s="302"/>
      <c r="CM92" s="302"/>
      <c r="CN92" s="302"/>
    </row>
    <row r="93" spans="1:92" ht="15.75" customHeight="1">
      <c r="A93" s="199"/>
      <c r="B93" s="257"/>
      <c r="C93" s="258"/>
      <c r="D93" s="258"/>
      <c r="E93" s="258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8"/>
      <c r="AA93" s="258"/>
      <c r="AB93" s="258"/>
      <c r="AC93" s="258"/>
      <c r="AD93" s="258"/>
      <c r="AE93" s="258"/>
      <c r="AF93" s="258"/>
      <c r="AG93" s="258"/>
      <c r="AH93" s="258"/>
      <c r="AI93" s="258"/>
      <c r="AJ93" s="258"/>
      <c r="AK93" s="258"/>
      <c r="AL93" s="258"/>
      <c r="AM93" s="258"/>
      <c r="AN93" s="258"/>
      <c r="AO93" s="258"/>
      <c r="AP93" s="258"/>
      <c r="AQ93" s="258"/>
      <c r="AR93" s="258"/>
      <c r="AS93" s="258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</row>
    <row r="94" spans="1:92" ht="15.75" customHeight="1">
      <c r="A94" s="199"/>
      <c r="B94" s="257"/>
      <c r="C94" s="258"/>
      <c r="D94" s="258"/>
      <c r="E94" s="258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8"/>
      <c r="AA94" s="258"/>
      <c r="AB94" s="258"/>
      <c r="AC94" s="258"/>
      <c r="AD94" s="258"/>
      <c r="AE94" s="258"/>
      <c r="AF94" s="258"/>
      <c r="AG94" s="258"/>
      <c r="AH94" s="258"/>
      <c r="AI94" s="258"/>
      <c r="AJ94" s="258"/>
      <c r="AK94" s="258"/>
      <c r="AL94" s="258"/>
      <c r="AM94" s="258"/>
      <c r="AN94" s="258"/>
      <c r="AO94" s="258"/>
      <c r="AP94" s="258"/>
      <c r="AQ94" s="258"/>
      <c r="AR94" s="258"/>
      <c r="AS94" s="258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</row>
    <row r="95" spans="1:92" ht="15.75" customHeight="1">
      <c r="A95" s="202" t="s">
        <v>169</v>
      </c>
      <c r="B95" s="257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  <c r="U95" s="258"/>
      <c r="V95" s="258"/>
      <c r="W95" s="258"/>
      <c r="X95" s="258"/>
      <c r="Y95" s="258"/>
      <c r="Z95" s="258"/>
      <c r="AA95" s="258"/>
      <c r="AB95" s="258"/>
      <c r="AC95" s="258"/>
      <c r="AD95" s="258"/>
      <c r="AE95" s="258"/>
      <c r="AF95" s="258"/>
      <c r="AG95" s="258"/>
      <c r="AH95" s="258"/>
      <c r="AI95" s="258"/>
      <c r="AJ95" s="258"/>
      <c r="AK95" s="258"/>
      <c r="AL95" s="258"/>
      <c r="AM95" s="258"/>
      <c r="AN95" s="258"/>
      <c r="AO95" s="258"/>
      <c r="AP95" s="258"/>
      <c r="AQ95" s="258"/>
      <c r="AR95" s="258"/>
      <c r="AS95" s="258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</row>
    <row r="96" spans="1:92" ht="15.75" customHeight="1">
      <c r="A96" s="199" t="s">
        <v>169</v>
      </c>
      <c r="B96" s="260">
        <f>Petoro!M79</f>
        <v>-4.58</v>
      </c>
      <c r="C96" s="261">
        <f>Petoro!N79</f>
        <v>0</v>
      </c>
      <c r="D96" s="261">
        <f>Petoro!O79</f>
        <v>0</v>
      </c>
      <c r="E96" s="261">
        <f>Petoro!P79</f>
        <v>-81.5</v>
      </c>
      <c r="F96" s="261">
        <f>Petoro!Q79</f>
        <v>-2</v>
      </c>
      <c r="G96" s="261">
        <f>Petoro!R79</f>
        <v>-2.7192999999999998E-2</v>
      </c>
      <c r="H96" s="261">
        <f>Petoro!S79</f>
        <v>-1</v>
      </c>
      <c r="I96" s="261">
        <f>Petoro!T79</f>
        <v>-2</v>
      </c>
      <c r="J96" s="261">
        <f>Petoro!U79</f>
        <v>0</v>
      </c>
      <c r="K96" s="258">
        <f>Petoro!V79</f>
        <v>0</v>
      </c>
      <c r="L96" s="258">
        <f>Petoro!W79</f>
        <v>0</v>
      </c>
      <c r="M96" s="258">
        <f>Petoro!X79</f>
        <v>0</v>
      </c>
      <c r="N96" s="258">
        <f>Petoro!Y79</f>
        <v>0</v>
      </c>
      <c r="O96" s="258">
        <f>Petoro!Z79</f>
        <v>0</v>
      </c>
      <c r="P96" s="258">
        <f>Petoro!AA79</f>
        <v>0</v>
      </c>
      <c r="Q96" s="258">
        <f>Petoro!AB79</f>
        <v>0</v>
      </c>
      <c r="R96" s="258">
        <f>Petoro!AC79</f>
        <v>0</v>
      </c>
      <c r="S96" s="258">
        <f>Petoro!AD79</f>
        <v>0</v>
      </c>
      <c r="T96" s="258">
        <f>Petoro!AE79</f>
        <v>0</v>
      </c>
      <c r="U96" s="258">
        <f>Petoro!AF79</f>
        <v>0</v>
      </c>
      <c r="V96" s="258">
        <f>Petoro!AG79</f>
        <v>0</v>
      </c>
      <c r="W96" s="258">
        <f>Petoro!AH79</f>
        <v>0</v>
      </c>
      <c r="X96" s="258">
        <f>Petoro!AI79</f>
        <v>0</v>
      </c>
      <c r="Y96" s="258">
        <f>Petoro!AJ79</f>
        <v>0</v>
      </c>
      <c r="Z96" s="258">
        <f>Petoro!AK79</f>
        <v>0</v>
      </c>
      <c r="AA96" s="258">
        <f>Petoro!AL79</f>
        <v>0</v>
      </c>
      <c r="AB96" s="258">
        <f>Petoro!AM79</f>
        <v>0</v>
      </c>
      <c r="AC96" s="258">
        <f>Petoro!AN79</f>
        <v>0</v>
      </c>
      <c r="AD96" s="258">
        <f>Petoro!AO79</f>
        <v>0</v>
      </c>
      <c r="AE96" s="258">
        <f>Petoro!AP79</f>
        <v>0</v>
      </c>
      <c r="AF96" s="258">
        <f>Petoro!AQ79</f>
        <v>0</v>
      </c>
      <c r="AG96" s="258">
        <f>Petoro!AR79</f>
        <v>0</v>
      </c>
      <c r="AH96" s="258">
        <f>Petoro!AS79</f>
        <v>0</v>
      </c>
      <c r="AI96" s="258">
        <f>Petoro!AT79</f>
        <v>0</v>
      </c>
      <c r="AJ96" s="258">
        <f>Petoro!AU79</f>
        <v>0</v>
      </c>
      <c r="AK96" s="258">
        <f>Petoro!AV79</f>
        <v>0</v>
      </c>
      <c r="AL96" s="258">
        <f>Petoro!AW79</f>
        <v>0</v>
      </c>
      <c r="AM96" s="258">
        <f>Petoro!AX79</f>
        <v>0</v>
      </c>
      <c r="AN96" s="258">
        <f>Petoro!AY79</f>
        <v>0</v>
      </c>
      <c r="AO96" s="258">
        <f>Petoro!AZ79</f>
        <v>0</v>
      </c>
      <c r="AP96" s="258">
        <f>Petoro!BA79</f>
        <v>0</v>
      </c>
      <c r="AQ96" s="258">
        <f>Petoro!BB79</f>
        <v>0</v>
      </c>
      <c r="AR96" s="258">
        <f>Petoro!BC79</f>
        <v>0</v>
      </c>
      <c r="AS96" s="258">
        <f>Petoro!BD79</f>
        <v>0</v>
      </c>
      <c r="AT96" s="86">
        <f>Petoro!BE79</f>
        <v>0</v>
      </c>
      <c r="AU96" s="86">
        <f>Petoro!BF79</f>
        <v>0</v>
      </c>
      <c r="AV96" s="86">
        <f>Petoro!BG79</f>
        <v>0</v>
      </c>
      <c r="AW96" s="86">
        <f>Petoro!BH79</f>
        <v>0</v>
      </c>
      <c r="AX96" s="86">
        <f>Petoro!BI79</f>
        <v>0</v>
      </c>
      <c r="AY96" s="86">
        <f>Petoro!BJ79</f>
        <v>0</v>
      </c>
      <c r="AZ96" s="86">
        <f>Petoro!BK79</f>
        <v>0</v>
      </c>
      <c r="BA96" s="86">
        <f>Petoro!BL79</f>
        <v>0</v>
      </c>
      <c r="BB96" s="86">
        <f>Petoro!BM79</f>
        <v>0</v>
      </c>
      <c r="BC96" s="86">
        <f>Petoro!BN79</f>
        <v>0</v>
      </c>
      <c r="BD96" s="86">
        <f>Petoro!BO79</f>
        <v>0</v>
      </c>
      <c r="BE96" s="86">
        <f>Petoro!BP79</f>
        <v>0</v>
      </c>
      <c r="BF96" s="86">
        <f>Petoro!BQ79</f>
        <v>0</v>
      </c>
      <c r="BG96" s="86">
        <f>Petoro!BR79</f>
        <v>0</v>
      </c>
      <c r="BH96" s="86">
        <f>Petoro!BS79</f>
        <v>0</v>
      </c>
      <c r="BI96" s="86">
        <f>Petoro!BT79</f>
        <v>0</v>
      </c>
      <c r="BJ96" s="86">
        <f>Petoro!BU79</f>
        <v>0</v>
      </c>
      <c r="BK96" s="86">
        <f>Petoro!BV79</f>
        <v>0</v>
      </c>
      <c r="BL96" s="86">
        <f>Petoro!BW79</f>
        <v>0</v>
      </c>
      <c r="BM96" s="86">
        <f>Petoro!BX79</f>
        <v>0</v>
      </c>
      <c r="BN96" s="86">
        <f>Petoro!BY79</f>
        <v>0</v>
      </c>
      <c r="BO96" s="86">
        <f>Petoro!BZ79</f>
        <v>0</v>
      </c>
      <c r="BP96" s="86">
        <f>Petoro!CA79</f>
        <v>0</v>
      </c>
      <c r="BQ96" s="86">
        <f>Petoro!CB79</f>
        <v>0</v>
      </c>
      <c r="BR96" s="86">
        <f>Petoro!CC79</f>
        <v>0</v>
      </c>
      <c r="BS96" s="86">
        <f>Petoro!CD79</f>
        <v>0</v>
      </c>
      <c r="BT96" s="86">
        <f>Petoro!CE79</f>
        <v>0</v>
      </c>
      <c r="BU96" s="86">
        <f>Petoro!CF79</f>
        <v>0</v>
      </c>
      <c r="BV96" s="86">
        <f>Petoro!CG79</f>
        <v>0</v>
      </c>
      <c r="BW96" s="86">
        <f>Petoro!CH79</f>
        <v>0</v>
      </c>
      <c r="BX96" s="86">
        <f>Petoro!CI79</f>
        <v>0</v>
      </c>
      <c r="BY96" s="86">
        <f>Petoro!CJ79</f>
        <v>0</v>
      </c>
      <c r="BZ96" s="86">
        <f>Petoro!CK79</f>
        <v>0</v>
      </c>
      <c r="CA96" s="86">
        <f>Petoro!CL79</f>
        <v>0</v>
      </c>
      <c r="CB96" s="86">
        <f>Petoro!CM79</f>
        <v>0</v>
      </c>
      <c r="CC96" s="86">
        <f>Petoro!CN79</f>
        <v>0</v>
      </c>
      <c r="CD96" s="86">
        <f>Petoro!CO79</f>
        <v>0</v>
      </c>
      <c r="CE96" s="86">
        <f>Petoro!CP79</f>
        <v>0</v>
      </c>
      <c r="CF96" s="86">
        <f>Petoro!CQ79</f>
        <v>0</v>
      </c>
      <c r="CG96" s="86">
        <f>Petoro!CR79</f>
        <v>0</v>
      </c>
      <c r="CH96" s="86"/>
      <c r="CI96" s="86"/>
      <c r="CJ96" s="86"/>
      <c r="CK96" s="86"/>
      <c r="CL96" s="86"/>
      <c r="CM96" s="86"/>
      <c r="CN96" s="86"/>
    </row>
    <row r="97" spans="1:96" ht="15.75" customHeight="1">
      <c r="A97" s="199"/>
      <c r="B97" s="200"/>
      <c r="C97" s="80"/>
      <c r="D97" s="80"/>
      <c r="E97" s="16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</row>
    <row r="98" spans="1:96" ht="15.75" customHeight="1">
      <c r="A98" s="199"/>
      <c r="B98" s="200"/>
      <c r="C98" s="204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</row>
    <row r="99" spans="1:96" ht="15.75" customHeight="1">
      <c r="A99" s="205" t="s">
        <v>170</v>
      </c>
      <c r="B99" s="480">
        <v>316389.37099999998</v>
      </c>
      <c r="C99" s="480">
        <v>415866.12618789996</v>
      </c>
      <c r="D99" s="480">
        <v>279793.89899999998</v>
      </c>
      <c r="E99" s="480">
        <v>275957.35899999994</v>
      </c>
      <c r="F99" s="480">
        <v>350803.49889238004</v>
      </c>
      <c r="G99" s="480">
        <v>395482.76327166997</v>
      </c>
      <c r="H99" s="480">
        <v>345151.32982791</v>
      </c>
      <c r="I99" s="481">
        <f t="shared" ref="I99:BC99" si="184">I75+I81+I86+I96</f>
        <v>311665.75820436003</v>
      </c>
      <c r="J99" s="481">
        <f t="shared" si="184"/>
        <v>218255.63133165002</v>
      </c>
      <c r="K99" s="206">
        <f t="shared" si="184"/>
        <v>124778.65341785</v>
      </c>
      <c r="L99" s="206">
        <f t="shared" si="184"/>
        <v>167846.62850406003</v>
      </c>
      <c r="M99" s="206">
        <f t="shared" si="184"/>
        <v>250958.80235355001</v>
      </c>
      <c r="N99" s="206">
        <f t="shared" si="184"/>
        <v>256923.65152923999</v>
      </c>
      <c r="O99" s="206">
        <f t="shared" si="184"/>
        <v>106824.48939982998</v>
      </c>
      <c r="P99" s="206">
        <f t="shared" si="184"/>
        <v>287512.59763544996</v>
      </c>
      <c r="Q99" s="206">
        <f t="shared" si="184"/>
        <v>1285223.0495520001</v>
      </c>
      <c r="R99" s="206">
        <f t="shared" si="184"/>
        <v>978064.87363299995</v>
      </c>
      <c r="S99" s="785">
        <f>S75+S81+S86+S96</f>
        <v>702159.39181099995</v>
      </c>
      <c r="T99" s="206">
        <f t="shared" si="184"/>
        <v>663615.54099999997</v>
      </c>
      <c r="U99" s="206">
        <f t="shared" si="184"/>
        <v>521305.59999999998</v>
      </c>
      <c r="V99" s="206">
        <f t="shared" si="184"/>
        <v>407654.37359999999</v>
      </c>
      <c r="W99" s="206">
        <f t="shared" si="184"/>
        <v>380031.60091275512</v>
      </c>
      <c r="X99" s="206">
        <f t="shared" si="184"/>
        <v>340095.0683479592</v>
      </c>
      <c r="Y99" s="206">
        <f t="shared" si="184"/>
        <v>279907.85844141745</v>
      </c>
      <c r="Z99" s="206">
        <f t="shared" si="184"/>
        <v>241434.71363651226</v>
      </c>
      <c r="AA99" s="206">
        <f t="shared" si="184"/>
        <v>240877.07411134115</v>
      </c>
      <c r="AB99" s="206">
        <f t="shared" si="184"/>
        <v>240207.64038628744</v>
      </c>
      <c r="AC99" s="206">
        <f t="shared" si="184"/>
        <v>243004.96426466858</v>
      </c>
      <c r="AD99" s="206">
        <f t="shared" si="184"/>
        <v>253485.96184610747</v>
      </c>
      <c r="AE99" s="206">
        <f t="shared" si="184"/>
        <v>254640.18869715539</v>
      </c>
      <c r="AF99" s="206">
        <f t="shared" si="184"/>
        <v>249473.30435239262</v>
      </c>
      <c r="AG99" s="206">
        <f t="shared" si="184"/>
        <v>229935.56740300223</v>
      </c>
      <c r="AH99" s="206">
        <f t="shared" si="184"/>
        <v>209224.21507105534</v>
      </c>
      <c r="AI99" s="206">
        <f t="shared" si="184"/>
        <v>195906.54051383105</v>
      </c>
      <c r="AJ99" s="206">
        <f t="shared" si="184"/>
        <v>183556.1949552744</v>
      </c>
      <c r="AK99" s="206">
        <f t="shared" si="184"/>
        <v>178137.25854185133</v>
      </c>
      <c r="AL99" s="206">
        <f t="shared" si="184"/>
        <v>164620.78186490035</v>
      </c>
      <c r="AM99" s="206">
        <f t="shared" si="184"/>
        <v>161561.27847178231</v>
      </c>
      <c r="AN99" s="206">
        <f t="shared" si="184"/>
        <v>152065.09344408213</v>
      </c>
      <c r="AO99" s="206">
        <f t="shared" si="184"/>
        <v>147006.49506473821</v>
      </c>
      <c r="AP99" s="206">
        <f t="shared" si="184"/>
        <v>140314.59556650935</v>
      </c>
      <c r="AQ99" s="206">
        <f t="shared" si="184"/>
        <v>137796.20796118857</v>
      </c>
      <c r="AR99" s="206">
        <f t="shared" si="184"/>
        <v>133349.55752020472</v>
      </c>
      <c r="AS99" s="206">
        <f t="shared" si="184"/>
        <v>126817.75237058639</v>
      </c>
      <c r="AT99" s="206">
        <f t="shared" si="184"/>
        <v>129073.78537878627</v>
      </c>
      <c r="AU99" s="206">
        <f t="shared" si="184"/>
        <v>126418.40397636099</v>
      </c>
      <c r="AV99" s="206">
        <f t="shared" si="184"/>
        <v>118683.20180295763</v>
      </c>
      <c r="AW99" s="206">
        <f t="shared" si="184"/>
        <v>111774.15830552611</v>
      </c>
      <c r="AX99" s="206">
        <f t="shared" si="184"/>
        <v>107715.42764511259</v>
      </c>
      <c r="AY99" s="206">
        <f t="shared" si="184"/>
        <v>109415.49249540133</v>
      </c>
      <c r="AZ99" s="206">
        <f t="shared" si="184"/>
        <v>110259.82172594997</v>
      </c>
      <c r="BA99" s="206">
        <f t="shared" si="184"/>
        <v>107836.65726143733</v>
      </c>
      <c r="BB99" s="206">
        <f t="shared" si="184"/>
        <v>102763.83401222908</v>
      </c>
      <c r="BC99" s="206">
        <f>BC75+BC81+BC86+BC96</f>
        <v>100035.63988825423</v>
      </c>
      <c r="BD99" s="206">
        <f>Formue!BK74</f>
        <v>97788.48357434271</v>
      </c>
      <c r="BE99" s="206">
        <f>Formue!BL74</f>
        <v>95428.04320408871</v>
      </c>
      <c r="BF99" s="206">
        <f>Formue!BM74</f>
        <v>92951.52310025676</v>
      </c>
      <c r="BG99" s="206">
        <f>Formue!BN74</f>
        <v>90356.100545180481</v>
      </c>
      <c r="BH99" s="206">
        <f>Formue!BO74</f>
        <v>87638.927602131749</v>
      </c>
      <c r="BI99" s="206">
        <f>Formue!BP74</f>
        <v>84797.133098618971</v>
      </c>
      <c r="BJ99" s="206">
        <f>Formue!BQ74</f>
        <v>81827.824780713592</v>
      </c>
      <c r="BK99" s="206">
        <f>Formue!BR74</f>
        <v>78728.091647946436</v>
      </c>
      <c r="BL99" s="206">
        <f>Formue!BS74</f>
        <v>75495.006478772077</v>
      </c>
      <c r="BM99" s="206">
        <f>Formue!BT74</f>
        <v>72125.628557083663</v>
      </c>
      <c r="BN99" s="206">
        <f>Formue!BU74</f>
        <v>68617.006610758792</v>
      </c>
      <c r="BO99" s="206">
        <f>Formue!BV74</f>
        <v>64966.181973744897</v>
      </c>
      <c r="BP99" s="206">
        <f>Formue!BW74</f>
        <v>61170.191983738099</v>
      </c>
      <c r="BQ99" s="206">
        <f>Formue!BX74</f>
        <v>57226.073628084334</v>
      </c>
      <c r="BR99" s="206">
        <f>Formue!BY74</f>
        <v>53130.867451124432</v>
      </c>
      <c r="BS99" s="206">
        <f>Formue!BZ74</f>
        <v>48881.621736838351</v>
      </c>
      <c r="BT99" s="206">
        <f>Formue!CA74</f>
        <v>44475.396981283033</v>
      </c>
      <c r="BU99" s="206">
        <f>Formue!CB74</f>
        <v>39909.270670013873</v>
      </c>
      <c r="BV99" s="206">
        <f>Formue!CC74</f>
        <v>35180.342376378314</v>
      </c>
      <c r="BW99" s="206">
        <f>Formue!CD74</f>
        <v>30285.739197318911</v>
      </c>
      <c r="BX99" s="206">
        <f>Formue!CE74</f>
        <v>25222.621544101665</v>
      </c>
      <c r="BY99" s="206">
        <f>Formue!CF74</f>
        <v>19988.189306183227</v>
      </c>
      <c r="BZ99" s="206">
        <f>Formue!CG74</f>
        <v>14579.68840729128</v>
      </c>
      <c r="CA99" s="206">
        <f>Formue!CH74</f>
        <v>8994.417773659974</v>
      </c>
      <c r="CB99" s="206">
        <f>Formue!CI74</f>
        <v>3229.7367352939241</v>
      </c>
      <c r="CC99" s="206">
        <f>Formue!CJ74</f>
        <v>-2716.9271179091807</v>
      </c>
      <c r="CD99" s="206">
        <f>Formue!CK74</f>
        <v>-8848.0696023470973</v>
      </c>
      <c r="CE99" s="206">
        <f>Formue!CL74</f>
        <v>-15166.101105326063</v>
      </c>
      <c r="CF99" s="206">
        <f>Formue!CM74</f>
        <v>-21673.337223129347</v>
      </c>
      <c r="CG99" s="206">
        <f>Formue!CN74</f>
        <v>-28371.988846424043</v>
      </c>
      <c r="CH99" s="206"/>
      <c r="CI99" s="206"/>
      <c r="CJ99" s="206"/>
      <c r="CK99" s="206"/>
      <c r="CL99" s="206"/>
      <c r="CM99" s="206"/>
      <c r="CN99" s="206"/>
    </row>
    <row r="100" spans="1:96" ht="15.75" customHeight="1">
      <c r="A100" s="188"/>
      <c r="B100" s="127"/>
      <c r="C100" s="127"/>
      <c r="D100" s="127"/>
      <c r="E100" s="127"/>
      <c r="F100" s="127"/>
      <c r="G100" s="127"/>
      <c r="H100" s="127"/>
      <c r="I100" s="127"/>
      <c r="J100" s="127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</row>
    <row r="101" spans="1:96" ht="15.75" customHeight="1">
      <c r="A101" s="188"/>
      <c r="B101" s="127"/>
      <c r="C101" s="127"/>
      <c r="D101" s="127"/>
      <c r="E101" s="127"/>
      <c r="F101" s="127"/>
      <c r="G101" s="127"/>
      <c r="H101" s="127"/>
      <c r="I101" s="127"/>
      <c r="K101" s="94"/>
      <c r="L101" s="94"/>
      <c r="M101" s="80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80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</row>
    <row r="102" spans="1:96" ht="15.75" customHeight="1">
      <c r="A102" s="188"/>
      <c r="B102" s="127"/>
      <c r="C102" s="127"/>
      <c r="D102" s="127"/>
      <c r="E102" s="127"/>
      <c r="F102" s="127"/>
      <c r="G102" s="127"/>
      <c r="H102" s="127"/>
      <c r="I102" s="127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</row>
    <row r="103" spans="1:96" ht="15.75" customHeight="1">
      <c r="A103" s="256" t="s">
        <v>640</v>
      </c>
      <c r="B103" s="80"/>
      <c r="C103" s="80"/>
      <c r="D103" s="80"/>
      <c r="E103" s="80"/>
      <c r="F103" s="80"/>
      <c r="G103" s="80"/>
      <c r="H103" s="80"/>
      <c r="I103" s="80"/>
      <c r="J103" s="80"/>
      <c r="K103" s="94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</row>
    <row r="104" spans="1:96" ht="15.75" customHeight="1">
      <c r="A104" s="253" t="s">
        <v>709</v>
      </c>
      <c r="B104" s="251"/>
      <c r="C104" s="251"/>
      <c r="D104" s="251"/>
      <c r="E104" s="251"/>
      <c r="F104" s="251"/>
      <c r="G104" s="251"/>
      <c r="H104" s="251"/>
      <c r="I104" s="251">
        <v>311665.75820436003</v>
      </c>
      <c r="J104" s="251">
        <v>218255.63133165002</v>
      </c>
      <c r="K104" s="251">
        <v>124778.65341785</v>
      </c>
      <c r="L104" s="251">
        <v>167846.62850406003</v>
      </c>
      <c r="M104" s="251">
        <v>250958.80235355001</v>
      </c>
      <c r="N104" s="251">
        <v>256923.65152923999</v>
      </c>
      <c r="O104" s="251">
        <v>106824.48939982998</v>
      </c>
      <c r="P104" s="251">
        <v>287512.59763544996</v>
      </c>
      <c r="Q104" s="251">
        <v>1285223.0495520001</v>
      </c>
      <c r="R104" s="251">
        <v>978064.87363299995</v>
      </c>
      <c r="S104" s="251">
        <v>702159.39181099995</v>
      </c>
      <c r="T104" s="251">
        <v>661601</v>
      </c>
      <c r="U104" s="251">
        <v>526908.19999999995</v>
      </c>
      <c r="V104" s="251">
        <v>407654.37359999999</v>
      </c>
      <c r="W104" s="251">
        <v>380031.60091275512</v>
      </c>
      <c r="X104" s="251">
        <v>340095.0683479592</v>
      </c>
      <c r="Y104" s="251">
        <v>279907.85844141745</v>
      </c>
      <c r="Z104" s="251">
        <v>241434.71363651226</v>
      </c>
      <c r="AA104" s="251">
        <v>240877.07411134115</v>
      </c>
      <c r="AB104" s="251">
        <v>240207.64038628744</v>
      </c>
      <c r="AC104" s="251">
        <v>243004.96426466858</v>
      </c>
      <c r="AD104" s="251">
        <v>253485.96184610747</v>
      </c>
      <c r="AE104" s="251">
        <v>254640.18869715539</v>
      </c>
      <c r="AF104" s="251">
        <v>249473.30435239262</v>
      </c>
      <c r="AG104" s="251">
        <v>229935.56740300223</v>
      </c>
      <c r="AH104" s="251">
        <v>209224.21507105534</v>
      </c>
      <c r="AI104" s="251">
        <v>195906.54051383105</v>
      </c>
      <c r="AJ104" s="251">
        <v>183556.1949552744</v>
      </c>
      <c r="AK104" s="251">
        <v>178137.25854185133</v>
      </c>
      <c r="AL104" s="251">
        <v>164620.78186490035</v>
      </c>
      <c r="AM104" s="251">
        <v>161561.27847178231</v>
      </c>
      <c r="AN104" s="251">
        <v>152065.09344408213</v>
      </c>
      <c r="AO104" s="251">
        <v>147006.49506473821</v>
      </c>
      <c r="AP104" s="251">
        <v>140314.59556650935</v>
      </c>
      <c r="AQ104" s="251">
        <v>137796.20796118857</v>
      </c>
      <c r="AR104" s="251">
        <v>133349.55752020472</v>
      </c>
      <c r="AS104" s="251">
        <v>126817.75237058639</v>
      </c>
      <c r="AT104" s="251">
        <v>129073.78537878627</v>
      </c>
      <c r="AU104" s="251">
        <v>126418.40397636099</v>
      </c>
      <c r="AV104" s="251">
        <v>118683.20180295763</v>
      </c>
      <c r="AW104" s="251">
        <v>111774.15830552611</v>
      </c>
      <c r="AX104" s="251">
        <v>107715.42764511259</v>
      </c>
      <c r="AY104" s="251">
        <v>109415.49249540133</v>
      </c>
      <c r="AZ104" s="251">
        <v>110259.82172594997</v>
      </c>
      <c r="BA104" s="251">
        <v>107836.65726143733</v>
      </c>
      <c r="BB104" s="251">
        <v>102763.83401222908</v>
      </c>
      <c r="BC104" s="312">
        <v>100035.63988825423</v>
      </c>
      <c r="BD104" s="312">
        <v>97788.48357434271</v>
      </c>
      <c r="BE104" s="312">
        <v>95428.04320408871</v>
      </c>
      <c r="BF104" s="312">
        <v>92951.52310025676</v>
      </c>
      <c r="BG104" s="312">
        <v>90356.100545180481</v>
      </c>
      <c r="BH104" s="312">
        <v>87638.927602131749</v>
      </c>
      <c r="BI104" s="312">
        <v>84797.133098618971</v>
      </c>
      <c r="BJ104" s="312">
        <v>81827.824780713592</v>
      </c>
      <c r="BK104" s="312">
        <v>78728.091647946436</v>
      </c>
      <c r="BL104" s="312">
        <v>75495.006478772077</v>
      </c>
      <c r="BM104" s="312">
        <v>72125.628557083663</v>
      </c>
      <c r="BN104" s="312">
        <v>68617.006610758792</v>
      </c>
      <c r="BO104" s="312">
        <v>64966.181973744897</v>
      </c>
      <c r="BP104" s="312">
        <v>61170.191983738099</v>
      </c>
      <c r="BQ104" s="312">
        <v>57226.073628084334</v>
      </c>
      <c r="BR104" s="312">
        <v>53130.867451124432</v>
      </c>
      <c r="BS104" s="312">
        <v>48881.621736838351</v>
      </c>
      <c r="BT104" s="312">
        <v>44475.396981283033</v>
      </c>
      <c r="BU104" s="312">
        <v>39909.270670013873</v>
      </c>
      <c r="BV104" s="312">
        <v>35180.342376378314</v>
      </c>
      <c r="BW104" s="312">
        <v>30285.739197318911</v>
      </c>
      <c r="BX104" s="312">
        <v>25222.621544101665</v>
      </c>
      <c r="BY104" s="312">
        <v>19988.189306183227</v>
      </c>
      <c r="BZ104" s="312">
        <v>14579.68840729128</v>
      </c>
      <c r="CA104" s="312">
        <v>8994.417773659974</v>
      </c>
      <c r="CB104" s="312">
        <v>3229.7367352939241</v>
      </c>
      <c r="CC104" s="312">
        <v>-2716.9271179091807</v>
      </c>
      <c r="CD104" s="312">
        <v>-8848.0696023470973</v>
      </c>
      <c r="CE104" s="312">
        <v>-15166.101105326063</v>
      </c>
      <c r="CF104" s="312">
        <v>-21673.337223129347</v>
      </c>
      <c r="CG104" s="312">
        <v>-28371.988846424043</v>
      </c>
      <c r="CH104" s="312"/>
      <c r="CI104" s="312"/>
      <c r="CJ104" s="312"/>
      <c r="CK104" s="312"/>
      <c r="CL104" s="312"/>
      <c r="CM104" s="312"/>
      <c r="CN104" s="312"/>
      <c r="CO104" s="312"/>
      <c r="CP104" s="312"/>
      <c r="CQ104" s="312"/>
      <c r="CR104" s="312"/>
    </row>
    <row r="105" spans="1:96" ht="15.75" customHeight="1">
      <c r="A105" s="253" t="s">
        <v>504</v>
      </c>
      <c r="B105" s="258"/>
      <c r="C105" s="258"/>
      <c r="D105" s="258"/>
      <c r="E105" s="258"/>
      <c r="F105" s="258"/>
      <c r="G105" s="258"/>
      <c r="H105" s="258"/>
      <c r="I105" s="258">
        <f t="shared" ref="I105:AN105" si="185">I99-I104</f>
        <v>0</v>
      </c>
      <c r="J105" s="258">
        <f t="shared" si="185"/>
        <v>0</v>
      </c>
      <c r="K105" s="258">
        <f t="shared" si="185"/>
        <v>0</v>
      </c>
      <c r="L105" s="258">
        <f t="shared" si="185"/>
        <v>0</v>
      </c>
      <c r="M105" s="258">
        <f t="shared" si="185"/>
        <v>0</v>
      </c>
      <c r="N105" s="258">
        <f t="shared" si="185"/>
        <v>0</v>
      </c>
      <c r="O105" s="258">
        <f t="shared" si="185"/>
        <v>0</v>
      </c>
      <c r="P105" s="258">
        <f t="shared" si="185"/>
        <v>0</v>
      </c>
      <c r="Q105" s="258">
        <f t="shared" si="185"/>
        <v>0</v>
      </c>
      <c r="R105" s="258">
        <f t="shared" si="185"/>
        <v>0</v>
      </c>
      <c r="S105" s="258">
        <f t="shared" si="185"/>
        <v>0</v>
      </c>
      <c r="T105" s="258">
        <f t="shared" si="185"/>
        <v>2014.5409999999683</v>
      </c>
      <c r="U105" s="258">
        <f t="shared" si="185"/>
        <v>-5602.5999999999767</v>
      </c>
      <c r="V105" s="258">
        <f t="shared" si="185"/>
        <v>0</v>
      </c>
      <c r="W105" s="258">
        <f t="shared" si="185"/>
        <v>0</v>
      </c>
      <c r="X105" s="258">
        <f t="shared" si="185"/>
        <v>0</v>
      </c>
      <c r="Y105" s="258">
        <f t="shared" si="185"/>
        <v>0</v>
      </c>
      <c r="Z105" s="258">
        <f t="shared" si="185"/>
        <v>0</v>
      </c>
      <c r="AA105" s="258">
        <f t="shared" si="185"/>
        <v>0</v>
      </c>
      <c r="AB105" s="258">
        <f t="shared" si="185"/>
        <v>0</v>
      </c>
      <c r="AC105" s="258">
        <f t="shared" si="185"/>
        <v>0</v>
      </c>
      <c r="AD105" s="258">
        <f t="shared" si="185"/>
        <v>0</v>
      </c>
      <c r="AE105" s="258">
        <f t="shared" si="185"/>
        <v>0</v>
      </c>
      <c r="AF105" s="258">
        <f t="shared" si="185"/>
        <v>0</v>
      </c>
      <c r="AG105" s="258">
        <f t="shared" si="185"/>
        <v>0</v>
      </c>
      <c r="AH105" s="258">
        <f t="shared" si="185"/>
        <v>0</v>
      </c>
      <c r="AI105" s="258">
        <f t="shared" si="185"/>
        <v>0</v>
      </c>
      <c r="AJ105" s="258">
        <f t="shared" si="185"/>
        <v>0</v>
      </c>
      <c r="AK105" s="258">
        <f t="shared" si="185"/>
        <v>0</v>
      </c>
      <c r="AL105" s="258">
        <f t="shared" si="185"/>
        <v>0</v>
      </c>
      <c r="AM105" s="258">
        <f t="shared" si="185"/>
        <v>0</v>
      </c>
      <c r="AN105" s="258">
        <f t="shared" si="185"/>
        <v>0</v>
      </c>
      <c r="AO105" s="258">
        <f t="shared" ref="AO105:BT105" si="186">AO99-AO104</f>
        <v>0</v>
      </c>
      <c r="AP105" s="258">
        <f t="shared" si="186"/>
        <v>0</v>
      </c>
      <c r="AQ105" s="258">
        <f t="shared" si="186"/>
        <v>0</v>
      </c>
      <c r="AR105" s="258">
        <f t="shared" si="186"/>
        <v>0</v>
      </c>
      <c r="AS105" s="258">
        <f t="shared" si="186"/>
        <v>0</v>
      </c>
      <c r="AT105" s="258">
        <f t="shared" si="186"/>
        <v>0</v>
      </c>
      <c r="AU105" s="258">
        <f t="shared" si="186"/>
        <v>0</v>
      </c>
      <c r="AV105" s="258">
        <f t="shared" si="186"/>
        <v>0</v>
      </c>
      <c r="AW105" s="258">
        <f t="shared" si="186"/>
        <v>0</v>
      </c>
      <c r="AX105" s="258">
        <f t="shared" si="186"/>
        <v>0</v>
      </c>
      <c r="AY105" s="258">
        <f t="shared" si="186"/>
        <v>0</v>
      </c>
      <c r="AZ105" s="258">
        <f t="shared" si="186"/>
        <v>0</v>
      </c>
      <c r="BA105" s="258">
        <f t="shared" si="186"/>
        <v>0</v>
      </c>
      <c r="BB105" s="258">
        <f t="shared" si="186"/>
        <v>0</v>
      </c>
      <c r="BC105" s="258">
        <f t="shared" si="186"/>
        <v>0</v>
      </c>
      <c r="BD105" s="258">
        <f t="shared" si="186"/>
        <v>0</v>
      </c>
      <c r="BE105" s="258">
        <f t="shared" si="186"/>
        <v>0</v>
      </c>
      <c r="BF105" s="258">
        <f t="shared" si="186"/>
        <v>0</v>
      </c>
      <c r="BG105" s="258">
        <f t="shared" si="186"/>
        <v>0</v>
      </c>
      <c r="BH105" s="258">
        <f t="shared" si="186"/>
        <v>0</v>
      </c>
      <c r="BI105" s="258">
        <f t="shared" si="186"/>
        <v>0</v>
      </c>
      <c r="BJ105" s="258">
        <f t="shared" si="186"/>
        <v>0</v>
      </c>
      <c r="BK105" s="258">
        <f t="shared" si="186"/>
        <v>0</v>
      </c>
      <c r="BL105" s="258">
        <f t="shared" si="186"/>
        <v>0</v>
      </c>
      <c r="BM105" s="258">
        <f t="shared" si="186"/>
        <v>0</v>
      </c>
      <c r="BN105" s="258">
        <f t="shared" si="186"/>
        <v>0</v>
      </c>
      <c r="BO105" s="258">
        <f t="shared" si="186"/>
        <v>0</v>
      </c>
      <c r="BP105" s="258">
        <f t="shared" si="186"/>
        <v>0</v>
      </c>
      <c r="BQ105" s="258">
        <f t="shared" si="186"/>
        <v>0</v>
      </c>
      <c r="BR105" s="258">
        <f t="shared" si="186"/>
        <v>0</v>
      </c>
      <c r="BS105" s="258">
        <f t="shared" si="186"/>
        <v>0</v>
      </c>
      <c r="BT105" s="258">
        <f t="shared" si="186"/>
        <v>0</v>
      </c>
      <c r="BU105" s="258">
        <f t="shared" ref="BU105:CG105" si="187">BU99-BU104</f>
        <v>0</v>
      </c>
      <c r="BV105" s="258">
        <f t="shared" si="187"/>
        <v>0</v>
      </c>
      <c r="BW105" s="258">
        <f t="shared" si="187"/>
        <v>0</v>
      </c>
      <c r="BX105" s="258">
        <f t="shared" si="187"/>
        <v>0</v>
      </c>
      <c r="BY105" s="258">
        <f t="shared" si="187"/>
        <v>0</v>
      </c>
      <c r="BZ105" s="258">
        <f t="shared" si="187"/>
        <v>0</v>
      </c>
      <c r="CA105" s="258">
        <f t="shared" si="187"/>
        <v>0</v>
      </c>
      <c r="CB105" s="258">
        <f t="shared" si="187"/>
        <v>0</v>
      </c>
      <c r="CC105" s="258">
        <f t="shared" si="187"/>
        <v>0</v>
      </c>
      <c r="CD105" s="258">
        <f t="shared" si="187"/>
        <v>0</v>
      </c>
      <c r="CE105" s="258">
        <f t="shared" si="187"/>
        <v>0</v>
      </c>
      <c r="CF105" s="258">
        <f t="shared" si="187"/>
        <v>0</v>
      </c>
      <c r="CG105" s="258">
        <f t="shared" si="187"/>
        <v>0</v>
      </c>
      <c r="CH105" s="258"/>
      <c r="CI105" s="258"/>
      <c r="CJ105" s="258"/>
      <c r="CK105" s="258"/>
      <c r="CL105" s="258"/>
      <c r="CM105" s="258"/>
      <c r="CN105" s="258"/>
      <c r="CO105" s="258"/>
      <c r="CP105" s="258"/>
      <c r="CQ105" s="258"/>
    </row>
    <row r="106" spans="1:96" ht="15.75" customHeight="1">
      <c r="A106" s="253"/>
      <c r="B106" s="258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80"/>
      <c r="R106" s="258"/>
      <c r="S106" s="258"/>
      <c r="T106" s="258"/>
      <c r="U106" s="258"/>
      <c r="V106" s="258"/>
      <c r="W106" s="258"/>
      <c r="X106" s="258"/>
      <c r="Y106" s="258"/>
      <c r="Z106" s="258"/>
      <c r="AA106" s="258"/>
      <c r="AB106" s="258"/>
      <c r="AC106" s="258"/>
      <c r="AD106" s="258"/>
      <c r="AE106" s="258"/>
      <c r="AF106" s="258"/>
      <c r="AG106" s="258"/>
      <c r="AH106" s="258"/>
      <c r="AI106" s="258"/>
      <c r="AJ106" s="258"/>
      <c r="AK106" s="258"/>
      <c r="AL106" s="258"/>
      <c r="AM106" s="258"/>
      <c r="AN106" s="258"/>
      <c r="AO106" s="258"/>
      <c r="AP106" s="258"/>
      <c r="AQ106" s="258"/>
      <c r="AR106" s="258"/>
      <c r="AS106" s="258"/>
      <c r="AT106" s="258"/>
      <c r="AU106" s="258"/>
      <c r="AV106" s="258"/>
      <c r="AW106" s="258"/>
      <c r="AX106" s="258"/>
      <c r="AY106" s="258"/>
      <c r="AZ106" s="258"/>
      <c r="BA106" s="258"/>
      <c r="BB106" s="258"/>
      <c r="BC106" s="258"/>
      <c r="BD106" s="258"/>
      <c r="BE106" s="258"/>
      <c r="BF106" s="258"/>
      <c r="BG106" s="258"/>
      <c r="BH106" s="258"/>
      <c r="BI106" s="258"/>
      <c r="BJ106" s="258"/>
      <c r="BK106" s="258"/>
      <c r="BL106" s="258"/>
      <c r="BM106" s="258"/>
      <c r="BN106" s="258"/>
      <c r="BO106" s="258"/>
      <c r="BP106" s="258"/>
      <c r="BQ106" s="258"/>
      <c r="BR106" s="258"/>
      <c r="BS106" s="258"/>
      <c r="BT106" s="258"/>
      <c r="BU106" s="258"/>
      <c r="BV106" s="258"/>
      <c r="BW106" s="258"/>
      <c r="BX106" s="258"/>
      <c r="BY106" s="258"/>
      <c r="BZ106" s="258"/>
      <c r="CA106" s="258"/>
      <c r="CB106" s="258"/>
      <c r="CC106" s="258"/>
      <c r="CD106" s="258"/>
      <c r="CE106" s="258"/>
      <c r="CF106" s="258"/>
      <c r="CG106" s="258"/>
      <c r="CH106" s="258"/>
      <c r="CI106" s="258"/>
      <c r="CJ106" s="258"/>
      <c r="CK106" s="258"/>
      <c r="CL106" s="258"/>
      <c r="CM106" s="258"/>
      <c r="CN106" s="258"/>
    </row>
    <row r="107" spans="1:96" ht="15.75" customHeight="1">
      <c r="A107" s="256" t="s">
        <v>644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94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</row>
    <row r="108" spans="1:96" ht="15.75" customHeight="1">
      <c r="A108" s="253" t="s">
        <v>708</v>
      </c>
      <c r="B108" s="251"/>
      <c r="C108" s="251"/>
      <c r="D108" s="251"/>
      <c r="E108" s="251"/>
      <c r="F108" s="251"/>
      <c r="G108" s="251"/>
      <c r="H108" s="251"/>
      <c r="I108" s="251">
        <v>311665.75820436003</v>
      </c>
      <c r="J108" s="251">
        <v>218255.63133165002</v>
      </c>
      <c r="K108" s="251">
        <v>124778.65341785</v>
      </c>
      <c r="L108" s="251">
        <v>167846.62850406003</v>
      </c>
      <c r="M108" s="251">
        <v>250958.80235355001</v>
      </c>
      <c r="N108" s="251">
        <v>256923.65152923999</v>
      </c>
      <c r="O108" s="251">
        <v>106824.48939982998</v>
      </c>
      <c r="P108" s="251">
        <v>287512.59763544996</v>
      </c>
      <c r="Q108" s="251">
        <v>1285223.0495520001</v>
      </c>
      <c r="R108" s="251">
        <v>978064.87363299995</v>
      </c>
      <c r="S108" s="251">
        <v>702159.39181099995</v>
      </c>
      <c r="T108" s="251">
        <v>697701</v>
      </c>
      <c r="U108" s="251">
        <v>594407.19999999995</v>
      </c>
      <c r="V108" s="251">
        <v>474104.72048163268</v>
      </c>
      <c r="W108" s="251">
        <v>433036.29231632652</v>
      </c>
      <c r="X108" s="251">
        <v>387988.54277959181</v>
      </c>
      <c r="Y108" s="251">
        <v>320712.37809795735</v>
      </c>
      <c r="Z108" s="251">
        <v>271695.0263776778</v>
      </c>
      <c r="AA108" s="251">
        <v>267711.72863568878</v>
      </c>
      <c r="AB108" s="251">
        <v>268489.78449117515</v>
      </c>
      <c r="AC108" s="251">
        <v>273230.88477495237</v>
      </c>
      <c r="AD108" s="251">
        <v>283299.43402281922</v>
      </c>
      <c r="AE108" s="251">
        <v>284811.84696235677</v>
      </c>
      <c r="AF108" s="251">
        <v>278630.9746337398</v>
      </c>
      <c r="AG108" s="251">
        <v>258946.47167175202</v>
      </c>
      <c r="AH108" s="251">
        <v>238012.26325902369</v>
      </c>
      <c r="AI108" s="251">
        <v>224024.54025242565</v>
      </c>
      <c r="AJ108" s="251">
        <v>210303.42146168451</v>
      </c>
      <c r="AK108" s="251">
        <v>204233.94315978501</v>
      </c>
      <c r="AL108" s="251">
        <v>190315.16326855516</v>
      </c>
      <c r="AM108" s="251">
        <v>186573.27696691829</v>
      </c>
      <c r="AN108" s="251">
        <v>176806.06384058954</v>
      </c>
      <c r="AO108" s="251">
        <v>171177.010725789</v>
      </c>
      <c r="AP108" s="251">
        <v>163585.7368217379</v>
      </c>
      <c r="AQ108" s="251">
        <v>160329.08232850366</v>
      </c>
      <c r="AR108" s="251">
        <v>156267.32099049288</v>
      </c>
      <c r="AS108" s="251">
        <v>149063.20955555959</v>
      </c>
      <c r="AT108" s="251">
        <v>149897.2239329264</v>
      </c>
      <c r="AU108" s="251">
        <v>147174.10212249018</v>
      </c>
      <c r="AV108" s="251">
        <v>139138.08729693838</v>
      </c>
      <c r="AW108" s="251">
        <v>132339.56688914358</v>
      </c>
      <c r="AX108" s="251">
        <v>128182.62818701685</v>
      </c>
      <c r="AY108" s="251">
        <v>129929.58908740181</v>
      </c>
      <c r="AZ108" s="251">
        <v>130040.16970816589</v>
      </c>
      <c r="BA108" s="251">
        <v>127430.51287744747</v>
      </c>
      <c r="BB108" s="251">
        <v>121777.61525763018</v>
      </c>
      <c r="BC108" s="312">
        <v>118961.2102263647</v>
      </c>
      <c r="BD108" s="312">
        <v>117055.68284978095</v>
      </c>
      <c r="BE108" s="312">
        <v>115045.08112698181</v>
      </c>
      <c r="BF108" s="312">
        <v>112926.87375204498</v>
      </c>
      <c r="BG108" s="312">
        <v>110698.51218896918</v>
      </c>
      <c r="BH108" s="312">
        <v>108357.43286771001</v>
      </c>
      <c r="BI108" s="312">
        <v>105901.05955629636</v>
      </c>
      <c r="BJ108" s="312">
        <v>103326.80591865088</v>
      </c>
      <c r="BK108" s="312">
        <v>100632.07826820156</v>
      </c>
      <c r="BL108" s="312">
        <v>97814.278527845061</v>
      </c>
      <c r="BM108" s="312">
        <v>94870.807407329485</v>
      </c>
      <c r="BN108" s="312">
        <v>91799.067809643806</v>
      </c>
      <c r="BO108" s="312">
        <v>88596.468478549388</v>
      </c>
      <c r="BP108" s="312">
        <v>85260.427899958959</v>
      </c>
      <c r="BQ108" s="312">
        <v>81788.378470465832</v>
      </c>
      <c r="BR108" s="312">
        <v>78177.770946946359</v>
      </c>
      <c r="BS108" s="312">
        <v>74426.079191811688</v>
      </c>
      <c r="BT108" s="312">
        <v>70530.805229159523</v>
      </c>
      <c r="BU108" s="312">
        <v>66489.484627788508</v>
      </c>
      <c r="BV108" s="312">
        <v>62299.692227774889</v>
      </c>
      <c r="BW108" s="312">
        <v>57959.048228085303</v>
      </c>
      <c r="BX108" s="312">
        <v>53465.224653500212</v>
      </c>
      <c r="BY108" s="312">
        <v>48815.952219972351</v>
      </c>
      <c r="BZ108" s="312">
        <v>44009.027618413078</v>
      </c>
      <c r="CA108" s="312">
        <v>39042.321237820135</v>
      </c>
      <c r="CB108" s="312">
        <v>33913.785349617276</v>
      </c>
      <c r="CC108" s="312">
        <v>28621.462776069264</v>
      </c>
      <c r="CD108" s="312">
        <v>23163.496066682685</v>
      </c>
      <c r="CE108" s="312">
        <v>17538.137207581938</v>
      </c>
      <c r="CF108" s="312">
        <v>11743.757889991053</v>
      </c>
      <c r="CG108" s="312">
        <v>5778.8603651243448</v>
      </c>
      <c r="CH108" s="312"/>
      <c r="CI108" s="312"/>
      <c r="CJ108" s="312"/>
      <c r="CK108" s="312"/>
      <c r="CL108" s="312"/>
      <c r="CM108" s="312"/>
      <c r="CN108" s="312"/>
      <c r="CO108" s="312"/>
      <c r="CP108" s="312"/>
      <c r="CQ108" s="312"/>
      <c r="CR108" s="312"/>
    </row>
    <row r="109" spans="1:96" ht="15.75" customHeight="1">
      <c r="A109" s="253" t="s">
        <v>504</v>
      </c>
      <c r="B109" s="258"/>
      <c r="C109" s="258"/>
      <c r="D109" s="258"/>
      <c r="E109" s="258"/>
      <c r="F109" s="258"/>
      <c r="G109" s="258"/>
      <c r="H109" s="258"/>
      <c r="I109" s="258">
        <f>I99-I108</f>
        <v>0</v>
      </c>
      <c r="J109" s="258">
        <f t="shared" ref="J109:BU109" si="188">J99-J108</f>
        <v>0</v>
      </c>
      <c r="K109" s="258">
        <f t="shared" si="188"/>
        <v>0</v>
      </c>
      <c r="L109" s="258">
        <f t="shared" si="188"/>
        <v>0</v>
      </c>
      <c r="M109" s="258">
        <f t="shared" si="188"/>
        <v>0</v>
      </c>
      <c r="N109" s="258">
        <f t="shared" si="188"/>
        <v>0</v>
      </c>
      <c r="O109" s="258">
        <f t="shared" si="188"/>
        <v>0</v>
      </c>
      <c r="P109" s="258">
        <f t="shared" si="188"/>
        <v>0</v>
      </c>
      <c r="Q109" s="258">
        <f t="shared" si="188"/>
        <v>0</v>
      </c>
      <c r="R109" s="258">
        <f t="shared" si="188"/>
        <v>0</v>
      </c>
      <c r="S109" s="258">
        <f t="shared" si="188"/>
        <v>0</v>
      </c>
      <c r="T109" s="258">
        <f t="shared" si="188"/>
        <v>-34085.459000000032</v>
      </c>
      <c r="U109" s="258">
        <f t="shared" si="188"/>
        <v>-73101.599999999977</v>
      </c>
      <c r="V109" s="258">
        <f t="shared" si="188"/>
        <v>-66450.346881632693</v>
      </c>
      <c r="W109" s="258">
        <f t="shared" si="188"/>
        <v>-53004.6914035714</v>
      </c>
      <c r="X109" s="258">
        <f t="shared" si="188"/>
        <v>-47893.474431632611</v>
      </c>
      <c r="Y109" s="258">
        <f t="shared" si="188"/>
        <v>-40804.519656539895</v>
      </c>
      <c r="Z109" s="258">
        <f t="shared" si="188"/>
        <v>-30260.312741165544</v>
      </c>
      <c r="AA109" s="258">
        <f t="shared" si="188"/>
        <v>-26834.654524347628</v>
      </c>
      <c r="AB109" s="258">
        <f t="shared" si="188"/>
        <v>-28282.144104887702</v>
      </c>
      <c r="AC109" s="258">
        <f t="shared" si="188"/>
        <v>-30225.920510283788</v>
      </c>
      <c r="AD109" s="258">
        <f t="shared" si="188"/>
        <v>-29813.472176711744</v>
      </c>
      <c r="AE109" s="258">
        <f t="shared" si="188"/>
        <v>-30171.658265201375</v>
      </c>
      <c r="AF109" s="258">
        <f t="shared" si="188"/>
        <v>-29157.670281347178</v>
      </c>
      <c r="AG109" s="258">
        <f t="shared" si="188"/>
        <v>-29010.904268749786</v>
      </c>
      <c r="AH109" s="258">
        <f t="shared" si="188"/>
        <v>-28788.04818796835</v>
      </c>
      <c r="AI109" s="258">
        <f t="shared" si="188"/>
        <v>-28117.999738594604</v>
      </c>
      <c r="AJ109" s="258">
        <f t="shared" si="188"/>
        <v>-26747.226506410108</v>
      </c>
      <c r="AK109" s="258">
        <f t="shared" si="188"/>
        <v>-26096.684617933672</v>
      </c>
      <c r="AL109" s="258">
        <f t="shared" si="188"/>
        <v>-25694.381403654814</v>
      </c>
      <c r="AM109" s="258">
        <f t="shared" si="188"/>
        <v>-25011.99849513598</v>
      </c>
      <c r="AN109" s="258">
        <f t="shared" si="188"/>
        <v>-24740.970396507415</v>
      </c>
      <c r="AO109" s="258">
        <f t="shared" si="188"/>
        <v>-24170.515661050798</v>
      </c>
      <c r="AP109" s="258">
        <f t="shared" si="188"/>
        <v>-23271.141255228547</v>
      </c>
      <c r="AQ109" s="258">
        <f t="shared" si="188"/>
        <v>-22532.874367315089</v>
      </c>
      <c r="AR109" s="258">
        <f t="shared" si="188"/>
        <v>-22917.763470288162</v>
      </c>
      <c r="AS109" s="258">
        <f t="shared" si="188"/>
        <v>-22245.457184973202</v>
      </c>
      <c r="AT109" s="258">
        <f t="shared" si="188"/>
        <v>-20823.438554140128</v>
      </c>
      <c r="AU109" s="258">
        <f t="shared" si="188"/>
        <v>-20755.698146129187</v>
      </c>
      <c r="AV109" s="258">
        <f t="shared" si="188"/>
        <v>-20454.88549398075</v>
      </c>
      <c r="AW109" s="258">
        <f t="shared" si="188"/>
        <v>-20565.408583617464</v>
      </c>
      <c r="AX109" s="258">
        <f t="shared" si="188"/>
        <v>-20467.200541904254</v>
      </c>
      <c r="AY109" s="258">
        <f t="shared" si="188"/>
        <v>-20514.096592000482</v>
      </c>
      <c r="AZ109" s="258">
        <f t="shared" si="188"/>
        <v>-19780.347982215928</v>
      </c>
      <c r="BA109" s="258">
        <f t="shared" si="188"/>
        <v>-19593.855616010143</v>
      </c>
      <c r="BB109" s="258">
        <f t="shared" si="188"/>
        <v>-19013.7812454011</v>
      </c>
      <c r="BC109" s="258">
        <f t="shared" si="188"/>
        <v>-18925.570338110469</v>
      </c>
      <c r="BD109" s="258">
        <f t="shared" si="188"/>
        <v>-19267.199275438237</v>
      </c>
      <c r="BE109" s="258">
        <f t="shared" si="188"/>
        <v>-19617.037922893098</v>
      </c>
      <c r="BF109" s="258">
        <f t="shared" si="188"/>
        <v>-19975.35065178822</v>
      </c>
      <c r="BG109" s="258">
        <f t="shared" si="188"/>
        <v>-20342.411643788699</v>
      </c>
      <c r="BH109" s="258">
        <f t="shared" si="188"/>
        <v>-20718.505265578264</v>
      </c>
      <c r="BI109" s="258">
        <f t="shared" si="188"/>
        <v>-21103.926457677386</v>
      </c>
      <c r="BJ109" s="258">
        <f t="shared" si="188"/>
        <v>-21498.981137937284</v>
      </c>
      <c r="BK109" s="258">
        <f t="shared" si="188"/>
        <v>-21903.98662025512</v>
      </c>
      <c r="BL109" s="258">
        <f t="shared" si="188"/>
        <v>-22319.272049072984</v>
      </c>
      <c r="BM109" s="258">
        <f t="shared" si="188"/>
        <v>-22745.178850245822</v>
      </c>
      <c r="BN109" s="258">
        <f t="shared" si="188"/>
        <v>-23182.061198885014</v>
      </c>
      <c r="BO109" s="258">
        <f t="shared" si="188"/>
        <v>-23630.286504804491</v>
      </c>
      <c r="BP109" s="258">
        <f t="shared" si="188"/>
        <v>-24090.23591622086</v>
      </c>
      <c r="BQ109" s="258">
        <f t="shared" si="188"/>
        <v>-24562.304842381498</v>
      </c>
      <c r="BR109" s="258">
        <f t="shared" si="188"/>
        <v>-25046.903495821927</v>
      </c>
      <c r="BS109" s="258">
        <f t="shared" si="188"/>
        <v>-25544.457454973337</v>
      </c>
      <c r="BT109" s="258">
        <f t="shared" si="188"/>
        <v>-26055.40824787649</v>
      </c>
      <c r="BU109" s="258">
        <f t="shared" si="188"/>
        <v>-26580.213957774635</v>
      </c>
      <c r="BV109" s="258">
        <f t="shared" ref="BV109:CG109" si="189">BV99-BV108</f>
        <v>-27119.349851396575</v>
      </c>
      <c r="BW109" s="258">
        <f t="shared" si="189"/>
        <v>-27673.309030766392</v>
      </c>
      <c r="BX109" s="258">
        <f t="shared" si="189"/>
        <v>-28242.603109398548</v>
      </c>
      <c r="BY109" s="258">
        <f t="shared" si="189"/>
        <v>-28827.762913789124</v>
      </c>
      <c r="BZ109" s="258">
        <f t="shared" si="189"/>
        <v>-29429.339211121798</v>
      </c>
      <c r="CA109" s="258">
        <f t="shared" si="189"/>
        <v>-30047.903464160161</v>
      </c>
      <c r="CB109" s="258">
        <f t="shared" si="189"/>
        <v>-30684.04861432335</v>
      </c>
      <c r="CC109" s="258">
        <f t="shared" si="189"/>
        <v>-31338.389893978445</v>
      </c>
      <c r="CD109" s="258">
        <f t="shared" si="189"/>
        <v>-32011.565669029784</v>
      </c>
      <c r="CE109" s="258">
        <f t="shared" si="189"/>
        <v>-32704.238312908001</v>
      </c>
      <c r="CF109" s="258">
        <f t="shared" si="189"/>
        <v>-33417.095113120398</v>
      </c>
      <c r="CG109" s="258">
        <f t="shared" si="189"/>
        <v>-34150.84921154839</v>
      </c>
      <c r="CH109" s="258"/>
      <c r="CI109" s="258"/>
      <c r="CJ109" s="258"/>
      <c r="CK109" s="258"/>
      <c r="CL109" s="258"/>
      <c r="CM109" s="258"/>
      <c r="CN109" s="258"/>
      <c r="CO109" s="258"/>
      <c r="CP109" s="258"/>
      <c r="CQ109" s="258"/>
    </row>
    <row r="110" spans="1:96" ht="15.75" customHeight="1">
      <c r="A110" s="253"/>
      <c r="B110" s="258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80"/>
      <c r="R110" s="258"/>
      <c r="S110" s="258"/>
      <c r="T110" s="258"/>
      <c r="U110" s="258"/>
      <c r="V110" s="258"/>
      <c r="W110" s="258"/>
      <c r="X110" s="258"/>
      <c r="Y110" s="258"/>
      <c r="Z110" s="258"/>
      <c r="AA110" s="258"/>
      <c r="AB110" s="258"/>
      <c r="AC110" s="258"/>
      <c r="AD110" s="258"/>
      <c r="AE110" s="258"/>
      <c r="AF110" s="258"/>
      <c r="AG110" s="258"/>
      <c r="AH110" s="258"/>
      <c r="AI110" s="258"/>
      <c r="AJ110" s="258"/>
      <c r="AK110" s="258"/>
      <c r="AL110" s="258"/>
      <c r="AM110" s="258"/>
      <c r="AN110" s="258"/>
      <c r="AO110" s="258"/>
      <c r="AP110" s="258"/>
      <c r="AQ110" s="258"/>
      <c r="AR110" s="258"/>
      <c r="AS110" s="258"/>
      <c r="AT110" s="258"/>
      <c r="AU110" s="258"/>
      <c r="AV110" s="258"/>
      <c r="AW110" s="258"/>
      <c r="AX110" s="258"/>
      <c r="AY110" s="258"/>
      <c r="AZ110" s="258"/>
      <c r="BA110" s="258"/>
      <c r="BB110" s="258"/>
      <c r="BC110" s="258"/>
      <c r="BD110" s="258"/>
      <c r="BE110" s="258"/>
      <c r="BF110" s="258"/>
      <c r="BG110" s="258"/>
      <c r="BH110" s="258"/>
      <c r="BI110" s="258"/>
      <c r="BJ110" s="258"/>
      <c r="BK110" s="258"/>
      <c r="BL110" s="258"/>
      <c r="BM110" s="258"/>
      <c r="BN110" s="258"/>
      <c r="BO110" s="258"/>
      <c r="BP110" s="258"/>
      <c r="BQ110" s="258"/>
      <c r="BR110" s="258"/>
      <c r="BS110" s="258"/>
      <c r="BT110" s="258"/>
      <c r="BU110" s="258"/>
      <c r="BV110" s="258"/>
      <c r="BW110" s="258"/>
      <c r="BX110" s="258"/>
      <c r="BY110" s="258"/>
      <c r="BZ110" s="258"/>
      <c r="CA110" s="258"/>
      <c r="CB110" s="258"/>
      <c r="CC110" s="258"/>
      <c r="CD110" s="258"/>
      <c r="CE110" s="258"/>
      <c r="CF110" s="258"/>
      <c r="CG110" s="258"/>
      <c r="CH110" s="258"/>
      <c r="CI110" s="258"/>
      <c r="CJ110" s="258"/>
      <c r="CK110" s="258"/>
      <c r="CL110" s="258"/>
      <c r="CM110" s="258"/>
      <c r="CN110" s="258"/>
    </row>
    <row r="111" spans="1:96" ht="15.75" customHeight="1">
      <c r="A111" s="253"/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80"/>
      <c r="R111" s="258"/>
      <c r="S111" s="258"/>
      <c r="T111" s="258"/>
      <c r="U111" s="258"/>
      <c r="V111" s="258"/>
      <c r="W111" s="258"/>
      <c r="X111" s="258"/>
      <c r="Y111" s="258"/>
      <c r="Z111" s="258"/>
      <c r="AA111" s="258"/>
      <c r="AB111" s="258"/>
      <c r="AC111" s="258"/>
      <c r="AD111" s="258"/>
      <c r="AE111" s="258"/>
      <c r="AF111" s="258"/>
      <c r="AG111" s="258"/>
      <c r="AH111" s="258"/>
      <c r="AI111" s="258"/>
      <c r="AJ111" s="258"/>
      <c r="AK111" s="258"/>
      <c r="AL111" s="258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  <c r="BJ111" s="258"/>
      <c r="BK111" s="258"/>
      <c r="BL111" s="258"/>
      <c r="BM111" s="258"/>
      <c r="BN111" s="258"/>
      <c r="BO111" s="258"/>
      <c r="BP111" s="258"/>
      <c r="BQ111" s="258"/>
      <c r="BR111" s="258"/>
      <c r="BS111" s="258"/>
      <c r="BT111" s="258"/>
      <c r="BU111" s="258"/>
      <c r="BV111" s="258"/>
      <c r="BW111" s="258"/>
      <c r="BX111" s="258"/>
      <c r="BY111" s="258"/>
      <c r="BZ111" s="258"/>
      <c r="CA111" s="258"/>
      <c r="CB111" s="258"/>
      <c r="CC111" s="258"/>
      <c r="CD111" s="258"/>
      <c r="CE111" s="258"/>
      <c r="CF111" s="258"/>
      <c r="CG111" s="258"/>
      <c r="CH111" s="258"/>
      <c r="CI111" s="258"/>
      <c r="CJ111" s="258"/>
      <c r="CK111" s="258"/>
      <c r="CL111" s="258"/>
      <c r="CM111" s="258"/>
      <c r="CN111" s="258"/>
    </row>
    <row r="112" spans="1:96" ht="15.75" customHeight="1">
      <c r="B112" s="80"/>
      <c r="C112" s="80"/>
      <c r="D112" s="80"/>
      <c r="E112" s="80"/>
      <c r="F112" s="80"/>
      <c r="G112" s="80"/>
      <c r="H112" s="80"/>
      <c r="I112" s="80"/>
      <c r="J112" s="80"/>
      <c r="K112" s="658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</row>
    <row r="113" spans="1:65" ht="15.75" customHeight="1">
      <c r="B113" s="80"/>
      <c r="C113" s="80"/>
      <c r="D113" s="80"/>
      <c r="E113" s="80"/>
      <c r="F113" s="80"/>
      <c r="G113" s="80"/>
      <c r="H113" s="80"/>
      <c r="I113" s="80"/>
      <c r="J113" s="80"/>
      <c r="K113" s="94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</row>
    <row r="114" spans="1:65" ht="15.75" customHeight="1">
      <c r="B114" s="80"/>
      <c r="C114" s="80"/>
      <c r="D114" s="80"/>
      <c r="E114" s="80"/>
      <c r="F114" s="80"/>
      <c r="G114" s="182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</row>
    <row r="115" spans="1:65" ht="15.75" customHeight="1">
      <c r="A115" s="253" t="s">
        <v>457</v>
      </c>
      <c r="I115" s="80" t="s">
        <v>569</v>
      </c>
      <c r="J115" s="296"/>
      <c r="K115" s="296">
        <f t="shared" ref="K115:T115" si="190">K75/K99</f>
        <v>0.38152236789141231</v>
      </c>
      <c r="L115" s="296">
        <f t="shared" si="190"/>
        <v>0.424058411457924</v>
      </c>
      <c r="M115" s="296">
        <f t="shared" si="190"/>
        <v>0.4673555471623444</v>
      </c>
      <c r="N115" s="296">
        <f t="shared" si="190"/>
        <v>0.54638426753024616</v>
      </c>
      <c r="O115" s="296">
        <f t="shared" si="190"/>
        <v>0.33145840094281181</v>
      </c>
      <c r="P115" s="296">
        <f t="shared" si="190"/>
        <v>0.31946002228204678</v>
      </c>
      <c r="Q115" s="296">
        <f t="shared" si="190"/>
        <v>0.56093840311166254</v>
      </c>
      <c r="R115" s="296">
        <f t="shared" si="190"/>
        <v>0.63722299147496098</v>
      </c>
      <c r="S115" s="296">
        <f t="shared" si="190"/>
        <v>0.59863815782178231</v>
      </c>
      <c r="T115" s="296">
        <f t="shared" si="190"/>
        <v>0.57834842056539482</v>
      </c>
      <c r="W115" s="87"/>
      <c r="AT115" s="80"/>
    </row>
    <row r="116" spans="1:65" ht="15.75" customHeight="1">
      <c r="G116" s="80"/>
      <c r="I116" s="80" t="s">
        <v>570</v>
      </c>
      <c r="J116" s="296"/>
      <c r="K116" s="296">
        <f t="shared" ref="K116:T116" si="191">K81/K99</f>
        <v>0.53258555297138155</v>
      </c>
      <c r="L116" s="296">
        <f t="shared" si="191"/>
        <v>0.5259088886013864</v>
      </c>
      <c r="M116" s="296">
        <f t="shared" si="191"/>
        <v>0.47293694762375033</v>
      </c>
      <c r="N116" s="296">
        <f t="shared" si="191"/>
        <v>0.3755498670516868</v>
      </c>
      <c r="O116" s="296">
        <f t="shared" si="191"/>
        <v>0.52784428251074544</v>
      </c>
      <c r="P116" s="296">
        <f t="shared" si="191"/>
        <v>0.6440415827804713</v>
      </c>
      <c r="Q116" s="296">
        <f t="shared" si="191"/>
        <v>0.41162802455527808</v>
      </c>
      <c r="R116" s="296">
        <f t="shared" si="191"/>
        <v>0.28271176734208658</v>
      </c>
      <c r="S116" s="296">
        <f t="shared" si="191"/>
        <v>0.31223962757876672</v>
      </c>
      <c r="T116" s="296">
        <f t="shared" si="191"/>
        <v>0.36473895809501544</v>
      </c>
      <c r="Z116" s="80"/>
      <c r="AT116" s="80"/>
    </row>
    <row r="117" spans="1:65" ht="15.75" customHeight="1">
      <c r="I117" s="80" t="s">
        <v>571</v>
      </c>
      <c r="J117" s="135"/>
      <c r="K117" s="135">
        <f t="shared" ref="K117:T117" si="192">K86/K99</f>
        <v>8.5892079137206229E-2</v>
      </c>
      <c r="L117" s="135">
        <f t="shared" si="192"/>
        <v>5.0032699940689394E-2</v>
      </c>
      <c r="M117" s="135">
        <f t="shared" si="192"/>
        <v>5.9707505213905235E-2</v>
      </c>
      <c r="N117" s="135">
        <f t="shared" si="192"/>
        <v>7.8065865418067024E-2</v>
      </c>
      <c r="O117" s="135">
        <f t="shared" si="192"/>
        <v>0.14069731654644277</v>
      </c>
      <c r="P117" s="135">
        <f t="shared" si="192"/>
        <v>3.6498394937481977E-2</v>
      </c>
      <c r="Q117" s="135">
        <f t="shared" si="192"/>
        <v>2.7433572333059413E-2</v>
      </c>
      <c r="R117" s="135">
        <f t="shared" si="192"/>
        <v>8.0065241182952399E-2</v>
      </c>
      <c r="S117" s="135">
        <f t="shared" si="192"/>
        <v>8.9122214599451091E-2</v>
      </c>
      <c r="T117" s="135">
        <f t="shared" si="192"/>
        <v>5.6912621339589756E-2</v>
      </c>
      <c r="Z117" s="80"/>
    </row>
    <row r="118" spans="1:65" ht="15.75" customHeight="1">
      <c r="C118" s="87"/>
      <c r="D118" s="87"/>
      <c r="G118" s="80"/>
      <c r="I118" s="80"/>
    </row>
    <row r="120" spans="1:65" ht="15.75" customHeight="1">
      <c r="A120" s="81" t="s">
        <v>660</v>
      </c>
    </row>
    <row r="121" spans="1:65" ht="15.75" customHeight="1">
      <c r="A121" s="79" t="s">
        <v>472</v>
      </c>
      <c r="I121" s="258">
        <f>AVERAGE(U73:AS73)</f>
        <v>137500</v>
      </c>
    </row>
    <row r="122" spans="1:65" ht="15.75" customHeight="1">
      <c r="A122" s="79" t="s">
        <v>473</v>
      </c>
      <c r="I122" s="258">
        <f>AVERAGE(U74:AS74)</f>
        <v>9620.0400000000009</v>
      </c>
      <c r="L122" s="253"/>
    </row>
    <row r="123" spans="1:65" ht="15.75" customHeight="1">
      <c r="A123" s="79" t="s">
        <v>474</v>
      </c>
      <c r="I123" s="258">
        <f>AVERAGE(U81:AS81)</f>
        <v>66640.968972226488</v>
      </c>
    </row>
    <row r="124" spans="1:65" ht="15.75" customHeight="1">
      <c r="A124" s="79" t="s">
        <v>475</v>
      </c>
      <c r="I124" s="258">
        <f>AVERAGE(U86:AS86)</f>
        <v>18735.386521597618</v>
      </c>
    </row>
    <row r="125" spans="1:65" ht="15.75" customHeight="1">
      <c r="A125" s="79" t="s">
        <v>11</v>
      </c>
      <c r="I125" s="258">
        <f>SUM(I121:I124)</f>
        <v>232496.39549382412</v>
      </c>
      <c r="N125" s="80"/>
    </row>
    <row r="127" spans="1:65" ht="15.75" customHeight="1">
      <c r="A127" s="79" t="s">
        <v>476</v>
      </c>
      <c r="I127" s="258">
        <f>AVERAGE(U99:AS99)</f>
        <v>232496.39549382415</v>
      </c>
    </row>
    <row r="129" spans="1:9" ht="15.75" customHeight="1">
      <c r="A129" s="79" t="s">
        <v>481</v>
      </c>
      <c r="I129" s="258">
        <f>AVERAGE(U109:AS109)</f>
        <v>-32613.857221245285</v>
      </c>
    </row>
  </sheetData>
  <phoneticPr fontId="54" type="noConversion"/>
  <pageMargins left="0.78740157499999996" right="0.78740157499999996" top="0.984251969" bottom="0.984251969" header="0.5" footer="0.5"/>
  <pageSetup paperSize="9" scale="17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>
    <pageSetUpPr fitToPage="1"/>
  </sheetPr>
  <dimension ref="A1:IQ100"/>
  <sheetViews>
    <sheetView zoomScale="90" zoomScaleNormal="69" workbookViewId="0">
      <pane xSplit="2" ySplit="4" topLeftCell="AM49" activePane="bottomRight" state="frozen"/>
      <selection activeCell="C29" sqref="C29"/>
      <selection pane="topRight" activeCell="C29" sqref="C29"/>
      <selection pane="bottomLeft" activeCell="C29" sqref="C29"/>
      <selection pane="bottomRight" activeCell="BM95" sqref="BM95"/>
    </sheetView>
  </sheetViews>
  <sheetFormatPr baseColWidth="10" defaultColWidth="11.42578125" defaultRowHeight="15" outlineLevelRow="3"/>
  <cols>
    <col min="1" max="1" width="17.7109375" style="79" customWidth="1"/>
    <col min="2" max="2" width="40.85546875" style="79" customWidth="1"/>
    <col min="3" max="8" width="14.140625" style="79" customWidth="1"/>
    <col min="9" max="9" width="15.140625" style="79" customWidth="1"/>
    <col min="10" max="10" width="17.7109375" style="79" customWidth="1"/>
    <col min="11" max="12" width="14.7109375" style="79" customWidth="1"/>
    <col min="13" max="15" width="16.140625" style="79" customWidth="1"/>
    <col min="16" max="16" width="14.140625" style="79" bestFit="1" customWidth="1"/>
    <col min="17" max="18" width="14.140625" style="79" customWidth="1"/>
    <col min="19" max="36" width="14.140625" style="79" bestFit="1" customWidth="1"/>
    <col min="37" max="16384" width="11.42578125" style="79"/>
  </cols>
  <sheetData>
    <row r="1" spans="1:66">
      <c r="A1" s="152" t="s">
        <v>111</v>
      </c>
      <c r="G1" s="245"/>
      <c r="H1" s="167"/>
    </row>
    <row r="2" spans="1:66">
      <c r="A2" s="152"/>
      <c r="G2" s="245"/>
      <c r="H2" s="167"/>
      <c r="L2" s="97"/>
    </row>
    <row r="3" spans="1:66">
      <c r="A3" s="152" t="s">
        <v>171</v>
      </c>
      <c r="G3" s="245"/>
      <c r="H3" s="167"/>
    </row>
    <row r="4" spans="1:66">
      <c r="A4" s="78" t="s">
        <v>71</v>
      </c>
      <c r="B4" s="78" t="s">
        <v>72</v>
      </c>
      <c r="C4" s="168">
        <v>1997</v>
      </c>
      <c r="D4" s="168">
        <v>1998</v>
      </c>
      <c r="E4" s="168">
        <v>1999</v>
      </c>
      <c r="F4" s="168">
        <v>2000</v>
      </c>
      <c r="G4" s="168">
        <v>2001</v>
      </c>
      <c r="H4" s="168">
        <v>2002</v>
      </c>
      <c r="I4" s="168">
        <v>2003</v>
      </c>
      <c r="J4" s="168">
        <v>2004</v>
      </c>
      <c r="K4" s="168">
        <v>2005</v>
      </c>
      <c r="L4" s="168">
        <v>2006</v>
      </c>
      <c r="M4" s="168">
        <v>2007</v>
      </c>
      <c r="N4" s="168">
        <v>2008</v>
      </c>
      <c r="O4" s="168">
        <v>2009</v>
      </c>
      <c r="P4" s="168">
        <v>2010</v>
      </c>
      <c r="Q4" s="168">
        <v>2011</v>
      </c>
      <c r="R4" s="168">
        <v>2012</v>
      </c>
      <c r="S4" s="168">
        <v>2013</v>
      </c>
      <c r="T4" s="168">
        <v>2014</v>
      </c>
      <c r="U4" s="168">
        <v>2015</v>
      </c>
      <c r="V4" s="168">
        <v>2016</v>
      </c>
      <c r="W4" s="168">
        <v>2017</v>
      </c>
      <c r="X4" s="168">
        <v>2018</v>
      </c>
      <c r="Y4" s="168">
        <v>2019</v>
      </c>
      <c r="Z4" s="168">
        <v>2020</v>
      </c>
      <c r="AA4" s="168">
        <v>2021</v>
      </c>
      <c r="AB4" s="168">
        <v>2022</v>
      </c>
      <c r="AC4" s="168">
        <v>2023</v>
      </c>
      <c r="AD4" s="168">
        <v>2024</v>
      </c>
      <c r="AE4" s="168">
        <v>2025</v>
      </c>
      <c r="AF4" s="168">
        <v>2026</v>
      </c>
      <c r="AG4" s="168">
        <v>2027</v>
      </c>
      <c r="AH4" s="168">
        <v>2028</v>
      </c>
      <c r="AI4" s="168">
        <v>2029</v>
      </c>
      <c r="AJ4" s="168">
        <v>2030</v>
      </c>
      <c r="AK4" s="168">
        <v>2031</v>
      </c>
      <c r="AL4" s="168">
        <v>2032</v>
      </c>
      <c r="AM4" s="168">
        <v>2033</v>
      </c>
      <c r="AN4" s="168">
        <v>2034</v>
      </c>
      <c r="AO4" s="168">
        <v>2035</v>
      </c>
      <c r="AP4" s="168">
        <v>2036</v>
      </c>
      <c r="AQ4" s="168">
        <v>2037</v>
      </c>
      <c r="AR4" s="168">
        <v>2038</v>
      </c>
      <c r="AS4" s="168">
        <v>2039</v>
      </c>
      <c r="AT4" s="168">
        <v>2040</v>
      </c>
      <c r="AU4" s="168">
        <v>2041</v>
      </c>
      <c r="AV4" s="168">
        <v>2042</v>
      </c>
      <c r="AW4" s="168">
        <v>2043</v>
      </c>
      <c r="AX4" s="168">
        <v>2044</v>
      </c>
      <c r="AY4" s="168">
        <v>2045</v>
      </c>
      <c r="AZ4" s="168">
        <v>2046</v>
      </c>
      <c r="BA4" s="168">
        <v>2047</v>
      </c>
      <c r="BB4" s="168">
        <v>2048</v>
      </c>
      <c r="BC4" s="168">
        <v>2049</v>
      </c>
      <c r="BD4" s="168">
        <v>2050</v>
      </c>
      <c r="BE4" s="168">
        <v>2051</v>
      </c>
      <c r="BF4" s="168">
        <v>2052</v>
      </c>
      <c r="BG4" s="168">
        <v>2053</v>
      </c>
      <c r="BH4" s="168">
        <v>2054</v>
      </c>
      <c r="BI4" s="168">
        <v>2055</v>
      </c>
      <c r="BJ4" s="168">
        <v>2056</v>
      </c>
      <c r="BK4" s="168">
        <v>2057</v>
      </c>
      <c r="BL4" s="168">
        <v>2058</v>
      </c>
      <c r="BM4" s="168">
        <v>2059</v>
      </c>
      <c r="BN4" s="168">
        <v>2060</v>
      </c>
    </row>
    <row r="5" spans="1:66">
      <c r="A5" s="79" t="s">
        <v>46</v>
      </c>
      <c r="B5" s="79" t="s">
        <v>73</v>
      </c>
      <c r="C5" s="90">
        <v>0.25800000000000001</v>
      </c>
      <c r="D5" s="90">
        <v>0</v>
      </c>
      <c r="E5" s="90">
        <v>0</v>
      </c>
      <c r="F5" s="90">
        <v>0</v>
      </c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</row>
    <row r="6" spans="1:66">
      <c r="A6" s="79" t="s">
        <v>74</v>
      </c>
      <c r="C6" s="91">
        <f t="shared" ref="C6:BC6" si="0">C5</f>
        <v>0.25800000000000001</v>
      </c>
      <c r="D6" s="91">
        <f t="shared" si="0"/>
        <v>0</v>
      </c>
      <c r="E6" s="91">
        <f t="shared" si="0"/>
        <v>0</v>
      </c>
      <c r="F6" s="91">
        <f t="shared" si="0"/>
        <v>0</v>
      </c>
      <c r="G6" s="91">
        <f t="shared" si="0"/>
        <v>0</v>
      </c>
      <c r="H6" s="91">
        <f t="shared" si="0"/>
        <v>0</v>
      </c>
      <c r="I6" s="91">
        <f t="shared" si="0"/>
        <v>0</v>
      </c>
      <c r="J6" s="91">
        <f t="shared" si="0"/>
        <v>0</v>
      </c>
      <c r="K6" s="91">
        <f t="shared" si="0"/>
        <v>0</v>
      </c>
      <c r="L6" s="91">
        <f t="shared" si="0"/>
        <v>0</v>
      </c>
      <c r="M6" s="91">
        <f t="shared" si="0"/>
        <v>0</v>
      </c>
      <c r="N6" s="91">
        <f t="shared" si="0"/>
        <v>0</v>
      </c>
      <c r="O6" s="91">
        <f t="shared" si="0"/>
        <v>0</v>
      </c>
      <c r="P6" s="91">
        <f t="shared" si="0"/>
        <v>0</v>
      </c>
      <c r="Q6" s="91">
        <f t="shared" si="0"/>
        <v>0</v>
      </c>
      <c r="R6" s="91">
        <f t="shared" si="0"/>
        <v>0</v>
      </c>
      <c r="S6" s="91">
        <f t="shared" si="0"/>
        <v>0</v>
      </c>
      <c r="T6" s="91">
        <f t="shared" si="0"/>
        <v>0</v>
      </c>
      <c r="U6" s="91">
        <f t="shared" si="0"/>
        <v>0</v>
      </c>
      <c r="V6" s="91">
        <f t="shared" si="0"/>
        <v>0</v>
      </c>
      <c r="W6" s="91">
        <f t="shared" si="0"/>
        <v>0</v>
      </c>
      <c r="X6" s="91">
        <f t="shared" si="0"/>
        <v>0</v>
      </c>
      <c r="Y6" s="91">
        <f t="shared" si="0"/>
        <v>0</v>
      </c>
      <c r="Z6" s="91">
        <f t="shared" si="0"/>
        <v>0</v>
      </c>
      <c r="AA6" s="91">
        <f t="shared" si="0"/>
        <v>0</v>
      </c>
      <c r="AB6" s="91">
        <f t="shared" si="0"/>
        <v>0</v>
      </c>
      <c r="AC6" s="91">
        <f t="shared" si="0"/>
        <v>0</v>
      </c>
      <c r="AD6" s="91">
        <f t="shared" si="0"/>
        <v>0</v>
      </c>
      <c r="AE6" s="91">
        <f t="shared" si="0"/>
        <v>0</v>
      </c>
      <c r="AF6" s="91">
        <f t="shared" si="0"/>
        <v>0</v>
      </c>
      <c r="AG6" s="91">
        <f t="shared" si="0"/>
        <v>0</v>
      </c>
      <c r="AH6" s="91">
        <f t="shared" si="0"/>
        <v>0</v>
      </c>
      <c r="AI6" s="91">
        <f t="shared" si="0"/>
        <v>0</v>
      </c>
      <c r="AJ6" s="91">
        <f t="shared" si="0"/>
        <v>0</v>
      </c>
      <c r="AK6" s="91">
        <f t="shared" si="0"/>
        <v>0</v>
      </c>
      <c r="AL6" s="91">
        <f t="shared" si="0"/>
        <v>0</v>
      </c>
      <c r="AM6" s="91">
        <f t="shared" si="0"/>
        <v>0</v>
      </c>
      <c r="AN6" s="91">
        <f t="shared" si="0"/>
        <v>0</v>
      </c>
      <c r="AO6" s="91">
        <f t="shared" si="0"/>
        <v>0</v>
      </c>
      <c r="AP6" s="91">
        <f t="shared" si="0"/>
        <v>0</v>
      </c>
      <c r="AQ6" s="91">
        <f t="shared" si="0"/>
        <v>0</v>
      </c>
      <c r="AR6" s="91">
        <f t="shared" si="0"/>
        <v>0</v>
      </c>
      <c r="AS6" s="91">
        <f t="shared" si="0"/>
        <v>0</v>
      </c>
      <c r="AT6" s="91">
        <f t="shared" si="0"/>
        <v>0</v>
      </c>
      <c r="AU6" s="91">
        <f t="shared" si="0"/>
        <v>0</v>
      </c>
      <c r="AV6" s="91">
        <f t="shared" si="0"/>
        <v>0</v>
      </c>
      <c r="AW6" s="91">
        <f t="shared" si="0"/>
        <v>0</v>
      </c>
      <c r="AX6" s="91">
        <f t="shared" si="0"/>
        <v>0</v>
      </c>
      <c r="AY6" s="91">
        <f t="shared" si="0"/>
        <v>0</v>
      </c>
      <c r="AZ6" s="91">
        <f t="shared" si="0"/>
        <v>0</v>
      </c>
      <c r="BA6" s="91">
        <f t="shared" si="0"/>
        <v>0</v>
      </c>
      <c r="BB6" s="91">
        <f t="shared" si="0"/>
        <v>0</v>
      </c>
      <c r="BC6" s="91">
        <f t="shared" si="0"/>
        <v>0</v>
      </c>
      <c r="BD6" s="91">
        <f t="shared" ref="BD6:BN6" si="1">BD5</f>
        <v>0</v>
      </c>
      <c r="BE6" s="91">
        <f t="shared" si="1"/>
        <v>0</v>
      </c>
      <c r="BF6" s="91">
        <f t="shared" si="1"/>
        <v>0</v>
      </c>
      <c r="BG6" s="91">
        <f t="shared" si="1"/>
        <v>0</v>
      </c>
      <c r="BH6" s="91">
        <f t="shared" si="1"/>
        <v>0</v>
      </c>
      <c r="BI6" s="91">
        <f t="shared" si="1"/>
        <v>0</v>
      </c>
      <c r="BJ6" s="91">
        <f t="shared" si="1"/>
        <v>0</v>
      </c>
      <c r="BK6" s="91">
        <f t="shared" si="1"/>
        <v>0</v>
      </c>
      <c r="BL6" s="91">
        <f t="shared" si="1"/>
        <v>0</v>
      </c>
      <c r="BM6" s="91">
        <f t="shared" si="1"/>
        <v>0</v>
      </c>
      <c r="BN6" s="91">
        <f t="shared" si="1"/>
        <v>0</v>
      </c>
    </row>
    <row r="7" spans="1:66"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</row>
    <row r="8" spans="1:66">
      <c r="A8" s="78" t="s">
        <v>61</v>
      </c>
      <c r="B8" s="78" t="s">
        <v>113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</row>
    <row r="9" spans="1:66" outlineLevel="1">
      <c r="A9" s="79" t="s">
        <v>62</v>
      </c>
      <c r="B9" s="79" t="s">
        <v>63</v>
      </c>
      <c r="C9" s="90">
        <v>0.25800000000000001</v>
      </c>
      <c r="D9" s="90">
        <v>1.766613</v>
      </c>
      <c r="E9" s="90">
        <v>3.4939770000000001</v>
      </c>
      <c r="F9" s="90">
        <v>3</v>
      </c>
      <c r="G9" s="90">
        <v>0</v>
      </c>
      <c r="H9" s="90">
        <v>0</v>
      </c>
      <c r="I9" s="90"/>
      <c r="J9" s="90"/>
      <c r="K9" s="90"/>
      <c r="L9" s="90"/>
      <c r="M9" s="90"/>
      <c r="N9" s="88"/>
      <c r="O9" s="88"/>
      <c r="P9" s="88">
        <v>81.5</v>
      </c>
      <c r="Q9" s="88">
        <v>2</v>
      </c>
      <c r="R9" s="88">
        <v>2.7192999999999998E-2</v>
      </c>
      <c r="S9" s="88">
        <v>0.62214486999999996</v>
      </c>
      <c r="T9" s="88">
        <v>2</v>
      </c>
      <c r="U9" s="88">
        <v>0</v>
      </c>
      <c r="V9" s="88">
        <v>0</v>
      </c>
      <c r="W9" s="88">
        <v>0</v>
      </c>
      <c r="X9" s="88"/>
      <c r="Y9" s="88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</row>
    <row r="10" spans="1:66" outlineLevel="1">
      <c r="A10" s="79" t="s">
        <v>64</v>
      </c>
      <c r="B10" s="79" t="s">
        <v>65</v>
      </c>
      <c r="C10" s="90">
        <v>93.471000000000004</v>
      </c>
      <c r="D10" s="90">
        <v>69.887841499999993</v>
      </c>
      <c r="E10" s="90">
        <v>15.374209</v>
      </c>
      <c r="F10" s="90">
        <v>0</v>
      </c>
      <c r="G10" s="90">
        <v>5.9619999999999997</v>
      </c>
      <c r="H10" s="90">
        <v>47.715000000000003</v>
      </c>
      <c r="I10" s="90">
        <v>113.492</v>
      </c>
      <c r="J10" s="90">
        <v>125.261</v>
      </c>
      <c r="K10" s="90">
        <v>14.177</v>
      </c>
      <c r="L10" s="90">
        <v>0</v>
      </c>
      <c r="M10" s="90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  <c r="AG10" s="90">
        <v>0</v>
      </c>
      <c r="AH10" s="90">
        <v>0</v>
      </c>
      <c r="AI10" s="90">
        <v>0</v>
      </c>
      <c r="AJ10" s="90">
        <v>0</v>
      </c>
      <c r="AK10" s="90">
        <v>0</v>
      </c>
      <c r="AL10" s="90">
        <v>0</v>
      </c>
      <c r="AM10" s="90">
        <v>0</v>
      </c>
      <c r="AN10" s="90">
        <v>0</v>
      </c>
      <c r="AO10" s="90">
        <v>0</v>
      </c>
      <c r="AP10" s="90">
        <v>0</v>
      </c>
      <c r="AQ10" s="90">
        <v>0</v>
      </c>
      <c r="AR10" s="90">
        <v>0</v>
      </c>
      <c r="AS10" s="90">
        <v>0</v>
      </c>
      <c r="AT10" s="90">
        <v>0</v>
      </c>
      <c r="AU10" s="90">
        <v>0</v>
      </c>
      <c r="AV10" s="90">
        <v>0</v>
      </c>
      <c r="AW10" s="90">
        <v>0</v>
      </c>
      <c r="AX10" s="90">
        <v>0</v>
      </c>
      <c r="AY10" s="90">
        <v>0</v>
      </c>
      <c r="AZ10" s="90">
        <v>0</v>
      </c>
      <c r="BA10" s="90">
        <v>0</v>
      </c>
      <c r="BB10" s="90">
        <v>0</v>
      </c>
      <c r="BC10" s="90">
        <v>0</v>
      </c>
      <c r="BD10" s="90">
        <v>0</v>
      </c>
      <c r="BE10" s="90">
        <v>0</v>
      </c>
      <c r="BF10" s="90">
        <v>0</v>
      </c>
      <c r="BG10" s="90">
        <v>0</v>
      </c>
      <c r="BH10" s="90">
        <v>0</v>
      </c>
      <c r="BI10" s="90">
        <v>0</v>
      </c>
      <c r="BJ10" s="90">
        <v>0</v>
      </c>
      <c r="BK10" s="90">
        <v>0</v>
      </c>
      <c r="BL10" s="90">
        <v>0</v>
      </c>
      <c r="BM10" s="90">
        <v>0</v>
      </c>
      <c r="BN10" s="90">
        <v>0</v>
      </c>
    </row>
    <row r="11" spans="1:66">
      <c r="A11" s="79" t="s">
        <v>66</v>
      </c>
      <c r="C11" s="91">
        <f t="shared" ref="C11:AJ11" si="2">C9+C10</f>
        <v>93.728999999999999</v>
      </c>
      <c r="D11" s="91">
        <f t="shared" si="2"/>
        <v>71.6544545</v>
      </c>
      <c r="E11" s="91">
        <f t="shared" si="2"/>
        <v>18.868186000000001</v>
      </c>
      <c r="F11" s="91">
        <f t="shared" si="2"/>
        <v>3</v>
      </c>
      <c r="G11" s="91">
        <f t="shared" si="2"/>
        <v>5.9619999999999997</v>
      </c>
      <c r="H11" s="91">
        <f t="shared" si="2"/>
        <v>47.715000000000003</v>
      </c>
      <c r="I11" s="91">
        <f t="shared" si="2"/>
        <v>113.492</v>
      </c>
      <c r="J11" s="91">
        <f t="shared" si="2"/>
        <v>125.261</v>
      </c>
      <c r="K11" s="91">
        <f t="shared" si="2"/>
        <v>14.177</v>
      </c>
      <c r="L11" s="91">
        <f t="shared" si="2"/>
        <v>0</v>
      </c>
      <c r="M11" s="91">
        <f t="shared" si="2"/>
        <v>0</v>
      </c>
      <c r="N11" s="92">
        <f t="shared" si="2"/>
        <v>0</v>
      </c>
      <c r="O11" s="92">
        <f t="shared" si="2"/>
        <v>0</v>
      </c>
      <c r="P11" s="92">
        <f t="shared" si="2"/>
        <v>81.5</v>
      </c>
      <c r="Q11" s="92">
        <f t="shared" si="2"/>
        <v>2</v>
      </c>
      <c r="R11" s="92">
        <f t="shared" si="2"/>
        <v>2.7192999999999998E-2</v>
      </c>
      <c r="S11" s="91">
        <f t="shared" si="2"/>
        <v>0.62214486999999996</v>
      </c>
      <c r="T11" s="91">
        <f t="shared" si="2"/>
        <v>2</v>
      </c>
      <c r="U11" s="91">
        <f t="shared" si="2"/>
        <v>0</v>
      </c>
      <c r="V11" s="91">
        <f t="shared" si="2"/>
        <v>0</v>
      </c>
      <c r="W11" s="91">
        <f t="shared" si="2"/>
        <v>0</v>
      </c>
      <c r="X11" s="91">
        <f t="shared" si="2"/>
        <v>0</v>
      </c>
      <c r="Y11" s="91">
        <f t="shared" si="2"/>
        <v>0</v>
      </c>
      <c r="Z11" s="91">
        <f t="shared" si="2"/>
        <v>0</v>
      </c>
      <c r="AA11" s="91">
        <f t="shared" si="2"/>
        <v>0</v>
      </c>
      <c r="AB11" s="91">
        <f t="shared" si="2"/>
        <v>0</v>
      </c>
      <c r="AC11" s="91">
        <f t="shared" si="2"/>
        <v>0</v>
      </c>
      <c r="AD11" s="91">
        <f t="shared" si="2"/>
        <v>0</v>
      </c>
      <c r="AE11" s="91">
        <f t="shared" si="2"/>
        <v>0</v>
      </c>
      <c r="AF11" s="91">
        <f t="shared" si="2"/>
        <v>0</v>
      </c>
      <c r="AG11" s="91">
        <f t="shared" si="2"/>
        <v>0</v>
      </c>
      <c r="AH11" s="91">
        <f t="shared" si="2"/>
        <v>0</v>
      </c>
      <c r="AI11" s="91">
        <f t="shared" si="2"/>
        <v>0</v>
      </c>
      <c r="AJ11" s="91">
        <f t="shared" si="2"/>
        <v>0</v>
      </c>
      <c r="AK11" s="91">
        <f t="shared" ref="AK11:BC11" si="3">AK9+AK10</f>
        <v>0</v>
      </c>
      <c r="AL11" s="91">
        <f t="shared" si="3"/>
        <v>0</v>
      </c>
      <c r="AM11" s="91">
        <f t="shared" si="3"/>
        <v>0</v>
      </c>
      <c r="AN11" s="91">
        <f t="shared" si="3"/>
        <v>0</v>
      </c>
      <c r="AO11" s="91">
        <f t="shared" si="3"/>
        <v>0</v>
      </c>
      <c r="AP11" s="91">
        <f t="shared" si="3"/>
        <v>0</v>
      </c>
      <c r="AQ11" s="91">
        <f t="shared" si="3"/>
        <v>0</v>
      </c>
      <c r="AR11" s="91">
        <f t="shared" si="3"/>
        <v>0</v>
      </c>
      <c r="AS11" s="91">
        <f t="shared" si="3"/>
        <v>0</v>
      </c>
      <c r="AT11" s="91">
        <f t="shared" si="3"/>
        <v>0</v>
      </c>
      <c r="AU11" s="91">
        <f t="shared" si="3"/>
        <v>0</v>
      </c>
      <c r="AV11" s="91">
        <f t="shared" si="3"/>
        <v>0</v>
      </c>
      <c r="AW11" s="91">
        <f t="shared" si="3"/>
        <v>0</v>
      </c>
      <c r="AX11" s="91">
        <f t="shared" si="3"/>
        <v>0</v>
      </c>
      <c r="AY11" s="91">
        <f t="shared" si="3"/>
        <v>0</v>
      </c>
      <c r="AZ11" s="91">
        <f t="shared" si="3"/>
        <v>0</v>
      </c>
      <c r="BA11" s="91">
        <f t="shared" si="3"/>
        <v>0</v>
      </c>
      <c r="BB11" s="91">
        <f t="shared" si="3"/>
        <v>0</v>
      </c>
      <c r="BC11" s="91">
        <f t="shared" si="3"/>
        <v>0</v>
      </c>
      <c r="BD11" s="91">
        <f t="shared" ref="BD11:BN11" si="4">BD9+BD10</f>
        <v>0</v>
      </c>
      <c r="BE11" s="91">
        <f t="shared" si="4"/>
        <v>0</v>
      </c>
      <c r="BF11" s="91">
        <f t="shared" si="4"/>
        <v>0</v>
      </c>
      <c r="BG11" s="91">
        <f t="shared" si="4"/>
        <v>0</v>
      </c>
      <c r="BH11" s="91">
        <f t="shared" si="4"/>
        <v>0</v>
      </c>
      <c r="BI11" s="91">
        <f t="shared" si="4"/>
        <v>0</v>
      </c>
      <c r="BJ11" s="91">
        <f t="shared" si="4"/>
        <v>0</v>
      </c>
      <c r="BK11" s="91">
        <f t="shared" si="4"/>
        <v>0</v>
      </c>
      <c r="BL11" s="91">
        <f t="shared" si="4"/>
        <v>0</v>
      </c>
      <c r="BM11" s="91">
        <f t="shared" si="4"/>
        <v>0</v>
      </c>
      <c r="BN11" s="91">
        <f t="shared" si="4"/>
        <v>0</v>
      </c>
    </row>
    <row r="13" spans="1:66">
      <c r="A13" s="78" t="s">
        <v>114</v>
      </c>
      <c r="B13" s="78" t="s">
        <v>115</v>
      </c>
    </row>
    <row r="14" spans="1:66">
      <c r="A14" s="79" t="s">
        <v>64</v>
      </c>
      <c r="B14" s="79" t="s">
        <v>116</v>
      </c>
      <c r="C14" s="90">
        <v>0.25800000000000001</v>
      </c>
      <c r="D14" s="90">
        <v>0</v>
      </c>
      <c r="E14" s="90">
        <v>5.3</v>
      </c>
      <c r="F14" s="90">
        <v>0</v>
      </c>
      <c r="G14" s="90">
        <v>50</v>
      </c>
      <c r="H14" s="90">
        <v>250</v>
      </c>
      <c r="I14" s="90">
        <v>220</v>
      </c>
      <c r="J14" s="87">
        <v>0</v>
      </c>
      <c r="K14" s="87">
        <f>J14*(1+KVARTS!$H$12/100)</f>
        <v>0</v>
      </c>
      <c r="L14" s="87">
        <f>K14*(1+KVARTS!$H$12/100)</f>
        <v>0</v>
      </c>
      <c r="M14" s="87">
        <f>L14*(1+KVARTS!$H$12/100)</f>
        <v>0</v>
      </c>
      <c r="N14" s="87">
        <f>M14*(1+KVARTS!$H$12/100)</f>
        <v>0</v>
      </c>
      <c r="O14" s="87">
        <f>N14*(1+KVARTS!$H$12/100)</f>
        <v>0</v>
      </c>
      <c r="P14" s="87">
        <f>O14*(1+KVARTS!$H$12/100)</f>
        <v>0</v>
      </c>
      <c r="Q14" s="87">
        <f>P14*(1+KVARTS!$H$12/100)</f>
        <v>0</v>
      </c>
      <c r="R14" s="87">
        <f>Q14*(1+KVARTS!$H$12/100)</f>
        <v>0</v>
      </c>
      <c r="S14" s="87">
        <f>R14*(1+KVARTS!$H$12/100)</f>
        <v>0</v>
      </c>
      <c r="T14" s="87">
        <f>S14*(1+KVARTS!$H$12/100)</f>
        <v>0</v>
      </c>
      <c r="U14" s="87">
        <f>T14*(1+KVARTS!$H$12/100)</f>
        <v>0</v>
      </c>
      <c r="V14" s="87">
        <f>U14*(1+KVARTS!$H$12/100)</f>
        <v>0</v>
      </c>
      <c r="W14" s="87">
        <f>V14*(1+KVARTS!$H$12/100)</f>
        <v>0</v>
      </c>
      <c r="X14" s="87">
        <f>W14*(1+KVARTS!$H$12/100)</f>
        <v>0</v>
      </c>
      <c r="Y14" s="87">
        <f>X14*(1+KVARTS!$H$12/100)</f>
        <v>0</v>
      </c>
      <c r="Z14" s="87">
        <f>Y14*(1+KVARTS!$H$12/100)</f>
        <v>0</v>
      </c>
      <c r="AA14" s="87">
        <f>Z14*(1+KVARTS!$H$12/100)</f>
        <v>0</v>
      </c>
      <c r="AB14" s="87">
        <f>AA14*(1+KVARTS!$H$12/100)</f>
        <v>0</v>
      </c>
      <c r="AC14" s="87">
        <f>AB14*(1+KVARTS!$H$12/100)</f>
        <v>0</v>
      </c>
      <c r="AD14" s="87">
        <f>AC14*(1+KVARTS!$H$12/100)</f>
        <v>0</v>
      </c>
      <c r="AE14" s="87">
        <f>AD14*(1+KVARTS!$H$12/100)</f>
        <v>0</v>
      </c>
      <c r="AF14" s="87">
        <f>AE14*(1+KVARTS!$H$12/100)</f>
        <v>0</v>
      </c>
      <c r="AG14" s="87">
        <f>AF14*(1+KVARTS!$H$12/100)</f>
        <v>0</v>
      </c>
      <c r="AH14" s="87">
        <f>AG14*(1+KVARTS!$H$12/100)</f>
        <v>0</v>
      </c>
      <c r="AI14" s="87">
        <f>AH14*(1+KVARTS!$H$12/100)</f>
        <v>0</v>
      </c>
      <c r="AJ14" s="87">
        <f>AI14*(1+KVARTS!$H$12/100)</f>
        <v>0</v>
      </c>
      <c r="AK14" s="87">
        <f>AJ14*(1+KVARTS!$H$12/100)</f>
        <v>0</v>
      </c>
      <c r="AL14" s="87">
        <f>AK14*(1+KVARTS!$H$12/100)</f>
        <v>0</v>
      </c>
      <c r="AM14" s="87">
        <f>AL14*(1+KVARTS!$H$12/100)</f>
        <v>0</v>
      </c>
      <c r="AN14" s="87">
        <f>AM14*(1+KVARTS!$H$12/100)</f>
        <v>0</v>
      </c>
      <c r="AO14" s="87">
        <f>AN14*(1+KVARTS!$H$12/100)</f>
        <v>0</v>
      </c>
      <c r="AP14" s="87">
        <f>AO14*(1+KVARTS!$H$12/100)</f>
        <v>0</v>
      </c>
      <c r="AQ14" s="87">
        <f>AP14*(1+KVARTS!$H$12/100)</f>
        <v>0</v>
      </c>
      <c r="AR14" s="87">
        <f>AQ14*(1+KVARTS!$H$12/100)</f>
        <v>0</v>
      </c>
      <c r="AS14" s="87">
        <f>AR14*(1+KVARTS!$H$12/100)</f>
        <v>0</v>
      </c>
      <c r="AT14" s="87">
        <f>AS14*(1+KVARTS!$H$12/100)</f>
        <v>0</v>
      </c>
      <c r="AU14" s="87">
        <f>AT14*(1+KVARTS!$H$12/100)</f>
        <v>0</v>
      </c>
      <c r="AV14" s="87">
        <f>AU14*(1+KVARTS!$H$12/100)</f>
        <v>0</v>
      </c>
      <c r="AW14" s="87">
        <f>AV14*(1+KVARTS!$H$12/100)</f>
        <v>0</v>
      </c>
      <c r="AX14" s="87">
        <f>AW14*(1+KVARTS!$H$12/100)</f>
        <v>0</v>
      </c>
      <c r="AY14" s="87">
        <f>AX14*(1+KVARTS!$H$12/100)</f>
        <v>0</v>
      </c>
      <c r="AZ14" s="87">
        <f>AY14*(1+KVARTS!$H$12/100)</f>
        <v>0</v>
      </c>
      <c r="BA14" s="87">
        <f>AZ14*(1+KVARTS!$H$12/100)</f>
        <v>0</v>
      </c>
      <c r="BB14" s="87">
        <f>BA14*(1+KVARTS!$H$12/100)</f>
        <v>0</v>
      </c>
      <c r="BC14" s="87">
        <f>BB14*(1+KVARTS!$H$12/100)</f>
        <v>0</v>
      </c>
      <c r="BD14" s="87">
        <f>BC14*(1+KVARTS!$H$12/100)</f>
        <v>0</v>
      </c>
      <c r="BE14" s="87">
        <f>BD14*(1+KVARTS!$H$12/100)</f>
        <v>0</v>
      </c>
      <c r="BF14" s="87">
        <f>BE14*(1+KVARTS!$H$12/100)</f>
        <v>0</v>
      </c>
      <c r="BG14" s="87">
        <f>BF14*(1+KVARTS!$H$12/100)</f>
        <v>0</v>
      </c>
      <c r="BH14" s="87">
        <f>BG14*(1+KVARTS!$H$12/100)</f>
        <v>0</v>
      </c>
      <c r="BI14" s="87">
        <f>BH14*(1+KVARTS!$H$12/100)</f>
        <v>0</v>
      </c>
      <c r="BJ14" s="87">
        <f>BI14*(1+KVARTS!$H$12/100)</f>
        <v>0</v>
      </c>
      <c r="BK14" s="87">
        <f>BJ14*(1+KVARTS!$H$12/100)</f>
        <v>0</v>
      </c>
      <c r="BL14" s="87">
        <f>BK14*(1+KVARTS!$H$12/100)</f>
        <v>0</v>
      </c>
      <c r="BM14" s="87">
        <f>BL14*(1+KVARTS!$H$12/100)</f>
        <v>0</v>
      </c>
      <c r="BN14" s="87">
        <f>BM14*(1+KVARTS!$H$12/100)</f>
        <v>0</v>
      </c>
    </row>
    <row r="15" spans="1:66">
      <c r="A15" s="79" t="s">
        <v>117</v>
      </c>
      <c r="C15" s="91">
        <f t="shared" ref="C15:AJ15" si="5">C14</f>
        <v>0.25800000000000001</v>
      </c>
      <c r="D15" s="91">
        <f t="shared" si="5"/>
        <v>0</v>
      </c>
      <c r="E15" s="91">
        <f t="shared" si="5"/>
        <v>5.3</v>
      </c>
      <c r="F15" s="91">
        <f t="shared" si="5"/>
        <v>0</v>
      </c>
      <c r="G15" s="91">
        <f t="shared" si="5"/>
        <v>50</v>
      </c>
      <c r="H15" s="91">
        <f t="shared" si="5"/>
        <v>250</v>
      </c>
      <c r="I15" s="91">
        <f t="shared" si="5"/>
        <v>220</v>
      </c>
      <c r="J15" s="91">
        <f t="shared" si="5"/>
        <v>0</v>
      </c>
      <c r="K15" s="91">
        <f t="shared" si="5"/>
        <v>0</v>
      </c>
      <c r="L15" s="91">
        <f t="shared" si="5"/>
        <v>0</v>
      </c>
      <c r="M15" s="91">
        <f t="shared" si="5"/>
        <v>0</v>
      </c>
      <c r="N15" s="91">
        <f t="shared" si="5"/>
        <v>0</v>
      </c>
      <c r="O15" s="91">
        <f t="shared" si="5"/>
        <v>0</v>
      </c>
      <c r="P15" s="91">
        <f t="shared" si="5"/>
        <v>0</v>
      </c>
      <c r="Q15" s="91">
        <f t="shared" si="5"/>
        <v>0</v>
      </c>
      <c r="R15" s="91">
        <f t="shared" si="5"/>
        <v>0</v>
      </c>
      <c r="S15" s="91">
        <f t="shared" si="5"/>
        <v>0</v>
      </c>
      <c r="T15" s="91">
        <f t="shared" si="5"/>
        <v>0</v>
      </c>
      <c r="U15" s="91">
        <f t="shared" si="5"/>
        <v>0</v>
      </c>
      <c r="V15" s="91">
        <f t="shared" si="5"/>
        <v>0</v>
      </c>
      <c r="W15" s="91">
        <f t="shared" si="5"/>
        <v>0</v>
      </c>
      <c r="X15" s="91">
        <f t="shared" si="5"/>
        <v>0</v>
      </c>
      <c r="Y15" s="91">
        <f t="shared" si="5"/>
        <v>0</v>
      </c>
      <c r="Z15" s="91">
        <f t="shared" si="5"/>
        <v>0</v>
      </c>
      <c r="AA15" s="91">
        <f t="shared" si="5"/>
        <v>0</v>
      </c>
      <c r="AB15" s="91">
        <f t="shared" si="5"/>
        <v>0</v>
      </c>
      <c r="AC15" s="91">
        <f t="shared" si="5"/>
        <v>0</v>
      </c>
      <c r="AD15" s="91">
        <f t="shared" si="5"/>
        <v>0</v>
      </c>
      <c r="AE15" s="91">
        <f t="shared" si="5"/>
        <v>0</v>
      </c>
      <c r="AF15" s="91">
        <f t="shared" si="5"/>
        <v>0</v>
      </c>
      <c r="AG15" s="91">
        <f t="shared" si="5"/>
        <v>0</v>
      </c>
      <c r="AH15" s="91">
        <f t="shared" si="5"/>
        <v>0</v>
      </c>
      <c r="AI15" s="91">
        <f t="shared" si="5"/>
        <v>0</v>
      </c>
      <c r="AJ15" s="91">
        <f t="shared" si="5"/>
        <v>0</v>
      </c>
      <c r="AK15" s="91">
        <f t="shared" ref="AK15:BD15" si="6">AK14</f>
        <v>0</v>
      </c>
      <c r="AL15" s="91">
        <f t="shared" si="6"/>
        <v>0</v>
      </c>
      <c r="AM15" s="91">
        <f t="shared" si="6"/>
        <v>0</v>
      </c>
      <c r="AN15" s="91">
        <f t="shared" si="6"/>
        <v>0</v>
      </c>
      <c r="AO15" s="91">
        <f t="shared" si="6"/>
        <v>0</v>
      </c>
      <c r="AP15" s="91">
        <f t="shared" si="6"/>
        <v>0</v>
      </c>
      <c r="AQ15" s="91">
        <f t="shared" si="6"/>
        <v>0</v>
      </c>
      <c r="AR15" s="91">
        <f t="shared" si="6"/>
        <v>0</v>
      </c>
      <c r="AS15" s="91">
        <f t="shared" si="6"/>
        <v>0</v>
      </c>
      <c r="AT15" s="91">
        <f t="shared" si="6"/>
        <v>0</v>
      </c>
      <c r="AU15" s="91">
        <f t="shared" si="6"/>
        <v>0</v>
      </c>
      <c r="AV15" s="91">
        <f t="shared" si="6"/>
        <v>0</v>
      </c>
      <c r="AW15" s="91">
        <f t="shared" si="6"/>
        <v>0</v>
      </c>
      <c r="AX15" s="91">
        <f t="shared" si="6"/>
        <v>0</v>
      </c>
      <c r="AY15" s="91">
        <f t="shared" si="6"/>
        <v>0</v>
      </c>
      <c r="AZ15" s="91">
        <f t="shared" si="6"/>
        <v>0</v>
      </c>
      <c r="BA15" s="91">
        <f t="shared" si="6"/>
        <v>0</v>
      </c>
      <c r="BB15" s="91">
        <f t="shared" si="6"/>
        <v>0</v>
      </c>
      <c r="BC15" s="91">
        <f t="shared" si="6"/>
        <v>0</v>
      </c>
      <c r="BD15" s="91">
        <f t="shared" si="6"/>
        <v>0</v>
      </c>
      <c r="BE15" s="91">
        <f t="shared" ref="BE15:BN15" si="7">BE14</f>
        <v>0</v>
      </c>
      <c r="BF15" s="91">
        <f t="shared" si="7"/>
        <v>0</v>
      </c>
      <c r="BG15" s="91">
        <f t="shared" si="7"/>
        <v>0</v>
      </c>
      <c r="BH15" s="91">
        <f t="shared" si="7"/>
        <v>0</v>
      </c>
      <c r="BI15" s="91">
        <f t="shared" si="7"/>
        <v>0</v>
      </c>
      <c r="BJ15" s="91">
        <f t="shared" si="7"/>
        <v>0</v>
      </c>
      <c r="BK15" s="91">
        <f t="shared" si="7"/>
        <v>0</v>
      </c>
      <c r="BL15" s="91">
        <f t="shared" si="7"/>
        <v>0</v>
      </c>
      <c r="BM15" s="91">
        <f t="shared" si="7"/>
        <v>0</v>
      </c>
      <c r="BN15" s="91">
        <f t="shared" si="7"/>
        <v>0</v>
      </c>
    </row>
    <row r="17" spans="1:251">
      <c r="A17" s="78" t="s">
        <v>67</v>
      </c>
      <c r="B17" s="78" t="s">
        <v>68</v>
      </c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</row>
    <row r="18" spans="1:251">
      <c r="A18" s="79" t="s">
        <v>56</v>
      </c>
      <c r="B18" s="79" t="s">
        <v>69</v>
      </c>
      <c r="C18" s="90">
        <v>0.25800000000000001</v>
      </c>
      <c r="D18" s="90">
        <v>0</v>
      </c>
      <c r="E18" s="90">
        <v>5.3159999999999998</v>
      </c>
      <c r="F18" s="90">
        <v>0</v>
      </c>
      <c r="G18" s="90">
        <v>0</v>
      </c>
      <c r="H18" s="250"/>
      <c r="I18" s="250"/>
      <c r="J18" s="250">
        <v>1.9550000000000001</v>
      </c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  <c r="BE18" s="250"/>
      <c r="BF18" s="250"/>
      <c r="BG18" s="250"/>
      <c r="BH18" s="250"/>
      <c r="BI18" s="250"/>
      <c r="BJ18" s="250"/>
      <c r="BK18" s="250"/>
      <c r="BL18" s="250"/>
      <c r="BM18" s="250"/>
      <c r="BN18" s="250"/>
    </row>
    <row r="19" spans="1:251">
      <c r="A19" s="79" t="s">
        <v>70</v>
      </c>
      <c r="C19" s="91">
        <f t="shared" ref="C19:BD19" si="8">C18</f>
        <v>0.25800000000000001</v>
      </c>
      <c r="D19" s="91">
        <f t="shared" si="8"/>
        <v>0</v>
      </c>
      <c r="E19" s="91">
        <f t="shared" si="8"/>
        <v>5.3159999999999998</v>
      </c>
      <c r="F19" s="91">
        <f t="shared" si="8"/>
        <v>0</v>
      </c>
      <c r="G19" s="91">
        <f t="shared" si="8"/>
        <v>0</v>
      </c>
      <c r="H19" s="91">
        <f t="shared" si="8"/>
        <v>0</v>
      </c>
      <c r="I19" s="91">
        <f t="shared" si="8"/>
        <v>0</v>
      </c>
      <c r="J19" s="91">
        <f t="shared" si="8"/>
        <v>1.9550000000000001</v>
      </c>
      <c r="K19" s="91">
        <f t="shared" si="8"/>
        <v>0</v>
      </c>
      <c r="L19" s="91">
        <f t="shared" si="8"/>
        <v>0</v>
      </c>
      <c r="M19" s="91">
        <f t="shared" si="8"/>
        <v>0</v>
      </c>
      <c r="N19" s="91">
        <f t="shared" si="8"/>
        <v>0</v>
      </c>
      <c r="O19" s="91">
        <f t="shared" si="8"/>
        <v>0</v>
      </c>
      <c r="P19" s="91">
        <f>P18</f>
        <v>0</v>
      </c>
      <c r="Q19" s="91">
        <f t="shared" si="8"/>
        <v>0</v>
      </c>
      <c r="R19" s="91">
        <f t="shared" si="8"/>
        <v>0</v>
      </c>
      <c r="S19" s="91">
        <f t="shared" si="8"/>
        <v>0</v>
      </c>
      <c r="T19" s="91">
        <f t="shared" si="8"/>
        <v>0</v>
      </c>
      <c r="U19" s="91">
        <f t="shared" si="8"/>
        <v>0</v>
      </c>
      <c r="V19" s="91">
        <f t="shared" si="8"/>
        <v>0</v>
      </c>
      <c r="W19" s="91">
        <f t="shared" si="8"/>
        <v>0</v>
      </c>
      <c r="X19" s="91">
        <f t="shared" si="8"/>
        <v>0</v>
      </c>
      <c r="Y19" s="91">
        <f t="shared" si="8"/>
        <v>0</v>
      </c>
      <c r="Z19" s="91">
        <f t="shared" si="8"/>
        <v>0</v>
      </c>
      <c r="AA19" s="91">
        <f t="shared" si="8"/>
        <v>0</v>
      </c>
      <c r="AB19" s="91">
        <f t="shared" si="8"/>
        <v>0</v>
      </c>
      <c r="AC19" s="91">
        <f t="shared" si="8"/>
        <v>0</v>
      </c>
      <c r="AD19" s="91">
        <f t="shared" si="8"/>
        <v>0</v>
      </c>
      <c r="AE19" s="91">
        <f t="shared" si="8"/>
        <v>0</v>
      </c>
      <c r="AF19" s="91">
        <f t="shared" si="8"/>
        <v>0</v>
      </c>
      <c r="AG19" s="91">
        <f t="shared" si="8"/>
        <v>0</v>
      </c>
      <c r="AH19" s="91">
        <f t="shared" si="8"/>
        <v>0</v>
      </c>
      <c r="AI19" s="91">
        <f t="shared" si="8"/>
        <v>0</v>
      </c>
      <c r="AJ19" s="91">
        <f t="shared" si="8"/>
        <v>0</v>
      </c>
      <c r="AK19" s="91">
        <f t="shared" si="8"/>
        <v>0</v>
      </c>
      <c r="AL19" s="91">
        <f t="shared" si="8"/>
        <v>0</v>
      </c>
      <c r="AM19" s="91">
        <f t="shared" si="8"/>
        <v>0</v>
      </c>
      <c r="AN19" s="91">
        <f t="shared" si="8"/>
        <v>0</v>
      </c>
      <c r="AO19" s="91">
        <f t="shared" si="8"/>
        <v>0</v>
      </c>
      <c r="AP19" s="91">
        <f t="shared" si="8"/>
        <v>0</v>
      </c>
      <c r="AQ19" s="91">
        <f t="shared" si="8"/>
        <v>0</v>
      </c>
      <c r="AR19" s="91">
        <f t="shared" si="8"/>
        <v>0</v>
      </c>
      <c r="AS19" s="91">
        <f t="shared" si="8"/>
        <v>0</v>
      </c>
      <c r="AT19" s="91">
        <f t="shared" si="8"/>
        <v>0</v>
      </c>
      <c r="AU19" s="91">
        <f t="shared" si="8"/>
        <v>0</v>
      </c>
      <c r="AV19" s="91">
        <f t="shared" si="8"/>
        <v>0</v>
      </c>
      <c r="AW19" s="91">
        <f t="shared" si="8"/>
        <v>0</v>
      </c>
      <c r="AX19" s="91">
        <f t="shared" si="8"/>
        <v>0</v>
      </c>
      <c r="AY19" s="91">
        <f t="shared" si="8"/>
        <v>0</v>
      </c>
      <c r="AZ19" s="91">
        <f t="shared" si="8"/>
        <v>0</v>
      </c>
      <c r="BA19" s="91">
        <f t="shared" si="8"/>
        <v>0</v>
      </c>
      <c r="BB19" s="91">
        <f t="shared" si="8"/>
        <v>0</v>
      </c>
      <c r="BC19" s="91">
        <f t="shared" si="8"/>
        <v>0</v>
      </c>
      <c r="BD19" s="91">
        <f t="shared" si="8"/>
        <v>0</v>
      </c>
      <c r="BE19" s="91">
        <f t="shared" ref="BE19:BN19" si="9">BE18</f>
        <v>0</v>
      </c>
      <c r="BF19" s="91">
        <f t="shared" si="9"/>
        <v>0</v>
      </c>
      <c r="BG19" s="91">
        <f t="shared" si="9"/>
        <v>0</v>
      </c>
      <c r="BH19" s="91">
        <f t="shared" si="9"/>
        <v>0</v>
      </c>
      <c r="BI19" s="91">
        <f t="shared" si="9"/>
        <v>0</v>
      </c>
      <c r="BJ19" s="91">
        <f t="shared" si="9"/>
        <v>0</v>
      </c>
      <c r="BK19" s="91">
        <f t="shared" si="9"/>
        <v>0</v>
      </c>
      <c r="BL19" s="91">
        <f t="shared" si="9"/>
        <v>0</v>
      </c>
      <c r="BM19" s="91">
        <f t="shared" si="9"/>
        <v>0</v>
      </c>
      <c r="BN19" s="91">
        <f t="shared" si="9"/>
        <v>0</v>
      </c>
    </row>
    <row r="20" spans="1:251">
      <c r="A20" s="152"/>
      <c r="G20" s="245"/>
    </row>
    <row r="21" spans="1:251">
      <c r="A21" s="152"/>
      <c r="G21" s="245"/>
    </row>
    <row r="22" spans="1:251">
      <c r="A22" s="169"/>
      <c r="B22" s="97"/>
      <c r="G22" s="246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</row>
    <row r="23" spans="1:251">
      <c r="A23" s="78" t="s">
        <v>40</v>
      </c>
      <c r="B23" s="78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215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171"/>
      <c r="EF23" s="171"/>
      <c r="EG23" s="171"/>
      <c r="EH23" s="171"/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  <c r="FC23" s="171"/>
      <c r="FD23" s="171"/>
      <c r="FE23" s="171"/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  <c r="GB23" s="171"/>
      <c r="GC23" s="171"/>
      <c r="GD23" s="171"/>
      <c r="GE23" s="171"/>
      <c r="GF23" s="171"/>
      <c r="GG23" s="171"/>
      <c r="GH23" s="171"/>
      <c r="GI23" s="171"/>
      <c r="GJ23" s="171"/>
      <c r="GK23" s="171"/>
      <c r="GL23" s="171"/>
      <c r="GM23" s="171"/>
      <c r="GN23" s="171"/>
      <c r="GO23" s="171"/>
      <c r="GP23" s="171"/>
      <c r="GQ23" s="171"/>
      <c r="GR23" s="171"/>
      <c r="GS23" s="171"/>
      <c r="GT23" s="171"/>
      <c r="GU23" s="171"/>
      <c r="GV23" s="171"/>
      <c r="GW23" s="171"/>
      <c r="GX23" s="171"/>
      <c r="GY23" s="171"/>
      <c r="GZ23" s="171"/>
      <c r="HA23" s="171"/>
      <c r="HB23" s="171"/>
      <c r="HC23" s="171"/>
      <c r="HD23" s="171"/>
      <c r="HE23" s="171"/>
      <c r="HF23" s="171"/>
      <c r="HG23" s="171"/>
      <c r="HH23" s="171"/>
      <c r="HI23" s="171"/>
      <c r="HJ23" s="171"/>
      <c r="HK23" s="171"/>
      <c r="HL23" s="171"/>
      <c r="HM23" s="171"/>
      <c r="HN23" s="171"/>
      <c r="HO23" s="171"/>
      <c r="HP23" s="171"/>
      <c r="HQ23" s="171"/>
      <c r="HR23" s="171"/>
      <c r="HS23" s="171"/>
      <c r="HT23" s="171"/>
      <c r="HU23" s="171"/>
      <c r="HV23" s="171"/>
      <c r="HW23" s="171"/>
      <c r="HX23" s="171"/>
      <c r="HY23" s="171"/>
      <c r="HZ23" s="171"/>
      <c r="IA23" s="171"/>
      <c r="IB23" s="171"/>
      <c r="IC23" s="171"/>
      <c r="ID23" s="171"/>
      <c r="IE23" s="171"/>
      <c r="IF23" s="171"/>
      <c r="IG23" s="171"/>
      <c r="IH23" s="171"/>
      <c r="II23" s="171"/>
      <c r="IJ23" s="171"/>
      <c r="IK23" s="171"/>
      <c r="IL23" s="171"/>
      <c r="IM23" s="171"/>
      <c r="IN23" s="171"/>
      <c r="IO23" s="171"/>
      <c r="IP23" s="171"/>
      <c r="IQ23" s="171"/>
    </row>
    <row r="24" spans="1:251">
      <c r="A24" s="172" t="s">
        <v>41</v>
      </c>
      <c r="B24" s="172" t="s">
        <v>42</v>
      </c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</row>
    <row r="25" spans="1:251" outlineLevel="2">
      <c r="A25" s="79" t="s">
        <v>43</v>
      </c>
      <c r="B25" s="79" t="s">
        <v>392</v>
      </c>
      <c r="C25" s="90">
        <v>0</v>
      </c>
      <c r="D25" s="90">
        <v>0</v>
      </c>
      <c r="E25" s="90">
        <v>20.001241</v>
      </c>
      <c r="F25" s="90">
        <v>7.8400460000000001</v>
      </c>
      <c r="G25" s="90">
        <v>0</v>
      </c>
      <c r="H25" s="80">
        <v>86.578000000000003</v>
      </c>
      <c r="I25" s="107">
        <v>2.875</v>
      </c>
      <c r="J25" s="80">
        <v>-1.4999999999999999E-2</v>
      </c>
    </row>
    <row r="26" spans="1:251" outlineLevel="2">
      <c r="A26" s="79" t="s">
        <v>220</v>
      </c>
      <c r="B26" s="79" t="s">
        <v>221</v>
      </c>
      <c r="C26" s="90"/>
      <c r="D26" s="90"/>
      <c r="E26" s="90"/>
      <c r="F26" s="90"/>
      <c r="G26" s="90">
        <v>8448.9889999999996</v>
      </c>
      <c r="H26" s="80">
        <v>1977.575</v>
      </c>
      <c r="I26" s="90">
        <v>208.905</v>
      </c>
      <c r="J26" s="80">
        <v>98.462248000000002</v>
      </c>
      <c r="K26" s="90">
        <v>0.68600399999999995</v>
      </c>
      <c r="L26" s="90">
        <v>15.87796125</v>
      </c>
      <c r="AD26" s="307"/>
      <c r="AJ26" s="90"/>
    </row>
    <row r="27" spans="1:251" outlineLevel="2">
      <c r="A27" s="79" t="s">
        <v>44</v>
      </c>
      <c r="B27" s="79" t="s">
        <v>45</v>
      </c>
      <c r="C27" s="90">
        <v>20341.944</v>
      </c>
      <c r="D27" s="90">
        <v>27250.755269000001</v>
      </c>
      <c r="E27" s="90">
        <v>30336.998092000002</v>
      </c>
      <c r="F27" s="90">
        <v>22647.354499000001</v>
      </c>
      <c r="G27" s="90">
        <v>16569.098999999998</v>
      </c>
      <c r="H27" s="80">
        <v>12807.833000000001</v>
      </c>
      <c r="I27" s="106">
        <v>16038.210999999999</v>
      </c>
      <c r="J27" s="80">
        <v>17323.845000000001</v>
      </c>
      <c r="K27" s="80">
        <v>20701.29900363</v>
      </c>
      <c r="L27" s="80">
        <v>19967.276253208998</v>
      </c>
      <c r="M27" s="173">
        <v>19950.561000000002</v>
      </c>
      <c r="N27" s="103">
        <v>19997.731704239999</v>
      </c>
      <c r="O27" s="247">
        <v>23596.66</v>
      </c>
      <c r="P27" s="174">
        <v>18470</v>
      </c>
      <c r="Q27" s="174">
        <v>21436.793585619998</v>
      </c>
      <c r="R27" s="174">
        <v>25610.149081299998</v>
      </c>
      <c r="S27" s="174">
        <v>33584.652908889999</v>
      </c>
      <c r="T27" s="174">
        <v>35371</v>
      </c>
      <c r="U27" s="303">
        <v>29254.28117541</v>
      </c>
      <c r="V27" s="85">
        <v>27815.084217340001</v>
      </c>
      <c r="W27" s="209">
        <v>26564.054732209999</v>
      </c>
      <c r="X27" s="234">
        <v>22554.905999999999</v>
      </c>
      <c r="Y27" s="80">
        <v>26330.658156000001</v>
      </c>
      <c r="Z27" s="653">
        <v>27601</v>
      </c>
      <c r="AA27" s="682">
        <v>24732</v>
      </c>
      <c r="AB27" s="682">
        <v>28378</v>
      </c>
      <c r="AC27" s="682">
        <v>30396</v>
      </c>
      <c r="AD27" s="682">
        <v>35397</v>
      </c>
      <c r="AE27" s="307">
        <v>33400</v>
      </c>
      <c r="AF27" s="307">
        <v>36100</v>
      </c>
      <c r="AG27" s="307">
        <v>39600</v>
      </c>
      <c r="AH27" s="307">
        <v>39500</v>
      </c>
      <c r="AI27" s="307">
        <v>38600</v>
      </c>
      <c r="AJ27" s="307">
        <v>35048.050327698998</v>
      </c>
      <c r="AK27" s="307">
        <v>32360.9268944539</v>
      </c>
      <c r="AL27" s="307">
        <v>32650.253595689399</v>
      </c>
      <c r="AM27" s="307">
        <v>30847.498700238</v>
      </c>
      <c r="AN27" s="307">
        <v>28551.896184420599</v>
      </c>
      <c r="AO27" s="307">
        <v>24528.448227212299</v>
      </c>
      <c r="AP27" s="307">
        <v>23302.028363335401</v>
      </c>
      <c r="AQ27" s="307">
        <v>23380.023104504799</v>
      </c>
      <c r="AR27" s="307">
        <v>23438.618326996999</v>
      </c>
      <c r="AS27" s="307">
        <v>23397.069817563501</v>
      </c>
      <c r="AT27" s="307">
        <v>22719.6519437385</v>
      </c>
      <c r="AU27" s="307">
        <v>22315.608599975301</v>
      </c>
      <c r="AV27" s="307">
        <v>20571.907702157601</v>
      </c>
      <c r="AW27" s="307">
        <v>20636.643697737301</v>
      </c>
      <c r="AX27" s="307">
        <v>20451.3447792103</v>
      </c>
      <c r="AY27" s="307">
        <v>19310.669540118099</v>
      </c>
      <c r="AZ27" s="307">
        <v>18982.4224997372</v>
      </c>
      <c r="BA27" s="307">
        <v>18230.8857199288</v>
      </c>
      <c r="BB27" s="307">
        <v>17821.603680349701</v>
      </c>
      <c r="BC27" s="307">
        <v>17459.9191950848</v>
      </c>
      <c r="BD27" s="307">
        <v>17065.077865214102</v>
      </c>
      <c r="BE27" s="251">
        <v>16750.289492567099</v>
      </c>
      <c r="BF27" s="251">
        <v>16322.348632630599</v>
      </c>
      <c r="BG27" s="251">
        <v>15931.369302622301</v>
      </c>
      <c r="BH27" s="251">
        <v>15764.282558442799</v>
      </c>
      <c r="BI27" s="251">
        <v>15405.5059856197</v>
      </c>
      <c r="BJ27" s="251">
        <v>14895.0955325961</v>
      </c>
      <c r="BK27" s="251">
        <v>14420.2869211165</v>
      </c>
      <c r="BL27" s="251">
        <v>13970.174772991501</v>
      </c>
      <c r="BM27" s="251">
        <v>13528.569417713699</v>
      </c>
      <c r="BN27" s="251">
        <v>13319.7573839572</v>
      </c>
      <c r="BO27" s="248"/>
      <c r="BP27" s="248"/>
      <c r="BQ27" s="248"/>
      <c r="BR27" s="248"/>
      <c r="BS27" s="248"/>
      <c r="BT27" s="248"/>
      <c r="BU27" s="248"/>
      <c r="BV27" s="248"/>
      <c r="BW27" s="248"/>
      <c r="BX27" s="248"/>
      <c r="BY27" s="248"/>
      <c r="BZ27" s="248"/>
      <c r="CA27" s="248"/>
      <c r="CB27" s="248"/>
      <c r="CC27" s="248"/>
      <c r="CD27" s="248"/>
      <c r="CE27" s="248"/>
      <c r="CF27" s="248"/>
      <c r="CG27" s="248"/>
      <c r="CH27" s="248"/>
      <c r="CI27" s="248"/>
      <c r="CJ27" s="248"/>
      <c r="CK27" s="248"/>
      <c r="CL27" s="248"/>
      <c r="CM27" s="248"/>
      <c r="CN27" s="248"/>
      <c r="CO27" s="248"/>
      <c r="CP27" s="248"/>
      <c r="CQ27" s="248"/>
      <c r="CR27" s="248"/>
      <c r="CS27" s="248"/>
      <c r="CT27" s="248"/>
      <c r="CU27" s="248"/>
      <c r="CV27" s="248"/>
      <c r="CW27" s="248"/>
      <c r="CX27" s="248"/>
      <c r="CY27" s="248"/>
      <c r="CZ27" s="248"/>
      <c r="DA27" s="248"/>
      <c r="DB27" s="248"/>
      <c r="DC27" s="248"/>
      <c r="DD27" s="248"/>
      <c r="DE27" s="248"/>
      <c r="DF27" s="248"/>
      <c r="DG27" s="248"/>
      <c r="DH27" s="248"/>
      <c r="DI27" s="248"/>
      <c r="DJ27" s="248"/>
      <c r="DK27" s="248"/>
      <c r="DL27" s="248"/>
      <c r="DM27" s="248"/>
      <c r="DN27" s="248"/>
      <c r="DO27" s="248"/>
      <c r="DP27" s="248"/>
      <c r="DQ27" s="248"/>
      <c r="DR27" s="248"/>
      <c r="DS27" s="248"/>
      <c r="DT27" s="248"/>
      <c r="DU27" s="248"/>
      <c r="DV27" s="248"/>
      <c r="DW27" s="248"/>
      <c r="DX27" s="248"/>
      <c r="DY27" s="248"/>
      <c r="DZ27" s="248"/>
      <c r="EA27" s="248"/>
      <c r="EB27" s="248"/>
      <c r="EC27" s="248"/>
      <c r="ED27" s="248"/>
      <c r="EE27" s="248"/>
      <c r="EF27" s="248"/>
      <c r="EG27" s="248"/>
      <c r="EH27" s="248"/>
      <c r="EI27" s="248"/>
      <c r="EJ27" s="248"/>
      <c r="EK27" s="248"/>
      <c r="EL27" s="248"/>
      <c r="EM27" s="248"/>
      <c r="EN27" s="248"/>
      <c r="EO27" s="248"/>
      <c r="EP27" s="248"/>
      <c r="EQ27" s="248"/>
      <c r="ER27" s="248"/>
      <c r="ES27" s="248"/>
      <c r="ET27" s="248"/>
      <c r="EU27" s="248"/>
      <c r="EV27" s="248"/>
      <c r="EW27" s="248"/>
      <c r="EX27" s="248"/>
      <c r="EY27" s="248"/>
      <c r="EZ27" s="248"/>
      <c r="FA27" s="248"/>
      <c r="FB27" s="248"/>
      <c r="FC27" s="248"/>
      <c r="FD27" s="248"/>
      <c r="FE27" s="248"/>
      <c r="FF27" s="248"/>
      <c r="FG27" s="248"/>
      <c r="FH27" s="248"/>
      <c r="FI27" s="248"/>
      <c r="FJ27" s="248"/>
      <c r="FK27" s="248"/>
      <c r="FL27" s="248"/>
      <c r="FM27" s="248"/>
      <c r="FN27" s="248"/>
      <c r="FO27" s="248"/>
      <c r="FP27" s="248"/>
      <c r="FQ27" s="248"/>
      <c r="FR27" s="248"/>
      <c r="FS27" s="248"/>
      <c r="FT27" s="248"/>
      <c r="FU27" s="248"/>
      <c r="FV27" s="248"/>
      <c r="FW27" s="248"/>
      <c r="FX27" s="248"/>
      <c r="FY27" s="248"/>
      <c r="FZ27" s="248"/>
      <c r="GA27" s="248"/>
      <c r="GB27" s="248"/>
      <c r="GC27" s="248"/>
      <c r="GD27" s="248"/>
      <c r="GE27" s="248"/>
      <c r="GF27" s="248"/>
      <c r="GG27" s="248"/>
      <c r="GH27" s="248"/>
      <c r="GI27" s="248"/>
      <c r="GJ27" s="248"/>
      <c r="GK27" s="248"/>
      <c r="GL27" s="248"/>
      <c r="GM27" s="248"/>
      <c r="GN27" s="248"/>
      <c r="GO27" s="248"/>
      <c r="GP27" s="248"/>
      <c r="GQ27" s="248"/>
      <c r="GR27" s="248"/>
      <c r="GS27" s="248"/>
      <c r="GT27" s="248"/>
      <c r="GU27" s="248"/>
      <c r="GV27" s="248"/>
      <c r="GW27" s="248"/>
      <c r="GX27" s="248"/>
      <c r="GY27" s="248"/>
      <c r="GZ27" s="248"/>
      <c r="HA27" s="248"/>
      <c r="HB27" s="248"/>
      <c r="HC27" s="248"/>
      <c r="HD27" s="248"/>
      <c r="HE27" s="248"/>
      <c r="HF27" s="248"/>
      <c r="HG27" s="248"/>
      <c r="HH27" s="248"/>
      <c r="HI27" s="248"/>
      <c r="HJ27" s="248"/>
      <c r="HK27" s="248"/>
      <c r="HL27" s="248"/>
      <c r="HM27" s="248"/>
      <c r="HN27" s="248"/>
      <c r="HO27" s="248"/>
      <c r="HP27" s="248"/>
      <c r="HQ27" s="248"/>
      <c r="HR27" s="248"/>
      <c r="HS27" s="248"/>
      <c r="HT27" s="248"/>
      <c r="HU27" s="248"/>
      <c r="HV27" s="248"/>
      <c r="HW27" s="248"/>
      <c r="HX27" s="248"/>
      <c r="HY27" s="248"/>
      <c r="HZ27" s="248"/>
      <c r="IA27" s="248"/>
      <c r="IB27" s="248"/>
      <c r="IC27" s="248"/>
      <c r="ID27" s="248"/>
      <c r="IE27" s="248"/>
      <c r="IF27" s="248"/>
      <c r="IG27" s="248"/>
      <c r="IH27" s="248"/>
      <c r="II27" s="248"/>
      <c r="IJ27" s="248"/>
      <c r="IK27" s="248"/>
      <c r="IL27" s="248"/>
      <c r="IM27" s="248"/>
      <c r="IN27" s="248"/>
      <c r="IO27" s="248"/>
      <c r="IP27" s="248"/>
      <c r="IQ27" s="248"/>
    </row>
    <row r="28" spans="1:251" outlineLevel="2">
      <c r="A28" s="79" t="s">
        <v>53</v>
      </c>
      <c r="B28" s="79" t="s">
        <v>663</v>
      </c>
      <c r="C28" s="90"/>
      <c r="D28" s="90"/>
      <c r="E28" s="90"/>
      <c r="F28" s="90"/>
      <c r="G28" s="90"/>
      <c r="H28" s="80"/>
      <c r="I28" s="106"/>
      <c r="J28" s="80"/>
      <c r="K28" s="80"/>
      <c r="L28" s="80"/>
      <c r="M28" s="173"/>
      <c r="N28" s="103"/>
      <c r="O28" s="247"/>
      <c r="P28" s="174"/>
      <c r="Q28" s="174"/>
      <c r="R28" s="174"/>
      <c r="S28" s="174"/>
      <c r="T28" s="174"/>
      <c r="U28" s="303"/>
      <c r="V28" s="85"/>
      <c r="W28" s="209"/>
      <c r="X28" s="234"/>
      <c r="Y28" s="80"/>
      <c r="Z28" s="653"/>
      <c r="AA28" s="682"/>
      <c r="AB28" s="682"/>
      <c r="AC28" s="682"/>
      <c r="AD28" s="682">
        <v>13129</v>
      </c>
      <c r="AE28" s="307">
        <v>-2046.441</v>
      </c>
      <c r="AF28" s="307"/>
      <c r="AG28" s="307"/>
      <c r="AH28" s="307"/>
      <c r="AI28" s="307"/>
      <c r="AJ28" s="307"/>
      <c r="AK28" s="307"/>
      <c r="AL28" s="307"/>
      <c r="AM28" s="307"/>
      <c r="AN28" s="307"/>
      <c r="AO28" s="307"/>
      <c r="AP28" s="307"/>
      <c r="AQ28" s="307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307"/>
      <c r="BC28" s="307"/>
      <c r="BD28" s="307"/>
      <c r="BE28" s="251"/>
      <c r="BF28" s="251"/>
      <c r="BG28" s="251"/>
      <c r="BH28" s="251"/>
      <c r="BI28" s="251"/>
      <c r="BJ28" s="251"/>
      <c r="BK28" s="251"/>
      <c r="BL28" s="251"/>
      <c r="BM28" s="251"/>
      <c r="BN28" s="251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8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  <c r="DN28" s="248"/>
      <c r="DO28" s="248"/>
      <c r="DP28" s="248"/>
      <c r="DQ28" s="248"/>
      <c r="DR28" s="248"/>
      <c r="DS28" s="248"/>
      <c r="DT28" s="248"/>
      <c r="DU28" s="248"/>
      <c r="DV28" s="248"/>
      <c r="DW28" s="248"/>
      <c r="DX28" s="248"/>
      <c r="DY28" s="248"/>
      <c r="DZ28" s="248"/>
      <c r="EA28" s="248"/>
      <c r="EB28" s="248"/>
      <c r="EC28" s="248"/>
      <c r="ED28" s="248"/>
      <c r="EE28" s="248"/>
      <c r="EF28" s="248"/>
      <c r="EG28" s="248"/>
      <c r="EH28" s="248"/>
      <c r="EI28" s="248"/>
      <c r="EJ28" s="248"/>
      <c r="EK28" s="248"/>
      <c r="EL28" s="248"/>
      <c r="EM28" s="248"/>
      <c r="EN28" s="248"/>
      <c r="EO28" s="248"/>
      <c r="EP28" s="248"/>
      <c r="EQ28" s="248"/>
      <c r="ER28" s="248"/>
      <c r="ES28" s="248"/>
      <c r="ET28" s="248"/>
      <c r="EU28" s="248"/>
      <c r="EV28" s="248"/>
      <c r="EW28" s="248"/>
      <c r="EX28" s="248"/>
      <c r="EY28" s="248"/>
      <c r="EZ28" s="248"/>
      <c r="FA28" s="248"/>
      <c r="FB28" s="248"/>
      <c r="FC28" s="248"/>
      <c r="FD28" s="248"/>
      <c r="FE28" s="248"/>
      <c r="FF28" s="248"/>
      <c r="FG28" s="248"/>
      <c r="FH28" s="248"/>
      <c r="FI28" s="248"/>
      <c r="FJ28" s="248"/>
      <c r="FK28" s="248"/>
      <c r="FL28" s="248"/>
      <c r="FM28" s="248"/>
      <c r="FN28" s="248"/>
      <c r="FO28" s="248"/>
      <c r="FP28" s="248"/>
      <c r="FQ28" s="248"/>
      <c r="FR28" s="248"/>
      <c r="FS28" s="248"/>
      <c r="FT28" s="248"/>
      <c r="FU28" s="248"/>
      <c r="FV28" s="248"/>
      <c r="FW28" s="248"/>
      <c r="FX28" s="248"/>
      <c r="FY28" s="248"/>
      <c r="FZ28" s="248"/>
      <c r="GA28" s="248"/>
      <c r="GB28" s="248"/>
      <c r="GC28" s="248"/>
      <c r="GD28" s="248"/>
      <c r="GE28" s="248"/>
      <c r="GF28" s="248"/>
      <c r="GG28" s="248"/>
      <c r="GH28" s="248"/>
      <c r="GI28" s="248"/>
      <c r="GJ28" s="248"/>
      <c r="GK28" s="248"/>
      <c r="GL28" s="248"/>
      <c r="GM28" s="248"/>
      <c r="GN28" s="248"/>
      <c r="GO28" s="248"/>
      <c r="GP28" s="248"/>
      <c r="GQ28" s="248"/>
      <c r="GR28" s="248"/>
      <c r="GS28" s="248"/>
      <c r="GT28" s="248"/>
      <c r="GU28" s="248"/>
      <c r="GV28" s="248"/>
      <c r="GW28" s="248"/>
      <c r="GX28" s="248"/>
      <c r="GY28" s="248"/>
      <c r="GZ28" s="248"/>
      <c r="HA28" s="248"/>
      <c r="HB28" s="248"/>
      <c r="HC28" s="248"/>
      <c r="HD28" s="248"/>
      <c r="HE28" s="248"/>
      <c r="HF28" s="248"/>
      <c r="HG28" s="248"/>
      <c r="HH28" s="248"/>
      <c r="HI28" s="248"/>
      <c r="HJ28" s="248"/>
      <c r="HK28" s="248"/>
      <c r="HL28" s="248"/>
      <c r="HM28" s="248"/>
      <c r="HN28" s="248"/>
      <c r="HO28" s="248"/>
      <c r="HP28" s="248"/>
      <c r="HQ28" s="248"/>
      <c r="HR28" s="248"/>
      <c r="HS28" s="248"/>
      <c r="HT28" s="248"/>
      <c r="HU28" s="248"/>
      <c r="HV28" s="248"/>
      <c r="HW28" s="248"/>
      <c r="HX28" s="248"/>
      <c r="HY28" s="248"/>
      <c r="HZ28" s="248"/>
      <c r="IA28" s="248"/>
      <c r="IB28" s="248"/>
      <c r="IC28" s="248"/>
      <c r="ID28" s="248"/>
      <c r="IE28" s="248"/>
      <c r="IF28" s="248"/>
      <c r="IG28" s="248"/>
      <c r="IH28" s="248"/>
      <c r="II28" s="248"/>
      <c r="IJ28" s="248"/>
      <c r="IK28" s="248"/>
      <c r="IL28" s="248"/>
      <c r="IM28" s="248"/>
      <c r="IN28" s="248"/>
      <c r="IO28" s="248"/>
      <c r="IP28" s="248"/>
      <c r="IQ28" s="248"/>
    </row>
    <row r="29" spans="1:251" outlineLevel="2">
      <c r="A29" s="79" t="s">
        <v>46</v>
      </c>
      <c r="B29" s="79" t="s">
        <v>223</v>
      </c>
      <c r="C29" s="90">
        <v>600</v>
      </c>
      <c r="D29" s="90">
        <v>285.98399999999998</v>
      </c>
      <c r="E29" s="90">
        <v>586</v>
      </c>
      <c r="F29" s="90">
        <v>592</v>
      </c>
      <c r="G29" s="90">
        <f>592</f>
        <v>592</v>
      </c>
      <c r="H29" s="80">
        <v>905</v>
      </c>
      <c r="I29" s="106">
        <v>980.6</v>
      </c>
      <c r="J29" s="80">
        <v>1113</v>
      </c>
      <c r="K29" s="80">
        <v>731</v>
      </c>
      <c r="L29" s="80">
        <v>1199</v>
      </c>
      <c r="M29" s="173">
        <v>1101</v>
      </c>
      <c r="N29" s="103">
        <v>1841</v>
      </c>
      <c r="O29" s="247">
        <v>1122</v>
      </c>
      <c r="P29" s="174">
        <v>1594</v>
      </c>
      <c r="Q29" s="249">
        <v>0</v>
      </c>
      <c r="R29" s="249">
        <v>0</v>
      </c>
      <c r="S29" s="174">
        <v>0</v>
      </c>
      <c r="T29" s="249">
        <v>0</v>
      </c>
      <c r="U29" s="175">
        <v>0</v>
      </c>
      <c r="V29" s="175">
        <v>0</v>
      </c>
      <c r="W29" s="175">
        <v>0</v>
      </c>
      <c r="X29" s="175">
        <v>0</v>
      </c>
      <c r="Y29" s="175">
        <v>0</v>
      </c>
      <c r="Z29" s="175">
        <v>0</v>
      </c>
      <c r="AA29" s="175">
        <v>0</v>
      </c>
      <c r="AB29" s="175">
        <v>0</v>
      </c>
      <c r="AC29" s="175">
        <v>0</v>
      </c>
      <c r="AD29" s="175">
        <v>0</v>
      </c>
      <c r="AE29" s="175">
        <v>0</v>
      </c>
      <c r="AF29" s="175">
        <v>0</v>
      </c>
      <c r="AG29" s="175">
        <v>0</v>
      </c>
      <c r="AH29" s="175">
        <v>0</v>
      </c>
      <c r="AI29" s="175">
        <v>0</v>
      </c>
      <c r="AJ29" s="175">
        <v>0</v>
      </c>
      <c r="AK29" s="175">
        <v>0</v>
      </c>
      <c r="AL29" s="175">
        <v>0</v>
      </c>
      <c r="AM29" s="175">
        <v>0</v>
      </c>
      <c r="AN29" s="175">
        <v>0</v>
      </c>
      <c r="AO29" s="175">
        <v>0</v>
      </c>
      <c r="AP29" s="175">
        <v>0</v>
      </c>
      <c r="AQ29" s="175">
        <v>0</v>
      </c>
      <c r="AR29" s="175">
        <v>0</v>
      </c>
      <c r="AS29" s="175">
        <v>0</v>
      </c>
      <c r="AT29" s="175">
        <v>0</v>
      </c>
      <c r="AU29" s="175">
        <v>0</v>
      </c>
      <c r="AV29" s="175">
        <v>0</v>
      </c>
      <c r="AW29" s="175">
        <v>0</v>
      </c>
      <c r="AX29" s="175">
        <v>0</v>
      </c>
      <c r="AY29" s="175">
        <v>0</v>
      </c>
      <c r="AZ29" s="175">
        <v>0</v>
      </c>
      <c r="BA29" s="175">
        <v>0</v>
      </c>
      <c r="BB29" s="175">
        <v>0</v>
      </c>
      <c r="BC29" s="175">
        <v>0</v>
      </c>
      <c r="BD29" s="175">
        <v>0</v>
      </c>
      <c r="BE29" s="175">
        <v>0</v>
      </c>
      <c r="BF29" s="175">
        <v>0</v>
      </c>
      <c r="BG29" s="175">
        <v>0</v>
      </c>
      <c r="BH29" s="175">
        <v>0</v>
      </c>
      <c r="BI29" s="175">
        <v>0</v>
      </c>
      <c r="BJ29" s="175">
        <v>0</v>
      </c>
      <c r="BK29" s="175">
        <v>0</v>
      </c>
      <c r="BL29" s="175">
        <v>0</v>
      </c>
      <c r="BM29" s="175">
        <v>0</v>
      </c>
      <c r="BN29" s="175">
        <v>0</v>
      </c>
    </row>
    <row r="30" spans="1:251" outlineLevel="1">
      <c r="A30" s="79" t="s">
        <v>47</v>
      </c>
      <c r="C30" s="91">
        <f t="shared" ref="C30:AJ30" si="10">SUM(C25:C29)</f>
        <v>20941.944</v>
      </c>
      <c r="D30" s="91">
        <f t="shared" si="10"/>
        <v>27536.739269000002</v>
      </c>
      <c r="E30" s="91">
        <f t="shared" si="10"/>
        <v>30942.999333000003</v>
      </c>
      <c r="F30" s="91">
        <f t="shared" si="10"/>
        <v>23247.194545000002</v>
      </c>
      <c r="G30" s="91">
        <f t="shared" si="10"/>
        <v>25610.087999999996</v>
      </c>
      <c r="H30" s="91">
        <f t="shared" si="10"/>
        <v>15776.986000000001</v>
      </c>
      <c r="I30" s="91">
        <f t="shared" si="10"/>
        <v>17230.591</v>
      </c>
      <c r="J30" s="86">
        <f t="shared" si="10"/>
        <v>18535.292248000002</v>
      </c>
      <c r="K30" s="91">
        <f t="shared" si="10"/>
        <v>21432.985007629999</v>
      </c>
      <c r="L30" s="91">
        <f t="shared" si="10"/>
        <v>21182.154214458998</v>
      </c>
      <c r="M30" s="90">
        <f t="shared" si="10"/>
        <v>21051.561000000002</v>
      </c>
      <c r="N30" s="86">
        <f t="shared" si="10"/>
        <v>21838.731704239999</v>
      </c>
      <c r="O30" s="86">
        <f t="shared" si="10"/>
        <v>24718.66</v>
      </c>
      <c r="P30" s="86">
        <f t="shared" si="10"/>
        <v>20064</v>
      </c>
      <c r="Q30" s="86">
        <f t="shared" si="10"/>
        <v>21436.793585619998</v>
      </c>
      <c r="R30" s="86">
        <f t="shared" si="10"/>
        <v>25610.149081299998</v>
      </c>
      <c r="S30" s="86">
        <f t="shared" si="10"/>
        <v>33584.652908889999</v>
      </c>
      <c r="T30" s="86">
        <f t="shared" si="10"/>
        <v>35371</v>
      </c>
      <c r="U30" s="86">
        <f t="shared" si="10"/>
        <v>29254.28117541</v>
      </c>
      <c r="V30" s="86">
        <f t="shared" si="10"/>
        <v>27815.084217340001</v>
      </c>
      <c r="W30" s="86">
        <f t="shared" si="10"/>
        <v>26564.054732209999</v>
      </c>
      <c r="X30" s="86">
        <f t="shared" si="10"/>
        <v>22554.905999999999</v>
      </c>
      <c r="Y30" s="86">
        <f t="shared" si="10"/>
        <v>26330.658156000001</v>
      </c>
      <c r="Z30" s="86">
        <f t="shared" si="10"/>
        <v>27601</v>
      </c>
      <c r="AA30" s="86">
        <f t="shared" si="10"/>
        <v>24732</v>
      </c>
      <c r="AB30" s="86">
        <f t="shared" si="10"/>
        <v>28378</v>
      </c>
      <c r="AC30" s="86">
        <f t="shared" si="10"/>
        <v>30396</v>
      </c>
      <c r="AD30" s="86">
        <f t="shared" si="10"/>
        <v>48526</v>
      </c>
      <c r="AE30" s="86">
        <f t="shared" si="10"/>
        <v>31353.559000000001</v>
      </c>
      <c r="AF30" s="86">
        <f t="shared" si="10"/>
        <v>36100</v>
      </c>
      <c r="AG30" s="86">
        <f t="shared" si="10"/>
        <v>39600</v>
      </c>
      <c r="AH30" s="86">
        <f t="shared" si="10"/>
        <v>39500</v>
      </c>
      <c r="AI30" s="86">
        <f t="shared" si="10"/>
        <v>38600</v>
      </c>
      <c r="AJ30" s="86">
        <f t="shared" si="10"/>
        <v>35048.050327698998</v>
      </c>
      <c r="AK30" s="86">
        <f t="shared" ref="AK30:BD30" si="11">SUM(AK25:AK29)</f>
        <v>32360.9268944539</v>
      </c>
      <c r="AL30" s="86">
        <f t="shared" si="11"/>
        <v>32650.253595689399</v>
      </c>
      <c r="AM30" s="86">
        <f t="shared" si="11"/>
        <v>30847.498700238</v>
      </c>
      <c r="AN30" s="86">
        <f t="shared" si="11"/>
        <v>28551.896184420599</v>
      </c>
      <c r="AO30" s="86">
        <f t="shared" si="11"/>
        <v>24528.448227212299</v>
      </c>
      <c r="AP30" s="86">
        <f t="shared" si="11"/>
        <v>23302.028363335401</v>
      </c>
      <c r="AQ30" s="86">
        <f t="shared" si="11"/>
        <v>23380.023104504799</v>
      </c>
      <c r="AR30" s="86">
        <f t="shared" si="11"/>
        <v>23438.618326996999</v>
      </c>
      <c r="AS30" s="86">
        <f t="shared" si="11"/>
        <v>23397.069817563501</v>
      </c>
      <c r="AT30" s="86">
        <f t="shared" si="11"/>
        <v>22719.6519437385</v>
      </c>
      <c r="AU30" s="86">
        <f t="shared" si="11"/>
        <v>22315.608599975301</v>
      </c>
      <c r="AV30" s="86">
        <f t="shared" si="11"/>
        <v>20571.907702157601</v>
      </c>
      <c r="AW30" s="86">
        <f t="shared" si="11"/>
        <v>20636.643697737301</v>
      </c>
      <c r="AX30" s="86">
        <f t="shared" si="11"/>
        <v>20451.3447792103</v>
      </c>
      <c r="AY30" s="86">
        <f t="shared" si="11"/>
        <v>19310.669540118099</v>
      </c>
      <c r="AZ30" s="86">
        <f t="shared" si="11"/>
        <v>18982.4224997372</v>
      </c>
      <c r="BA30" s="86">
        <f t="shared" si="11"/>
        <v>18230.8857199288</v>
      </c>
      <c r="BB30" s="86">
        <f t="shared" si="11"/>
        <v>17821.603680349701</v>
      </c>
      <c r="BC30" s="86">
        <f t="shared" si="11"/>
        <v>17459.9191950848</v>
      </c>
      <c r="BD30" s="86">
        <f t="shared" si="11"/>
        <v>17065.077865214102</v>
      </c>
      <c r="BE30" s="86">
        <f t="shared" ref="BE30:BN30" si="12">SUM(BE25:BE29)</f>
        <v>16750.289492567099</v>
      </c>
      <c r="BF30" s="86">
        <f t="shared" si="12"/>
        <v>16322.348632630599</v>
      </c>
      <c r="BG30" s="86">
        <f t="shared" si="12"/>
        <v>15931.369302622301</v>
      </c>
      <c r="BH30" s="86">
        <f t="shared" si="12"/>
        <v>15764.282558442799</v>
      </c>
      <c r="BI30" s="86">
        <f t="shared" si="12"/>
        <v>15405.5059856197</v>
      </c>
      <c r="BJ30" s="86">
        <f t="shared" si="12"/>
        <v>14895.0955325961</v>
      </c>
      <c r="BK30" s="86">
        <f t="shared" si="12"/>
        <v>14420.2869211165</v>
      </c>
      <c r="BL30" s="86">
        <f t="shared" si="12"/>
        <v>13970.174772991501</v>
      </c>
      <c r="BM30" s="86">
        <f t="shared" si="12"/>
        <v>13528.569417713699</v>
      </c>
      <c r="BN30" s="86">
        <f t="shared" si="12"/>
        <v>13319.7573839572</v>
      </c>
    </row>
    <row r="31" spans="1:251" outlineLevel="1"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80"/>
      <c r="O31" s="80"/>
      <c r="P31" s="80"/>
      <c r="Q31" s="90"/>
      <c r="R31" s="90"/>
      <c r="S31" s="246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</row>
    <row r="32" spans="1:251" outlineLevel="1">
      <c r="A32" s="78" t="s">
        <v>48</v>
      </c>
      <c r="B32" s="78" t="s">
        <v>42</v>
      </c>
      <c r="C32" s="90"/>
      <c r="D32" s="90"/>
      <c r="E32" s="90"/>
      <c r="F32" s="90"/>
      <c r="G32" s="90"/>
      <c r="H32" s="90"/>
      <c r="I32" s="90"/>
      <c r="J32" s="90"/>
      <c r="K32" s="90"/>
      <c r="L32" s="176"/>
      <c r="M32" s="90"/>
      <c r="N32" s="80"/>
      <c r="O32" s="80"/>
      <c r="P32" s="80"/>
      <c r="Q32" s="90"/>
      <c r="R32" s="90"/>
      <c r="S32" s="246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8"/>
      <c r="BJ32" s="248"/>
      <c r="BK32" s="248"/>
      <c r="BL32" s="248"/>
      <c r="BM32" s="248"/>
      <c r="BN32" s="248"/>
      <c r="BO32" s="248"/>
      <c r="BP32" s="248"/>
      <c r="BQ32" s="248"/>
      <c r="BR32" s="248"/>
      <c r="BS32" s="248"/>
      <c r="BT32" s="248"/>
      <c r="BU32" s="248"/>
      <c r="BV32" s="248"/>
      <c r="BW32" s="248"/>
      <c r="BX32" s="248"/>
      <c r="BY32" s="248"/>
      <c r="BZ32" s="248"/>
      <c r="CA32" s="248"/>
      <c r="CB32" s="248"/>
      <c r="CC32" s="248"/>
      <c r="CD32" s="248"/>
      <c r="CE32" s="248"/>
      <c r="CF32" s="248"/>
      <c r="CG32" s="248"/>
      <c r="CH32" s="248"/>
      <c r="CI32" s="248"/>
      <c r="CJ32" s="248"/>
      <c r="CK32" s="248"/>
      <c r="CL32" s="248"/>
      <c r="CM32" s="248"/>
      <c r="CN32" s="248"/>
      <c r="CO32" s="248"/>
      <c r="CP32" s="248"/>
      <c r="CQ32" s="248"/>
      <c r="CR32" s="248"/>
      <c r="CS32" s="248"/>
      <c r="CT32" s="248"/>
      <c r="CU32" s="248"/>
      <c r="CV32" s="248"/>
      <c r="CW32" s="248"/>
      <c r="CX32" s="248"/>
      <c r="CY32" s="248"/>
      <c r="CZ32" s="248"/>
      <c r="DA32" s="248"/>
      <c r="DB32" s="248"/>
      <c r="DC32" s="248"/>
      <c r="DD32" s="248"/>
      <c r="DE32" s="248"/>
      <c r="DF32" s="248"/>
      <c r="DG32" s="248"/>
      <c r="DH32" s="248"/>
      <c r="DI32" s="248"/>
      <c r="DJ32" s="248"/>
      <c r="DK32" s="248"/>
      <c r="DL32" s="248"/>
      <c r="DM32" s="248"/>
      <c r="DN32" s="248"/>
      <c r="DO32" s="248"/>
      <c r="DP32" s="248"/>
      <c r="DQ32" s="248"/>
      <c r="DR32" s="248"/>
      <c r="DS32" s="248"/>
      <c r="DT32" s="248"/>
      <c r="DU32" s="248"/>
      <c r="DV32" s="248"/>
      <c r="DW32" s="248"/>
      <c r="DX32" s="248"/>
      <c r="DY32" s="248"/>
      <c r="DZ32" s="248"/>
      <c r="EA32" s="248"/>
      <c r="EB32" s="248"/>
      <c r="EC32" s="248"/>
      <c r="ED32" s="248"/>
      <c r="EE32" s="248"/>
      <c r="EF32" s="248"/>
      <c r="EG32" s="248"/>
      <c r="EH32" s="248"/>
      <c r="EI32" s="248"/>
      <c r="EJ32" s="248"/>
      <c r="EK32" s="248"/>
      <c r="EL32" s="248"/>
      <c r="EM32" s="248"/>
      <c r="EN32" s="248"/>
      <c r="EO32" s="248"/>
      <c r="EP32" s="248"/>
      <c r="EQ32" s="248"/>
      <c r="ER32" s="248"/>
      <c r="ES32" s="248"/>
      <c r="ET32" s="248"/>
      <c r="EU32" s="248"/>
      <c r="EV32" s="248"/>
      <c r="EW32" s="248"/>
      <c r="EX32" s="248"/>
      <c r="EY32" s="248"/>
      <c r="EZ32" s="248"/>
      <c r="FA32" s="248"/>
      <c r="FB32" s="248"/>
      <c r="FC32" s="248"/>
      <c r="FD32" s="248"/>
      <c r="FE32" s="248"/>
      <c r="FF32" s="248"/>
      <c r="FG32" s="248"/>
      <c r="FH32" s="248"/>
      <c r="FI32" s="248"/>
      <c r="FJ32" s="248"/>
      <c r="FK32" s="248"/>
      <c r="FL32" s="248"/>
      <c r="FM32" s="248"/>
      <c r="FN32" s="248"/>
      <c r="FO32" s="248"/>
      <c r="FP32" s="248"/>
      <c r="FQ32" s="248"/>
      <c r="FR32" s="248"/>
      <c r="FS32" s="248"/>
      <c r="FT32" s="248"/>
      <c r="FU32" s="248"/>
      <c r="FV32" s="248"/>
      <c r="FW32" s="248"/>
      <c r="FX32" s="248"/>
      <c r="FY32" s="248"/>
      <c r="FZ32" s="248"/>
      <c r="GA32" s="248"/>
      <c r="GB32" s="248"/>
      <c r="GC32" s="248"/>
      <c r="GD32" s="248"/>
      <c r="GE32" s="248"/>
      <c r="GF32" s="248"/>
      <c r="GG32" s="248"/>
      <c r="GH32" s="248"/>
      <c r="GI32" s="248"/>
      <c r="GJ32" s="248"/>
      <c r="GK32" s="248"/>
      <c r="GL32" s="248"/>
      <c r="GM32" s="248"/>
      <c r="GN32" s="248"/>
      <c r="GO32" s="248"/>
      <c r="GP32" s="248"/>
      <c r="GQ32" s="248"/>
      <c r="GR32" s="248"/>
      <c r="GS32" s="248"/>
      <c r="GT32" s="248"/>
      <c r="GU32" s="248"/>
      <c r="GV32" s="248"/>
      <c r="GW32" s="248"/>
      <c r="GX32" s="248"/>
      <c r="GY32" s="248"/>
      <c r="GZ32" s="248"/>
      <c r="HA32" s="248"/>
      <c r="HB32" s="248"/>
      <c r="HC32" s="248"/>
      <c r="HD32" s="248"/>
      <c r="HE32" s="248"/>
      <c r="HF32" s="248"/>
      <c r="HG32" s="248"/>
      <c r="HH32" s="248"/>
      <c r="HI32" s="248"/>
      <c r="HJ32" s="248"/>
      <c r="HK32" s="248"/>
      <c r="HL32" s="248"/>
      <c r="HM32" s="248"/>
      <c r="HN32" s="248"/>
      <c r="HO32" s="248"/>
      <c r="HP32" s="248"/>
      <c r="HQ32" s="248"/>
      <c r="HR32" s="248"/>
      <c r="HS32" s="248"/>
      <c r="HT32" s="248"/>
      <c r="HU32" s="248"/>
      <c r="HV32" s="248"/>
      <c r="HW32" s="248"/>
      <c r="HX32" s="248"/>
      <c r="HY32" s="248"/>
      <c r="HZ32" s="248"/>
      <c r="IA32" s="248"/>
      <c r="IB32" s="248"/>
      <c r="IC32" s="248"/>
      <c r="ID32" s="248"/>
      <c r="IE32" s="248"/>
      <c r="IF32" s="248"/>
      <c r="IG32" s="248"/>
      <c r="IH32" s="248"/>
      <c r="II32" s="248"/>
      <c r="IJ32" s="248"/>
      <c r="IK32" s="248"/>
      <c r="IL32" s="248"/>
      <c r="IM32" s="248"/>
      <c r="IN32" s="248"/>
      <c r="IO32" s="248"/>
      <c r="IP32" s="248"/>
      <c r="IQ32" s="248"/>
    </row>
    <row r="33" spans="1:251" outlineLevel="1">
      <c r="A33" s="177" t="s">
        <v>229</v>
      </c>
      <c r="B33" s="79" t="s">
        <v>221</v>
      </c>
      <c r="C33" s="80"/>
      <c r="D33" s="80"/>
      <c r="E33" s="80"/>
      <c r="F33" s="80"/>
      <c r="G33" s="80"/>
      <c r="H33" s="80">
        <v>347.88099999999997</v>
      </c>
      <c r="I33" s="80">
        <v>51.006</v>
      </c>
      <c r="J33" s="80">
        <v>118.98632600000001</v>
      </c>
      <c r="K33" s="80">
        <v>233.07300000000001</v>
      </c>
      <c r="L33" s="80"/>
      <c r="M33" s="80"/>
      <c r="N33" s="80"/>
      <c r="O33" s="80"/>
      <c r="P33" s="80"/>
      <c r="Q33" s="80"/>
      <c r="R33" s="80"/>
      <c r="S33" s="243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S33" s="248"/>
      <c r="AT33" s="248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8"/>
      <c r="BJ33" s="248"/>
      <c r="BK33" s="248"/>
      <c r="BL33" s="248"/>
      <c r="BM33" s="248"/>
      <c r="BN33" s="248"/>
      <c r="BO33" s="248"/>
      <c r="BP33" s="248"/>
      <c r="BQ33" s="248"/>
      <c r="BR33" s="248"/>
      <c r="BS33" s="248"/>
      <c r="BT33" s="248"/>
      <c r="BU33" s="248"/>
      <c r="BV33" s="248"/>
      <c r="BW33" s="248"/>
      <c r="BX33" s="248"/>
      <c r="BY33" s="248"/>
      <c r="BZ33" s="248"/>
      <c r="CA33" s="248"/>
      <c r="CB33" s="248"/>
      <c r="CC33" s="248"/>
      <c r="CD33" s="248"/>
      <c r="CE33" s="248"/>
      <c r="CF33" s="248"/>
      <c r="CG33" s="248"/>
      <c r="CH33" s="248"/>
      <c r="CI33" s="248"/>
      <c r="CJ33" s="248"/>
      <c r="CK33" s="248"/>
      <c r="CL33" s="248"/>
      <c r="CM33" s="248"/>
      <c r="CN33" s="248"/>
      <c r="CO33" s="248"/>
      <c r="CP33" s="248"/>
      <c r="CQ33" s="248"/>
      <c r="CR33" s="248"/>
      <c r="CS33" s="248"/>
      <c r="CT33" s="248"/>
      <c r="CU33" s="248"/>
      <c r="CV33" s="248"/>
      <c r="CW33" s="248"/>
      <c r="CX33" s="248"/>
      <c r="CY33" s="248"/>
      <c r="CZ33" s="248"/>
      <c r="DA33" s="248"/>
      <c r="DB33" s="248"/>
      <c r="DC33" s="248"/>
      <c r="DD33" s="248"/>
      <c r="DE33" s="248"/>
      <c r="DF33" s="248"/>
      <c r="DG33" s="248"/>
      <c r="DH33" s="248"/>
      <c r="DI33" s="248"/>
      <c r="DJ33" s="248"/>
      <c r="DK33" s="248"/>
      <c r="DL33" s="248"/>
      <c r="DM33" s="248"/>
      <c r="DN33" s="248"/>
      <c r="DO33" s="248"/>
      <c r="DP33" s="248"/>
      <c r="DQ33" s="248"/>
      <c r="DR33" s="248"/>
      <c r="DS33" s="248"/>
      <c r="DT33" s="248"/>
      <c r="DU33" s="248"/>
      <c r="DV33" s="248"/>
      <c r="DW33" s="248"/>
      <c r="DX33" s="248"/>
      <c r="DY33" s="248"/>
      <c r="DZ33" s="248"/>
      <c r="EA33" s="248"/>
      <c r="EB33" s="248"/>
      <c r="EC33" s="248"/>
      <c r="ED33" s="248"/>
      <c r="EE33" s="248"/>
      <c r="EF33" s="248"/>
      <c r="EG33" s="248"/>
      <c r="EH33" s="248"/>
      <c r="EI33" s="248"/>
      <c r="EJ33" s="248"/>
      <c r="EK33" s="248"/>
      <c r="EL33" s="248"/>
      <c r="EM33" s="248"/>
      <c r="EN33" s="248"/>
      <c r="EO33" s="248"/>
      <c r="EP33" s="248"/>
      <c r="EQ33" s="248"/>
      <c r="ER33" s="248"/>
      <c r="ES33" s="248"/>
      <c r="ET33" s="248"/>
      <c r="EU33" s="248"/>
      <c r="EV33" s="248"/>
      <c r="EW33" s="248"/>
      <c r="EX33" s="248"/>
      <c r="EY33" s="248"/>
      <c r="EZ33" s="248"/>
      <c r="FA33" s="248"/>
      <c r="FB33" s="248"/>
      <c r="FC33" s="248"/>
      <c r="FD33" s="248"/>
      <c r="FE33" s="248"/>
      <c r="FF33" s="248"/>
      <c r="FG33" s="248"/>
      <c r="FH33" s="248"/>
      <c r="FI33" s="248"/>
      <c r="FJ33" s="248"/>
      <c r="FK33" s="248"/>
      <c r="FL33" s="248"/>
      <c r="FM33" s="248"/>
      <c r="FN33" s="248"/>
      <c r="FO33" s="248"/>
      <c r="FP33" s="248"/>
      <c r="FQ33" s="248"/>
      <c r="FR33" s="248"/>
      <c r="FS33" s="248"/>
      <c r="FT33" s="248"/>
      <c r="FU33" s="248"/>
      <c r="FV33" s="248"/>
      <c r="FW33" s="248"/>
      <c r="FX33" s="248"/>
      <c r="FY33" s="248"/>
      <c r="FZ33" s="248"/>
      <c r="GA33" s="248"/>
      <c r="GB33" s="248"/>
      <c r="GC33" s="248"/>
      <c r="GD33" s="248"/>
      <c r="GE33" s="248"/>
      <c r="GF33" s="248"/>
      <c r="GG33" s="248"/>
      <c r="GH33" s="248"/>
      <c r="GI33" s="248"/>
      <c r="GJ33" s="248"/>
      <c r="GK33" s="248"/>
      <c r="GL33" s="248"/>
      <c r="GM33" s="248"/>
      <c r="GN33" s="248"/>
      <c r="GO33" s="248"/>
      <c r="GP33" s="248"/>
      <c r="GQ33" s="248"/>
      <c r="GR33" s="248"/>
      <c r="GS33" s="248"/>
      <c r="GT33" s="248"/>
      <c r="GU33" s="248"/>
      <c r="GV33" s="248"/>
      <c r="GW33" s="248"/>
      <c r="GX33" s="248"/>
      <c r="GY33" s="248"/>
      <c r="GZ33" s="248"/>
      <c r="HA33" s="248"/>
      <c r="HB33" s="248"/>
      <c r="HC33" s="248"/>
      <c r="HD33" s="248"/>
      <c r="HE33" s="248"/>
      <c r="HF33" s="248"/>
      <c r="HG33" s="248"/>
      <c r="HH33" s="248"/>
      <c r="HI33" s="248"/>
      <c r="HJ33" s="248"/>
      <c r="HK33" s="248"/>
      <c r="HL33" s="248"/>
      <c r="HM33" s="248"/>
      <c r="HN33" s="248"/>
      <c r="HO33" s="248"/>
      <c r="HP33" s="248"/>
      <c r="HQ33" s="248"/>
      <c r="HR33" s="248"/>
      <c r="HS33" s="248"/>
      <c r="HT33" s="248"/>
      <c r="HU33" s="248"/>
      <c r="HV33" s="248"/>
      <c r="HW33" s="248"/>
      <c r="HX33" s="248"/>
      <c r="HY33" s="248"/>
      <c r="HZ33" s="248"/>
      <c r="IA33" s="248"/>
      <c r="IB33" s="248"/>
      <c r="IC33" s="248"/>
      <c r="ID33" s="248"/>
      <c r="IE33" s="248"/>
      <c r="IF33" s="248"/>
      <c r="IG33" s="248"/>
      <c r="IH33" s="248"/>
      <c r="II33" s="248"/>
      <c r="IJ33" s="248"/>
      <c r="IK33" s="248"/>
      <c r="IL33" s="248"/>
      <c r="IM33" s="248"/>
      <c r="IN33" s="248"/>
      <c r="IO33" s="248"/>
      <c r="IP33" s="248"/>
      <c r="IQ33" s="248"/>
    </row>
    <row r="34" spans="1:251" outlineLevel="3">
      <c r="A34" s="178" t="s">
        <v>414</v>
      </c>
      <c r="B34" s="79" t="s">
        <v>49</v>
      </c>
      <c r="C34" s="80">
        <v>76899.509999999995</v>
      </c>
      <c r="D34" s="80">
        <v>60262.913999999997</v>
      </c>
      <c r="E34" s="80">
        <v>74581.097041999994</v>
      </c>
      <c r="F34" s="80">
        <v>142264.770946</v>
      </c>
      <c r="G34" s="80">
        <v>128589.421</v>
      </c>
      <c r="H34" s="80">
        <v>99935.366999999998</v>
      </c>
      <c r="I34" s="103">
        <v>101184.69899999999</v>
      </c>
      <c r="J34" s="80">
        <v>120331.701</v>
      </c>
      <c r="K34" s="173">
        <v>144181.514</v>
      </c>
      <c r="L34" s="173">
        <v>176443.18865888001</v>
      </c>
      <c r="M34" s="80">
        <v>162924.992</v>
      </c>
      <c r="N34" s="103">
        <v>216722.1722957</v>
      </c>
      <c r="O34" s="247">
        <v>156123.519</v>
      </c>
      <c r="P34" s="179">
        <v>156745.93599999999</v>
      </c>
      <c r="Q34" s="179">
        <v>183982.106</v>
      </c>
      <c r="R34" s="179">
        <v>213166.27592355001</v>
      </c>
      <c r="S34" s="179">
        <v>197639.90829416999</v>
      </c>
      <c r="T34" s="300">
        <v>185514</v>
      </c>
      <c r="U34" s="304">
        <v>158512.79766216001</v>
      </c>
      <c r="V34" s="80">
        <v>127908.6035217</v>
      </c>
      <c r="W34" s="209">
        <v>145043.04111016</v>
      </c>
      <c r="X34" s="234">
        <v>175454.20522308999</v>
      </c>
      <c r="Y34" s="80">
        <v>155059.30379999999</v>
      </c>
      <c r="Z34" s="681">
        <v>113793.97199999999</v>
      </c>
      <c r="AA34" s="683">
        <v>249674.30031106999</v>
      </c>
      <c r="AB34" s="683">
        <v>634025.31200000003</v>
      </c>
      <c r="AC34" s="683">
        <v>363492.33100000001</v>
      </c>
      <c r="AD34" s="683">
        <v>313874.00199999998</v>
      </c>
      <c r="AE34" s="308">
        <v>318700</v>
      </c>
      <c r="AF34" s="308">
        <v>274200</v>
      </c>
      <c r="AG34" s="308">
        <v>229300</v>
      </c>
      <c r="AH34" s="308">
        <v>219800</v>
      </c>
      <c r="AI34" s="308">
        <v>201100</v>
      </c>
      <c r="AJ34" s="308">
        <v>171905.25007065799</v>
      </c>
      <c r="AK34" s="308">
        <v>163056.490727525</v>
      </c>
      <c r="AL34" s="308">
        <v>158113.64487799199</v>
      </c>
      <c r="AM34" s="308">
        <v>154788.13639629199</v>
      </c>
      <c r="AN34" s="308">
        <v>153597.50381018501</v>
      </c>
      <c r="AO34" s="308">
        <v>148878.38927844801</v>
      </c>
      <c r="AP34" s="308">
        <v>143381.38962081901</v>
      </c>
      <c r="AQ34" s="308">
        <v>139496.814859217</v>
      </c>
      <c r="AR34" s="308">
        <v>132433.220489598</v>
      </c>
      <c r="AS34" s="308">
        <v>124366.15268948799</v>
      </c>
      <c r="AT34" s="308">
        <v>118857.906613835</v>
      </c>
      <c r="AU34" s="308">
        <v>110263.40665705</v>
      </c>
      <c r="AV34" s="308">
        <v>110983.308632883</v>
      </c>
      <c r="AW34" s="308">
        <v>107681.55483588501</v>
      </c>
      <c r="AX34" s="308">
        <v>104287.00319829999</v>
      </c>
      <c r="AY34" s="308">
        <v>100931.619478685</v>
      </c>
      <c r="AZ34" s="308">
        <v>97694.896501908093</v>
      </c>
      <c r="BA34" s="308">
        <v>94342.060549847098</v>
      </c>
      <c r="BB34" s="308">
        <v>91099.772357952097</v>
      </c>
      <c r="BC34" s="308">
        <v>86722.044441611695</v>
      </c>
      <c r="BD34" s="308">
        <v>79477.729937137105</v>
      </c>
      <c r="BE34" s="251">
        <v>76662.145305462007</v>
      </c>
      <c r="BF34" s="251">
        <v>73824.363498456005</v>
      </c>
      <c r="BG34" s="251">
        <v>70277.5396014367</v>
      </c>
      <c r="BH34" s="251">
        <v>67712.022161670495</v>
      </c>
      <c r="BI34" s="251">
        <v>66157.812538461396</v>
      </c>
      <c r="BJ34" s="251">
        <v>62891.002529808298</v>
      </c>
      <c r="BK34" s="251">
        <v>62182.571533725197</v>
      </c>
      <c r="BL34" s="251">
        <v>61313.045060715798</v>
      </c>
      <c r="BM34" s="251">
        <v>60387.929835043498</v>
      </c>
      <c r="BN34" s="251">
        <v>60253.732043391698</v>
      </c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8"/>
      <c r="CQ34" s="248"/>
      <c r="CR34" s="248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  <c r="DN34" s="248"/>
      <c r="DO34" s="248"/>
      <c r="DP34" s="248"/>
      <c r="DQ34" s="248"/>
      <c r="DR34" s="248"/>
      <c r="DS34" s="248"/>
      <c r="DT34" s="248"/>
      <c r="DU34" s="248"/>
      <c r="DV34" s="248"/>
      <c r="DW34" s="248"/>
      <c r="DX34" s="248"/>
      <c r="DY34" s="248"/>
      <c r="DZ34" s="248"/>
      <c r="EA34" s="248"/>
      <c r="EB34" s="248"/>
      <c r="EC34" s="248"/>
      <c r="ED34" s="248"/>
      <c r="EE34" s="248"/>
      <c r="EF34" s="248"/>
      <c r="EG34" s="248"/>
      <c r="EH34" s="248"/>
      <c r="EI34" s="248"/>
      <c r="EJ34" s="248"/>
      <c r="EK34" s="248"/>
      <c r="EL34" s="248"/>
      <c r="EM34" s="248"/>
      <c r="EN34" s="248"/>
      <c r="EO34" s="248"/>
      <c r="EP34" s="248"/>
      <c r="EQ34" s="248"/>
      <c r="ER34" s="248"/>
      <c r="ES34" s="248"/>
      <c r="ET34" s="248"/>
      <c r="EU34" s="248"/>
      <c r="EV34" s="248"/>
      <c r="EW34" s="248"/>
      <c r="EX34" s="248"/>
      <c r="EY34" s="248"/>
      <c r="EZ34" s="248"/>
      <c r="FA34" s="248"/>
      <c r="FB34" s="248"/>
      <c r="FC34" s="248"/>
      <c r="FD34" s="248"/>
      <c r="FE34" s="248"/>
      <c r="FF34" s="248"/>
      <c r="FG34" s="248"/>
      <c r="FH34" s="248"/>
      <c r="FI34" s="248"/>
      <c r="FJ34" s="248"/>
      <c r="FK34" s="248"/>
      <c r="FL34" s="248"/>
      <c r="FM34" s="248"/>
      <c r="FN34" s="248"/>
      <c r="FO34" s="248"/>
      <c r="FP34" s="248"/>
      <c r="FQ34" s="248"/>
      <c r="FR34" s="248"/>
      <c r="FS34" s="248"/>
      <c r="FT34" s="248"/>
      <c r="FU34" s="248"/>
      <c r="FV34" s="248"/>
      <c r="FW34" s="248"/>
      <c r="FX34" s="248"/>
      <c r="FY34" s="248"/>
      <c r="FZ34" s="248"/>
      <c r="GA34" s="248"/>
      <c r="GB34" s="248"/>
      <c r="GC34" s="248"/>
      <c r="GD34" s="248"/>
      <c r="GE34" s="248"/>
      <c r="GF34" s="248"/>
      <c r="GG34" s="248"/>
      <c r="GH34" s="248"/>
      <c r="GI34" s="248"/>
      <c r="GJ34" s="248"/>
      <c r="GK34" s="248"/>
      <c r="GL34" s="248"/>
      <c r="GM34" s="248"/>
      <c r="GN34" s="248"/>
      <c r="GO34" s="248"/>
      <c r="GP34" s="248"/>
      <c r="GQ34" s="248"/>
      <c r="GR34" s="248"/>
      <c r="GS34" s="248"/>
      <c r="GT34" s="248"/>
      <c r="GU34" s="248"/>
      <c r="GV34" s="248"/>
      <c r="GW34" s="248"/>
      <c r="GX34" s="248"/>
      <c r="GY34" s="248"/>
      <c r="GZ34" s="248"/>
      <c r="HA34" s="248"/>
      <c r="HB34" s="248"/>
      <c r="HC34" s="248"/>
      <c r="HD34" s="248"/>
      <c r="HE34" s="248"/>
      <c r="HF34" s="248"/>
      <c r="HG34" s="248"/>
      <c r="HH34" s="248"/>
      <c r="HI34" s="248"/>
      <c r="HJ34" s="248"/>
      <c r="HK34" s="248"/>
      <c r="HL34" s="248"/>
      <c r="HM34" s="248"/>
      <c r="HN34" s="248"/>
      <c r="HO34" s="248"/>
      <c r="HP34" s="248"/>
      <c r="HQ34" s="248"/>
      <c r="HR34" s="248"/>
      <c r="HS34" s="248"/>
      <c r="HT34" s="248"/>
      <c r="HU34" s="248"/>
      <c r="HV34" s="248"/>
      <c r="HW34" s="248"/>
      <c r="HX34" s="248"/>
      <c r="HY34" s="248"/>
      <c r="HZ34" s="248"/>
      <c r="IA34" s="248"/>
      <c r="IB34" s="248"/>
      <c r="IC34" s="248"/>
      <c r="ID34" s="248"/>
      <c r="IE34" s="248"/>
      <c r="IF34" s="248"/>
      <c r="IG34" s="248"/>
      <c r="IH34" s="248"/>
      <c r="II34" s="248"/>
      <c r="IJ34" s="248"/>
      <c r="IK34" s="248"/>
      <c r="IL34" s="248"/>
      <c r="IM34" s="248"/>
      <c r="IN34" s="248"/>
      <c r="IO34" s="248"/>
      <c r="IP34" s="248"/>
      <c r="IQ34" s="248"/>
    </row>
    <row r="35" spans="1:251" outlineLevel="3">
      <c r="A35" s="178" t="s">
        <v>415</v>
      </c>
      <c r="B35" s="79" t="s">
        <v>50</v>
      </c>
      <c r="C35" s="80">
        <v>-13473</v>
      </c>
      <c r="D35" s="80">
        <v>-15563.819</v>
      </c>
      <c r="E35" s="80">
        <v>-16849.841719</v>
      </c>
      <c r="F35" s="80">
        <v>-19584.969862000002</v>
      </c>
      <c r="G35" s="80">
        <v>-16765.714</v>
      </c>
      <c r="H35" s="80">
        <v>-17763.886999999999</v>
      </c>
      <c r="I35" s="80">
        <v>-17362.291000000001</v>
      </c>
      <c r="J35" s="80">
        <v>-21696.295999999998</v>
      </c>
      <c r="K35" s="80">
        <v>-24289.045999999998</v>
      </c>
      <c r="L35" s="80">
        <v>-29077.687506229999</v>
      </c>
      <c r="M35" s="80">
        <v>-30350.798999999999</v>
      </c>
      <c r="N35" s="80">
        <v>-39869.834799030003</v>
      </c>
      <c r="O35" s="80">
        <v>-33709.839999999997</v>
      </c>
      <c r="P35" s="181">
        <v>-32477.387999999999</v>
      </c>
      <c r="Q35" s="181">
        <v>-32764.717000000001</v>
      </c>
      <c r="R35" s="181">
        <v>-36808.81379185</v>
      </c>
      <c r="S35" s="181">
        <v>-36559.772471299999</v>
      </c>
      <c r="T35" s="181">
        <v>-34665</v>
      </c>
      <c r="U35" s="305">
        <v>-34601.627153339999</v>
      </c>
      <c r="V35" s="85">
        <v>-31160.202285039999</v>
      </c>
      <c r="W35" s="438">
        <v>-28774.7087035</v>
      </c>
      <c r="X35" s="469">
        <v>-32036.102752340001</v>
      </c>
      <c r="Y35" s="80">
        <v>-29995.981923709998</v>
      </c>
      <c r="Z35" s="654">
        <v>-28063.437000000002</v>
      </c>
      <c r="AA35" s="682">
        <v>-38308.415682539999</v>
      </c>
      <c r="AB35" s="682">
        <v>-74657.535999999993</v>
      </c>
      <c r="AC35" s="682">
        <v>-55109.741000000002</v>
      </c>
      <c r="AD35" s="682">
        <v>-43198.659</v>
      </c>
      <c r="AE35" s="307">
        <v>-43200</v>
      </c>
      <c r="AF35" s="307">
        <v>-43000</v>
      </c>
      <c r="AG35" s="307">
        <v>-41500</v>
      </c>
      <c r="AH35" s="307">
        <v>-41700</v>
      </c>
      <c r="AI35" s="307">
        <v>-46100</v>
      </c>
      <c r="AJ35" s="307">
        <v>-44881.8154249777</v>
      </c>
      <c r="AK35" s="307">
        <v>-45071.269482310599</v>
      </c>
      <c r="AL35" s="307">
        <v>-45394.803126452498</v>
      </c>
      <c r="AM35" s="307">
        <v>-44740.962720080002</v>
      </c>
      <c r="AN35" s="307">
        <v>-46336.244618455501</v>
      </c>
      <c r="AO35" s="307">
        <v>-45599.640323070802</v>
      </c>
      <c r="AP35" s="307">
        <v>-45920.682860042099</v>
      </c>
      <c r="AQ35" s="307">
        <v>-44880.825720923996</v>
      </c>
      <c r="AR35" s="307">
        <v>-46756.720075882004</v>
      </c>
      <c r="AS35" s="307">
        <v>-47595.268271649802</v>
      </c>
      <c r="AT35" s="307">
        <v>-48189.831208939402</v>
      </c>
      <c r="AU35" s="307">
        <v>-46779.256724345498</v>
      </c>
      <c r="AV35" s="307">
        <v>-46497.8035594662</v>
      </c>
      <c r="AW35" s="307">
        <v>-49682.279498033298</v>
      </c>
      <c r="AX35" s="307">
        <v>-45946.175689383999</v>
      </c>
      <c r="AY35" s="307">
        <v>-47587.088151402902</v>
      </c>
      <c r="AZ35" s="307">
        <v>-45603.835227489202</v>
      </c>
      <c r="BA35" s="307">
        <v>-46868.134054544302</v>
      </c>
      <c r="BB35" s="307">
        <v>-45036.9466033719</v>
      </c>
      <c r="BC35" s="307">
        <v>-43358.653331019399</v>
      </c>
      <c r="BD35" s="307">
        <v>-40745.7533635035</v>
      </c>
      <c r="BE35" s="251">
        <v>-40977.829269675298</v>
      </c>
      <c r="BF35" s="251">
        <v>-39644.164901742399</v>
      </c>
      <c r="BG35" s="251">
        <v>-40052.733588380303</v>
      </c>
      <c r="BH35" s="251">
        <v>-39801.141692075602</v>
      </c>
      <c r="BI35" s="251">
        <v>-38910.990509990603</v>
      </c>
      <c r="BJ35" s="251">
        <v>-35510.0083361176</v>
      </c>
      <c r="BK35" s="251">
        <v>-36096.648597651598</v>
      </c>
      <c r="BL35" s="251">
        <v>-32374.282451499701</v>
      </c>
      <c r="BM35" s="251">
        <v>-32546.957218817701</v>
      </c>
      <c r="BN35" s="251">
        <v>-32542.7942011716</v>
      </c>
      <c r="BO35" s="248"/>
      <c r="BP35" s="248"/>
      <c r="BQ35" s="248"/>
      <c r="BR35" s="248"/>
      <c r="BS35" s="248"/>
      <c r="BT35" s="248"/>
      <c r="BU35" s="248"/>
      <c r="BV35" s="248"/>
      <c r="BW35" s="248"/>
      <c r="BX35" s="248"/>
      <c r="BY35" s="248"/>
      <c r="BZ35" s="248"/>
      <c r="CA35" s="248"/>
      <c r="CB35" s="248"/>
      <c r="CC35" s="248"/>
      <c r="CD35" s="248"/>
      <c r="CE35" s="248"/>
      <c r="CF35" s="248"/>
      <c r="CG35" s="248"/>
      <c r="CH35" s="248"/>
      <c r="CI35" s="248"/>
      <c r="CJ35" s="248"/>
      <c r="CK35" s="248"/>
      <c r="CL35" s="248"/>
      <c r="CM35" s="248"/>
      <c r="CN35" s="248"/>
      <c r="CO35" s="248"/>
      <c r="CP35" s="248"/>
      <c r="CQ35" s="248"/>
      <c r="CR35" s="248"/>
      <c r="CS35" s="248"/>
      <c r="CT35" s="248"/>
      <c r="CU35" s="248"/>
      <c r="CV35" s="248"/>
      <c r="CW35" s="248"/>
      <c r="CX35" s="248"/>
      <c r="CY35" s="248"/>
      <c r="CZ35" s="248"/>
      <c r="DA35" s="248"/>
      <c r="DB35" s="248"/>
      <c r="DC35" s="248"/>
      <c r="DD35" s="248"/>
      <c r="DE35" s="248"/>
      <c r="DF35" s="248"/>
      <c r="DG35" s="248"/>
      <c r="DH35" s="248"/>
      <c r="DI35" s="248"/>
      <c r="DJ35" s="248"/>
      <c r="DK35" s="248"/>
      <c r="DL35" s="248"/>
      <c r="DM35" s="248"/>
      <c r="DN35" s="248"/>
      <c r="DO35" s="248"/>
      <c r="DP35" s="248"/>
      <c r="DQ35" s="248"/>
      <c r="DR35" s="248"/>
      <c r="DS35" s="248"/>
      <c r="DT35" s="248"/>
      <c r="DU35" s="248"/>
      <c r="DV35" s="248"/>
      <c r="DW35" s="248"/>
      <c r="DX35" s="248"/>
      <c r="DY35" s="248"/>
      <c r="DZ35" s="248"/>
      <c r="EA35" s="248"/>
      <c r="EB35" s="248"/>
      <c r="EC35" s="248"/>
      <c r="ED35" s="248"/>
      <c r="EE35" s="248"/>
      <c r="EF35" s="248"/>
      <c r="EG35" s="248"/>
      <c r="EH35" s="248"/>
      <c r="EI35" s="248"/>
      <c r="EJ35" s="248"/>
      <c r="EK35" s="248"/>
      <c r="EL35" s="248"/>
      <c r="EM35" s="248"/>
      <c r="EN35" s="248"/>
      <c r="EO35" s="248"/>
      <c r="EP35" s="248"/>
      <c r="EQ35" s="248"/>
      <c r="ER35" s="248"/>
      <c r="ES35" s="248"/>
      <c r="ET35" s="248"/>
      <c r="EU35" s="248"/>
      <c r="EV35" s="248"/>
      <c r="EW35" s="248"/>
      <c r="EX35" s="248"/>
      <c r="EY35" s="248"/>
      <c r="EZ35" s="248"/>
      <c r="FA35" s="248"/>
      <c r="FB35" s="248"/>
      <c r="FC35" s="248"/>
      <c r="FD35" s="248"/>
      <c r="FE35" s="248"/>
      <c r="FF35" s="248"/>
      <c r="FG35" s="248"/>
      <c r="FH35" s="248"/>
      <c r="FI35" s="248"/>
      <c r="FJ35" s="248"/>
      <c r="FK35" s="248"/>
      <c r="FL35" s="248"/>
      <c r="FM35" s="248"/>
      <c r="FN35" s="248"/>
      <c r="FO35" s="248"/>
      <c r="FP35" s="248"/>
      <c r="FQ35" s="248"/>
      <c r="FR35" s="248"/>
      <c r="FS35" s="248"/>
      <c r="FT35" s="248"/>
      <c r="FU35" s="248"/>
      <c r="FV35" s="248"/>
      <c r="FW35" s="248"/>
      <c r="FX35" s="248"/>
      <c r="FY35" s="248"/>
      <c r="FZ35" s="248"/>
      <c r="GA35" s="248"/>
      <c r="GB35" s="248"/>
      <c r="GC35" s="248"/>
      <c r="GD35" s="248"/>
      <c r="GE35" s="248"/>
      <c r="GF35" s="248"/>
      <c r="GG35" s="248"/>
      <c r="GH35" s="248"/>
      <c r="GI35" s="248"/>
      <c r="GJ35" s="248"/>
      <c r="GK35" s="248"/>
      <c r="GL35" s="248"/>
      <c r="GM35" s="248"/>
      <c r="GN35" s="248"/>
      <c r="GO35" s="248"/>
      <c r="GP35" s="248"/>
      <c r="GQ35" s="248"/>
      <c r="GR35" s="248"/>
      <c r="GS35" s="248"/>
      <c r="GT35" s="248"/>
      <c r="GU35" s="248"/>
      <c r="GV35" s="248"/>
      <c r="GW35" s="248"/>
      <c r="GX35" s="248"/>
      <c r="GY35" s="248"/>
      <c r="GZ35" s="248"/>
      <c r="HA35" s="248"/>
      <c r="HB35" s="248"/>
      <c r="HC35" s="248"/>
      <c r="HD35" s="248"/>
      <c r="HE35" s="248"/>
      <c r="HF35" s="248"/>
      <c r="HG35" s="248"/>
      <c r="HH35" s="248"/>
      <c r="HI35" s="248"/>
      <c r="HJ35" s="248"/>
      <c r="HK35" s="248"/>
      <c r="HL35" s="248"/>
      <c r="HM35" s="248"/>
      <c r="HN35" s="248"/>
      <c r="HO35" s="248"/>
      <c r="HP35" s="248"/>
      <c r="HQ35" s="248"/>
      <c r="HR35" s="248"/>
      <c r="HS35" s="248"/>
      <c r="HT35" s="248"/>
      <c r="HU35" s="248"/>
      <c r="HV35" s="248"/>
      <c r="HW35" s="248"/>
      <c r="HX35" s="248"/>
      <c r="HY35" s="248"/>
      <c r="HZ35" s="248"/>
      <c r="IA35" s="248"/>
      <c r="IB35" s="248"/>
      <c r="IC35" s="248"/>
      <c r="ID35" s="248"/>
      <c r="IE35" s="248"/>
      <c r="IF35" s="248"/>
      <c r="IG35" s="248"/>
      <c r="IH35" s="248"/>
      <c r="II35" s="248"/>
      <c r="IJ35" s="248"/>
      <c r="IK35" s="248"/>
      <c r="IL35" s="248"/>
      <c r="IM35" s="248"/>
      <c r="IN35" s="248"/>
      <c r="IO35" s="248"/>
      <c r="IP35" s="248"/>
      <c r="IQ35" s="248"/>
    </row>
    <row r="36" spans="1:251" outlineLevel="3">
      <c r="A36" s="178" t="s">
        <v>416</v>
      </c>
      <c r="B36" s="79" t="s">
        <v>51</v>
      </c>
      <c r="C36" s="80">
        <v>-2331.4630000000002</v>
      </c>
      <c r="D36" s="80">
        <v>-2726.163</v>
      </c>
      <c r="E36" s="80">
        <v>-1516.12436</v>
      </c>
      <c r="F36" s="80">
        <v>-1879.4917170000001</v>
      </c>
      <c r="G36" s="80">
        <v>-1538.855</v>
      </c>
      <c r="H36" s="80">
        <v>-1011.696</v>
      </c>
      <c r="I36" s="80">
        <v>-642.54100000000005</v>
      </c>
      <c r="J36" s="80">
        <v>-543.35900000000004</v>
      </c>
      <c r="K36" s="80">
        <v>-978.36400000000003</v>
      </c>
      <c r="L36" s="80">
        <v>-1122.2259687799999</v>
      </c>
      <c r="M36" s="80">
        <v>-1423.9929999999999</v>
      </c>
      <c r="N36" s="80">
        <v>-1962.8018671299999</v>
      </c>
      <c r="O36" s="80">
        <v>-2391.12</v>
      </c>
      <c r="P36" s="181">
        <v>-1764.538</v>
      </c>
      <c r="Q36" s="181">
        <v>-2005.3135219999999</v>
      </c>
      <c r="R36" s="181">
        <v>-1858.05985773</v>
      </c>
      <c r="S36" s="181">
        <v>-3199.8096090700001</v>
      </c>
      <c r="T36" s="181">
        <v>-2619.0848986400001</v>
      </c>
      <c r="U36" s="306">
        <v>-1940.41149651</v>
      </c>
      <c r="V36" s="85">
        <v>-2478.00888975</v>
      </c>
      <c r="W36" s="438">
        <v>-1432.2438223900001</v>
      </c>
      <c r="X36" s="469">
        <v>-2175.5065063500001</v>
      </c>
      <c r="Y36" s="80">
        <v>-2245.0205460500001</v>
      </c>
      <c r="Z36" s="655">
        <v>-1742.8390381700001</v>
      </c>
      <c r="AA36" s="682">
        <v>-1463.81617807</v>
      </c>
      <c r="AB36" s="682">
        <v>-1955.951</v>
      </c>
      <c r="AC36" s="682">
        <v>-1476.1410000000001</v>
      </c>
      <c r="AD36" s="682">
        <v>-2907.3560000000002</v>
      </c>
      <c r="AE36" s="307">
        <v>-2100</v>
      </c>
      <c r="AF36" s="307">
        <v>-2100</v>
      </c>
      <c r="AG36" s="307">
        <v>-1800</v>
      </c>
      <c r="AH36" s="307">
        <v>-1800</v>
      </c>
      <c r="AI36" s="307">
        <v>-1800</v>
      </c>
      <c r="AJ36" s="307">
        <v>-2771.7101434005799</v>
      </c>
      <c r="AK36" s="307">
        <v>-2854.6718313066499</v>
      </c>
      <c r="AL36" s="307">
        <v>-2838.3866120911998</v>
      </c>
      <c r="AM36" s="307">
        <v>-2842.13382936675</v>
      </c>
      <c r="AN36" s="307">
        <v>-2879.7549722753502</v>
      </c>
      <c r="AO36" s="307">
        <v>-2887.6151677988901</v>
      </c>
      <c r="AP36" s="307">
        <v>-2890.2315117424</v>
      </c>
      <c r="AQ36" s="307">
        <v>-2889.8383290810202</v>
      </c>
      <c r="AR36" s="307">
        <v>-2892.03486435588</v>
      </c>
      <c r="AS36" s="307">
        <v>-2809.1141134712698</v>
      </c>
      <c r="AT36" s="307">
        <v>-2778.5878232629898</v>
      </c>
      <c r="AU36" s="307">
        <v>-2833.7853509105098</v>
      </c>
      <c r="AV36" s="307">
        <v>-2890.2065823326502</v>
      </c>
      <c r="AW36" s="307">
        <v>-2855.9948831973802</v>
      </c>
      <c r="AX36" s="307">
        <v>-2850.6322680663402</v>
      </c>
      <c r="AY36" s="307">
        <v>-2907.64491342767</v>
      </c>
      <c r="AZ36" s="307">
        <v>-2965.7978116962199</v>
      </c>
      <c r="BA36" s="307">
        <v>-2925.3723926524199</v>
      </c>
      <c r="BB36" s="307">
        <v>-2983.8798405054699</v>
      </c>
      <c r="BC36" s="307">
        <v>-3043.55743731558</v>
      </c>
      <c r="BD36" s="307">
        <v>-2998.5822406861798</v>
      </c>
      <c r="BE36" s="251">
        <v>-2878.6657853434699</v>
      </c>
      <c r="BF36" s="251">
        <v>-2936.2391010503402</v>
      </c>
      <c r="BG36" s="251">
        <v>-2994.9638830713502</v>
      </c>
      <c r="BH36" s="251">
        <v>-3054.8631607327802</v>
      </c>
      <c r="BI36" s="251">
        <v>-3115.9604239474302</v>
      </c>
      <c r="BJ36" s="251">
        <v>-3178.27963242638</v>
      </c>
      <c r="BK36" s="251">
        <v>-3241.8452250749101</v>
      </c>
      <c r="BL36" s="251">
        <v>-3306.6821295764098</v>
      </c>
      <c r="BM36" s="251">
        <v>-3372.8157721679399</v>
      </c>
      <c r="BN36" s="251">
        <v>-3440.2720876112899</v>
      </c>
      <c r="BO36" s="248"/>
      <c r="BP36" s="248"/>
      <c r="BQ36" s="248"/>
      <c r="BR36" s="248"/>
      <c r="BS36" s="248"/>
      <c r="BT36" s="248"/>
      <c r="BU36" s="248"/>
      <c r="BV36" s="248"/>
      <c r="BW36" s="248"/>
      <c r="BX36" s="248"/>
      <c r="BY36" s="248"/>
      <c r="BZ36" s="248"/>
      <c r="CA36" s="248"/>
      <c r="CB36" s="248"/>
      <c r="CC36" s="248"/>
      <c r="CD36" s="248"/>
      <c r="CE36" s="248"/>
      <c r="CF36" s="248"/>
      <c r="CG36" s="248"/>
      <c r="CH36" s="248"/>
      <c r="CI36" s="248"/>
      <c r="CJ36" s="248"/>
      <c r="CK36" s="248"/>
      <c r="CL36" s="248"/>
      <c r="CM36" s="248"/>
      <c r="CN36" s="248"/>
      <c r="CO36" s="248"/>
      <c r="CP36" s="248"/>
      <c r="CQ36" s="248"/>
      <c r="CR36" s="248"/>
      <c r="CS36" s="248"/>
      <c r="CT36" s="248"/>
      <c r="CU36" s="248"/>
      <c r="CV36" s="248"/>
      <c r="CW36" s="248"/>
      <c r="CX36" s="248"/>
      <c r="CY36" s="248"/>
      <c r="CZ36" s="248"/>
      <c r="DA36" s="248"/>
      <c r="DB36" s="248"/>
      <c r="DC36" s="248"/>
      <c r="DD36" s="248"/>
      <c r="DE36" s="248"/>
      <c r="DF36" s="248"/>
      <c r="DG36" s="248"/>
      <c r="DH36" s="248"/>
      <c r="DI36" s="248"/>
      <c r="DJ36" s="248"/>
      <c r="DK36" s="248"/>
      <c r="DL36" s="248"/>
      <c r="DM36" s="248"/>
      <c r="DN36" s="248"/>
      <c r="DO36" s="248"/>
      <c r="DP36" s="248"/>
      <c r="DQ36" s="248"/>
      <c r="DR36" s="248"/>
      <c r="DS36" s="248"/>
      <c r="DT36" s="248"/>
      <c r="DU36" s="248"/>
      <c r="DV36" s="248"/>
      <c r="DW36" s="248"/>
      <c r="DX36" s="248"/>
      <c r="DY36" s="248"/>
      <c r="DZ36" s="248"/>
      <c r="EA36" s="248"/>
      <c r="EB36" s="248"/>
      <c r="EC36" s="248"/>
      <c r="ED36" s="248"/>
      <c r="EE36" s="248"/>
      <c r="EF36" s="248"/>
      <c r="EG36" s="248"/>
      <c r="EH36" s="248"/>
      <c r="EI36" s="248"/>
      <c r="EJ36" s="248"/>
      <c r="EK36" s="248"/>
      <c r="EL36" s="248"/>
      <c r="EM36" s="248"/>
      <c r="EN36" s="248"/>
      <c r="EO36" s="248"/>
      <c r="EP36" s="248"/>
      <c r="EQ36" s="248"/>
      <c r="ER36" s="248"/>
      <c r="ES36" s="248"/>
      <c r="ET36" s="248"/>
      <c r="EU36" s="248"/>
      <c r="EV36" s="248"/>
      <c r="EW36" s="248"/>
      <c r="EX36" s="248"/>
      <c r="EY36" s="248"/>
      <c r="EZ36" s="248"/>
      <c r="FA36" s="248"/>
      <c r="FB36" s="248"/>
      <c r="FC36" s="248"/>
      <c r="FD36" s="248"/>
      <c r="FE36" s="248"/>
      <c r="FF36" s="248"/>
      <c r="FG36" s="248"/>
      <c r="FH36" s="248"/>
      <c r="FI36" s="248"/>
      <c r="FJ36" s="248"/>
      <c r="FK36" s="248"/>
      <c r="FL36" s="248"/>
      <c r="FM36" s="248"/>
      <c r="FN36" s="248"/>
      <c r="FO36" s="248"/>
      <c r="FP36" s="248"/>
      <c r="FQ36" s="248"/>
      <c r="FR36" s="248"/>
      <c r="FS36" s="248"/>
      <c r="FT36" s="248"/>
      <c r="FU36" s="248"/>
      <c r="FV36" s="248"/>
      <c r="FW36" s="248"/>
      <c r="FX36" s="248"/>
      <c r="FY36" s="248"/>
      <c r="FZ36" s="248"/>
      <c r="GA36" s="248"/>
      <c r="GB36" s="248"/>
      <c r="GC36" s="248"/>
      <c r="GD36" s="248"/>
      <c r="GE36" s="248"/>
      <c r="GF36" s="248"/>
      <c r="GG36" s="248"/>
      <c r="GH36" s="248"/>
      <c r="GI36" s="248"/>
      <c r="GJ36" s="248"/>
      <c r="GK36" s="248"/>
      <c r="GL36" s="248"/>
      <c r="GM36" s="248"/>
      <c r="GN36" s="248"/>
      <c r="GO36" s="248"/>
      <c r="GP36" s="248"/>
      <c r="GQ36" s="248"/>
      <c r="GR36" s="248"/>
      <c r="GS36" s="248"/>
      <c r="GT36" s="248"/>
      <c r="GU36" s="248"/>
      <c r="GV36" s="248"/>
      <c r="GW36" s="248"/>
      <c r="GX36" s="248"/>
      <c r="GY36" s="248"/>
      <c r="GZ36" s="248"/>
      <c r="HA36" s="248"/>
      <c r="HB36" s="248"/>
      <c r="HC36" s="248"/>
      <c r="HD36" s="248"/>
      <c r="HE36" s="248"/>
      <c r="HF36" s="248"/>
      <c r="HG36" s="248"/>
      <c r="HH36" s="248"/>
      <c r="HI36" s="248"/>
      <c r="HJ36" s="248"/>
      <c r="HK36" s="248"/>
      <c r="HL36" s="248"/>
      <c r="HM36" s="248"/>
      <c r="HN36" s="248"/>
      <c r="HO36" s="248"/>
      <c r="HP36" s="248"/>
      <c r="HQ36" s="248"/>
      <c r="HR36" s="248"/>
      <c r="HS36" s="248"/>
      <c r="HT36" s="248"/>
      <c r="HU36" s="248"/>
      <c r="HV36" s="248"/>
      <c r="HW36" s="248"/>
      <c r="HX36" s="248"/>
      <c r="HY36" s="248"/>
      <c r="HZ36" s="248"/>
      <c r="IA36" s="248"/>
      <c r="IB36" s="248"/>
      <c r="IC36" s="248"/>
      <c r="ID36" s="248"/>
      <c r="IE36" s="248"/>
      <c r="IF36" s="248"/>
      <c r="IG36" s="248"/>
      <c r="IH36" s="248"/>
      <c r="II36" s="248"/>
      <c r="IJ36" s="248"/>
      <c r="IK36" s="248"/>
      <c r="IL36" s="248"/>
      <c r="IM36" s="248"/>
      <c r="IN36" s="248"/>
      <c r="IO36" s="248"/>
      <c r="IP36" s="248"/>
      <c r="IQ36" s="248"/>
    </row>
    <row r="37" spans="1:251" outlineLevel="3">
      <c r="A37" s="178" t="s">
        <v>417</v>
      </c>
      <c r="B37" s="79" t="s">
        <v>52</v>
      </c>
      <c r="C37" s="80">
        <v>-14092.147999999999</v>
      </c>
      <c r="D37" s="80">
        <v>-14443.220778999999</v>
      </c>
      <c r="E37" s="80">
        <v>-15343.329546000001</v>
      </c>
      <c r="F37" s="80">
        <v>-17006.370427000002</v>
      </c>
      <c r="G37" s="80">
        <v>-17892.241000000002</v>
      </c>
      <c r="H37" s="80">
        <v>-14571.337</v>
      </c>
      <c r="I37" s="80">
        <v>-14092.013000000001</v>
      </c>
      <c r="J37" s="80">
        <v>-14609.777</v>
      </c>
      <c r="K37" s="80">
        <v>-12914.084000000001</v>
      </c>
      <c r="L37" s="80">
        <v>-14537.72911441</v>
      </c>
      <c r="M37" s="80">
        <v>-15403.963</v>
      </c>
      <c r="N37" s="80">
        <v>-15741.102000000001</v>
      </c>
      <c r="O37" s="80">
        <v>-15268.079</v>
      </c>
      <c r="P37" s="181">
        <v>-15719.89</v>
      </c>
      <c r="Q37" s="181">
        <v>-16861.847000000002</v>
      </c>
      <c r="R37" s="181">
        <v>-19500.976296680001</v>
      </c>
      <c r="S37" s="181">
        <v>-20261.84205073</v>
      </c>
      <c r="T37" s="181">
        <v>-21837</v>
      </c>
      <c r="U37" s="80">
        <v>-23721.755350070001</v>
      </c>
      <c r="V37" s="80">
        <v>-23276.647734229999</v>
      </c>
      <c r="W37" s="80">
        <v>-24648.044000000002</v>
      </c>
      <c r="X37" s="80">
        <v>-23636.285</v>
      </c>
      <c r="Y37" s="80">
        <v>-22673.976264000001</v>
      </c>
      <c r="Z37" s="80">
        <v>-22438.631000000001</v>
      </c>
      <c r="AA37" s="80">
        <v>-25633.966699109998</v>
      </c>
      <c r="AB37" s="80">
        <v>-26314.13</v>
      </c>
      <c r="AC37" s="80">
        <v>-27206.412</v>
      </c>
      <c r="AD37" s="80">
        <v>29599.681</v>
      </c>
      <c r="AE37" s="251">
        <v>-33500</v>
      </c>
      <c r="AF37" s="251">
        <v>-39300</v>
      </c>
      <c r="AG37" s="251">
        <v>-40000</v>
      </c>
      <c r="AH37" s="251">
        <v>-45700</v>
      </c>
      <c r="AI37" s="251">
        <v>-32300</v>
      </c>
      <c r="AJ37" s="251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297"/>
      <c r="AZ37" s="297"/>
      <c r="BA37" s="297"/>
      <c r="BB37" s="297"/>
      <c r="BC37" s="297"/>
      <c r="BD37" s="297"/>
      <c r="BE37" s="248"/>
      <c r="BF37" s="248"/>
      <c r="BG37" s="248"/>
      <c r="BH37" s="248"/>
      <c r="BI37" s="248"/>
      <c r="BJ37" s="248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8"/>
      <c r="CM37" s="248"/>
      <c r="CN37" s="248"/>
      <c r="CO37" s="248"/>
      <c r="CP37" s="248"/>
      <c r="CQ37" s="248"/>
      <c r="CR37" s="248"/>
      <c r="CS37" s="248"/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8"/>
      <c r="DI37" s="248"/>
      <c r="DJ37" s="248"/>
      <c r="DK37" s="248"/>
      <c r="DL37" s="248"/>
      <c r="DM37" s="248"/>
      <c r="DN37" s="248"/>
      <c r="DO37" s="248"/>
      <c r="DP37" s="248"/>
      <c r="DQ37" s="248"/>
      <c r="DR37" s="248"/>
      <c r="DS37" s="248"/>
      <c r="DT37" s="248"/>
      <c r="DU37" s="248"/>
      <c r="DV37" s="248"/>
      <c r="DW37" s="248"/>
      <c r="DX37" s="248"/>
      <c r="DY37" s="248"/>
      <c r="DZ37" s="248"/>
      <c r="EA37" s="248"/>
      <c r="EB37" s="248"/>
      <c r="EC37" s="248"/>
      <c r="ED37" s="248"/>
      <c r="EE37" s="248"/>
      <c r="EF37" s="248"/>
      <c r="EG37" s="248"/>
      <c r="EH37" s="248"/>
      <c r="EI37" s="248"/>
      <c r="EJ37" s="248"/>
      <c r="EK37" s="248"/>
      <c r="EL37" s="248"/>
      <c r="EM37" s="248"/>
      <c r="EN37" s="248"/>
      <c r="EO37" s="248"/>
      <c r="EP37" s="248"/>
      <c r="EQ37" s="248"/>
      <c r="ER37" s="248"/>
      <c r="ES37" s="248"/>
      <c r="ET37" s="248"/>
      <c r="EU37" s="248"/>
      <c r="EV37" s="248"/>
      <c r="EW37" s="248"/>
      <c r="EX37" s="248"/>
      <c r="EY37" s="248"/>
      <c r="EZ37" s="248"/>
      <c r="FA37" s="248"/>
      <c r="FB37" s="248"/>
      <c r="FC37" s="248"/>
      <c r="FD37" s="248"/>
      <c r="FE37" s="248"/>
      <c r="FF37" s="248"/>
      <c r="FG37" s="248"/>
      <c r="FH37" s="248"/>
      <c r="FI37" s="248"/>
      <c r="FJ37" s="248"/>
      <c r="FK37" s="248"/>
      <c r="FL37" s="248"/>
      <c r="FM37" s="248"/>
      <c r="FN37" s="248"/>
      <c r="FO37" s="248"/>
      <c r="FP37" s="248"/>
      <c r="FQ37" s="248"/>
      <c r="FR37" s="248"/>
      <c r="FS37" s="248"/>
      <c r="FT37" s="248"/>
      <c r="FU37" s="248"/>
      <c r="FV37" s="248"/>
      <c r="FW37" s="248"/>
      <c r="FX37" s="248"/>
      <c r="FY37" s="248"/>
      <c r="FZ37" s="248"/>
      <c r="GA37" s="248"/>
      <c r="GB37" s="248"/>
      <c r="GC37" s="248"/>
      <c r="GD37" s="248"/>
      <c r="GE37" s="248"/>
      <c r="GF37" s="248"/>
      <c r="GG37" s="248"/>
      <c r="GH37" s="248"/>
      <c r="GI37" s="248"/>
      <c r="GJ37" s="248"/>
      <c r="GK37" s="248"/>
      <c r="GL37" s="248"/>
      <c r="GM37" s="248"/>
      <c r="GN37" s="248"/>
      <c r="GO37" s="248"/>
      <c r="GP37" s="248"/>
      <c r="GQ37" s="248"/>
      <c r="GR37" s="248"/>
      <c r="GS37" s="248"/>
      <c r="GT37" s="248"/>
      <c r="GU37" s="248"/>
      <c r="GV37" s="248"/>
      <c r="GW37" s="248"/>
      <c r="GX37" s="248"/>
      <c r="GY37" s="248"/>
      <c r="GZ37" s="248"/>
      <c r="HA37" s="248"/>
      <c r="HB37" s="248"/>
      <c r="HC37" s="248"/>
      <c r="HD37" s="248"/>
      <c r="HE37" s="248"/>
      <c r="HF37" s="248"/>
      <c r="HG37" s="248"/>
      <c r="HH37" s="248"/>
      <c r="HI37" s="248"/>
      <c r="HJ37" s="248"/>
      <c r="HK37" s="248"/>
      <c r="HL37" s="248"/>
      <c r="HM37" s="248"/>
      <c r="HN37" s="248"/>
      <c r="HO37" s="248"/>
      <c r="HP37" s="248"/>
      <c r="HQ37" s="248"/>
      <c r="HR37" s="248"/>
      <c r="HS37" s="248"/>
      <c r="HT37" s="248"/>
      <c r="HU37" s="248"/>
      <c r="HV37" s="248"/>
      <c r="HW37" s="248"/>
      <c r="HX37" s="248"/>
      <c r="HY37" s="248"/>
      <c r="HZ37" s="248"/>
      <c r="IA37" s="248"/>
      <c r="IB37" s="248"/>
      <c r="IC37" s="248"/>
      <c r="ID37" s="248"/>
      <c r="IE37" s="248"/>
      <c r="IF37" s="248"/>
      <c r="IG37" s="248"/>
      <c r="IH37" s="248"/>
      <c r="II37" s="248"/>
      <c r="IJ37" s="248"/>
      <c r="IK37" s="248"/>
      <c r="IL37" s="248"/>
      <c r="IM37" s="248"/>
      <c r="IN37" s="248"/>
      <c r="IO37" s="248"/>
      <c r="IP37" s="248"/>
      <c r="IQ37" s="248"/>
    </row>
    <row r="38" spans="1:251" outlineLevel="3">
      <c r="A38" s="178" t="s">
        <v>418</v>
      </c>
      <c r="B38" s="79" t="s">
        <v>497</v>
      </c>
      <c r="C38" s="80">
        <v>-8983.5210000000006</v>
      </c>
      <c r="D38" s="80">
        <v>-8535.8508320000001</v>
      </c>
      <c r="E38" s="80">
        <v>-8419.9428069999994</v>
      </c>
      <c r="F38" s="80">
        <v>-8397.8828780000003</v>
      </c>
      <c r="G38" s="80">
        <v>-7487.5969999999998</v>
      </c>
      <c r="H38" s="80">
        <v>-6362.82</v>
      </c>
      <c r="I38" s="80">
        <v>-6392.0929999999998</v>
      </c>
      <c r="J38" s="80">
        <v>-6677.3829999999998</v>
      </c>
      <c r="K38" s="80">
        <v>-6670.2889999999998</v>
      </c>
      <c r="L38" s="80">
        <v>-6844.4532072499997</v>
      </c>
      <c r="M38" s="182">
        <v>-6929.15</v>
      </c>
      <c r="N38" s="80">
        <v>-6572.80407956</v>
      </c>
      <c r="O38" s="80">
        <v>-6469</v>
      </c>
      <c r="P38" s="181">
        <v>-6526.3909999999996</v>
      </c>
      <c r="Q38" s="181">
        <v>-6529.8980000000001</v>
      </c>
      <c r="R38" s="181">
        <v>-6552.8532942100001</v>
      </c>
      <c r="S38" s="181">
        <v>-6014.3654173100003</v>
      </c>
      <c r="T38" s="181">
        <v>-4944</v>
      </c>
      <c r="U38" s="80">
        <v>-4104.0021875299999</v>
      </c>
      <c r="V38" s="80">
        <v>-3805.8039401299998</v>
      </c>
      <c r="W38" s="80">
        <v>-3567.9701525199998</v>
      </c>
      <c r="X38" s="80">
        <v>-3096.4140000000002</v>
      </c>
      <c r="Y38" s="80">
        <v>-2768.2805515</v>
      </c>
      <c r="Z38" s="80">
        <v>-2474.3870000000002</v>
      </c>
      <c r="AA38" s="80">
        <v>-2331.3974634299998</v>
      </c>
      <c r="AB38" s="80">
        <v>-2377.5520000000001</v>
      </c>
      <c r="AC38" s="80">
        <v>-2696.6590000000001</v>
      </c>
      <c r="AD38" s="80">
        <v>-4015.5639999999999</v>
      </c>
      <c r="AE38" s="251">
        <v>-5000</v>
      </c>
      <c r="AF38" s="251">
        <v>-5000</v>
      </c>
      <c r="AG38" s="251">
        <v>-6900</v>
      </c>
      <c r="AH38" s="251">
        <v>-8300</v>
      </c>
      <c r="AI38" s="251">
        <v>-9300</v>
      </c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1"/>
      <c r="BE38" s="248"/>
      <c r="BF38" s="248"/>
      <c r="BG38" s="248"/>
      <c r="BH38" s="248"/>
      <c r="BI38" s="248"/>
      <c r="BJ38" s="248"/>
      <c r="BK38" s="248"/>
      <c r="BL38" s="248"/>
      <c r="BM38" s="248"/>
      <c r="BN38" s="248"/>
      <c r="BO38" s="248"/>
      <c r="BP38" s="248"/>
      <c r="BQ38" s="248"/>
      <c r="BR38" s="248"/>
      <c r="BS38" s="248"/>
      <c r="BT38" s="248"/>
      <c r="BU38" s="248"/>
      <c r="BV38" s="248"/>
      <c r="BW38" s="248"/>
      <c r="BX38" s="248"/>
      <c r="BY38" s="248"/>
      <c r="BZ38" s="248"/>
      <c r="CA38" s="248"/>
      <c r="CB38" s="248"/>
      <c r="CC38" s="248"/>
      <c r="CD38" s="248"/>
      <c r="CE38" s="248"/>
      <c r="CF38" s="248"/>
      <c r="CG38" s="248"/>
      <c r="CH38" s="248"/>
      <c r="CI38" s="248"/>
      <c r="CJ38" s="248"/>
      <c r="CK38" s="248"/>
      <c r="CL38" s="248"/>
      <c r="CM38" s="248"/>
      <c r="CN38" s="248"/>
      <c r="CO38" s="248"/>
      <c r="CP38" s="248"/>
      <c r="CQ38" s="248"/>
      <c r="CR38" s="248"/>
      <c r="CS38" s="248"/>
      <c r="CT38" s="248"/>
      <c r="CU38" s="248"/>
      <c r="CV38" s="248"/>
      <c r="CW38" s="248"/>
      <c r="CX38" s="248"/>
      <c r="CY38" s="248"/>
      <c r="CZ38" s="248"/>
      <c r="DA38" s="248"/>
      <c r="DB38" s="248"/>
      <c r="DC38" s="248"/>
      <c r="DD38" s="248"/>
      <c r="DE38" s="248"/>
      <c r="DF38" s="248"/>
      <c r="DG38" s="248"/>
      <c r="DH38" s="248"/>
      <c r="DI38" s="248"/>
      <c r="DJ38" s="248"/>
      <c r="DK38" s="248"/>
      <c r="DL38" s="248"/>
      <c r="DM38" s="248"/>
      <c r="DN38" s="248"/>
      <c r="DO38" s="248"/>
      <c r="DP38" s="248"/>
      <c r="DQ38" s="248"/>
      <c r="DR38" s="248"/>
      <c r="DS38" s="248"/>
      <c r="DT38" s="248"/>
      <c r="DU38" s="248"/>
      <c r="DV38" s="248"/>
      <c r="DW38" s="248"/>
      <c r="DX38" s="248"/>
      <c r="DY38" s="248"/>
      <c r="DZ38" s="248"/>
      <c r="EA38" s="248"/>
      <c r="EB38" s="248"/>
      <c r="EC38" s="248"/>
      <c r="ED38" s="248"/>
      <c r="EE38" s="248"/>
      <c r="EF38" s="248"/>
      <c r="EG38" s="248"/>
      <c r="EH38" s="248"/>
      <c r="EI38" s="248"/>
      <c r="EJ38" s="248"/>
      <c r="EK38" s="248"/>
      <c r="EL38" s="248"/>
      <c r="EM38" s="248"/>
      <c r="EN38" s="248"/>
      <c r="EO38" s="248"/>
      <c r="EP38" s="248"/>
      <c r="EQ38" s="248"/>
      <c r="ER38" s="248"/>
      <c r="ES38" s="248"/>
      <c r="ET38" s="248"/>
      <c r="EU38" s="248"/>
      <c r="EV38" s="248"/>
      <c r="EW38" s="248"/>
      <c r="EX38" s="248"/>
      <c r="EY38" s="248"/>
      <c r="EZ38" s="248"/>
      <c r="FA38" s="248"/>
      <c r="FB38" s="248"/>
      <c r="FC38" s="248"/>
      <c r="FD38" s="248"/>
      <c r="FE38" s="248"/>
      <c r="FF38" s="248"/>
      <c r="FG38" s="248"/>
      <c r="FH38" s="248"/>
      <c r="FI38" s="248"/>
      <c r="FJ38" s="248"/>
      <c r="FK38" s="248"/>
      <c r="FL38" s="248"/>
      <c r="FM38" s="248"/>
      <c r="FN38" s="248"/>
      <c r="FO38" s="248"/>
      <c r="FP38" s="248"/>
      <c r="FQ38" s="248"/>
      <c r="FR38" s="248"/>
      <c r="FS38" s="248"/>
      <c r="FT38" s="248"/>
      <c r="FU38" s="248"/>
      <c r="FV38" s="248"/>
      <c r="FW38" s="248"/>
      <c r="FX38" s="248"/>
      <c r="FY38" s="248"/>
      <c r="FZ38" s="248"/>
      <c r="GA38" s="248"/>
      <c r="GB38" s="248"/>
      <c r="GC38" s="248"/>
      <c r="GD38" s="248"/>
      <c r="GE38" s="248"/>
      <c r="GF38" s="248"/>
      <c r="GG38" s="248"/>
      <c r="GH38" s="248"/>
      <c r="GI38" s="248"/>
      <c r="GJ38" s="248"/>
      <c r="GK38" s="248"/>
      <c r="GL38" s="248"/>
      <c r="GM38" s="248"/>
      <c r="GN38" s="248"/>
      <c r="GO38" s="248"/>
      <c r="GP38" s="248"/>
      <c r="GQ38" s="248"/>
      <c r="GR38" s="248"/>
      <c r="GS38" s="248"/>
      <c r="GT38" s="248"/>
      <c r="GU38" s="248"/>
      <c r="GV38" s="248"/>
      <c r="GW38" s="248"/>
      <c r="GX38" s="248"/>
      <c r="GY38" s="248"/>
      <c r="GZ38" s="248"/>
      <c r="HA38" s="248"/>
      <c r="HB38" s="248"/>
      <c r="HC38" s="248"/>
      <c r="HD38" s="248"/>
      <c r="HE38" s="248"/>
      <c r="HF38" s="248"/>
      <c r="HG38" s="248"/>
      <c r="HH38" s="248"/>
      <c r="HI38" s="248"/>
      <c r="HJ38" s="248"/>
      <c r="HK38" s="248"/>
      <c r="HL38" s="248"/>
      <c r="HM38" s="248"/>
      <c r="HN38" s="248"/>
      <c r="HO38" s="248"/>
      <c r="HP38" s="248"/>
      <c r="HQ38" s="248"/>
      <c r="HR38" s="248"/>
      <c r="HS38" s="248"/>
      <c r="HT38" s="248"/>
      <c r="HU38" s="248"/>
      <c r="HV38" s="248"/>
      <c r="HW38" s="248"/>
      <c r="HX38" s="248"/>
      <c r="HY38" s="248"/>
      <c r="HZ38" s="248"/>
      <c r="IA38" s="248"/>
      <c r="IB38" s="248"/>
      <c r="IC38" s="248"/>
      <c r="ID38" s="248"/>
      <c r="IE38" s="248"/>
      <c r="IF38" s="248"/>
      <c r="IG38" s="248"/>
      <c r="IH38" s="248"/>
      <c r="II38" s="248"/>
      <c r="IJ38" s="248"/>
      <c r="IK38" s="248"/>
      <c r="IL38" s="248"/>
      <c r="IM38" s="248"/>
      <c r="IN38" s="248"/>
      <c r="IO38" s="248"/>
      <c r="IP38" s="248"/>
      <c r="IQ38" s="248"/>
    </row>
    <row r="39" spans="1:251" outlineLevel="2">
      <c r="A39" s="79" t="s">
        <v>419</v>
      </c>
      <c r="B39" s="79" t="s">
        <v>420</v>
      </c>
      <c r="C39" s="86">
        <f t="shared" ref="C39:AJ39" si="13">SUM(C34:C38)</f>
        <v>38019.37799999999</v>
      </c>
      <c r="D39" s="86">
        <f t="shared" si="13"/>
        <v>18993.860389000001</v>
      </c>
      <c r="E39" s="86">
        <f>SUM(E34:E38)</f>
        <v>32451.858609999988</v>
      </c>
      <c r="F39" s="86">
        <f t="shared" si="13"/>
        <v>95396.056062000003</v>
      </c>
      <c r="G39" s="86">
        <f t="shared" si="13"/>
        <v>84905.01400000001</v>
      </c>
      <c r="H39" s="86">
        <f t="shared" ref="H39:N39" si="14">SUM(H34:H38)</f>
        <v>60225.627</v>
      </c>
      <c r="I39" s="86">
        <f t="shared" si="14"/>
        <v>62695.760999999991</v>
      </c>
      <c r="J39" s="86">
        <f t="shared" si="14"/>
        <v>76804.885999999999</v>
      </c>
      <c r="K39" s="86">
        <f t="shared" si="14"/>
        <v>99329.730999999985</v>
      </c>
      <c r="L39" s="80">
        <f t="shared" si="14"/>
        <v>124861.09286221002</v>
      </c>
      <c r="M39" s="80">
        <f t="shared" si="14"/>
        <v>108817.08700000001</v>
      </c>
      <c r="N39" s="86">
        <f t="shared" si="14"/>
        <v>152575.62954997996</v>
      </c>
      <c r="O39" s="86">
        <f>SUM(O34:O38)</f>
        <v>98285.48000000001</v>
      </c>
      <c r="P39" s="86">
        <f>SUM(P34:P38)</f>
        <v>100257.72899999998</v>
      </c>
      <c r="Q39" s="86">
        <f t="shared" si="13"/>
        <v>125820.33047799997</v>
      </c>
      <c r="R39" s="86">
        <f t="shared" si="13"/>
        <v>148445.57268308001</v>
      </c>
      <c r="S39" s="86">
        <f t="shared" si="13"/>
        <v>131604.11874575997</v>
      </c>
      <c r="T39" s="86">
        <f>SUM(T34:T38)</f>
        <v>121448.91510136001</v>
      </c>
      <c r="U39" s="86">
        <f t="shared" si="13"/>
        <v>94145.001474710007</v>
      </c>
      <c r="V39" s="86">
        <f t="shared" si="13"/>
        <v>67187.940672550016</v>
      </c>
      <c r="W39" s="86">
        <f>SUM(W34:W38)</f>
        <v>86620.074431750021</v>
      </c>
      <c r="X39" s="86">
        <f t="shared" si="13"/>
        <v>114509.89696439997</v>
      </c>
      <c r="Y39" s="86">
        <f t="shared" si="13"/>
        <v>97376.044514740002</v>
      </c>
      <c r="Z39" s="86">
        <f t="shared" si="13"/>
        <v>59074.677961829984</v>
      </c>
      <c r="AA39" s="86">
        <f t="shared" si="13"/>
        <v>181936.70428792</v>
      </c>
      <c r="AB39" s="86">
        <f t="shared" si="13"/>
        <v>528720.14300000004</v>
      </c>
      <c r="AC39" s="86">
        <f t="shared" si="13"/>
        <v>277003.37800000003</v>
      </c>
      <c r="AD39" s="86">
        <f t="shared" si="13"/>
        <v>293352.10399999993</v>
      </c>
      <c r="AE39" s="86">
        <f t="shared" si="13"/>
        <v>234900</v>
      </c>
      <c r="AF39" s="86">
        <f t="shared" si="13"/>
        <v>184800</v>
      </c>
      <c r="AG39" s="86">
        <f t="shared" si="13"/>
        <v>139100</v>
      </c>
      <c r="AH39" s="86">
        <f t="shared" si="13"/>
        <v>122300</v>
      </c>
      <c r="AI39" s="86">
        <f t="shared" si="13"/>
        <v>111600</v>
      </c>
      <c r="AJ39" s="86">
        <f t="shared" si="13"/>
        <v>124251.72450227971</v>
      </c>
      <c r="AK39" s="86">
        <f t="shared" ref="AK39:BD39" si="15">SUM(AK34:AK38)</f>
        <v>115130.54941390775</v>
      </c>
      <c r="AL39" s="86">
        <f t="shared" si="15"/>
        <v>109880.4551394483</v>
      </c>
      <c r="AM39" s="86">
        <f t="shared" si="15"/>
        <v>107205.03984684523</v>
      </c>
      <c r="AN39" s="86">
        <f t="shared" si="15"/>
        <v>104381.50421945416</v>
      </c>
      <c r="AO39" s="86">
        <f t="shared" si="15"/>
        <v>100391.13378757831</v>
      </c>
      <c r="AP39" s="86">
        <f t="shared" si="15"/>
        <v>94570.475249034513</v>
      </c>
      <c r="AQ39" s="86">
        <f t="shared" si="15"/>
        <v>91726.150809211991</v>
      </c>
      <c r="AR39" s="86">
        <f t="shared" si="15"/>
        <v>82784.465549360102</v>
      </c>
      <c r="AS39" s="86">
        <f t="shared" si="15"/>
        <v>73961.770304366917</v>
      </c>
      <c r="AT39" s="86">
        <f t="shared" si="15"/>
        <v>67889.487581632609</v>
      </c>
      <c r="AU39" s="86">
        <f t="shared" si="15"/>
        <v>60650.364581793991</v>
      </c>
      <c r="AV39" s="86">
        <f t="shared" si="15"/>
        <v>61595.298491084148</v>
      </c>
      <c r="AW39" s="86">
        <f t="shared" si="15"/>
        <v>55143.280454654327</v>
      </c>
      <c r="AX39" s="86">
        <f t="shared" si="15"/>
        <v>55490.195240849651</v>
      </c>
      <c r="AY39" s="86">
        <f t="shared" si="15"/>
        <v>50436.886413854423</v>
      </c>
      <c r="AZ39" s="86">
        <f t="shared" si="15"/>
        <v>49125.263462722673</v>
      </c>
      <c r="BA39" s="86">
        <f t="shared" si="15"/>
        <v>44548.554102650378</v>
      </c>
      <c r="BB39" s="86">
        <f t="shared" si="15"/>
        <v>43078.945914074728</v>
      </c>
      <c r="BC39" s="86">
        <f t="shared" si="15"/>
        <v>40319.833673276713</v>
      </c>
      <c r="BD39" s="86">
        <f t="shared" si="15"/>
        <v>35733.394332947428</v>
      </c>
      <c r="BE39" s="86">
        <f t="shared" ref="BE39:BN39" si="16">SUM(BE34:BE38)</f>
        <v>32805.650250443243</v>
      </c>
      <c r="BF39" s="86">
        <f t="shared" si="16"/>
        <v>31243.959495663265</v>
      </c>
      <c r="BG39" s="86">
        <f t="shared" si="16"/>
        <v>27229.842129985045</v>
      </c>
      <c r="BH39" s="86">
        <f t="shared" si="16"/>
        <v>24856.017308862112</v>
      </c>
      <c r="BI39" s="86">
        <f t="shared" si="16"/>
        <v>24130.861604523365</v>
      </c>
      <c r="BJ39" s="86">
        <f t="shared" si="16"/>
        <v>24202.714561264318</v>
      </c>
      <c r="BK39" s="86">
        <f t="shared" si="16"/>
        <v>22844.077710998688</v>
      </c>
      <c r="BL39" s="86">
        <f t="shared" si="16"/>
        <v>25632.080479639688</v>
      </c>
      <c r="BM39" s="86">
        <f t="shared" si="16"/>
        <v>24468.156844057856</v>
      </c>
      <c r="BN39" s="86">
        <f t="shared" si="16"/>
        <v>24270.665754608806</v>
      </c>
      <c r="BO39" s="248"/>
      <c r="BP39" s="248"/>
      <c r="BQ39" s="248"/>
      <c r="BR39" s="248"/>
      <c r="BS39" s="248"/>
      <c r="BT39" s="248"/>
      <c r="BU39" s="248"/>
      <c r="BV39" s="248"/>
      <c r="BW39" s="248"/>
      <c r="BX39" s="248"/>
      <c r="BY39" s="248"/>
      <c r="BZ39" s="248"/>
      <c r="CA39" s="248"/>
      <c r="CB39" s="248"/>
      <c r="CC39" s="248"/>
      <c r="CD39" s="248"/>
      <c r="CE39" s="248"/>
      <c r="CF39" s="248"/>
      <c r="CG39" s="248"/>
      <c r="CH39" s="248"/>
      <c r="CI39" s="248"/>
      <c r="CJ39" s="248"/>
      <c r="CK39" s="248"/>
      <c r="CL39" s="248"/>
      <c r="CM39" s="248"/>
      <c r="CN39" s="248"/>
      <c r="CO39" s="248"/>
      <c r="CP39" s="248"/>
      <c r="CQ39" s="248"/>
      <c r="CR39" s="248"/>
      <c r="CS39" s="248"/>
      <c r="CT39" s="248"/>
      <c r="CU39" s="248"/>
      <c r="CV39" s="248"/>
      <c r="CW39" s="248"/>
      <c r="CX39" s="248"/>
      <c r="CY39" s="248"/>
      <c r="CZ39" s="248"/>
      <c r="DA39" s="248"/>
      <c r="DB39" s="248"/>
      <c r="DC39" s="248"/>
      <c r="DD39" s="248"/>
      <c r="DE39" s="248"/>
      <c r="DF39" s="248"/>
      <c r="DG39" s="248"/>
      <c r="DH39" s="248"/>
      <c r="DI39" s="248"/>
      <c r="DJ39" s="248"/>
      <c r="DK39" s="248"/>
      <c r="DL39" s="248"/>
      <c r="DM39" s="248"/>
      <c r="DN39" s="248"/>
      <c r="DO39" s="248"/>
      <c r="DP39" s="248"/>
      <c r="DQ39" s="248"/>
      <c r="DR39" s="248"/>
      <c r="DS39" s="248"/>
      <c r="DT39" s="248"/>
      <c r="DU39" s="248"/>
      <c r="DV39" s="248"/>
      <c r="DW39" s="248"/>
      <c r="DX39" s="248"/>
      <c r="DY39" s="248"/>
      <c r="DZ39" s="248"/>
      <c r="EA39" s="248"/>
      <c r="EB39" s="248"/>
      <c r="EC39" s="248"/>
      <c r="ED39" s="248"/>
      <c r="EE39" s="248"/>
      <c r="EF39" s="248"/>
      <c r="EG39" s="248"/>
      <c r="EH39" s="248"/>
      <c r="EI39" s="248"/>
      <c r="EJ39" s="248"/>
      <c r="EK39" s="248"/>
      <c r="EL39" s="248"/>
      <c r="EM39" s="248"/>
      <c r="EN39" s="248"/>
      <c r="EO39" s="248"/>
      <c r="EP39" s="248"/>
      <c r="EQ39" s="248"/>
      <c r="ER39" s="248"/>
      <c r="ES39" s="248"/>
      <c r="ET39" s="248"/>
      <c r="EU39" s="248"/>
      <c r="EV39" s="248"/>
      <c r="EW39" s="248"/>
      <c r="EX39" s="248"/>
      <c r="EY39" s="248"/>
      <c r="EZ39" s="248"/>
      <c r="FA39" s="248"/>
      <c r="FB39" s="248"/>
      <c r="FC39" s="248"/>
      <c r="FD39" s="248"/>
      <c r="FE39" s="248"/>
      <c r="FF39" s="248"/>
      <c r="FG39" s="248"/>
      <c r="FH39" s="248"/>
      <c r="FI39" s="248"/>
      <c r="FJ39" s="248"/>
      <c r="FK39" s="248"/>
      <c r="FL39" s="248"/>
      <c r="FM39" s="248"/>
      <c r="FN39" s="248"/>
      <c r="FO39" s="248"/>
      <c r="FP39" s="248"/>
      <c r="FQ39" s="248"/>
      <c r="FR39" s="248"/>
      <c r="FS39" s="248"/>
      <c r="FT39" s="248"/>
      <c r="FU39" s="248"/>
      <c r="FV39" s="248"/>
      <c r="FW39" s="248"/>
      <c r="FX39" s="248"/>
      <c r="FY39" s="248"/>
      <c r="FZ39" s="248"/>
      <c r="GA39" s="248"/>
      <c r="GB39" s="248"/>
      <c r="GC39" s="248"/>
      <c r="GD39" s="248"/>
      <c r="GE39" s="248"/>
      <c r="GF39" s="248"/>
      <c r="GG39" s="248"/>
      <c r="GH39" s="248"/>
      <c r="GI39" s="248"/>
      <c r="GJ39" s="248"/>
      <c r="GK39" s="248"/>
      <c r="GL39" s="248"/>
      <c r="GM39" s="248"/>
      <c r="GN39" s="248"/>
      <c r="GO39" s="248"/>
      <c r="GP39" s="248"/>
      <c r="GQ39" s="248"/>
      <c r="GR39" s="248"/>
      <c r="GS39" s="248"/>
      <c r="GT39" s="248"/>
      <c r="GU39" s="248"/>
      <c r="GV39" s="248"/>
      <c r="GW39" s="248"/>
      <c r="GX39" s="248"/>
      <c r="GY39" s="248"/>
      <c r="GZ39" s="248"/>
      <c r="HA39" s="248"/>
      <c r="HB39" s="248"/>
      <c r="HC39" s="248"/>
      <c r="HD39" s="248"/>
      <c r="HE39" s="248"/>
      <c r="HF39" s="248"/>
      <c r="HG39" s="248"/>
      <c r="HH39" s="248"/>
      <c r="HI39" s="248"/>
      <c r="HJ39" s="248"/>
      <c r="HK39" s="248"/>
      <c r="HL39" s="248"/>
      <c r="HM39" s="248"/>
      <c r="HN39" s="248"/>
      <c r="HO39" s="248"/>
      <c r="HP39" s="248"/>
      <c r="HQ39" s="248"/>
      <c r="HR39" s="248"/>
      <c r="HS39" s="248"/>
      <c r="HT39" s="248"/>
      <c r="HU39" s="248"/>
      <c r="HV39" s="248"/>
      <c r="HW39" s="248"/>
      <c r="HX39" s="248"/>
      <c r="HY39" s="248"/>
      <c r="HZ39" s="248"/>
      <c r="IA39" s="248"/>
      <c r="IB39" s="248"/>
      <c r="IC39" s="248"/>
      <c r="ID39" s="248"/>
      <c r="IE39" s="248"/>
      <c r="IF39" s="248"/>
      <c r="IG39" s="248"/>
      <c r="IH39" s="248"/>
      <c r="II39" s="248"/>
      <c r="IJ39" s="248"/>
      <c r="IK39" s="248"/>
      <c r="IL39" s="248"/>
      <c r="IM39" s="248"/>
      <c r="IN39" s="248"/>
      <c r="IO39" s="248"/>
      <c r="IP39" s="248"/>
      <c r="IQ39" s="248"/>
    </row>
    <row r="40" spans="1:251" outlineLevel="2">
      <c r="A40" s="79" t="s">
        <v>44</v>
      </c>
      <c r="B40" s="79" t="s">
        <v>52</v>
      </c>
      <c r="C40" s="86">
        <f t="shared" ref="C40:AJ40" si="17">-C37</f>
        <v>14092.147999999999</v>
      </c>
      <c r="D40" s="86">
        <f t="shared" si="17"/>
        <v>14443.220778999999</v>
      </c>
      <c r="E40" s="86">
        <f t="shared" si="17"/>
        <v>15343.329546000001</v>
      </c>
      <c r="F40" s="86">
        <f t="shared" si="17"/>
        <v>17006.370427000002</v>
      </c>
      <c r="G40" s="86">
        <f t="shared" si="17"/>
        <v>17892.241000000002</v>
      </c>
      <c r="H40" s="86">
        <f t="shared" si="17"/>
        <v>14571.337</v>
      </c>
      <c r="I40" s="86">
        <f t="shared" si="17"/>
        <v>14092.013000000001</v>
      </c>
      <c r="J40" s="86">
        <f>-J37</f>
        <v>14609.777</v>
      </c>
      <c r="K40" s="86">
        <f t="shared" si="17"/>
        <v>12914.084000000001</v>
      </c>
      <c r="L40" s="80">
        <f t="shared" si="17"/>
        <v>14537.72911441</v>
      </c>
      <c r="M40" s="80">
        <f t="shared" si="17"/>
        <v>15403.963</v>
      </c>
      <c r="N40" s="86">
        <f t="shared" si="17"/>
        <v>15741.102000000001</v>
      </c>
      <c r="O40" s="86">
        <f t="shared" si="17"/>
        <v>15268.079</v>
      </c>
      <c r="P40" s="86">
        <f>-P37</f>
        <v>15719.89</v>
      </c>
      <c r="Q40" s="86">
        <f t="shared" si="17"/>
        <v>16861.847000000002</v>
      </c>
      <c r="R40" s="86">
        <f t="shared" si="17"/>
        <v>19500.976296680001</v>
      </c>
      <c r="S40" s="86">
        <f t="shared" si="17"/>
        <v>20261.84205073</v>
      </c>
      <c r="T40" s="86">
        <f t="shared" si="17"/>
        <v>21837</v>
      </c>
      <c r="U40" s="86">
        <f t="shared" si="17"/>
        <v>23721.755350070001</v>
      </c>
      <c r="V40" s="86">
        <f t="shared" si="17"/>
        <v>23276.647734229999</v>
      </c>
      <c r="W40" s="86">
        <f>-W37</f>
        <v>24648.044000000002</v>
      </c>
      <c r="X40" s="86">
        <f>-X37</f>
        <v>23636.285</v>
      </c>
      <c r="Y40" s="86">
        <f t="shared" si="17"/>
        <v>22673.976264000001</v>
      </c>
      <c r="Z40" s="86">
        <f t="shared" si="17"/>
        <v>22438.631000000001</v>
      </c>
      <c r="AA40" s="86">
        <f t="shared" si="17"/>
        <v>25633.966699109998</v>
      </c>
      <c r="AB40" s="86">
        <f t="shared" si="17"/>
        <v>26314.13</v>
      </c>
      <c r="AC40" s="86">
        <f t="shared" si="17"/>
        <v>27206.412</v>
      </c>
      <c r="AD40" s="86">
        <f t="shared" si="17"/>
        <v>-29599.681</v>
      </c>
      <c r="AE40" s="86">
        <f t="shared" si="17"/>
        <v>33500</v>
      </c>
      <c r="AF40" s="86">
        <f t="shared" si="17"/>
        <v>39300</v>
      </c>
      <c r="AG40" s="86">
        <f t="shared" si="17"/>
        <v>40000</v>
      </c>
      <c r="AH40" s="86">
        <f t="shared" si="17"/>
        <v>45700</v>
      </c>
      <c r="AI40" s="86">
        <f t="shared" si="17"/>
        <v>32300</v>
      </c>
      <c r="AJ40" s="86">
        <f t="shared" si="17"/>
        <v>0</v>
      </c>
      <c r="AK40" s="86">
        <f t="shared" ref="AK40:BD40" si="18">-AK37</f>
        <v>0</v>
      </c>
      <c r="AL40" s="86">
        <f t="shared" si="18"/>
        <v>0</v>
      </c>
      <c r="AM40" s="86">
        <f t="shared" si="18"/>
        <v>0</v>
      </c>
      <c r="AN40" s="86">
        <f t="shared" si="18"/>
        <v>0</v>
      </c>
      <c r="AO40" s="86">
        <f t="shared" si="18"/>
        <v>0</v>
      </c>
      <c r="AP40" s="86">
        <f t="shared" si="18"/>
        <v>0</v>
      </c>
      <c r="AQ40" s="86">
        <f t="shared" si="18"/>
        <v>0</v>
      </c>
      <c r="AR40" s="86">
        <f t="shared" si="18"/>
        <v>0</v>
      </c>
      <c r="AS40" s="86">
        <f t="shared" si="18"/>
        <v>0</v>
      </c>
      <c r="AT40" s="86">
        <f t="shared" si="18"/>
        <v>0</v>
      </c>
      <c r="AU40" s="86">
        <f t="shared" si="18"/>
        <v>0</v>
      </c>
      <c r="AV40" s="86">
        <f t="shared" si="18"/>
        <v>0</v>
      </c>
      <c r="AW40" s="86">
        <f t="shared" si="18"/>
        <v>0</v>
      </c>
      <c r="AX40" s="86">
        <f t="shared" si="18"/>
        <v>0</v>
      </c>
      <c r="AY40" s="86">
        <f t="shared" si="18"/>
        <v>0</v>
      </c>
      <c r="AZ40" s="86">
        <f t="shared" si="18"/>
        <v>0</v>
      </c>
      <c r="BA40" s="86">
        <f t="shared" si="18"/>
        <v>0</v>
      </c>
      <c r="BB40" s="86">
        <f t="shared" si="18"/>
        <v>0</v>
      </c>
      <c r="BC40" s="86">
        <f t="shared" si="18"/>
        <v>0</v>
      </c>
      <c r="BD40" s="86">
        <f t="shared" si="18"/>
        <v>0</v>
      </c>
      <c r="BE40" s="86">
        <f t="shared" ref="BE40:BN40" si="19">-BE37</f>
        <v>0</v>
      </c>
      <c r="BF40" s="86">
        <f t="shared" si="19"/>
        <v>0</v>
      </c>
      <c r="BG40" s="86">
        <f t="shared" si="19"/>
        <v>0</v>
      </c>
      <c r="BH40" s="86">
        <f t="shared" si="19"/>
        <v>0</v>
      </c>
      <c r="BI40" s="86">
        <f t="shared" si="19"/>
        <v>0</v>
      </c>
      <c r="BJ40" s="86">
        <f t="shared" si="19"/>
        <v>0</v>
      </c>
      <c r="BK40" s="86">
        <f t="shared" si="19"/>
        <v>0</v>
      </c>
      <c r="BL40" s="86">
        <f t="shared" si="19"/>
        <v>0</v>
      </c>
      <c r="BM40" s="86">
        <f t="shared" si="19"/>
        <v>0</v>
      </c>
      <c r="BN40" s="86">
        <f t="shared" si="19"/>
        <v>0</v>
      </c>
    </row>
    <row r="41" spans="1:251" outlineLevel="2">
      <c r="A41" s="79" t="s">
        <v>53</v>
      </c>
      <c r="B41" s="79" t="s">
        <v>54</v>
      </c>
      <c r="C41" s="80"/>
      <c r="D41" s="244"/>
      <c r="E41" s="80"/>
      <c r="F41" s="80"/>
      <c r="G41" s="80">
        <f>38979.889</f>
        <v>38979.889000000003</v>
      </c>
      <c r="H41" s="80">
        <v>8521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243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251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248"/>
      <c r="BP41" s="248"/>
      <c r="BQ41" s="248"/>
      <c r="BR41" s="248"/>
      <c r="BS41" s="248"/>
      <c r="BT41" s="248"/>
      <c r="BU41" s="248"/>
      <c r="BV41" s="248"/>
      <c r="BW41" s="248"/>
      <c r="BX41" s="248"/>
      <c r="BY41" s="248"/>
      <c r="BZ41" s="248"/>
      <c r="CA41" s="248"/>
      <c r="CB41" s="248"/>
      <c r="CC41" s="248"/>
      <c r="CD41" s="248"/>
      <c r="CE41" s="248"/>
      <c r="CF41" s="248"/>
      <c r="CG41" s="248"/>
      <c r="CH41" s="248"/>
      <c r="CI41" s="248"/>
      <c r="CJ41" s="248"/>
      <c r="CK41" s="248"/>
      <c r="CL41" s="248"/>
      <c r="CM41" s="248"/>
      <c r="CN41" s="248"/>
      <c r="CO41" s="248"/>
      <c r="CP41" s="248"/>
      <c r="CQ41" s="248"/>
      <c r="CR41" s="248"/>
      <c r="CS41" s="248"/>
      <c r="CT41" s="248"/>
      <c r="CU41" s="248"/>
      <c r="CV41" s="248"/>
      <c r="CW41" s="248"/>
      <c r="CX41" s="248"/>
      <c r="CY41" s="248"/>
      <c r="CZ41" s="248"/>
      <c r="DA41" s="248"/>
      <c r="DB41" s="248"/>
      <c r="DC41" s="248"/>
      <c r="DD41" s="248"/>
      <c r="DE41" s="248"/>
      <c r="DF41" s="248"/>
      <c r="DG41" s="248"/>
      <c r="DH41" s="248"/>
      <c r="DI41" s="248"/>
      <c r="DJ41" s="248"/>
      <c r="DK41" s="248"/>
      <c r="DL41" s="248"/>
      <c r="DM41" s="248"/>
      <c r="DN41" s="248"/>
      <c r="DO41" s="248"/>
      <c r="DP41" s="248"/>
      <c r="DQ41" s="248"/>
      <c r="DR41" s="248"/>
      <c r="DS41" s="248"/>
      <c r="DT41" s="248"/>
      <c r="DU41" s="248"/>
      <c r="DV41" s="248"/>
      <c r="DW41" s="248"/>
      <c r="DX41" s="248"/>
      <c r="DY41" s="248"/>
      <c r="DZ41" s="248"/>
      <c r="EA41" s="248"/>
      <c r="EB41" s="248"/>
      <c r="EC41" s="248"/>
      <c r="ED41" s="248"/>
      <c r="EE41" s="248"/>
      <c r="EF41" s="248"/>
      <c r="EG41" s="248"/>
      <c r="EH41" s="248"/>
      <c r="EI41" s="248"/>
      <c r="EJ41" s="248"/>
      <c r="EK41" s="248"/>
      <c r="EL41" s="248"/>
      <c r="EM41" s="248"/>
      <c r="EN41" s="248"/>
      <c r="EO41" s="248"/>
      <c r="EP41" s="248"/>
      <c r="EQ41" s="248"/>
      <c r="ER41" s="248"/>
      <c r="ES41" s="248"/>
      <c r="ET41" s="248"/>
      <c r="EU41" s="248"/>
      <c r="EV41" s="248"/>
      <c r="EW41" s="248"/>
      <c r="EX41" s="248"/>
      <c r="EY41" s="248"/>
      <c r="EZ41" s="248"/>
      <c r="FA41" s="248"/>
      <c r="FB41" s="248"/>
      <c r="FC41" s="248"/>
      <c r="FD41" s="248"/>
      <c r="FE41" s="248"/>
      <c r="FF41" s="248"/>
      <c r="FG41" s="248"/>
      <c r="FH41" s="248"/>
      <c r="FI41" s="248"/>
      <c r="FJ41" s="248"/>
      <c r="FK41" s="248"/>
      <c r="FL41" s="248"/>
      <c r="FM41" s="248"/>
      <c r="FN41" s="248"/>
      <c r="FO41" s="248"/>
      <c r="FP41" s="248"/>
      <c r="FQ41" s="248"/>
      <c r="FR41" s="248"/>
      <c r="FS41" s="248"/>
      <c r="FT41" s="248"/>
      <c r="FU41" s="248"/>
      <c r="FV41" s="248"/>
      <c r="FW41" s="248"/>
      <c r="FX41" s="248"/>
      <c r="FY41" s="248"/>
      <c r="FZ41" s="248"/>
      <c r="GA41" s="248"/>
      <c r="GB41" s="248"/>
      <c r="GC41" s="248"/>
      <c r="GD41" s="248"/>
      <c r="GE41" s="248"/>
      <c r="GF41" s="248"/>
      <c r="GG41" s="248"/>
      <c r="GH41" s="248"/>
      <c r="GI41" s="248"/>
      <c r="GJ41" s="248"/>
      <c r="GK41" s="248"/>
      <c r="GL41" s="248"/>
      <c r="GM41" s="248"/>
      <c r="GN41" s="248"/>
      <c r="GO41" s="248"/>
      <c r="GP41" s="248"/>
      <c r="GQ41" s="248"/>
      <c r="GR41" s="248"/>
      <c r="GS41" s="248"/>
      <c r="GT41" s="248"/>
      <c r="GU41" s="248"/>
      <c r="GV41" s="248"/>
      <c r="GW41" s="248"/>
      <c r="GX41" s="248"/>
      <c r="GY41" s="248"/>
      <c r="GZ41" s="248"/>
      <c r="HA41" s="248"/>
      <c r="HB41" s="248"/>
      <c r="HC41" s="248"/>
      <c r="HD41" s="248"/>
      <c r="HE41" s="248"/>
      <c r="HF41" s="248"/>
      <c r="HG41" s="248"/>
      <c r="HH41" s="248"/>
      <c r="HI41" s="248"/>
      <c r="HJ41" s="248"/>
      <c r="HK41" s="248"/>
      <c r="HL41" s="248"/>
      <c r="HM41" s="248"/>
      <c r="HN41" s="248"/>
      <c r="HO41" s="248"/>
      <c r="HP41" s="248"/>
      <c r="HQ41" s="248"/>
      <c r="HR41" s="248"/>
      <c r="HS41" s="248"/>
      <c r="HT41" s="248"/>
      <c r="HU41" s="248"/>
      <c r="HV41" s="248"/>
      <c r="HW41" s="248"/>
      <c r="HX41" s="248"/>
      <c r="HY41" s="248"/>
      <c r="HZ41" s="248"/>
      <c r="IA41" s="248"/>
      <c r="IB41" s="248"/>
      <c r="IC41" s="248"/>
      <c r="ID41" s="248"/>
      <c r="IE41" s="248"/>
      <c r="IF41" s="248"/>
      <c r="IG41" s="248"/>
      <c r="IH41" s="248"/>
      <c r="II41" s="248"/>
      <c r="IJ41" s="248"/>
      <c r="IK41" s="248"/>
      <c r="IL41" s="248"/>
      <c r="IM41" s="248"/>
      <c r="IN41" s="248"/>
      <c r="IO41" s="248"/>
      <c r="IP41" s="248"/>
      <c r="IQ41" s="248"/>
    </row>
    <row r="42" spans="1:251" outlineLevel="2">
      <c r="A42" s="79" t="s">
        <v>46</v>
      </c>
      <c r="B42" s="79" t="s">
        <v>55</v>
      </c>
      <c r="C42" s="80">
        <v>118.084</v>
      </c>
      <c r="D42" s="80">
        <v>182.297551</v>
      </c>
      <c r="E42" s="80">
        <v>517.08610299999998</v>
      </c>
      <c r="F42" s="80">
        <v>652.57364199999995</v>
      </c>
      <c r="G42" s="80">
        <v>565.86199999999997</v>
      </c>
      <c r="H42" s="80">
        <v>284.88499999999999</v>
      </c>
      <c r="I42" s="80">
        <v>1482.152</v>
      </c>
      <c r="J42" s="80">
        <v>490.36801200000002</v>
      </c>
      <c r="K42" s="80">
        <v>887.56899999999996</v>
      </c>
      <c r="L42" s="80">
        <v>462.18282496</v>
      </c>
      <c r="M42" s="80">
        <v>1136.5509999999999</v>
      </c>
      <c r="N42" s="80">
        <v>707.82980990999999</v>
      </c>
      <c r="O42" s="80">
        <v>35</v>
      </c>
      <c r="P42" s="80">
        <v>737.84900000000005</v>
      </c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</row>
    <row r="43" spans="1:251" outlineLevel="2">
      <c r="A43" s="79" t="s">
        <v>56</v>
      </c>
      <c r="B43" s="79" t="s">
        <v>498</v>
      </c>
      <c r="C43" s="86">
        <f t="shared" ref="C43:AJ43" si="20">-C38</f>
        <v>8983.5210000000006</v>
      </c>
      <c r="D43" s="86">
        <f t="shared" si="20"/>
        <v>8535.8508320000001</v>
      </c>
      <c r="E43" s="86">
        <f t="shared" si="20"/>
        <v>8419.9428069999994</v>
      </c>
      <c r="F43" s="86">
        <f t="shared" si="20"/>
        <v>8397.8828780000003</v>
      </c>
      <c r="G43" s="86">
        <f t="shared" si="20"/>
        <v>7487.5969999999998</v>
      </c>
      <c r="H43" s="86">
        <f t="shared" si="20"/>
        <v>6362.82</v>
      </c>
      <c r="I43" s="80">
        <v>6390.0770000000002</v>
      </c>
      <c r="J43" s="80">
        <v>6666.3010000000004</v>
      </c>
      <c r="K43" s="80">
        <v>6646.1220000000003</v>
      </c>
      <c r="L43" s="80">
        <v>6820.1767829999999</v>
      </c>
      <c r="M43" s="80">
        <v>6918.46</v>
      </c>
      <c r="N43" s="80">
        <v>6559.9039739999998</v>
      </c>
      <c r="O43" s="80">
        <v>6456</v>
      </c>
      <c r="P43" s="80">
        <v>6527.6769999999997</v>
      </c>
      <c r="Q43" s="80">
        <v>6540.51</v>
      </c>
      <c r="R43" s="80">
        <v>6574.6875149999996</v>
      </c>
      <c r="S43" s="80">
        <v>6041.2851520000004</v>
      </c>
      <c r="T43" s="181">
        <v>4968</v>
      </c>
      <c r="U43" s="80">
        <v>4127.0360360000004</v>
      </c>
      <c r="V43" s="80">
        <v>3819.818714</v>
      </c>
      <c r="W43" s="80">
        <v>3580.8220000000001</v>
      </c>
      <c r="X43" s="80">
        <v>3113.578</v>
      </c>
      <c r="Y43" s="80">
        <v>2791.024989</v>
      </c>
      <c r="Z43" s="80">
        <v>2483.3110000000001</v>
      </c>
      <c r="AA43" s="80">
        <v>2331.386</v>
      </c>
      <c r="AB43" s="80">
        <v>2382.0929999999998</v>
      </c>
      <c r="AC43" s="80">
        <v>2707.84</v>
      </c>
      <c r="AD43" s="80">
        <v>4026.08</v>
      </c>
      <c r="AE43" s="251">
        <v>5000</v>
      </c>
      <c r="AF43" s="251">
        <v>5000</v>
      </c>
      <c r="AG43" s="251">
        <v>6900</v>
      </c>
      <c r="AH43" s="251">
        <v>8300</v>
      </c>
      <c r="AI43" s="251">
        <v>9300</v>
      </c>
      <c r="AJ43" s="86">
        <f t="shared" si="20"/>
        <v>0</v>
      </c>
      <c r="AK43" s="86">
        <f t="shared" ref="AK43:BD43" si="21">-AK38</f>
        <v>0</v>
      </c>
      <c r="AL43" s="86">
        <f t="shared" si="21"/>
        <v>0</v>
      </c>
      <c r="AM43" s="86">
        <f t="shared" si="21"/>
        <v>0</v>
      </c>
      <c r="AN43" s="86">
        <f t="shared" si="21"/>
        <v>0</v>
      </c>
      <c r="AO43" s="86">
        <f t="shared" si="21"/>
        <v>0</v>
      </c>
      <c r="AP43" s="86">
        <f t="shared" si="21"/>
        <v>0</v>
      </c>
      <c r="AQ43" s="86">
        <f t="shared" si="21"/>
        <v>0</v>
      </c>
      <c r="AR43" s="86">
        <f t="shared" si="21"/>
        <v>0</v>
      </c>
      <c r="AS43" s="86">
        <f t="shared" si="21"/>
        <v>0</v>
      </c>
      <c r="AT43" s="86">
        <f t="shared" si="21"/>
        <v>0</v>
      </c>
      <c r="AU43" s="86">
        <f t="shared" si="21"/>
        <v>0</v>
      </c>
      <c r="AV43" s="86">
        <f t="shared" si="21"/>
        <v>0</v>
      </c>
      <c r="AW43" s="86">
        <f t="shared" si="21"/>
        <v>0</v>
      </c>
      <c r="AX43" s="86">
        <f t="shared" si="21"/>
        <v>0</v>
      </c>
      <c r="AY43" s="86">
        <f t="shared" si="21"/>
        <v>0</v>
      </c>
      <c r="AZ43" s="86">
        <f t="shared" si="21"/>
        <v>0</v>
      </c>
      <c r="BA43" s="86">
        <f t="shared" si="21"/>
        <v>0</v>
      </c>
      <c r="BB43" s="86">
        <f t="shared" si="21"/>
        <v>0</v>
      </c>
      <c r="BC43" s="86">
        <f t="shared" si="21"/>
        <v>0</v>
      </c>
      <c r="BD43" s="86">
        <f t="shared" si="21"/>
        <v>0</v>
      </c>
      <c r="BE43" s="86">
        <f t="shared" ref="BE43:BN43" si="22">-BE38</f>
        <v>0</v>
      </c>
      <c r="BF43" s="86">
        <f t="shared" si="22"/>
        <v>0</v>
      </c>
      <c r="BG43" s="86">
        <f t="shared" si="22"/>
        <v>0</v>
      </c>
      <c r="BH43" s="86">
        <f t="shared" si="22"/>
        <v>0</v>
      </c>
      <c r="BI43" s="86">
        <f t="shared" si="22"/>
        <v>0</v>
      </c>
      <c r="BJ43" s="86">
        <f t="shared" si="22"/>
        <v>0</v>
      </c>
      <c r="BK43" s="86">
        <f t="shared" si="22"/>
        <v>0</v>
      </c>
      <c r="BL43" s="86">
        <f t="shared" si="22"/>
        <v>0</v>
      </c>
      <c r="BM43" s="86">
        <f t="shared" si="22"/>
        <v>0</v>
      </c>
      <c r="BN43" s="86">
        <f t="shared" si="22"/>
        <v>0</v>
      </c>
    </row>
    <row r="44" spans="1:251" outlineLevel="2">
      <c r="A44" s="79" t="s">
        <v>218</v>
      </c>
      <c r="B44" s="79" t="s">
        <v>219</v>
      </c>
      <c r="C44" s="86"/>
      <c r="D44" s="86"/>
      <c r="E44" s="86"/>
      <c r="F44" s="86"/>
      <c r="G44" s="80">
        <v>1247.806</v>
      </c>
      <c r="H44" s="80">
        <v>248.773</v>
      </c>
      <c r="I44" s="80"/>
      <c r="J44" s="86"/>
      <c r="K44" s="86"/>
      <c r="L44" s="80"/>
      <c r="M44" s="80"/>
      <c r="N44" s="86"/>
      <c r="O44" s="86"/>
      <c r="P44" s="86"/>
      <c r="Q44" s="86"/>
      <c r="R44" s="86"/>
      <c r="S44" s="80"/>
      <c r="T44" s="86"/>
      <c r="U44" s="86"/>
      <c r="V44" s="80"/>
      <c r="W44" s="80"/>
      <c r="X44" s="80"/>
      <c r="Y44" s="80"/>
      <c r="Z44" s="80"/>
      <c r="AA44" s="80"/>
      <c r="AB44" s="80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</row>
    <row r="45" spans="1:251" outlineLevel="2">
      <c r="A45" s="79" t="s">
        <v>217</v>
      </c>
      <c r="B45" s="79" t="s">
        <v>496</v>
      </c>
      <c r="C45" s="80">
        <v>132.08500000000001</v>
      </c>
      <c r="D45" s="80">
        <v>-46.554115000000003</v>
      </c>
      <c r="E45" s="80">
        <v>-19.79787</v>
      </c>
      <c r="F45" s="80">
        <v>13.007133</v>
      </c>
      <c r="G45" s="80">
        <f>-29.229</f>
        <v>-29.228999999999999</v>
      </c>
      <c r="H45" s="80"/>
      <c r="I45" s="80">
        <v>2.016</v>
      </c>
      <c r="J45" s="80">
        <v>11.081</v>
      </c>
      <c r="K45" s="80">
        <v>24.167000000000002</v>
      </c>
      <c r="L45" s="80">
        <v>24.276424250000002</v>
      </c>
      <c r="M45" s="80">
        <v>10.69</v>
      </c>
      <c r="N45" s="80">
        <v>12.31915813</v>
      </c>
      <c r="O45" s="80">
        <v>13</v>
      </c>
      <c r="P45" s="80">
        <v>-1.2863050700000001</v>
      </c>
      <c r="Q45" s="80">
        <v>-10.672243</v>
      </c>
      <c r="R45" s="80">
        <v>-21.83422079</v>
      </c>
      <c r="S45" s="80">
        <v>-26.919734689999999</v>
      </c>
      <c r="T45" s="301">
        <v>-23</v>
      </c>
      <c r="U45" s="80">
        <v>0</v>
      </c>
      <c r="V45" s="80">
        <v>-14.014773870000001</v>
      </c>
      <c r="W45" s="80">
        <v>-12.852</v>
      </c>
      <c r="X45" s="80">
        <v>-17.164000000000001</v>
      </c>
      <c r="Y45" s="80">
        <v>-31.792999999999999</v>
      </c>
      <c r="Z45" s="80">
        <v>-8.9242093400000009</v>
      </c>
      <c r="AA45" s="80">
        <v>1.2E-2</v>
      </c>
      <c r="AB45" s="80">
        <v>-5.351</v>
      </c>
      <c r="AC45" s="80">
        <v>-11.180999999999999</v>
      </c>
      <c r="AD45" s="80">
        <v>-10.516</v>
      </c>
      <c r="AE45" s="251">
        <v>0</v>
      </c>
      <c r="AF45" s="251">
        <v>0</v>
      </c>
      <c r="AG45" s="251">
        <v>0</v>
      </c>
      <c r="AH45" s="251">
        <v>0</v>
      </c>
      <c r="AI45" s="251">
        <v>0</v>
      </c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</row>
    <row r="46" spans="1:251" outlineLevel="2">
      <c r="A46" s="79" t="s">
        <v>57</v>
      </c>
      <c r="B46" s="79" t="s">
        <v>58</v>
      </c>
      <c r="C46" s="80"/>
      <c r="D46" s="244"/>
      <c r="E46" s="80"/>
      <c r="F46" s="80"/>
      <c r="G46" s="80"/>
      <c r="H46" s="80"/>
      <c r="I46" s="80"/>
      <c r="J46" s="182"/>
      <c r="K46" s="182"/>
      <c r="L46" s="182"/>
      <c r="M46" s="182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301"/>
      <c r="AA46" s="80"/>
      <c r="AB46" s="80"/>
      <c r="AC46" s="80"/>
      <c r="AD46" s="80"/>
      <c r="AE46" s="251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</row>
    <row r="47" spans="1:251" outlineLevel="2">
      <c r="C47" s="80"/>
      <c r="D47" s="244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>
        <v>875</v>
      </c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</row>
    <row r="48" spans="1:251" outlineLevel="1">
      <c r="A48" s="79" t="s">
        <v>59</v>
      </c>
      <c r="C48" s="86">
        <f>SUM(C39:C46)</f>
        <v>61345.215999999993</v>
      </c>
      <c r="D48" s="86">
        <f>SUM(D39:D46)</f>
        <v>42108.675436000012</v>
      </c>
      <c r="E48" s="86">
        <f>SUM(E39:E46)</f>
        <v>56712.419195999988</v>
      </c>
      <c r="F48" s="86">
        <f>SUM(F39:F46)</f>
        <v>121465.89014200002</v>
      </c>
      <c r="G48" s="86">
        <f>SUM(G39:G46)</f>
        <v>151049.18000000002</v>
      </c>
      <c r="H48" s="86">
        <f>SUM(H39:H46)+H33</f>
        <v>90562.322999999989</v>
      </c>
      <c r="I48" s="86">
        <f>SUM(I39:I46)+I33</f>
        <v>84713.024999999994</v>
      </c>
      <c r="J48" s="86">
        <f>SUM(J39:J46)+J33</f>
        <v>98701.399338000017</v>
      </c>
      <c r="K48" s="86">
        <f>SUM(K39:K46)+K33</f>
        <v>120034.746</v>
      </c>
      <c r="L48" s="80">
        <f>SUM(L39:L46)</f>
        <v>146705.45800883003</v>
      </c>
      <c r="M48" s="80">
        <f>SUM(M39:M46)</f>
        <v>132286.75100000002</v>
      </c>
      <c r="N48" s="86">
        <f>SUM(N39:N47)</f>
        <v>175596.78449201997</v>
      </c>
      <c r="O48" s="86">
        <f>SUM(O39:O47)</f>
        <v>120057.55900000001</v>
      </c>
      <c r="P48" s="86">
        <f>SUM(P39:P47)</f>
        <v>124116.85869492998</v>
      </c>
      <c r="Q48" s="86">
        <f t="shared" ref="Q48:AJ48" si="23">SUM(Q39:Q46)</f>
        <v>149212.01523499997</v>
      </c>
      <c r="R48" s="86">
        <f t="shared" si="23"/>
        <v>174499.40227396999</v>
      </c>
      <c r="S48" s="86">
        <f t="shared" si="23"/>
        <v>157880.32621379997</v>
      </c>
      <c r="T48" s="86">
        <f t="shared" si="23"/>
        <v>148230.91510136001</v>
      </c>
      <c r="U48" s="86">
        <f t="shared" si="23"/>
        <v>121993.79286078001</v>
      </c>
      <c r="V48" s="86">
        <f t="shared" si="23"/>
        <v>94270.392346909997</v>
      </c>
      <c r="W48" s="86">
        <f t="shared" si="23"/>
        <v>114836.08843175002</v>
      </c>
      <c r="X48" s="86">
        <f t="shared" si="23"/>
        <v>141242.59596439998</v>
      </c>
      <c r="Y48" s="86">
        <f t="shared" si="23"/>
        <v>122809.25276773999</v>
      </c>
      <c r="Z48" s="86">
        <f t="shared" si="23"/>
        <v>83987.695752489992</v>
      </c>
      <c r="AA48" s="86">
        <f t="shared" si="23"/>
        <v>209902.06898702998</v>
      </c>
      <c r="AB48" s="86">
        <f t="shared" si="23"/>
        <v>557411.01500000001</v>
      </c>
      <c r="AC48" s="86">
        <f t="shared" si="23"/>
        <v>306906.44900000008</v>
      </c>
      <c r="AD48" s="86">
        <f t="shared" si="23"/>
        <v>267767.98699999996</v>
      </c>
      <c r="AE48" s="86">
        <f t="shared" si="23"/>
        <v>273400</v>
      </c>
      <c r="AF48" s="86">
        <f t="shared" si="23"/>
        <v>229100</v>
      </c>
      <c r="AG48" s="86">
        <f t="shared" si="23"/>
        <v>186000</v>
      </c>
      <c r="AH48" s="86">
        <f t="shared" si="23"/>
        <v>176300</v>
      </c>
      <c r="AI48" s="86">
        <f t="shared" si="23"/>
        <v>153200</v>
      </c>
      <c r="AJ48" s="86">
        <f t="shared" si="23"/>
        <v>124251.72450227971</v>
      </c>
      <c r="AK48" s="86">
        <f t="shared" ref="AK48:BD48" si="24">SUM(AK39:AK46)</f>
        <v>115130.54941390775</v>
      </c>
      <c r="AL48" s="86">
        <f t="shared" si="24"/>
        <v>109880.4551394483</v>
      </c>
      <c r="AM48" s="86">
        <f t="shared" si="24"/>
        <v>107205.03984684523</v>
      </c>
      <c r="AN48" s="86">
        <f t="shared" si="24"/>
        <v>104381.50421945416</v>
      </c>
      <c r="AO48" s="86">
        <f t="shared" si="24"/>
        <v>100391.13378757831</v>
      </c>
      <c r="AP48" s="86">
        <f t="shared" si="24"/>
        <v>94570.475249034513</v>
      </c>
      <c r="AQ48" s="86">
        <f t="shared" si="24"/>
        <v>91726.150809211991</v>
      </c>
      <c r="AR48" s="86">
        <f t="shared" si="24"/>
        <v>82784.465549360102</v>
      </c>
      <c r="AS48" s="86">
        <f t="shared" si="24"/>
        <v>73961.770304366917</v>
      </c>
      <c r="AT48" s="86">
        <f t="shared" si="24"/>
        <v>67889.487581632609</v>
      </c>
      <c r="AU48" s="86">
        <f t="shared" si="24"/>
        <v>60650.364581793991</v>
      </c>
      <c r="AV48" s="86">
        <f t="shared" si="24"/>
        <v>61595.298491084148</v>
      </c>
      <c r="AW48" s="86">
        <f t="shared" si="24"/>
        <v>55143.280454654327</v>
      </c>
      <c r="AX48" s="86">
        <f t="shared" si="24"/>
        <v>55490.195240849651</v>
      </c>
      <c r="AY48" s="86">
        <f t="shared" si="24"/>
        <v>50436.886413854423</v>
      </c>
      <c r="AZ48" s="86">
        <f t="shared" si="24"/>
        <v>49125.263462722673</v>
      </c>
      <c r="BA48" s="86">
        <f t="shared" si="24"/>
        <v>44548.554102650378</v>
      </c>
      <c r="BB48" s="86">
        <f t="shared" si="24"/>
        <v>43078.945914074728</v>
      </c>
      <c r="BC48" s="86">
        <f t="shared" si="24"/>
        <v>40319.833673276713</v>
      </c>
      <c r="BD48" s="86">
        <f t="shared" si="24"/>
        <v>35733.394332947428</v>
      </c>
      <c r="BE48" s="86">
        <f t="shared" ref="BE48:BN48" si="25">SUM(BE39:BE46)</f>
        <v>32805.650250443243</v>
      </c>
      <c r="BF48" s="86">
        <f t="shared" si="25"/>
        <v>31243.959495663265</v>
      </c>
      <c r="BG48" s="86">
        <f t="shared" si="25"/>
        <v>27229.842129985045</v>
      </c>
      <c r="BH48" s="86">
        <f t="shared" si="25"/>
        <v>24856.017308862112</v>
      </c>
      <c r="BI48" s="86">
        <f t="shared" si="25"/>
        <v>24130.861604523365</v>
      </c>
      <c r="BJ48" s="86">
        <f t="shared" si="25"/>
        <v>24202.714561264318</v>
      </c>
      <c r="BK48" s="86">
        <f t="shared" si="25"/>
        <v>22844.077710998688</v>
      </c>
      <c r="BL48" s="86">
        <f t="shared" si="25"/>
        <v>25632.080479639688</v>
      </c>
      <c r="BM48" s="86">
        <f t="shared" si="25"/>
        <v>24468.156844057856</v>
      </c>
      <c r="BN48" s="86">
        <f t="shared" si="25"/>
        <v>24270.665754608806</v>
      </c>
    </row>
    <row r="49" spans="1:66" outlineLevel="1"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</row>
    <row r="50" spans="1:66" outlineLevel="2">
      <c r="A50" s="79" t="s">
        <v>34</v>
      </c>
      <c r="C50" s="86">
        <f>C34+C41+C42+C44+IF(C45&gt;0,C45,0)</f>
        <v>77149.679000000004</v>
      </c>
      <c r="D50" s="86">
        <f>D34+D41+D42+D44+IF(D45&gt;0,D45,0)</f>
        <v>60445.211551</v>
      </c>
      <c r="E50" s="86">
        <f>E34+E41+E42+E44+IF(E45&gt;0,E45,0)+E18</f>
        <v>75103.499144999994</v>
      </c>
      <c r="F50" s="86">
        <f>F34+F41+F42+F44+IF(F45&gt;0,F45,0)</f>
        <v>142930.35172100001</v>
      </c>
      <c r="G50" s="86">
        <f>G34+G41+G42+G44+IF(G45&gt;0,G45,0)</f>
        <v>169382.978</v>
      </c>
      <c r="H50" s="86">
        <f>H33+H34+H41+H42+H44+IF(H45&gt;0,H45,0)</f>
        <v>109337.90599999999</v>
      </c>
      <c r="I50" s="86">
        <f t="shared" ref="I50:AJ50" si="26">I33+I34+I41+I42+I44</f>
        <v>102717.85699999999</v>
      </c>
      <c r="J50" s="86">
        <f t="shared" si="26"/>
        <v>120941.05533800001</v>
      </c>
      <c r="K50" s="86">
        <f t="shared" si="26"/>
        <v>145302.15599999999</v>
      </c>
      <c r="L50" s="86">
        <f t="shared" si="26"/>
        <v>176905.37148384002</v>
      </c>
      <c r="M50" s="86">
        <f t="shared" si="26"/>
        <v>164061.54300000001</v>
      </c>
      <c r="N50" s="86">
        <f t="shared" si="26"/>
        <v>217430.00210561001</v>
      </c>
      <c r="O50" s="86">
        <f t="shared" si="26"/>
        <v>156158.519</v>
      </c>
      <c r="P50" s="86">
        <f>P33+P34+P41+P42+P44+P47</f>
        <v>158358.78499999997</v>
      </c>
      <c r="Q50" s="86">
        <f t="shared" si="26"/>
        <v>183982.106</v>
      </c>
      <c r="R50" s="86">
        <f t="shared" si="26"/>
        <v>213166.27592355001</v>
      </c>
      <c r="S50" s="86">
        <f t="shared" si="26"/>
        <v>197639.90829416999</v>
      </c>
      <c r="T50" s="86">
        <f t="shared" si="26"/>
        <v>185514</v>
      </c>
      <c r="U50" s="86">
        <f t="shared" si="26"/>
        <v>158512.79766216001</v>
      </c>
      <c r="V50" s="86">
        <f t="shared" si="26"/>
        <v>127908.6035217</v>
      </c>
      <c r="W50" s="86">
        <f t="shared" si="26"/>
        <v>145043.04111016</v>
      </c>
      <c r="X50" s="86">
        <f t="shared" si="26"/>
        <v>175454.20522308999</v>
      </c>
      <c r="Y50" s="86">
        <f t="shared" si="26"/>
        <v>155059.30379999999</v>
      </c>
      <c r="Z50" s="86">
        <f>Z33+Z34+Z41+Z42+Z44</f>
        <v>113793.97199999999</v>
      </c>
      <c r="AA50" s="86">
        <f t="shared" si="26"/>
        <v>249674.30031106999</v>
      </c>
      <c r="AB50" s="86">
        <f t="shared" si="26"/>
        <v>634025.31200000003</v>
      </c>
      <c r="AC50" s="86">
        <f>AC33+AC34+AC41+AC42+AC44</f>
        <v>363492.33100000001</v>
      </c>
      <c r="AD50" s="86">
        <f t="shared" si="26"/>
        <v>313874.00199999998</v>
      </c>
      <c r="AE50" s="86">
        <f t="shared" si="26"/>
        <v>318700</v>
      </c>
      <c r="AF50" s="86">
        <f t="shared" si="26"/>
        <v>274200</v>
      </c>
      <c r="AG50" s="86">
        <f t="shared" si="26"/>
        <v>229300</v>
      </c>
      <c r="AH50" s="86">
        <f t="shared" si="26"/>
        <v>219800</v>
      </c>
      <c r="AI50" s="86">
        <f t="shared" si="26"/>
        <v>201100</v>
      </c>
      <c r="AJ50" s="86">
        <f t="shared" si="26"/>
        <v>171905.25007065799</v>
      </c>
      <c r="AK50" s="86">
        <f t="shared" ref="AK50:BD50" si="27">AK33+AK34+AK41+AK42+AK44</f>
        <v>163056.490727525</v>
      </c>
      <c r="AL50" s="86">
        <f t="shared" si="27"/>
        <v>158113.64487799199</v>
      </c>
      <c r="AM50" s="86">
        <f t="shared" si="27"/>
        <v>154788.13639629199</v>
      </c>
      <c r="AN50" s="86">
        <f t="shared" si="27"/>
        <v>153597.50381018501</v>
      </c>
      <c r="AO50" s="86">
        <f t="shared" si="27"/>
        <v>148878.38927844801</v>
      </c>
      <c r="AP50" s="86">
        <f t="shared" si="27"/>
        <v>143381.38962081901</v>
      </c>
      <c r="AQ50" s="86">
        <f t="shared" si="27"/>
        <v>139496.814859217</v>
      </c>
      <c r="AR50" s="86">
        <f t="shared" si="27"/>
        <v>132433.220489598</v>
      </c>
      <c r="AS50" s="86">
        <f t="shared" si="27"/>
        <v>124366.15268948799</v>
      </c>
      <c r="AT50" s="86">
        <f t="shared" si="27"/>
        <v>118857.906613835</v>
      </c>
      <c r="AU50" s="86">
        <f t="shared" si="27"/>
        <v>110263.40665705</v>
      </c>
      <c r="AV50" s="86">
        <f t="shared" si="27"/>
        <v>110983.308632883</v>
      </c>
      <c r="AW50" s="86">
        <f t="shared" si="27"/>
        <v>107681.55483588501</v>
      </c>
      <c r="AX50" s="86">
        <f t="shared" si="27"/>
        <v>104287.00319829999</v>
      </c>
      <c r="AY50" s="86">
        <f t="shared" si="27"/>
        <v>100931.619478685</v>
      </c>
      <c r="AZ50" s="86">
        <f t="shared" si="27"/>
        <v>97694.896501908093</v>
      </c>
      <c r="BA50" s="86">
        <f t="shared" si="27"/>
        <v>94342.060549847098</v>
      </c>
      <c r="BB50" s="86">
        <f t="shared" si="27"/>
        <v>91099.772357952097</v>
      </c>
      <c r="BC50" s="86">
        <f t="shared" si="27"/>
        <v>86722.044441611695</v>
      </c>
      <c r="BD50" s="86">
        <f t="shared" si="27"/>
        <v>79477.729937137105</v>
      </c>
      <c r="BE50" s="86">
        <f t="shared" ref="BE50:BN50" si="28">BE33+BE34+BE41+BE42+BE44</f>
        <v>76662.145305462007</v>
      </c>
      <c r="BF50" s="86">
        <f t="shared" si="28"/>
        <v>73824.363498456005</v>
      </c>
      <c r="BG50" s="86">
        <f t="shared" si="28"/>
        <v>70277.5396014367</v>
      </c>
      <c r="BH50" s="86">
        <f t="shared" si="28"/>
        <v>67712.022161670495</v>
      </c>
      <c r="BI50" s="86">
        <f t="shared" si="28"/>
        <v>66157.812538461396</v>
      </c>
      <c r="BJ50" s="86">
        <f t="shared" si="28"/>
        <v>62891.002529808298</v>
      </c>
      <c r="BK50" s="86">
        <f t="shared" si="28"/>
        <v>62182.571533725197</v>
      </c>
      <c r="BL50" s="86">
        <f t="shared" si="28"/>
        <v>61313.045060715798</v>
      </c>
      <c r="BM50" s="86">
        <f t="shared" si="28"/>
        <v>60387.929835043498</v>
      </c>
      <c r="BN50" s="86">
        <f t="shared" si="28"/>
        <v>60253.732043391698</v>
      </c>
    </row>
    <row r="51" spans="1:66" outlineLevel="2">
      <c r="A51" s="79" t="s">
        <v>35</v>
      </c>
      <c r="C51" s="86">
        <f t="shared" ref="C51:AC51" si="29">C25+C26+C27+C28+C29-C35-C36</f>
        <v>36746.407000000007</v>
      </c>
      <c r="D51" s="86">
        <f t="shared" si="29"/>
        <v>45826.721269000001</v>
      </c>
      <c r="E51" s="86">
        <f t="shared" si="29"/>
        <v>49308.965412000005</v>
      </c>
      <c r="F51" s="86">
        <f t="shared" si="29"/>
        <v>44711.656124000001</v>
      </c>
      <c r="G51" s="86">
        <f t="shared" si="29"/>
        <v>43914.656999999999</v>
      </c>
      <c r="H51" s="86">
        <f t="shared" si="29"/>
        <v>34552.569000000003</v>
      </c>
      <c r="I51" s="86">
        <f t="shared" si="29"/>
        <v>35235.422999999995</v>
      </c>
      <c r="J51" s="86">
        <f t="shared" si="29"/>
        <v>40774.947247999997</v>
      </c>
      <c r="K51" s="86">
        <f t="shared" si="29"/>
        <v>46700.395007629995</v>
      </c>
      <c r="L51" s="86">
        <f t="shared" si="29"/>
        <v>51382.067689469004</v>
      </c>
      <c r="M51" s="86">
        <f t="shared" si="29"/>
        <v>52826.353000000003</v>
      </c>
      <c r="N51" s="86">
        <f t="shared" si="29"/>
        <v>63671.368370400007</v>
      </c>
      <c r="O51" s="86">
        <f t="shared" si="29"/>
        <v>60819.62</v>
      </c>
      <c r="P51" s="86">
        <f t="shared" si="29"/>
        <v>54305.925999999999</v>
      </c>
      <c r="Q51" s="86">
        <f t="shared" si="29"/>
        <v>56206.824107619992</v>
      </c>
      <c r="R51" s="86">
        <f t="shared" si="29"/>
        <v>64277.022730879995</v>
      </c>
      <c r="S51" s="86">
        <f t="shared" si="29"/>
        <v>73344.234989259989</v>
      </c>
      <c r="T51" s="86">
        <f t="shared" si="29"/>
        <v>72655.084898639994</v>
      </c>
      <c r="U51" s="86">
        <f t="shared" si="29"/>
        <v>65796.319825259998</v>
      </c>
      <c r="V51" s="86">
        <f t="shared" si="29"/>
        <v>61453.29539213</v>
      </c>
      <c r="W51" s="86">
        <f t="shared" si="29"/>
        <v>56771.007258100006</v>
      </c>
      <c r="X51" s="86">
        <f t="shared" si="29"/>
        <v>56766.51525869</v>
      </c>
      <c r="Y51" s="86">
        <f t="shared" si="29"/>
        <v>58571.66062576</v>
      </c>
      <c r="Z51" s="86">
        <f t="shared" si="29"/>
        <v>57407.276038170006</v>
      </c>
      <c r="AA51" s="86">
        <f t="shared" si="29"/>
        <v>64504.231860610002</v>
      </c>
      <c r="AB51" s="86">
        <f t="shared" si="29"/>
        <v>104991.48699999999</v>
      </c>
      <c r="AC51" s="86">
        <f t="shared" si="29"/>
        <v>86981.882000000012</v>
      </c>
      <c r="AD51" s="86">
        <f>AD25+AD26+AD27+AD28+AD29-AD35-AD36</f>
        <v>94632.014999999999</v>
      </c>
      <c r="AE51" s="86">
        <f t="shared" ref="AE51:BN51" si="30">AE25+AE26+AE27+AE28+AE29-AE35-AE36</f>
        <v>76653.559000000008</v>
      </c>
      <c r="AF51" s="86">
        <f t="shared" si="30"/>
        <v>81200</v>
      </c>
      <c r="AG51" s="86">
        <f t="shared" si="30"/>
        <v>82900</v>
      </c>
      <c r="AH51" s="86">
        <f t="shared" si="30"/>
        <v>83000</v>
      </c>
      <c r="AI51" s="86">
        <f t="shared" si="30"/>
        <v>86500</v>
      </c>
      <c r="AJ51" s="86">
        <f t="shared" si="30"/>
        <v>82701.57589607728</v>
      </c>
      <c r="AK51" s="86">
        <f t="shared" si="30"/>
        <v>80286.868208071159</v>
      </c>
      <c r="AL51" s="86">
        <f t="shared" si="30"/>
        <v>80883.443334233089</v>
      </c>
      <c r="AM51" s="86">
        <f t="shared" si="30"/>
        <v>78430.595249684746</v>
      </c>
      <c r="AN51" s="86">
        <f t="shared" si="30"/>
        <v>77767.895775151439</v>
      </c>
      <c r="AO51" s="86">
        <f t="shared" si="30"/>
        <v>73015.703718082004</v>
      </c>
      <c r="AP51" s="86">
        <f t="shared" si="30"/>
        <v>72112.942735119897</v>
      </c>
      <c r="AQ51" s="86">
        <f t="shared" si="30"/>
        <v>71150.687154509811</v>
      </c>
      <c r="AR51" s="86">
        <f t="shared" si="30"/>
        <v>73087.373267234885</v>
      </c>
      <c r="AS51" s="86">
        <f t="shared" si="30"/>
        <v>73801.452202684566</v>
      </c>
      <c r="AT51" s="86">
        <f t="shared" si="30"/>
        <v>73688.070975940893</v>
      </c>
      <c r="AU51" s="86">
        <f t="shared" si="30"/>
        <v>71928.6506752313</v>
      </c>
      <c r="AV51" s="86">
        <f t="shared" si="30"/>
        <v>69959.917843956457</v>
      </c>
      <c r="AW51" s="86">
        <f t="shared" si="30"/>
        <v>73174.918078967967</v>
      </c>
      <c r="AX51" s="86">
        <f t="shared" si="30"/>
        <v>69248.152736660646</v>
      </c>
      <c r="AY51" s="86">
        <f t="shared" si="30"/>
        <v>69805.402604948671</v>
      </c>
      <c r="AZ51" s="86">
        <f t="shared" si="30"/>
        <v>67552.055538922621</v>
      </c>
      <c r="BA51" s="86">
        <f t="shared" si="30"/>
        <v>68024.392167125523</v>
      </c>
      <c r="BB51" s="86">
        <f t="shared" si="30"/>
        <v>65842.430124227074</v>
      </c>
      <c r="BC51" s="86">
        <f t="shared" si="30"/>
        <v>63862.129963419779</v>
      </c>
      <c r="BD51" s="86">
        <f t="shared" si="30"/>
        <v>60809.413469403778</v>
      </c>
      <c r="BE51" s="86">
        <f t="shared" si="30"/>
        <v>60606.784547585863</v>
      </c>
      <c r="BF51" s="86">
        <f t="shared" si="30"/>
        <v>58902.752635423341</v>
      </c>
      <c r="BG51" s="86">
        <f t="shared" si="30"/>
        <v>58979.066774073959</v>
      </c>
      <c r="BH51" s="86">
        <f t="shared" si="30"/>
        <v>58620.287411251178</v>
      </c>
      <c r="BI51" s="86">
        <f t="shared" si="30"/>
        <v>57432.456919557735</v>
      </c>
      <c r="BJ51" s="86">
        <f t="shared" si="30"/>
        <v>53583.383501140081</v>
      </c>
      <c r="BK51" s="86">
        <f t="shared" si="30"/>
        <v>53758.78074384301</v>
      </c>
      <c r="BL51" s="86">
        <f t="shared" si="30"/>
        <v>49651.139354067607</v>
      </c>
      <c r="BM51" s="86">
        <f t="shared" si="30"/>
        <v>49448.34240869934</v>
      </c>
      <c r="BN51" s="86">
        <f t="shared" si="30"/>
        <v>49302.823672740087</v>
      </c>
    </row>
    <row r="52" spans="1:66" outlineLevel="1">
      <c r="A52" s="79" t="s">
        <v>60</v>
      </c>
      <c r="C52" s="94">
        <f>(C50-C51)</f>
        <v>40403.271999999997</v>
      </c>
      <c r="D52" s="94">
        <f>(D50-D51)</f>
        <v>14618.490281999999</v>
      </c>
      <c r="E52" s="94">
        <f t="shared" ref="E52:J52" si="31">(E50-E51)</f>
        <v>25794.533732999989</v>
      </c>
      <c r="F52" s="94">
        <f t="shared" si="31"/>
        <v>98218.695597000013</v>
      </c>
      <c r="G52" s="94">
        <f t="shared" si="31"/>
        <v>125468.321</v>
      </c>
      <c r="H52" s="94">
        <f t="shared" si="31"/>
        <v>74785.336999999985</v>
      </c>
      <c r="I52" s="94">
        <f t="shared" si="31"/>
        <v>67482.433999999994</v>
      </c>
      <c r="J52" s="94">
        <f t="shared" si="31"/>
        <v>80166.108090000009</v>
      </c>
      <c r="K52" s="94">
        <f>(K50-K51)</f>
        <v>98601.760992369993</v>
      </c>
      <c r="L52" s="127">
        <f t="shared" ref="L52:AJ52" si="32">(L50-L51)</f>
        <v>125523.30379437102</v>
      </c>
      <c r="M52" s="80">
        <f t="shared" si="32"/>
        <v>111235.19</v>
      </c>
      <c r="N52" s="94">
        <f>(N50-N51)</f>
        <v>153758.63373520999</v>
      </c>
      <c r="O52" s="94">
        <f>(O50-O51)</f>
        <v>95338.899000000005</v>
      </c>
      <c r="P52" s="94">
        <f>(P50-P51)</f>
        <v>104052.85899999997</v>
      </c>
      <c r="Q52" s="94">
        <f t="shared" si="32"/>
        <v>127775.28189238001</v>
      </c>
      <c r="R52" s="94">
        <f>(R50-R51)</f>
        <v>148889.25319267</v>
      </c>
      <c r="S52" s="94">
        <f t="shared" si="32"/>
        <v>124295.67330491</v>
      </c>
      <c r="T52" s="94">
        <f>(T50-T51)</f>
        <v>112858.91510136001</v>
      </c>
      <c r="U52" s="94">
        <f t="shared" si="32"/>
        <v>92716.477836900012</v>
      </c>
      <c r="V52" s="94">
        <f t="shared" si="32"/>
        <v>66455.30812957001</v>
      </c>
      <c r="W52" s="94">
        <f t="shared" si="32"/>
        <v>88272.033852060005</v>
      </c>
      <c r="X52" s="94">
        <f t="shared" si="32"/>
        <v>118687.68996439999</v>
      </c>
      <c r="Y52" s="94">
        <f t="shared" si="32"/>
        <v>96487.643174239987</v>
      </c>
      <c r="Z52" s="94">
        <f>(Z50-Z51)</f>
        <v>56386.695961829988</v>
      </c>
      <c r="AA52" s="94">
        <f t="shared" si="32"/>
        <v>185170.06845045998</v>
      </c>
      <c r="AB52" s="94">
        <f t="shared" si="32"/>
        <v>529033.82500000007</v>
      </c>
      <c r="AC52" s="94">
        <f t="shared" si="32"/>
        <v>276510.44900000002</v>
      </c>
      <c r="AD52" s="94">
        <f t="shared" si="32"/>
        <v>219241.98699999996</v>
      </c>
      <c r="AE52" s="94">
        <f t="shared" si="32"/>
        <v>242046.44099999999</v>
      </c>
      <c r="AF52" s="94">
        <f t="shared" si="32"/>
        <v>193000</v>
      </c>
      <c r="AG52" s="94">
        <f t="shared" si="32"/>
        <v>146400</v>
      </c>
      <c r="AH52" s="94">
        <f t="shared" si="32"/>
        <v>136800</v>
      </c>
      <c r="AI52" s="94">
        <f t="shared" si="32"/>
        <v>114600</v>
      </c>
      <c r="AJ52" s="94">
        <f t="shared" si="32"/>
        <v>89203.674174580708</v>
      </c>
      <c r="AK52" s="94">
        <f t="shared" ref="AK52:BD52" si="33">(AK50-AK51)</f>
        <v>82769.622519453842</v>
      </c>
      <c r="AL52" s="94">
        <f t="shared" si="33"/>
        <v>77230.2015437589</v>
      </c>
      <c r="AM52" s="94">
        <f t="shared" si="33"/>
        <v>76357.54114660724</v>
      </c>
      <c r="AN52" s="94">
        <f t="shared" si="33"/>
        <v>75829.608035033569</v>
      </c>
      <c r="AO52" s="94">
        <f t="shared" si="33"/>
        <v>75862.685560366008</v>
      </c>
      <c r="AP52" s="94">
        <f t="shared" si="33"/>
        <v>71268.446885699115</v>
      </c>
      <c r="AQ52" s="94">
        <f t="shared" si="33"/>
        <v>68346.127704707193</v>
      </c>
      <c r="AR52" s="94">
        <f t="shared" si="33"/>
        <v>59345.847222363111</v>
      </c>
      <c r="AS52" s="94">
        <f t="shared" si="33"/>
        <v>50564.700486803427</v>
      </c>
      <c r="AT52" s="94">
        <f t="shared" si="33"/>
        <v>45169.83563789411</v>
      </c>
      <c r="AU52" s="94">
        <f t="shared" si="33"/>
        <v>38334.7559818187</v>
      </c>
      <c r="AV52" s="94">
        <f t="shared" si="33"/>
        <v>41023.390788926539</v>
      </c>
      <c r="AW52" s="94">
        <f t="shared" si="33"/>
        <v>34506.63675691704</v>
      </c>
      <c r="AX52" s="94">
        <f t="shared" si="33"/>
        <v>35038.850461639347</v>
      </c>
      <c r="AY52" s="94">
        <f t="shared" si="33"/>
        <v>31126.216873736324</v>
      </c>
      <c r="AZ52" s="94">
        <f t="shared" si="33"/>
        <v>30142.840962985472</v>
      </c>
      <c r="BA52" s="94">
        <f t="shared" si="33"/>
        <v>26317.668382721575</v>
      </c>
      <c r="BB52" s="94">
        <f t="shared" si="33"/>
        <v>25257.342233725023</v>
      </c>
      <c r="BC52" s="94">
        <f t="shared" si="33"/>
        <v>22859.914478191917</v>
      </c>
      <c r="BD52" s="94">
        <f t="shared" si="33"/>
        <v>18668.316467733326</v>
      </c>
      <c r="BE52" s="94">
        <f t="shared" ref="BE52:BN52" si="34">(BE50-BE51)</f>
        <v>16055.360757876144</v>
      </c>
      <c r="BF52" s="94">
        <f t="shared" si="34"/>
        <v>14921.610863032663</v>
      </c>
      <c r="BG52" s="94">
        <f t="shared" si="34"/>
        <v>11298.472827362741</v>
      </c>
      <c r="BH52" s="94">
        <f t="shared" si="34"/>
        <v>9091.7347504193167</v>
      </c>
      <c r="BI52" s="94">
        <f t="shared" si="34"/>
        <v>8725.3556189036608</v>
      </c>
      <c r="BJ52" s="94">
        <f t="shared" si="34"/>
        <v>9307.6190286682177</v>
      </c>
      <c r="BK52" s="94">
        <f t="shared" si="34"/>
        <v>8423.7907898821868</v>
      </c>
      <c r="BL52" s="94">
        <f t="shared" si="34"/>
        <v>11661.905706648191</v>
      </c>
      <c r="BM52" s="94">
        <f t="shared" si="34"/>
        <v>10939.587426344158</v>
      </c>
      <c r="BN52" s="94">
        <f t="shared" si="34"/>
        <v>10950.90837065161</v>
      </c>
    </row>
    <row r="53" spans="1:66">
      <c r="A53" s="79" t="s">
        <v>60</v>
      </c>
      <c r="B53" s="79" t="s">
        <v>112</v>
      </c>
      <c r="C53" s="86">
        <f>(C48-C30)-C52</f>
        <v>0</v>
      </c>
      <c r="D53" s="86">
        <f>(D48-D30)-D52</f>
        <v>-46.554114999988087</v>
      </c>
      <c r="E53" s="86">
        <f>(E48+E18-E30)-E52</f>
        <v>-19.797870000005787</v>
      </c>
      <c r="F53" s="86">
        <f t="shared" ref="F53:AJ53" si="35">(F48-F30)-F52</f>
        <v>0</v>
      </c>
      <c r="G53" s="86">
        <f t="shared" si="35"/>
        <v>-29.22899999996298</v>
      </c>
      <c r="H53" s="86">
        <f t="shared" si="35"/>
        <v>0</v>
      </c>
      <c r="I53" s="86">
        <f t="shared" si="35"/>
        <v>0</v>
      </c>
      <c r="J53" s="86">
        <f t="shared" si="35"/>
        <v>-9.9999998928979039E-4</v>
      </c>
      <c r="K53" s="86">
        <f t="shared" si="35"/>
        <v>0</v>
      </c>
      <c r="L53" s="86">
        <f t="shared" si="35"/>
        <v>0</v>
      </c>
      <c r="M53" s="86">
        <f t="shared" si="35"/>
        <v>0</v>
      </c>
      <c r="N53" s="86">
        <f t="shared" si="35"/>
        <v>-0.58094743001856841</v>
      </c>
      <c r="O53" s="86">
        <f t="shared" si="35"/>
        <v>0</v>
      </c>
      <c r="P53" s="86">
        <f t="shared" si="35"/>
        <v>-3.0506998882628977E-4</v>
      </c>
      <c r="Q53" s="86">
        <f t="shared" si="35"/>
        <v>-6.0243000043556094E-2</v>
      </c>
      <c r="R53" s="86">
        <f t="shared" si="35"/>
        <v>0</v>
      </c>
      <c r="S53" s="86">
        <f t="shared" si="35"/>
        <v>0</v>
      </c>
      <c r="T53" s="86">
        <f t="shared" si="35"/>
        <v>1</v>
      </c>
      <c r="U53" s="86">
        <f t="shared" si="35"/>
        <v>23.033848470004159</v>
      </c>
      <c r="V53" s="86">
        <f t="shared" si="35"/>
        <v>0</v>
      </c>
      <c r="W53" s="86">
        <f t="shared" si="35"/>
        <v>-1.5251999138854444E-4</v>
      </c>
      <c r="X53" s="86">
        <f t="shared" si="35"/>
        <v>0</v>
      </c>
      <c r="Y53" s="86">
        <f t="shared" si="35"/>
        <v>-9.0485625000001164</v>
      </c>
      <c r="Z53" s="86">
        <f t="shared" si="35"/>
        <v>-2.0933999621775001E-4</v>
      </c>
      <c r="AA53" s="86">
        <f t="shared" si="35"/>
        <v>5.3657000535167754E-4</v>
      </c>
      <c r="AB53" s="86">
        <f t="shared" si="35"/>
        <v>-0.81000000005587935</v>
      </c>
      <c r="AC53" s="86">
        <f t="shared" si="35"/>
        <v>0</v>
      </c>
      <c r="AD53" s="86">
        <f t="shared" si="35"/>
        <v>0</v>
      </c>
      <c r="AE53" s="86">
        <f t="shared" si="35"/>
        <v>0</v>
      </c>
      <c r="AF53" s="86">
        <f t="shared" si="35"/>
        <v>0</v>
      </c>
      <c r="AG53" s="86">
        <f t="shared" si="35"/>
        <v>0</v>
      </c>
      <c r="AH53" s="86">
        <f t="shared" si="35"/>
        <v>0</v>
      </c>
      <c r="AI53" s="86">
        <f t="shared" si="35"/>
        <v>0</v>
      </c>
      <c r="AJ53" s="86">
        <f t="shared" si="35"/>
        <v>0</v>
      </c>
      <c r="AK53" s="86">
        <f t="shared" ref="AK53:BD53" si="36">(AK48-AK30)-AK52</f>
        <v>0</v>
      </c>
      <c r="AL53" s="86">
        <f t="shared" si="36"/>
        <v>0</v>
      </c>
      <c r="AM53" s="86">
        <f t="shared" si="36"/>
        <v>0</v>
      </c>
      <c r="AN53" s="86">
        <f t="shared" si="36"/>
        <v>0</v>
      </c>
      <c r="AO53" s="86">
        <f t="shared" si="36"/>
        <v>0</v>
      </c>
      <c r="AP53" s="86">
        <f t="shared" si="36"/>
        <v>0</v>
      </c>
      <c r="AQ53" s="86">
        <f t="shared" si="36"/>
        <v>0</v>
      </c>
      <c r="AR53" s="86">
        <f t="shared" si="36"/>
        <v>0</v>
      </c>
      <c r="AS53" s="86">
        <f t="shared" si="36"/>
        <v>0</v>
      </c>
      <c r="AT53" s="86">
        <f t="shared" si="36"/>
        <v>0</v>
      </c>
      <c r="AU53" s="86">
        <f t="shared" si="36"/>
        <v>0</v>
      </c>
      <c r="AV53" s="86">
        <f t="shared" si="36"/>
        <v>0</v>
      </c>
      <c r="AW53" s="86">
        <f t="shared" si="36"/>
        <v>0</v>
      </c>
      <c r="AX53" s="86">
        <f t="shared" si="36"/>
        <v>0</v>
      </c>
      <c r="AY53" s="86">
        <f t="shared" si="36"/>
        <v>0</v>
      </c>
      <c r="AZ53" s="86">
        <f t="shared" si="36"/>
        <v>0</v>
      </c>
      <c r="BA53" s="86">
        <f t="shared" si="36"/>
        <v>0</v>
      </c>
      <c r="BB53" s="86">
        <f t="shared" si="36"/>
        <v>0</v>
      </c>
      <c r="BC53" s="86">
        <f t="shared" si="36"/>
        <v>0</v>
      </c>
      <c r="BD53" s="86">
        <f t="shared" si="36"/>
        <v>0</v>
      </c>
      <c r="BE53" s="86">
        <f t="shared" ref="BE53:BN53" si="37">(BE48-BE30)-BE52</f>
        <v>0</v>
      </c>
      <c r="BF53" s="86">
        <f t="shared" si="37"/>
        <v>0</v>
      </c>
      <c r="BG53" s="86">
        <f t="shared" si="37"/>
        <v>0</v>
      </c>
      <c r="BH53" s="86">
        <f t="shared" si="37"/>
        <v>0</v>
      </c>
      <c r="BI53" s="86">
        <f t="shared" si="37"/>
        <v>0</v>
      </c>
      <c r="BJ53" s="86">
        <f t="shared" si="37"/>
        <v>0</v>
      </c>
      <c r="BK53" s="86">
        <f t="shared" si="37"/>
        <v>0</v>
      </c>
      <c r="BL53" s="86">
        <f t="shared" si="37"/>
        <v>0</v>
      </c>
      <c r="BM53" s="86">
        <f t="shared" si="37"/>
        <v>0</v>
      </c>
      <c r="BN53" s="86">
        <f t="shared" si="37"/>
        <v>0</v>
      </c>
    </row>
    <row r="54" spans="1:66"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</row>
    <row r="55" spans="1:66" outlineLevel="1">
      <c r="A55" s="79" t="s">
        <v>211</v>
      </c>
      <c r="C55" s="86">
        <f>C27</f>
        <v>20341.944</v>
      </c>
      <c r="D55" s="86">
        <f t="shared" ref="D55:AJ55" si="38">D27</f>
        <v>27250.755269000001</v>
      </c>
      <c r="E55" s="86">
        <f t="shared" si="38"/>
        <v>30336.998092000002</v>
      </c>
      <c r="F55" s="86">
        <f t="shared" si="38"/>
        <v>22647.354499000001</v>
      </c>
      <c r="G55" s="86">
        <f t="shared" si="38"/>
        <v>16569.098999999998</v>
      </c>
      <c r="H55" s="86">
        <f t="shared" si="38"/>
        <v>12807.833000000001</v>
      </c>
      <c r="I55" s="86">
        <f t="shared" si="38"/>
        <v>16038.210999999999</v>
      </c>
      <c r="J55" s="86">
        <f t="shared" si="38"/>
        <v>17323.845000000001</v>
      </c>
      <c r="K55" s="86">
        <f t="shared" si="38"/>
        <v>20701.29900363</v>
      </c>
      <c r="L55" s="86">
        <f t="shared" si="38"/>
        <v>19967.276253208998</v>
      </c>
      <c r="M55" s="86">
        <f t="shared" si="38"/>
        <v>19950.561000000002</v>
      </c>
      <c r="N55" s="86">
        <f t="shared" si="38"/>
        <v>19997.731704239999</v>
      </c>
      <c r="O55" s="86">
        <f t="shared" si="38"/>
        <v>23596.66</v>
      </c>
      <c r="P55" s="86">
        <f>P27</f>
        <v>18470</v>
      </c>
      <c r="Q55" s="86">
        <f t="shared" si="38"/>
        <v>21436.793585619998</v>
      </c>
      <c r="R55" s="86">
        <f t="shared" si="38"/>
        <v>25610.149081299998</v>
      </c>
      <c r="S55" s="86">
        <f t="shared" si="38"/>
        <v>33584.652908889999</v>
      </c>
      <c r="T55" s="86">
        <f t="shared" si="38"/>
        <v>35371</v>
      </c>
      <c r="U55" s="86">
        <f>U27</f>
        <v>29254.28117541</v>
      </c>
      <c r="V55" s="86">
        <f t="shared" si="38"/>
        <v>27815.084217340001</v>
      </c>
      <c r="W55" s="86">
        <f>W27</f>
        <v>26564.054732209999</v>
      </c>
      <c r="X55" s="86">
        <f t="shared" si="38"/>
        <v>22554.905999999999</v>
      </c>
      <c r="Y55" s="86">
        <f t="shared" si="38"/>
        <v>26330.658156000001</v>
      </c>
      <c r="Z55" s="86">
        <f t="shared" si="38"/>
        <v>27601</v>
      </c>
      <c r="AA55" s="86">
        <f t="shared" si="38"/>
        <v>24732</v>
      </c>
      <c r="AB55" s="86">
        <f t="shared" si="38"/>
        <v>28378</v>
      </c>
      <c r="AC55" s="86">
        <f t="shared" si="38"/>
        <v>30396</v>
      </c>
      <c r="AD55" s="86">
        <f t="shared" si="38"/>
        <v>35397</v>
      </c>
      <c r="AE55" s="86">
        <f t="shared" si="38"/>
        <v>33400</v>
      </c>
      <c r="AF55" s="86">
        <f t="shared" si="38"/>
        <v>36100</v>
      </c>
      <c r="AG55" s="86">
        <f t="shared" si="38"/>
        <v>39600</v>
      </c>
      <c r="AH55" s="86">
        <f t="shared" si="38"/>
        <v>39500</v>
      </c>
      <c r="AI55" s="86">
        <f t="shared" si="38"/>
        <v>38600</v>
      </c>
      <c r="AJ55" s="86">
        <f t="shared" si="38"/>
        <v>35048.050327698998</v>
      </c>
      <c r="AK55" s="86">
        <f t="shared" ref="AK55:BD55" si="39">AK27</f>
        <v>32360.9268944539</v>
      </c>
      <c r="AL55" s="86">
        <f t="shared" si="39"/>
        <v>32650.253595689399</v>
      </c>
      <c r="AM55" s="86">
        <f t="shared" si="39"/>
        <v>30847.498700238</v>
      </c>
      <c r="AN55" s="86">
        <f t="shared" si="39"/>
        <v>28551.896184420599</v>
      </c>
      <c r="AO55" s="86">
        <f t="shared" si="39"/>
        <v>24528.448227212299</v>
      </c>
      <c r="AP55" s="86">
        <f t="shared" si="39"/>
        <v>23302.028363335401</v>
      </c>
      <c r="AQ55" s="86">
        <f t="shared" si="39"/>
        <v>23380.023104504799</v>
      </c>
      <c r="AR55" s="86">
        <f t="shared" si="39"/>
        <v>23438.618326996999</v>
      </c>
      <c r="AS55" s="86">
        <f t="shared" si="39"/>
        <v>23397.069817563501</v>
      </c>
      <c r="AT55" s="86">
        <f t="shared" si="39"/>
        <v>22719.6519437385</v>
      </c>
      <c r="AU55" s="86">
        <f t="shared" si="39"/>
        <v>22315.608599975301</v>
      </c>
      <c r="AV55" s="86">
        <f t="shared" si="39"/>
        <v>20571.907702157601</v>
      </c>
      <c r="AW55" s="86">
        <f t="shared" si="39"/>
        <v>20636.643697737301</v>
      </c>
      <c r="AX55" s="86">
        <f t="shared" si="39"/>
        <v>20451.3447792103</v>
      </c>
      <c r="AY55" s="86">
        <f t="shared" si="39"/>
        <v>19310.669540118099</v>
      </c>
      <c r="AZ55" s="86">
        <f t="shared" si="39"/>
        <v>18982.4224997372</v>
      </c>
      <c r="BA55" s="86">
        <f t="shared" si="39"/>
        <v>18230.8857199288</v>
      </c>
      <c r="BB55" s="86">
        <f t="shared" si="39"/>
        <v>17821.603680349701</v>
      </c>
      <c r="BC55" s="86">
        <f t="shared" si="39"/>
        <v>17459.9191950848</v>
      </c>
      <c r="BD55" s="86">
        <f t="shared" si="39"/>
        <v>17065.077865214102</v>
      </c>
      <c r="BE55" s="86">
        <f t="shared" ref="BE55:BN55" si="40">BE27</f>
        <v>16750.289492567099</v>
      </c>
      <c r="BF55" s="86">
        <f t="shared" si="40"/>
        <v>16322.348632630599</v>
      </c>
      <c r="BG55" s="86">
        <f t="shared" si="40"/>
        <v>15931.369302622301</v>
      </c>
      <c r="BH55" s="86">
        <f t="shared" si="40"/>
        <v>15764.282558442799</v>
      </c>
      <c r="BI55" s="86">
        <f t="shared" si="40"/>
        <v>15405.5059856197</v>
      </c>
      <c r="BJ55" s="86">
        <f t="shared" si="40"/>
        <v>14895.0955325961</v>
      </c>
      <c r="BK55" s="86">
        <f t="shared" si="40"/>
        <v>14420.2869211165</v>
      </c>
      <c r="BL55" s="86">
        <f t="shared" si="40"/>
        <v>13970.174772991501</v>
      </c>
      <c r="BM55" s="86">
        <f t="shared" si="40"/>
        <v>13528.569417713699</v>
      </c>
      <c r="BN55" s="86">
        <f t="shared" si="40"/>
        <v>13319.7573839572</v>
      </c>
    </row>
    <row r="56" spans="1:66" outlineLevel="1">
      <c r="A56" s="177" t="s">
        <v>212</v>
      </c>
      <c r="C56" s="86">
        <f>-C37</f>
        <v>14092.147999999999</v>
      </c>
      <c r="D56" s="86">
        <f t="shared" ref="D56:AJ56" si="41">-D37</f>
        <v>14443.220778999999</v>
      </c>
      <c r="E56" s="86">
        <f t="shared" si="41"/>
        <v>15343.329546000001</v>
      </c>
      <c r="F56" s="86">
        <f t="shared" si="41"/>
        <v>17006.370427000002</v>
      </c>
      <c r="G56" s="86">
        <f t="shared" si="41"/>
        <v>17892.241000000002</v>
      </c>
      <c r="H56" s="86">
        <f t="shared" si="41"/>
        <v>14571.337</v>
      </c>
      <c r="I56" s="86">
        <f t="shared" si="41"/>
        <v>14092.013000000001</v>
      </c>
      <c r="J56" s="86">
        <f t="shared" si="41"/>
        <v>14609.777</v>
      </c>
      <c r="K56" s="86">
        <f t="shared" si="41"/>
        <v>12914.084000000001</v>
      </c>
      <c r="L56" s="86">
        <f t="shared" si="41"/>
        <v>14537.72911441</v>
      </c>
      <c r="M56" s="86">
        <f t="shared" si="41"/>
        <v>15403.963</v>
      </c>
      <c r="N56" s="86">
        <f t="shared" si="41"/>
        <v>15741.102000000001</v>
      </c>
      <c r="O56" s="86">
        <f t="shared" si="41"/>
        <v>15268.079</v>
      </c>
      <c r="P56" s="86">
        <f>-P37</f>
        <v>15719.89</v>
      </c>
      <c r="Q56" s="86">
        <f t="shared" si="41"/>
        <v>16861.847000000002</v>
      </c>
      <c r="R56" s="86">
        <f t="shared" si="41"/>
        <v>19500.976296680001</v>
      </c>
      <c r="S56" s="86">
        <f t="shared" si="41"/>
        <v>20261.84205073</v>
      </c>
      <c r="T56" s="86">
        <f t="shared" si="41"/>
        <v>21837</v>
      </c>
      <c r="U56" s="86">
        <f t="shared" si="41"/>
        <v>23721.755350070001</v>
      </c>
      <c r="V56" s="86">
        <f t="shared" si="41"/>
        <v>23276.647734229999</v>
      </c>
      <c r="W56" s="86">
        <f>-W37</f>
        <v>24648.044000000002</v>
      </c>
      <c r="X56" s="86">
        <f>-X37</f>
        <v>23636.285</v>
      </c>
      <c r="Y56" s="86">
        <f t="shared" si="41"/>
        <v>22673.976264000001</v>
      </c>
      <c r="Z56" s="86">
        <f t="shared" si="41"/>
        <v>22438.631000000001</v>
      </c>
      <c r="AA56" s="86">
        <f t="shared" si="41"/>
        <v>25633.966699109998</v>
      </c>
      <c r="AB56" s="86">
        <f t="shared" si="41"/>
        <v>26314.13</v>
      </c>
      <c r="AC56" s="86">
        <f t="shared" si="41"/>
        <v>27206.412</v>
      </c>
      <c r="AD56" s="86">
        <f t="shared" si="41"/>
        <v>-29599.681</v>
      </c>
      <c r="AE56" s="86">
        <f t="shared" si="41"/>
        <v>33500</v>
      </c>
      <c r="AF56" s="86">
        <f t="shared" si="41"/>
        <v>39300</v>
      </c>
      <c r="AG56" s="86">
        <f t="shared" si="41"/>
        <v>40000</v>
      </c>
      <c r="AH56" s="86">
        <f t="shared" si="41"/>
        <v>45700</v>
      </c>
      <c r="AI56" s="86">
        <f t="shared" si="41"/>
        <v>32300</v>
      </c>
      <c r="AJ56" s="86">
        <f t="shared" si="41"/>
        <v>0</v>
      </c>
      <c r="AK56" s="86">
        <f t="shared" ref="AK56:BD56" si="42">-AK37</f>
        <v>0</v>
      </c>
      <c r="AL56" s="86">
        <f t="shared" si="42"/>
        <v>0</v>
      </c>
      <c r="AM56" s="86">
        <f t="shared" si="42"/>
        <v>0</v>
      </c>
      <c r="AN56" s="86">
        <f t="shared" si="42"/>
        <v>0</v>
      </c>
      <c r="AO56" s="86">
        <f t="shared" si="42"/>
        <v>0</v>
      </c>
      <c r="AP56" s="86">
        <f t="shared" si="42"/>
        <v>0</v>
      </c>
      <c r="AQ56" s="86">
        <f t="shared" si="42"/>
        <v>0</v>
      </c>
      <c r="AR56" s="86">
        <f t="shared" si="42"/>
        <v>0</v>
      </c>
      <c r="AS56" s="86">
        <f t="shared" si="42"/>
        <v>0</v>
      </c>
      <c r="AT56" s="86">
        <f t="shared" si="42"/>
        <v>0</v>
      </c>
      <c r="AU56" s="86">
        <f t="shared" si="42"/>
        <v>0</v>
      </c>
      <c r="AV56" s="86">
        <f t="shared" si="42"/>
        <v>0</v>
      </c>
      <c r="AW56" s="86">
        <f t="shared" si="42"/>
        <v>0</v>
      </c>
      <c r="AX56" s="86">
        <f t="shared" si="42"/>
        <v>0</v>
      </c>
      <c r="AY56" s="86">
        <f t="shared" si="42"/>
        <v>0</v>
      </c>
      <c r="AZ56" s="86">
        <f t="shared" si="42"/>
        <v>0</v>
      </c>
      <c r="BA56" s="86">
        <f t="shared" si="42"/>
        <v>0</v>
      </c>
      <c r="BB56" s="86">
        <f t="shared" si="42"/>
        <v>0</v>
      </c>
      <c r="BC56" s="86">
        <f t="shared" si="42"/>
        <v>0</v>
      </c>
      <c r="BD56" s="86">
        <f t="shared" si="42"/>
        <v>0</v>
      </c>
      <c r="BE56" s="86">
        <f t="shared" ref="BE56:BN56" si="43">-BE37</f>
        <v>0</v>
      </c>
      <c r="BF56" s="86">
        <f t="shared" si="43"/>
        <v>0</v>
      </c>
      <c r="BG56" s="86">
        <f t="shared" si="43"/>
        <v>0</v>
      </c>
      <c r="BH56" s="86">
        <f t="shared" si="43"/>
        <v>0</v>
      </c>
      <c r="BI56" s="86">
        <f t="shared" si="43"/>
        <v>0</v>
      </c>
      <c r="BJ56" s="86">
        <f t="shared" si="43"/>
        <v>0</v>
      </c>
      <c r="BK56" s="86">
        <f t="shared" si="43"/>
        <v>0</v>
      </c>
      <c r="BL56" s="86">
        <f t="shared" si="43"/>
        <v>0</v>
      </c>
      <c r="BM56" s="86">
        <f t="shared" si="43"/>
        <v>0</v>
      </c>
      <c r="BN56" s="86">
        <f t="shared" si="43"/>
        <v>0</v>
      </c>
    </row>
    <row r="57" spans="1:66">
      <c r="A57" s="183" t="s">
        <v>213</v>
      </c>
      <c r="C57" s="86">
        <f>C55-C56</f>
        <v>6249.7960000000003</v>
      </c>
      <c r="D57" s="86">
        <f t="shared" ref="D57:AJ57" si="44">D55-D56</f>
        <v>12807.534490000002</v>
      </c>
      <c r="E57" s="86">
        <f t="shared" si="44"/>
        <v>14993.668546000001</v>
      </c>
      <c r="F57" s="86">
        <f t="shared" si="44"/>
        <v>5640.9840719999993</v>
      </c>
      <c r="G57" s="86">
        <f t="shared" si="44"/>
        <v>-1323.1420000000035</v>
      </c>
      <c r="H57" s="86">
        <f t="shared" si="44"/>
        <v>-1763.503999999999</v>
      </c>
      <c r="I57" s="86">
        <f t="shared" si="44"/>
        <v>1946.1979999999985</v>
      </c>
      <c r="J57" s="86">
        <f t="shared" si="44"/>
        <v>2714.0680000000011</v>
      </c>
      <c r="K57" s="86">
        <f t="shared" si="44"/>
        <v>7787.215003629999</v>
      </c>
      <c r="L57" s="86">
        <f t="shared" si="44"/>
        <v>5429.5471387989983</v>
      </c>
      <c r="M57" s="86">
        <f t="shared" si="44"/>
        <v>4546.5980000000018</v>
      </c>
      <c r="N57" s="86">
        <f t="shared" si="44"/>
        <v>4256.6297042399983</v>
      </c>
      <c r="O57" s="86">
        <f t="shared" si="44"/>
        <v>8328.5810000000001</v>
      </c>
      <c r="P57" s="86">
        <f>P55-P56</f>
        <v>2750.1100000000006</v>
      </c>
      <c r="Q57" s="86">
        <f t="shared" si="44"/>
        <v>4574.9465856199968</v>
      </c>
      <c r="R57" s="86">
        <f t="shared" si="44"/>
        <v>6109.1727846199974</v>
      </c>
      <c r="S57" s="86">
        <f t="shared" si="44"/>
        <v>13322.810858159999</v>
      </c>
      <c r="T57" s="86">
        <f t="shared" si="44"/>
        <v>13534</v>
      </c>
      <c r="U57" s="86">
        <f t="shared" si="44"/>
        <v>5532.5258253399988</v>
      </c>
      <c r="V57" s="86">
        <f t="shared" si="44"/>
        <v>4538.4364831100029</v>
      </c>
      <c r="W57" s="86">
        <f t="shared" si="44"/>
        <v>1916.0107322099975</v>
      </c>
      <c r="X57" s="86">
        <f t="shared" si="44"/>
        <v>-1081.3790000000008</v>
      </c>
      <c r="Y57" s="86">
        <f t="shared" si="44"/>
        <v>3656.6818920000005</v>
      </c>
      <c r="Z57" s="86">
        <f t="shared" si="44"/>
        <v>5162.3689999999988</v>
      </c>
      <c r="AA57" s="86">
        <f t="shared" si="44"/>
        <v>-901.96669910999844</v>
      </c>
      <c r="AB57" s="86">
        <f t="shared" si="44"/>
        <v>2063.869999999999</v>
      </c>
      <c r="AC57" s="86">
        <f t="shared" si="44"/>
        <v>3189.5879999999997</v>
      </c>
      <c r="AD57" s="86">
        <f t="shared" si="44"/>
        <v>64996.680999999997</v>
      </c>
      <c r="AE57" s="86">
        <f t="shared" si="44"/>
        <v>-100</v>
      </c>
      <c r="AF57" s="86">
        <f t="shared" si="44"/>
        <v>-3200</v>
      </c>
      <c r="AG57" s="86">
        <f t="shared" si="44"/>
        <v>-400</v>
      </c>
      <c r="AH57" s="86">
        <f t="shared" si="44"/>
        <v>-6200</v>
      </c>
      <c r="AI57" s="86">
        <f t="shared" si="44"/>
        <v>6300</v>
      </c>
      <c r="AJ57" s="86">
        <f t="shared" si="44"/>
        <v>35048.050327698998</v>
      </c>
      <c r="AK57" s="86">
        <f t="shared" ref="AK57:BD57" si="45">AK55-AK56</f>
        <v>32360.9268944539</v>
      </c>
      <c r="AL57" s="86">
        <f t="shared" si="45"/>
        <v>32650.253595689399</v>
      </c>
      <c r="AM57" s="86">
        <f t="shared" si="45"/>
        <v>30847.498700238</v>
      </c>
      <c r="AN57" s="86">
        <f t="shared" si="45"/>
        <v>28551.896184420599</v>
      </c>
      <c r="AO57" s="86">
        <f t="shared" si="45"/>
        <v>24528.448227212299</v>
      </c>
      <c r="AP57" s="86">
        <f t="shared" si="45"/>
        <v>23302.028363335401</v>
      </c>
      <c r="AQ57" s="86">
        <f t="shared" si="45"/>
        <v>23380.023104504799</v>
      </c>
      <c r="AR57" s="86">
        <f t="shared" si="45"/>
        <v>23438.618326996999</v>
      </c>
      <c r="AS57" s="86">
        <f t="shared" si="45"/>
        <v>23397.069817563501</v>
      </c>
      <c r="AT57" s="86">
        <f t="shared" si="45"/>
        <v>22719.6519437385</v>
      </c>
      <c r="AU57" s="86">
        <f t="shared" si="45"/>
        <v>22315.608599975301</v>
      </c>
      <c r="AV57" s="86">
        <f t="shared" si="45"/>
        <v>20571.907702157601</v>
      </c>
      <c r="AW57" s="86">
        <f t="shared" si="45"/>
        <v>20636.643697737301</v>
      </c>
      <c r="AX57" s="86">
        <f t="shared" si="45"/>
        <v>20451.3447792103</v>
      </c>
      <c r="AY57" s="86">
        <f t="shared" si="45"/>
        <v>19310.669540118099</v>
      </c>
      <c r="AZ57" s="86">
        <f t="shared" si="45"/>
        <v>18982.4224997372</v>
      </c>
      <c r="BA57" s="86">
        <f t="shared" si="45"/>
        <v>18230.8857199288</v>
      </c>
      <c r="BB57" s="86">
        <f t="shared" si="45"/>
        <v>17821.603680349701</v>
      </c>
      <c r="BC57" s="86">
        <f t="shared" si="45"/>
        <v>17459.9191950848</v>
      </c>
      <c r="BD57" s="86">
        <f t="shared" si="45"/>
        <v>17065.077865214102</v>
      </c>
      <c r="BE57" s="86">
        <f t="shared" ref="BE57:BN57" si="46">BE55-BE56</f>
        <v>16750.289492567099</v>
      </c>
      <c r="BF57" s="86">
        <f t="shared" si="46"/>
        <v>16322.348632630599</v>
      </c>
      <c r="BG57" s="86">
        <f t="shared" si="46"/>
        <v>15931.369302622301</v>
      </c>
      <c r="BH57" s="86">
        <f t="shared" si="46"/>
        <v>15764.282558442799</v>
      </c>
      <c r="BI57" s="86">
        <f t="shared" si="46"/>
        <v>15405.5059856197</v>
      </c>
      <c r="BJ57" s="86">
        <f t="shared" si="46"/>
        <v>14895.0955325961</v>
      </c>
      <c r="BK57" s="86">
        <f t="shared" si="46"/>
        <v>14420.2869211165</v>
      </c>
      <c r="BL57" s="86">
        <f t="shared" si="46"/>
        <v>13970.174772991501</v>
      </c>
      <c r="BM57" s="86">
        <f t="shared" si="46"/>
        <v>13528.569417713699</v>
      </c>
      <c r="BN57" s="86">
        <f t="shared" si="46"/>
        <v>13319.7573839572</v>
      </c>
    </row>
    <row r="58" spans="1:66">
      <c r="A58" s="78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</row>
    <row r="59" spans="1:66">
      <c r="A59" s="78" t="s">
        <v>156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Z59" s="87">
        <v>0</v>
      </c>
      <c r="AA59" s="87">
        <v>0</v>
      </c>
      <c r="AB59" s="87">
        <v>0</v>
      </c>
      <c r="AC59" s="87">
        <v>0</v>
      </c>
      <c r="AD59" s="87">
        <v>0</v>
      </c>
      <c r="AE59" s="87">
        <v>0</v>
      </c>
      <c r="AF59" s="87">
        <v>0</v>
      </c>
      <c r="AG59" s="87">
        <v>0</v>
      </c>
      <c r="AH59" s="87">
        <v>0</v>
      </c>
      <c r="AI59" s="87">
        <v>0</v>
      </c>
      <c r="AJ59" s="87">
        <v>0</v>
      </c>
      <c r="AK59" s="87">
        <v>0</v>
      </c>
      <c r="AL59" s="87">
        <v>0</v>
      </c>
      <c r="AM59" s="87">
        <v>0</v>
      </c>
      <c r="AN59" s="87">
        <v>0</v>
      </c>
      <c r="AO59" s="87">
        <v>0</v>
      </c>
      <c r="AP59" s="87">
        <v>0</v>
      </c>
      <c r="AQ59" s="87">
        <v>0</v>
      </c>
      <c r="AR59" s="87">
        <v>0</v>
      </c>
      <c r="AS59" s="87">
        <v>0</v>
      </c>
      <c r="AT59" s="87">
        <v>0</v>
      </c>
      <c r="AU59" s="87">
        <v>0</v>
      </c>
      <c r="AV59" s="87">
        <v>0</v>
      </c>
      <c r="AW59" s="87">
        <v>0</v>
      </c>
      <c r="AX59" s="87">
        <v>0</v>
      </c>
      <c r="AY59" s="87">
        <v>0</v>
      </c>
      <c r="AZ59" s="87">
        <v>0</v>
      </c>
      <c r="BA59" s="87">
        <v>0</v>
      </c>
      <c r="BB59" s="87">
        <v>0</v>
      </c>
      <c r="BC59" s="87">
        <v>0</v>
      </c>
      <c r="BD59" s="87">
        <v>0</v>
      </c>
      <c r="BE59" s="87">
        <v>0</v>
      </c>
      <c r="BF59" s="87">
        <v>0</v>
      </c>
      <c r="BG59" s="87">
        <v>0</v>
      </c>
      <c r="BH59" s="87">
        <v>0</v>
      </c>
      <c r="BI59" s="87">
        <v>0</v>
      </c>
      <c r="BJ59" s="87">
        <v>0</v>
      </c>
      <c r="BK59" s="87">
        <v>0</v>
      </c>
      <c r="BL59" s="87">
        <v>0</v>
      </c>
      <c r="BM59" s="87">
        <v>0</v>
      </c>
      <c r="BN59" s="87">
        <v>0</v>
      </c>
    </row>
    <row r="60" spans="1:66">
      <c r="A60" s="78"/>
      <c r="N60" s="88"/>
      <c r="O60" s="88"/>
      <c r="P60" s="88"/>
      <c r="Q60" s="88"/>
      <c r="R60" s="88"/>
    </row>
    <row r="61" spans="1:66">
      <c r="A61" s="97" t="s">
        <v>71</v>
      </c>
      <c r="B61" s="97" t="s">
        <v>72</v>
      </c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49"/>
      <c r="O61" s="149"/>
      <c r="P61" s="149"/>
      <c r="Q61" s="149"/>
      <c r="R61" s="149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</row>
    <row r="62" spans="1:66">
      <c r="A62" s="245" t="s">
        <v>46</v>
      </c>
      <c r="B62" s="245" t="s">
        <v>73</v>
      </c>
      <c r="C62" s="91">
        <f t="shared" ref="C62:AJ62" si="47">ROUND(C5,C59)</f>
        <v>0</v>
      </c>
      <c r="D62" s="91">
        <f t="shared" si="47"/>
        <v>0</v>
      </c>
      <c r="E62" s="91">
        <f t="shared" si="47"/>
        <v>0</v>
      </c>
      <c r="F62" s="91">
        <f t="shared" si="47"/>
        <v>0</v>
      </c>
      <c r="G62" s="91">
        <f t="shared" si="47"/>
        <v>0</v>
      </c>
      <c r="H62" s="91">
        <f t="shared" si="47"/>
        <v>0</v>
      </c>
      <c r="I62" s="91">
        <f t="shared" si="47"/>
        <v>0</v>
      </c>
      <c r="J62" s="91">
        <f t="shared" si="47"/>
        <v>0</v>
      </c>
      <c r="K62" s="91">
        <f t="shared" si="47"/>
        <v>0</v>
      </c>
      <c r="L62" s="91">
        <f t="shared" si="47"/>
        <v>0</v>
      </c>
      <c r="M62" s="91">
        <f t="shared" si="47"/>
        <v>0</v>
      </c>
      <c r="N62" s="88">
        <f>N5</f>
        <v>0</v>
      </c>
      <c r="O62" s="88">
        <f>O5</f>
        <v>0</v>
      </c>
      <c r="P62" s="88">
        <f>P5</f>
        <v>0</v>
      </c>
      <c r="Q62" s="88">
        <f>Q5</f>
        <v>0</v>
      </c>
      <c r="R62" s="88">
        <f>R5</f>
        <v>0</v>
      </c>
      <c r="S62" s="91">
        <f t="shared" si="47"/>
        <v>0</v>
      </c>
      <c r="T62" s="91">
        <f t="shared" si="47"/>
        <v>0</v>
      </c>
      <c r="U62" s="91">
        <f t="shared" si="47"/>
        <v>0</v>
      </c>
      <c r="V62" s="91">
        <f t="shared" si="47"/>
        <v>0</v>
      </c>
      <c r="W62" s="91">
        <f t="shared" si="47"/>
        <v>0</v>
      </c>
      <c r="X62" s="91">
        <f t="shared" si="47"/>
        <v>0</v>
      </c>
      <c r="Y62" s="91">
        <f t="shared" si="47"/>
        <v>0</v>
      </c>
      <c r="Z62" s="91">
        <f t="shared" si="47"/>
        <v>0</v>
      </c>
      <c r="AA62" s="91">
        <f t="shared" si="47"/>
        <v>0</v>
      </c>
      <c r="AB62" s="91">
        <f t="shared" si="47"/>
        <v>0</v>
      </c>
      <c r="AC62" s="91">
        <f t="shared" si="47"/>
        <v>0</v>
      </c>
      <c r="AD62" s="91">
        <f t="shared" si="47"/>
        <v>0</v>
      </c>
      <c r="AE62" s="91">
        <f t="shared" si="47"/>
        <v>0</v>
      </c>
      <c r="AF62" s="91">
        <f t="shared" si="47"/>
        <v>0</v>
      </c>
      <c r="AG62" s="91">
        <f t="shared" si="47"/>
        <v>0</v>
      </c>
      <c r="AH62" s="91">
        <f t="shared" si="47"/>
        <v>0</v>
      </c>
      <c r="AI62" s="91">
        <f t="shared" si="47"/>
        <v>0</v>
      </c>
      <c r="AJ62" s="91">
        <f t="shared" si="47"/>
        <v>0</v>
      </c>
      <c r="AK62" s="91">
        <f t="shared" ref="AK62:AY62" si="48">ROUND(AK5,AK59)</f>
        <v>0</v>
      </c>
      <c r="AL62" s="91">
        <f t="shared" si="48"/>
        <v>0</v>
      </c>
      <c r="AM62" s="91">
        <f t="shared" si="48"/>
        <v>0</v>
      </c>
      <c r="AN62" s="91">
        <f t="shared" si="48"/>
        <v>0</v>
      </c>
      <c r="AO62" s="91">
        <f t="shared" si="48"/>
        <v>0</v>
      </c>
      <c r="AP62" s="91">
        <f t="shared" si="48"/>
        <v>0</v>
      </c>
      <c r="AQ62" s="91">
        <f t="shared" si="48"/>
        <v>0</v>
      </c>
      <c r="AR62" s="91">
        <f t="shared" si="48"/>
        <v>0</v>
      </c>
      <c r="AS62" s="91">
        <f t="shared" si="48"/>
        <v>0</v>
      </c>
      <c r="AT62" s="91">
        <f t="shared" si="48"/>
        <v>0</v>
      </c>
      <c r="AU62" s="91">
        <f t="shared" si="48"/>
        <v>0</v>
      </c>
      <c r="AV62" s="91">
        <f t="shared" si="48"/>
        <v>0</v>
      </c>
      <c r="AW62" s="91">
        <f t="shared" si="48"/>
        <v>0</v>
      </c>
      <c r="AX62" s="91">
        <f t="shared" si="48"/>
        <v>0</v>
      </c>
      <c r="AY62" s="91">
        <f t="shared" si="48"/>
        <v>0</v>
      </c>
      <c r="AZ62" s="91">
        <f t="shared" ref="AZ62:BN62" si="49">ROUND(AZ5,AZ59)</f>
        <v>0</v>
      </c>
      <c r="BA62" s="91">
        <f t="shared" si="49"/>
        <v>0</v>
      </c>
      <c r="BB62" s="91">
        <f t="shared" si="49"/>
        <v>0</v>
      </c>
      <c r="BC62" s="91">
        <f t="shared" si="49"/>
        <v>0</v>
      </c>
      <c r="BD62" s="91">
        <f t="shared" si="49"/>
        <v>0</v>
      </c>
      <c r="BE62" s="91">
        <f t="shared" si="49"/>
        <v>0</v>
      </c>
      <c r="BF62" s="91">
        <f t="shared" si="49"/>
        <v>0</v>
      </c>
      <c r="BG62" s="91">
        <f t="shared" si="49"/>
        <v>0</v>
      </c>
      <c r="BH62" s="91">
        <f t="shared" si="49"/>
        <v>0</v>
      </c>
      <c r="BI62" s="91">
        <f t="shared" si="49"/>
        <v>0</v>
      </c>
      <c r="BJ62" s="91">
        <f t="shared" si="49"/>
        <v>0</v>
      </c>
      <c r="BK62" s="91">
        <f t="shared" si="49"/>
        <v>0</v>
      </c>
      <c r="BL62" s="91">
        <f t="shared" si="49"/>
        <v>0</v>
      </c>
      <c r="BM62" s="91">
        <f t="shared" si="49"/>
        <v>0</v>
      </c>
      <c r="BN62" s="91">
        <f t="shared" si="49"/>
        <v>0</v>
      </c>
    </row>
    <row r="63" spans="1:66">
      <c r="A63" s="245" t="s">
        <v>74</v>
      </c>
      <c r="B63" s="245"/>
      <c r="C63" s="91">
        <f>SUM(C62)</f>
        <v>0</v>
      </c>
      <c r="D63" s="91">
        <f t="shared" ref="D63:K63" si="50">SUM(D62)</f>
        <v>0</v>
      </c>
      <c r="E63" s="91">
        <f t="shared" si="50"/>
        <v>0</v>
      </c>
      <c r="F63" s="91">
        <f t="shared" si="50"/>
        <v>0</v>
      </c>
      <c r="G63" s="91">
        <f t="shared" si="50"/>
        <v>0</v>
      </c>
      <c r="H63" s="91">
        <f t="shared" si="50"/>
        <v>0</v>
      </c>
      <c r="I63" s="91">
        <f t="shared" si="50"/>
        <v>0</v>
      </c>
      <c r="J63" s="91">
        <f t="shared" si="50"/>
        <v>0</v>
      </c>
      <c r="K63" s="91">
        <f t="shared" si="50"/>
        <v>0</v>
      </c>
      <c r="L63" s="91">
        <f t="shared" ref="L63:AJ63" si="51">SUM(L62)</f>
        <v>0</v>
      </c>
      <c r="M63" s="91">
        <f t="shared" si="51"/>
        <v>0</v>
      </c>
      <c r="N63" s="88">
        <f t="shared" si="51"/>
        <v>0</v>
      </c>
      <c r="O63" s="88">
        <f t="shared" si="51"/>
        <v>0</v>
      </c>
      <c r="P63" s="88">
        <f t="shared" si="51"/>
        <v>0</v>
      </c>
      <c r="Q63" s="88">
        <f>SUM(Q62)</f>
        <v>0</v>
      </c>
      <c r="R63" s="88">
        <f t="shared" si="51"/>
        <v>0</v>
      </c>
      <c r="S63" s="91">
        <f t="shared" si="51"/>
        <v>0</v>
      </c>
      <c r="T63" s="91">
        <f t="shared" si="51"/>
        <v>0</v>
      </c>
      <c r="U63" s="91">
        <f t="shared" si="51"/>
        <v>0</v>
      </c>
      <c r="V63" s="91">
        <f t="shared" si="51"/>
        <v>0</v>
      </c>
      <c r="W63" s="91">
        <f t="shared" si="51"/>
        <v>0</v>
      </c>
      <c r="X63" s="91">
        <f t="shared" si="51"/>
        <v>0</v>
      </c>
      <c r="Y63" s="91">
        <f t="shared" si="51"/>
        <v>0</v>
      </c>
      <c r="Z63" s="91">
        <f t="shared" si="51"/>
        <v>0</v>
      </c>
      <c r="AA63" s="91">
        <f t="shared" si="51"/>
        <v>0</v>
      </c>
      <c r="AB63" s="91">
        <f t="shared" si="51"/>
        <v>0</v>
      </c>
      <c r="AC63" s="91">
        <f t="shared" si="51"/>
        <v>0</v>
      </c>
      <c r="AD63" s="91">
        <f t="shared" si="51"/>
        <v>0</v>
      </c>
      <c r="AE63" s="91">
        <f t="shared" si="51"/>
        <v>0</v>
      </c>
      <c r="AF63" s="91">
        <f t="shared" si="51"/>
        <v>0</v>
      </c>
      <c r="AG63" s="91">
        <f t="shared" si="51"/>
        <v>0</v>
      </c>
      <c r="AH63" s="91">
        <f t="shared" si="51"/>
        <v>0</v>
      </c>
      <c r="AI63" s="91">
        <f t="shared" si="51"/>
        <v>0</v>
      </c>
      <c r="AJ63" s="91">
        <f t="shared" si="51"/>
        <v>0</v>
      </c>
      <c r="AK63" s="91">
        <f t="shared" ref="AK63:AY63" si="52">SUM(AK62)</f>
        <v>0</v>
      </c>
      <c r="AL63" s="91">
        <f t="shared" si="52"/>
        <v>0</v>
      </c>
      <c r="AM63" s="91">
        <f t="shared" si="52"/>
        <v>0</v>
      </c>
      <c r="AN63" s="91">
        <f t="shared" si="52"/>
        <v>0</v>
      </c>
      <c r="AO63" s="91">
        <f t="shared" si="52"/>
        <v>0</v>
      </c>
      <c r="AP63" s="91">
        <f t="shared" si="52"/>
        <v>0</v>
      </c>
      <c r="AQ63" s="91">
        <f t="shared" si="52"/>
        <v>0</v>
      </c>
      <c r="AR63" s="91">
        <f t="shared" si="52"/>
        <v>0</v>
      </c>
      <c r="AS63" s="91">
        <f t="shared" si="52"/>
        <v>0</v>
      </c>
      <c r="AT63" s="91">
        <f t="shared" si="52"/>
        <v>0</v>
      </c>
      <c r="AU63" s="91">
        <f t="shared" si="52"/>
        <v>0</v>
      </c>
      <c r="AV63" s="91">
        <f t="shared" si="52"/>
        <v>0</v>
      </c>
      <c r="AW63" s="91">
        <f t="shared" si="52"/>
        <v>0</v>
      </c>
      <c r="AX63" s="91">
        <f t="shared" si="52"/>
        <v>0</v>
      </c>
      <c r="AY63" s="91">
        <f t="shared" si="52"/>
        <v>0</v>
      </c>
      <c r="AZ63" s="91">
        <f t="shared" ref="AZ63:BN63" si="53">SUM(AZ62)</f>
        <v>0</v>
      </c>
      <c r="BA63" s="91">
        <f t="shared" si="53"/>
        <v>0</v>
      </c>
      <c r="BB63" s="91">
        <f t="shared" si="53"/>
        <v>0</v>
      </c>
      <c r="BC63" s="91">
        <f t="shared" si="53"/>
        <v>0</v>
      </c>
      <c r="BD63" s="91">
        <f t="shared" si="53"/>
        <v>0</v>
      </c>
      <c r="BE63" s="91">
        <f t="shared" si="53"/>
        <v>0</v>
      </c>
      <c r="BF63" s="91">
        <f t="shared" si="53"/>
        <v>0</v>
      </c>
      <c r="BG63" s="91">
        <f t="shared" si="53"/>
        <v>0</v>
      </c>
      <c r="BH63" s="91">
        <f t="shared" si="53"/>
        <v>0</v>
      </c>
      <c r="BI63" s="91">
        <f t="shared" si="53"/>
        <v>0</v>
      </c>
      <c r="BJ63" s="91">
        <f t="shared" si="53"/>
        <v>0</v>
      </c>
      <c r="BK63" s="91">
        <f t="shared" si="53"/>
        <v>0</v>
      </c>
      <c r="BL63" s="91">
        <f t="shared" si="53"/>
        <v>0</v>
      </c>
      <c r="BM63" s="91">
        <f t="shared" si="53"/>
        <v>0</v>
      </c>
      <c r="BN63" s="91">
        <f t="shared" si="53"/>
        <v>0</v>
      </c>
    </row>
    <row r="64" spans="1:66">
      <c r="C64" s="158"/>
      <c r="D64" s="158"/>
      <c r="E64" s="158"/>
      <c r="F64" s="158"/>
      <c r="G64" s="158"/>
      <c r="H64" s="158"/>
      <c r="I64" s="158"/>
      <c r="J64" s="158"/>
      <c r="K64" s="158"/>
      <c r="L64" s="158" t="s">
        <v>232</v>
      </c>
      <c r="M64" s="158"/>
      <c r="N64" s="88"/>
      <c r="O64" s="88"/>
      <c r="P64" s="88"/>
      <c r="Q64" s="88"/>
      <c r="R64" s="8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158"/>
      <c r="BL64" s="158"/>
      <c r="BM64" s="158"/>
      <c r="BN64" s="158"/>
    </row>
    <row r="65" spans="1:66">
      <c r="A65" s="97" t="s">
        <v>61</v>
      </c>
      <c r="B65" s="97" t="s">
        <v>113</v>
      </c>
      <c r="C65" s="158"/>
      <c r="D65" s="158"/>
      <c r="E65" s="158"/>
      <c r="F65" s="158"/>
      <c r="G65" s="158"/>
      <c r="H65" s="158"/>
      <c r="I65" s="158"/>
      <c r="J65" s="158"/>
      <c r="K65" s="158"/>
      <c r="L65" s="158" t="s">
        <v>232</v>
      </c>
      <c r="M65" s="158"/>
      <c r="N65" s="88"/>
      <c r="O65" s="88"/>
      <c r="P65" s="88"/>
      <c r="Q65" s="88"/>
      <c r="R65" s="8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</row>
    <row r="66" spans="1:66" outlineLevel="1">
      <c r="A66" s="245" t="s">
        <v>62</v>
      </c>
      <c r="B66" s="245" t="s">
        <v>63</v>
      </c>
      <c r="C66" s="91">
        <f t="shared" ref="C66:AJ66" si="54">ROUND(C9,C$59)</f>
        <v>0</v>
      </c>
      <c r="D66" s="91">
        <f t="shared" si="54"/>
        <v>2</v>
      </c>
      <c r="E66" s="91">
        <f t="shared" si="54"/>
        <v>3</v>
      </c>
      <c r="F66" s="91">
        <f t="shared" si="54"/>
        <v>3</v>
      </c>
      <c r="G66" s="91">
        <f t="shared" si="54"/>
        <v>0</v>
      </c>
      <c r="H66" s="91">
        <f t="shared" si="54"/>
        <v>0</v>
      </c>
      <c r="I66" s="91">
        <f t="shared" si="54"/>
        <v>0</v>
      </c>
      <c r="J66" s="91">
        <f t="shared" si="54"/>
        <v>0</v>
      </c>
      <c r="K66" s="91">
        <f t="shared" si="54"/>
        <v>0</v>
      </c>
      <c r="L66" s="91">
        <f t="shared" si="54"/>
        <v>0</v>
      </c>
      <c r="M66" s="91">
        <f t="shared" si="54"/>
        <v>0</v>
      </c>
      <c r="N66" s="88">
        <f t="shared" ref="N66:R67" si="55">N9</f>
        <v>0</v>
      </c>
      <c r="O66" s="88">
        <f t="shared" si="55"/>
        <v>0</v>
      </c>
      <c r="P66" s="88">
        <f t="shared" si="55"/>
        <v>81.5</v>
      </c>
      <c r="Q66" s="88">
        <f t="shared" si="55"/>
        <v>2</v>
      </c>
      <c r="R66" s="88">
        <f t="shared" si="55"/>
        <v>2.7192999999999998E-2</v>
      </c>
      <c r="S66" s="91">
        <f t="shared" si="54"/>
        <v>1</v>
      </c>
      <c r="T66" s="91">
        <f t="shared" si="54"/>
        <v>2</v>
      </c>
      <c r="U66" s="91">
        <f t="shared" si="54"/>
        <v>0</v>
      </c>
      <c r="V66" s="91">
        <f t="shared" si="54"/>
        <v>0</v>
      </c>
      <c r="W66" s="91">
        <f t="shared" si="54"/>
        <v>0</v>
      </c>
      <c r="X66" s="91">
        <f t="shared" si="54"/>
        <v>0</v>
      </c>
      <c r="Y66" s="91">
        <f t="shared" si="54"/>
        <v>0</v>
      </c>
      <c r="Z66" s="91">
        <f t="shared" si="54"/>
        <v>0</v>
      </c>
      <c r="AA66" s="91">
        <f t="shared" si="54"/>
        <v>0</v>
      </c>
      <c r="AB66" s="91">
        <f t="shared" si="54"/>
        <v>0</v>
      </c>
      <c r="AC66" s="91">
        <f t="shared" si="54"/>
        <v>0</v>
      </c>
      <c r="AD66" s="91">
        <f t="shared" si="54"/>
        <v>0</v>
      </c>
      <c r="AE66" s="91">
        <f t="shared" si="54"/>
        <v>0</v>
      </c>
      <c r="AF66" s="91">
        <f t="shared" si="54"/>
        <v>0</v>
      </c>
      <c r="AG66" s="91">
        <f t="shared" si="54"/>
        <v>0</v>
      </c>
      <c r="AH66" s="91">
        <f t="shared" si="54"/>
        <v>0</v>
      </c>
      <c r="AI66" s="91">
        <f t="shared" si="54"/>
        <v>0</v>
      </c>
      <c r="AJ66" s="91">
        <f t="shared" si="54"/>
        <v>0</v>
      </c>
      <c r="AK66" s="91">
        <f t="shared" ref="AK66:AY66" si="56">ROUND(AK9,AK$59)</f>
        <v>0</v>
      </c>
      <c r="AL66" s="91">
        <f t="shared" si="56"/>
        <v>0</v>
      </c>
      <c r="AM66" s="91">
        <f t="shared" si="56"/>
        <v>0</v>
      </c>
      <c r="AN66" s="91">
        <f t="shared" si="56"/>
        <v>0</v>
      </c>
      <c r="AO66" s="91">
        <f t="shared" si="56"/>
        <v>0</v>
      </c>
      <c r="AP66" s="91">
        <f t="shared" si="56"/>
        <v>0</v>
      </c>
      <c r="AQ66" s="91">
        <f t="shared" si="56"/>
        <v>0</v>
      </c>
      <c r="AR66" s="91">
        <f t="shared" si="56"/>
        <v>0</v>
      </c>
      <c r="AS66" s="91">
        <f t="shared" si="56"/>
        <v>0</v>
      </c>
      <c r="AT66" s="91">
        <f t="shared" si="56"/>
        <v>0</v>
      </c>
      <c r="AU66" s="91">
        <f t="shared" si="56"/>
        <v>0</v>
      </c>
      <c r="AV66" s="91">
        <f t="shared" si="56"/>
        <v>0</v>
      </c>
      <c r="AW66" s="91">
        <f t="shared" si="56"/>
        <v>0</v>
      </c>
      <c r="AX66" s="91">
        <f t="shared" si="56"/>
        <v>0</v>
      </c>
      <c r="AY66" s="91">
        <f t="shared" si="56"/>
        <v>0</v>
      </c>
      <c r="AZ66" s="91">
        <f t="shared" ref="AZ66:BN66" si="57">ROUND(AZ9,AZ$59)</f>
        <v>0</v>
      </c>
      <c r="BA66" s="91">
        <f t="shared" si="57"/>
        <v>0</v>
      </c>
      <c r="BB66" s="91">
        <f t="shared" si="57"/>
        <v>0</v>
      </c>
      <c r="BC66" s="91">
        <f t="shared" si="57"/>
        <v>0</v>
      </c>
      <c r="BD66" s="91">
        <f t="shared" si="57"/>
        <v>0</v>
      </c>
      <c r="BE66" s="91">
        <f t="shared" si="57"/>
        <v>0</v>
      </c>
      <c r="BF66" s="91">
        <f t="shared" si="57"/>
        <v>0</v>
      </c>
      <c r="BG66" s="91">
        <f t="shared" si="57"/>
        <v>0</v>
      </c>
      <c r="BH66" s="91">
        <f t="shared" si="57"/>
        <v>0</v>
      </c>
      <c r="BI66" s="91">
        <f t="shared" si="57"/>
        <v>0</v>
      </c>
      <c r="BJ66" s="91">
        <f t="shared" si="57"/>
        <v>0</v>
      </c>
      <c r="BK66" s="91">
        <f t="shared" si="57"/>
        <v>0</v>
      </c>
      <c r="BL66" s="91">
        <f t="shared" si="57"/>
        <v>0</v>
      </c>
      <c r="BM66" s="91">
        <f t="shared" si="57"/>
        <v>0</v>
      </c>
      <c r="BN66" s="91">
        <f t="shared" si="57"/>
        <v>0</v>
      </c>
    </row>
    <row r="67" spans="1:66" outlineLevel="1">
      <c r="A67" s="245" t="s">
        <v>64</v>
      </c>
      <c r="B67" s="245" t="s">
        <v>65</v>
      </c>
      <c r="C67" s="91">
        <f t="shared" ref="C67:L67" si="58">ROUND(C10,C$59)</f>
        <v>93</v>
      </c>
      <c r="D67" s="91">
        <f t="shared" si="58"/>
        <v>70</v>
      </c>
      <c r="E67" s="91">
        <f t="shared" si="58"/>
        <v>15</v>
      </c>
      <c r="F67" s="91">
        <f t="shared" si="58"/>
        <v>0</v>
      </c>
      <c r="G67" s="91">
        <f t="shared" si="58"/>
        <v>6</v>
      </c>
      <c r="H67" s="91">
        <f t="shared" si="58"/>
        <v>48</v>
      </c>
      <c r="I67" s="91">
        <f t="shared" si="58"/>
        <v>113</v>
      </c>
      <c r="J67" s="91">
        <f t="shared" si="58"/>
        <v>125</v>
      </c>
      <c r="K67" s="91">
        <f t="shared" si="58"/>
        <v>14</v>
      </c>
      <c r="L67" s="91">
        <f t="shared" si="58"/>
        <v>0</v>
      </c>
      <c r="M67" s="91">
        <v>4.58</v>
      </c>
      <c r="N67" s="88">
        <f t="shared" si="55"/>
        <v>0</v>
      </c>
      <c r="O67" s="88">
        <f t="shared" si="55"/>
        <v>0</v>
      </c>
      <c r="P67" s="88">
        <f t="shared" si="55"/>
        <v>0</v>
      </c>
      <c r="Q67" s="88">
        <f t="shared" si="55"/>
        <v>0</v>
      </c>
      <c r="R67" s="88">
        <f t="shared" si="55"/>
        <v>0</v>
      </c>
      <c r="S67" s="91">
        <f t="shared" ref="S67:AJ67" si="59">ROUND(S10,S$59)</f>
        <v>0</v>
      </c>
      <c r="T67" s="91">
        <f t="shared" si="59"/>
        <v>0</v>
      </c>
      <c r="U67" s="91">
        <f t="shared" si="59"/>
        <v>0</v>
      </c>
      <c r="V67" s="91">
        <f t="shared" si="59"/>
        <v>0</v>
      </c>
      <c r="W67" s="91">
        <f t="shared" si="59"/>
        <v>0</v>
      </c>
      <c r="X67" s="91">
        <f t="shared" si="59"/>
        <v>0</v>
      </c>
      <c r="Y67" s="91">
        <f t="shared" si="59"/>
        <v>0</v>
      </c>
      <c r="Z67" s="91">
        <f t="shared" si="59"/>
        <v>0</v>
      </c>
      <c r="AA67" s="91">
        <f t="shared" si="59"/>
        <v>0</v>
      </c>
      <c r="AB67" s="91">
        <f t="shared" si="59"/>
        <v>0</v>
      </c>
      <c r="AC67" s="91">
        <f t="shared" si="59"/>
        <v>0</v>
      </c>
      <c r="AD67" s="91">
        <f t="shared" si="59"/>
        <v>0</v>
      </c>
      <c r="AE67" s="91">
        <f t="shared" si="59"/>
        <v>0</v>
      </c>
      <c r="AF67" s="91">
        <f t="shared" si="59"/>
        <v>0</v>
      </c>
      <c r="AG67" s="91">
        <f t="shared" si="59"/>
        <v>0</v>
      </c>
      <c r="AH67" s="91">
        <f t="shared" si="59"/>
        <v>0</v>
      </c>
      <c r="AI67" s="91">
        <f t="shared" si="59"/>
        <v>0</v>
      </c>
      <c r="AJ67" s="91">
        <f t="shared" si="59"/>
        <v>0</v>
      </c>
      <c r="AK67" s="91">
        <f t="shared" ref="AK67:AY67" si="60">ROUND(AK10,AK$59)</f>
        <v>0</v>
      </c>
      <c r="AL67" s="91">
        <f t="shared" si="60"/>
        <v>0</v>
      </c>
      <c r="AM67" s="91">
        <f t="shared" si="60"/>
        <v>0</v>
      </c>
      <c r="AN67" s="91">
        <f t="shared" si="60"/>
        <v>0</v>
      </c>
      <c r="AO67" s="91">
        <f t="shared" si="60"/>
        <v>0</v>
      </c>
      <c r="AP67" s="91">
        <f t="shared" si="60"/>
        <v>0</v>
      </c>
      <c r="AQ67" s="91">
        <f t="shared" si="60"/>
        <v>0</v>
      </c>
      <c r="AR67" s="91">
        <f t="shared" si="60"/>
        <v>0</v>
      </c>
      <c r="AS67" s="91">
        <f t="shared" si="60"/>
        <v>0</v>
      </c>
      <c r="AT67" s="91">
        <f t="shared" si="60"/>
        <v>0</v>
      </c>
      <c r="AU67" s="91">
        <f t="shared" si="60"/>
        <v>0</v>
      </c>
      <c r="AV67" s="91">
        <f t="shared" si="60"/>
        <v>0</v>
      </c>
      <c r="AW67" s="91">
        <f t="shared" si="60"/>
        <v>0</v>
      </c>
      <c r="AX67" s="91">
        <f t="shared" si="60"/>
        <v>0</v>
      </c>
      <c r="AY67" s="91">
        <f t="shared" si="60"/>
        <v>0</v>
      </c>
      <c r="AZ67" s="91">
        <f t="shared" ref="AZ67:BN67" si="61">ROUND(AZ10,AZ$59)</f>
        <v>0</v>
      </c>
      <c r="BA67" s="91">
        <f t="shared" si="61"/>
        <v>0</v>
      </c>
      <c r="BB67" s="91">
        <f t="shared" si="61"/>
        <v>0</v>
      </c>
      <c r="BC67" s="91">
        <f t="shared" si="61"/>
        <v>0</v>
      </c>
      <c r="BD67" s="91">
        <f t="shared" si="61"/>
        <v>0</v>
      </c>
      <c r="BE67" s="91">
        <f t="shared" si="61"/>
        <v>0</v>
      </c>
      <c r="BF67" s="91">
        <f t="shared" si="61"/>
        <v>0</v>
      </c>
      <c r="BG67" s="91">
        <f t="shared" si="61"/>
        <v>0</v>
      </c>
      <c r="BH67" s="91">
        <f t="shared" si="61"/>
        <v>0</v>
      </c>
      <c r="BI67" s="91">
        <f t="shared" si="61"/>
        <v>0</v>
      </c>
      <c r="BJ67" s="91">
        <f t="shared" si="61"/>
        <v>0</v>
      </c>
      <c r="BK67" s="91">
        <f t="shared" si="61"/>
        <v>0</v>
      </c>
      <c r="BL67" s="91">
        <f t="shared" si="61"/>
        <v>0</v>
      </c>
      <c r="BM67" s="91">
        <f t="shared" si="61"/>
        <v>0</v>
      </c>
      <c r="BN67" s="91">
        <f t="shared" si="61"/>
        <v>0</v>
      </c>
    </row>
    <row r="68" spans="1:66">
      <c r="A68" s="245" t="s">
        <v>66</v>
      </c>
      <c r="B68" s="245"/>
      <c r="C68" s="91">
        <f>SUM(C66:C67)</f>
        <v>93</v>
      </c>
      <c r="D68" s="91">
        <f t="shared" ref="D68:K68" si="62">SUM(D66:D67)</f>
        <v>72</v>
      </c>
      <c r="E68" s="91">
        <f t="shared" si="62"/>
        <v>18</v>
      </c>
      <c r="F68" s="91">
        <f t="shared" si="62"/>
        <v>3</v>
      </c>
      <c r="G68" s="91">
        <f t="shared" si="62"/>
        <v>6</v>
      </c>
      <c r="H68" s="91">
        <f t="shared" si="62"/>
        <v>48</v>
      </c>
      <c r="I68" s="91">
        <f t="shared" si="62"/>
        <v>113</v>
      </c>
      <c r="J68" s="91">
        <f t="shared" si="62"/>
        <v>125</v>
      </c>
      <c r="K68" s="91">
        <f t="shared" si="62"/>
        <v>14</v>
      </c>
      <c r="L68" s="91">
        <f t="shared" ref="L68:AJ68" si="63">SUM(L66:L67)</f>
        <v>0</v>
      </c>
      <c r="M68" s="91">
        <f t="shared" si="63"/>
        <v>4.58</v>
      </c>
      <c r="N68" s="88">
        <f t="shared" si="63"/>
        <v>0</v>
      </c>
      <c r="O68" s="88">
        <f t="shared" si="63"/>
        <v>0</v>
      </c>
      <c r="P68" s="88">
        <f t="shared" si="63"/>
        <v>81.5</v>
      </c>
      <c r="Q68" s="88">
        <f>SUM(Q66:Q67)</f>
        <v>2</v>
      </c>
      <c r="R68" s="88">
        <f t="shared" si="63"/>
        <v>2.7192999999999998E-2</v>
      </c>
      <c r="S68" s="91">
        <f t="shared" si="63"/>
        <v>1</v>
      </c>
      <c r="T68" s="91">
        <f t="shared" si="63"/>
        <v>2</v>
      </c>
      <c r="U68" s="91">
        <f t="shared" si="63"/>
        <v>0</v>
      </c>
      <c r="V68" s="91">
        <f t="shared" si="63"/>
        <v>0</v>
      </c>
      <c r="W68" s="91">
        <f t="shared" si="63"/>
        <v>0</v>
      </c>
      <c r="X68" s="91">
        <f t="shared" si="63"/>
        <v>0</v>
      </c>
      <c r="Y68" s="91">
        <f t="shared" si="63"/>
        <v>0</v>
      </c>
      <c r="Z68" s="91">
        <f t="shared" si="63"/>
        <v>0</v>
      </c>
      <c r="AA68" s="91">
        <f t="shared" si="63"/>
        <v>0</v>
      </c>
      <c r="AB68" s="91">
        <f t="shared" si="63"/>
        <v>0</v>
      </c>
      <c r="AC68" s="91">
        <f t="shared" si="63"/>
        <v>0</v>
      </c>
      <c r="AD68" s="91">
        <f t="shared" si="63"/>
        <v>0</v>
      </c>
      <c r="AE68" s="91">
        <f t="shared" si="63"/>
        <v>0</v>
      </c>
      <c r="AF68" s="91">
        <f t="shared" si="63"/>
        <v>0</v>
      </c>
      <c r="AG68" s="91">
        <f t="shared" si="63"/>
        <v>0</v>
      </c>
      <c r="AH68" s="91">
        <f t="shared" si="63"/>
        <v>0</v>
      </c>
      <c r="AI68" s="91">
        <f t="shared" si="63"/>
        <v>0</v>
      </c>
      <c r="AJ68" s="91">
        <f t="shared" si="63"/>
        <v>0</v>
      </c>
      <c r="AK68" s="91">
        <f t="shared" ref="AK68:AY68" si="64">SUM(AK66:AK67)</f>
        <v>0</v>
      </c>
      <c r="AL68" s="91">
        <f t="shared" si="64"/>
        <v>0</v>
      </c>
      <c r="AM68" s="91">
        <f t="shared" si="64"/>
        <v>0</v>
      </c>
      <c r="AN68" s="91">
        <f t="shared" si="64"/>
        <v>0</v>
      </c>
      <c r="AO68" s="91">
        <f t="shared" si="64"/>
        <v>0</v>
      </c>
      <c r="AP68" s="91">
        <f t="shared" si="64"/>
        <v>0</v>
      </c>
      <c r="AQ68" s="91">
        <f t="shared" si="64"/>
        <v>0</v>
      </c>
      <c r="AR68" s="91">
        <f t="shared" si="64"/>
        <v>0</v>
      </c>
      <c r="AS68" s="91">
        <f t="shared" si="64"/>
        <v>0</v>
      </c>
      <c r="AT68" s="91">
        <f t="shared" si="64"/>
        <v>0</v>
      </c>
      <c r="AU68" s="91">
        <f t="shared" si="64"/>
        <v>0</v>
      </c>
      <c r="AV68" s="91">
        <f t="shared" si="64"/>
        <v>0</v>
      </c>
      <c r="AW68" s="91">
        <f t="shared" si="64"/>
        <v>0</v>
      </c>
      <c r="AX68" s="91">
        <f t="shared" si="64"/>
        <v>0</v>
      </c>
      <c r="AY68" s="91">
        <f t="shared" si="64"/>
        <v>0</v>
      </c>
      <c r="AZ68" s="91">
        <f t="shared" ref="AZ68:BN68" si="65">SUM(AZ66:AZ67)</f>
        <v>0</v>
      </c>
      <c r="BA68" s="91">
        <f t="shared" si="65"/>
        <v>0</v>
      </c>
      <c r="BB68" s="91">
        <f t="shared" si="65"/>
        <v>0</v>
      </c>
      <c r="BC68" s="91">
        <f t="shared" si="65"/>
        <v>0</v>
      </c>
      <c r="BD68" s="91">
        <f t="shared" si="65"/>
        <v>0</v>
      </c>
      <c r="BE68" s="91">
        <f t="shared" si="65"/>
        <v>0</v>
      </c>
      <c r="BF68" s="91">
        <f t="shared" si="65"/>
        <v>0</v>
      </c>
      <c r="BG68" s="91">
        <f t="shared" si="65"/>
        <v>0</v>
      </c>
      <c r="BH68" s="91">
        <f t="shared" si="65"/>
        <v>0</v>
      </c>
      <c r="BI68" s="91">
        <f t="shared" si="65"/>
        <v>0</v>
      </c>
      <c r="BJ68" s="91">
        <f t="shared" si="65"/>
        <v>0</v>
      </c>
      <c r="BK68" s="91">
        <f t="shared" si="65"/>
        <v>0</v>
      </c>
      <c r="BL68" s="91">
        <f t="shared" si="65"/>
        <v>0</v>
      </c>
      <c r="BM68" s="91">
        <f t="shared" si="65"/>
        <v>0</v>
      </c>
      <c r="BN68" s="91">
        <f t="shared" si="65"/>
        <v>0</v>
      </c>
    </row>
    <row r="69" spans="1:66">
      <c r="A69" s="245"/>
      <c r="B69" s="245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88"/>
      <c r="O69" s="88"/>
      <c r="P69" s="88"/>
      <c r="Q69" s="88"/>
      <c r="R69" s="8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</row>
    <row r="70" spans="1:66">
      <c r="A70" s="97" t="s">
        <v>114</v>
      </c>
      <c r="B70" s="97" t="s">
        <v>115</v>
      </c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88"/>
      <c r="O70" s="88"/>
      <c r="P70" s="88"/>
      <c r="Q70" s="88"/>
      <c r="R70" s="8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</row>
    <row r="71" spans="1:66">
      <c r="A71" s="245" t="s">
        <v>64</v>
      </c>
      <c r="B71" s="245" t="s">
        <v>116</v>
      </c>
      <c r="C71" s="91">
        <f t="shared" ref="C71:AJ71" si="66">ROUND(C14,C$59)</f>
        <v>0</v>
      </c>
      <c r="D71" s="91">
        <f t="shared" si="66"/>
        <v>0</v>
      </c>
      <c r="E71" s="91">
        <f t="shared" si="66"/>
        <v>5</v>
      </c>
      <c r="F71" s="91">
        <f t="shared" si="66"/>
        <v>0</v>
      </c>
      <c r="G71" s="91">
        <f t="shared" si="66"/>
        <v>50</v>
      </c>
      <c r="H71" s="91">
        <f t="shared" si="66"/>
        <v>250</v>
      </c>
      <c r="I71" s="91">
        <f t="shared" si="66"/>
        <v>220</v>
      </c>
      <c r="J71" s="91">
        <f t="shared" si="66"/>
        <v>0</v>
      </c>
      <c r="K71" s="91">
        <f t="shared" si="66"/>
        <v>0</v>
      </c>
      <c r="L71" s="91">
        <f t="shared" si="66"/>
        <v>0</v>
      </c>
      <c r="M71" s="91">
        <f t="shared" si="66"/>
        <v>0</v>
      </c>
      <c r="N71" s="88">
        <f>N14</f>
        <v>0</v>
      </c>
      <c r="O71" s="88">
        <f>O14</f>
        <v>0</v>
      </c>
      <c r="P71" s="88">
        <f>P14</f>
        <v>0</v>
      </c>
      <c r="Q71" s="88">
        <f>Q14</f>
        <v>0</v>
      </c>
      <c r="R71" s="88">
        <f>R14</f>
        <v>0</v>
      </c>
      <c r="S71" s="91">
        <f t="shared" si="66"/>
        <v>0</v>
      </c>
      <c r="T71" s="91">
        <f t="shared" si="66"/>
        <v>0</v>
      </c>
      <c r="U71" s="91">
        <f t="shared" si="66"/>
        <v>0</v>
      </c>
      <c r="V71" s="91">
        <f t="shared" si="66"/>
        <v>0</v>
      </c>
      <c r="W71" s="91">
        <f t="shared" si="66"/>
        <v>0</v>
      </c>
      <c r="X71" s="91">
        <f t="shared" si="66"/>
        <v>0</v>
      </c>
      <c r="Y71" s="91">
        <f t="shared" si="66"/>
        <v>0</v>
      </c>
      <c r="Z71" s="91">
        <f t="shared" si="66"/>
        <v>0</v>
      </c>
      <c r="AA71" s="91">
        <f t="shared" si="66"/>
        <v>0</v>
      </c>
      <c r="AB71" s="91">
        <f t="shared" si="66"/>
        <v>0</v>
      </c>
      <c r="AC71" s="91">
        <f t="shared" si="66"/>
        <v>0</v>
      </c>
      <c r="AD71" s="91">
        <f t="shared" si="66"/>
        <v>0</v>
      </c>
      <c r="AE71" s="91">
        <f t="shared" si="66"/>
        <v>0</v>
      </c>
      <c r="AF71" s="91">
        <f t="shared" si="66"/>
        <v>0</v>
      </c>
      <c r="AG71" s="91">
        <f t="shared" si="66"/>
        <v>0</v>
      </c>
      <c r="AH71" s="91">
        <f t="shared" si="66"/>
        <v>0</v>
      </c>
      <c r="AI71" s="91">
        <f t="shared" si="66"/>
        <v>0</v>
      </c>
      <c r="AJ71" s="91">
        <f t="shared" si="66"/>
        <v>0</v>
      </c>
      <c r="AK71" s="91">
        <f t="shared" ref="AK71:AY71" si="67">ROUND(AK14,AK$59)</f>
        <v>0</v>
      </c>
      <c r="AL71" s="91">
        <f t="shared" si="67"/>
        <v>0</v>
      </c>
      <c r="AM71" s="91">
        <f t="shared" si="67"/>
        <v>0</v>
      </c>
      <c r="AN71" s="91">
        <f t="shared" si="67"/>
        <v>0</v>
      </c>
      <c r="AO71" s="91">
        <f t="shared" si="67"/>
        <v>0</v>
      </c>
      <c r="AP71" s="91">
        <f t="shared" si="67"/>
        <v>0</v>
      </c>
      <c r="AQ71" s="91">
        <f t="shared" si="67"/>
        <v>0</v>
      </c>
      <c r="AR71" s="91">
        <f t="shared" si="67"/>
        <v>0</v>
      </c>
      <c r="AS71" s="91">
        <f t="shared" si="67"/>
        <v>0</v>
      </c>
      <c r="AT71" s="91">
        <f t="shared" si="67"/>
        <v>0</v>
      </c>
      <c r="AU71" s="91">
        <f t="shared" si="67"/>
        <v>0</v>
      </c>
      <c r="AV71" s="91">
        <f t="shared" si="67"/>
        <v>0</v>
      </c>
      <c r="AW71" s="91">
        <f t="shared" si="67"/>
        <v>0</v>
      </c>
      <c r="AX71" s="91">
        <f t="shared" si="67"/>
        <v>0</v>
      </c>
      <c r="AY71" s="91">
        <f t="shared" si="67"/>
        <v>0</v>
      </c>
      <c r="AZ71" s="91">
        <f t="shared" ref="AZ71:BN71" si="68">ROUND(AZ14,AZ$59)</f>
        <v>0</v>
      </c>
      <c r="BA71" s="91">
        <f t="shared" si="68"/>
        <v>0</v>
      </c>
      <c r="BB71" s="91">
        <f t="shared" si="68"/>
        <v>0</v>
      </c>
      <c r="BC71" s="91">
        <f t="shared" si="68"/>
        <v>0</v>
      </c>
      <c r="BD71" s="91">
        <f t="shared" si="68"/>
        <v>0</v>
      </c>
      <c r="BE71" s="91">
        <f t="shared" si="68"/>
        <v>0</v>
      </c>
      <c r="BF71" s="91">
        <f t="shared" si="68"/>
        <v>0</v>
      </c>
      <c r="BG71" s="91">
        <f t="shared" si="68"/>
        <v>0</v>
      </c>
      <c r="BH71" s="91">
        <f t="shared" si="68"/>
        <v>0</v>
      </c>
      <c r="BI71" s="91">
        <f t="shared" si="68"/>
        <v>0</v>
      </c>
      <c r="BJ71" s="91">
        <f t="shared" si="68"/>
        <v>0</v>
      </c>
      <c r="BK71" s="91">
        <f t="shared" si="68"/>
        <v>0</v>
      </c>
      <c r="BL71" s="91">
        <f t="shared" si="68"/>
        <v>0</v>
      </c>
      <c r="BM71" s="91">
        <f t="shared" si="68"/>
        <v>0</v>
      </c>
      <c r="BN71" s="91">
        <f t="shared" si="68"/>
        <v>0</v>
      </c>
    </row>
    <row r="72" spans="1:66">
      <c r="A72" s="245" t="s">
        <v>117</v>
      </c>
      <c r="B72" s="245"/>
      <c r="C72" s="91">
        <f>SUM(C71)</f>
        <v>0</v>
      </c>
      <c r="D72" s="91">
        <f t="shared" ref="D72:K72" si="69">SUM(D71)</f>
        <v>0</v>
      </c>
      <c r="E72" s="91">
        <f t="shared" si="69"/>
        <v>5</v>
      </c>
      <c r="F72" s="91">
        <f t="shared" si="69"/>
        <v>0</v>
      </c>
      <c r="G72" s="91">
        <f t="shared" si="69"/>
        <v>50</v>
      </c>
      <c r="H72" s="91">
        <f t="shared" si="69"/>
        <v>250</v>
      </c>
      <c r="I72" s="91">
        <f t="shared" si="69"/>
        <v>220</v>
      </c>
      <c r="J72" s="91">
        <f t="shared" si="69"/>
        <v>0</v>
      </c>
      <c r="K72" s="91">
        <f t="shared" si="69"/>
        <v>0</v>
      </c>
      <c r="L72" s="91">
        <f t="shared" ref="L72:AJ72" si="70">SUM(L71)</f>
        <v>0</v>
      </c>
      <c r="M72" s="91">
        <f t="shared" si="70"/>
        <v>0</v>
      </c>
      <c r="N72" s="88">
        <f t="shared" si="70"/>
        <v>0</v>
      </c>
      <c r="O72" s="88">
        <f t="shared" si="70"/>
        <v>0</v>
      </c>
      <c r="P72" s="88">
        <f t="shared" si="70"/>
        <v>0</v>
      </c>
      <c r="Q72" s="88">
        <f>SUM(Q71)</f>
        <v>0</v>
      </c>
      <c r="R72" s="88">
        <f t="shared" si="70"/>
        <v>0</v>
      </c>
      <c r="S72" s="91">
        <f t="shared" si="70"/>
        <v>0</v>
      </c>
      <c r="T72" s="91">
        <f t="shared" si="70"/>
        <v>0</v>
      </c>
      <c r="U72" s="91">
        <f t="shared" si="70"/>
        <v>0</v>
      </c>
      <c r="V72" s="91">
        <f t="shared" si="70"/>
        <v>0</v>
      </c>
      <c r="W72" s="91">
        <f t="shared" si="70"/>
        <v>0</v>
      </c>
      <c r="X72" s="91">
        <f t="shared" si="70"/>
        <v>0</v>
      </c>
      <c r="Y72" s="91">
        <f t="shared" si="70"/>
        <v>0</v>
      </c>
      <c r="Z72" s="91">
        <f t="shared" si="70"/>
        <v>0</v>
      </c>
      <c r="AA72" s="91">
        <f t="shared" si="70"/>
        <v>0</v>
      </c>
      <c r="AB72" s="91">
        <f t="shared" si="70"/>
        <v>0</v>
      </c>
      <c r="AC72" s="91">
        <f t="shared" si="70"/>
        <v>0</v>
      </c>
      <c r="AD72" s="91">
        <f t="shared" si="70"/>
        <v>0</v>
      </c>
      <c r="AE72" s="91">
        <f t="shared" si="70"/>
        <v>0</v>
      </c>
      <c r="AF72" s="91">
        <f t="shared" si="70"/>
        <v>0</v>
      </c>
      <c r="AG72" s="91">
        <f t="shared" si="70"/>
        <v>0</v>
      </c>
      <c r="AH72" s="91">
        <f t="shared" si="70"/>
        <v>0</v>
      </c>
      <c r="AI72" s="91">
        <f t="shared" si="70"/>
        <v>0</v>
      </c>
      <c r="AJ72" s="91">
        <f t="shared" si="70"/>
        <v>0</v>
      </c>
      <c r="AK72" s="91">
        <f t="shared" ref="AK72:AY72" si="71">SUM(AK71)</f>
        <v>0</v>
      </c>
      <c r="AL72" s="91">
        <f t="shared" si="71"/>
        <v>0</v>
      </c>
      <c r="AM72" s="91">
        <f t="shared" si="71"/>
        <v>0</v>
      </c>
      <c r="AN72" s="91">
        <f t="shared" si="71"/>
        <v>0</v>
      </c>
      <c r="AO72" s="91">
        <f t="shared" si="71"/>
        <v>0</v>
      </c>
      <c r="AP72" s="91">
        <f t="shared" si="71"/>
        <v>0</v>
      </c>
      <c r="AQ72" s="91">
        <f t="shared" si="71"/>
        <v>0</v>
      </c>
      <c r="AR72" s="91">
        <f t="shared" si="71"/>
        <v>0</v>
      </c>
      <c r="AS72" s="91">
        <f t="shared" si="71"/>
        <v>0</v>
      </c>
      <c r="AT72" s="91">
        <f t="shared" si="71"/>
        <v>0</v>
      </c>
      <c r="AU72" s="91">
        <f t="shared" si="71"/>
        <v>0</v>
      </c>
      <c r="AV72" s="91">
        <f t="shared" si="71"/>
        <v>0</v>
      </c>
      <c r="AW72" s="91">
        <f t="shared" si="71"/>
        <v>0</v>
      </c>
      <c r="AX72" s="91">
        <f t="shared" si="71"/>
        <v>0</v>
      </c>
      <c r="AY72" s="91">
        <f t="shared" si="71"/>
        <v>0</v>
      </c>
      <c r="AZ72" s="91">
        <f t="shared" ref="AZ72:BN72" si="72">SUM(AZ71)</f>
        <v>0</v>
      </c>
      <c r="BA72" s="91">
        <f t="shared" si="72"/>
        <v>0</v>
      </c>
      <c r="BB72" s="91">
        <f t="shared" si="72"/>
        <v>0</v>
      </c>
      <c r="BC72" s="91">
        <f t="shared" si="72"/>
        <v>0</v>
      </c>
      <c r="BD72" s="91">
        <f t="shared" si="72"/>
        <v>0</v>
      </c>
      <c r="BE72" s="91">
        <f t="shared" si="72"/>
        <v>0</v>
      </c>
      <c r="BF72" s="91">
        <f t="shared" si="72"/>
        <v>0</v>
      </c>
      <c r="BG72" s="91">
        <f t="shared" si="72"/>
        <v>0</v>
      </c>
      <c r="BH72" s="91">
        <f t="shared" si="72"/>
        <v>0</v>
      </c>
      <c r="BI72" s="91">
        <f t="shared" si="72"/>
        <v>0</v>
      </c>
      <c r="BJ72" s="91">
        <f t="shared" si="72"/>
        <v>0</v>
      </c>
      <c r="BK72" s="91">
        <f t="shared" si="72"/>
        <v>0</v>
      </c>
      <c r="BL72" s="91">
        <f t="shared" si="72"/>
        <v>0</v>
      </c>
      <c r="BM72" s="91">
        <f t="shared" si="72"/>
        <v>0</v>
      </c>
      <c r="BN72" s="91">
        <f t="shared" si="72"/>
        <v>0</v>
      </c>
    </row>
    <row r="73" spans="1:66"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88"/>
      <c r="O73" s="88"/>
      <c r="P73" s="88"/>
      <c r="Q73" s="88"/>
      <c r="R73" s="8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</row>
    <row r="74" spans="1:66">
      <c r="A74" s="97" t="s">
        <v>67</v>
      </c>
      <c r="B74" s="97" t="s">
        <v>68</v>
      </c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88"/>
      <c r="O74" s="88"/>
      <c r="P74" s="88"/>
      <c r="Q74" s="88"/>
      <c r="R74" s="8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</row>
    <row r="75" spans="1:66">
      <c r="A75" s="245" t="s">
        <v>56</v>
      </c>
      <c r="B75" s="245" t="s">
        <v>69</v>
      </c>
      <c r="C75" s="91">
        <f t="shared" ref="C75:AJ75" si="73">ROUND(C18,C59)</f>
        <v>0</v>
      </c>
      <c r="D75" s="91">
        <f t="shared" si="73"/>
        <v>0</v>
      </c>
      <c r="E75" s="91">
        <f t="shared" si="73"/>
        <v>5</v>
      </c>
      <c r="F75" s="91">
        <f t="shared" si="73"/>
        <v>0</v>
      </c>
      <c r="G75" s="91">
        <f t="shared" si="73"/>
        <v>0</v>
      </c>
      <c r="H75" s="91">
        <f t="shared" si="73"/>
        <v>0</v>
      </c>
      <c r="I75" s="91">
        <f t="shared" si="73"/>
        <v>0</v>
      </c>
      <c r="J75" s="91">
        <f t="shared" si="73"/>
        <v>2</v>
      </c>
      <c r="K75" s="91">
        <f t="shared" si="73"/>
        <v>0</v>
      </c>
      <c r="L75" s="91">
        <f t="shared" si="73"/>
        <v>0</v>
      </c>
      <c r="M75" s="91">
        <f t="shared" si="73"/>
        <v>0</v>
      </c>
      <c r="N75" s="88">
        <f>N18</f>
        <v>0</v>
      </c>
      <c r="O75" s="88">
        <f>O18</f>
        <v>0</v>
      </c>
      <c r="P75" s="88">
        <f>P18</f>
        <v>0</v>
      </c>
      <c r="Q75" s="88">
        <f>Q18</f>
        <v>0</v>
      </c>
      <c r="R75" s="88">
        <f>R18</f>
        <v>0</v>
      </c>
      <c r="S75" s="91">
        <f t="shared" si="73"/>
        <v>0</v>
      </c>
      <c r="T75" s="91">
        <f t="shared" si="73"/>
        <v>0</v>
      </c>
      <c r="U75" s="91">
        <f t="shared" si="73"/>
        <v>0</v>
      </c>
      <c r="V75" s="91">
        <f t="shared" si="73"/>
        <v>0</v>
      </c>
      <c r="W75" s="91">
        <f t="shared" si="73"/>
        <v>0</v>
      </c>
      <c r="X75" s="91">
        <f t="shared" si="73"/>
        <v>0</v>
      </c>
      <c r="Y75" s="91">
        <f t="shared" si="73"/>
        <v>0</v>
      </c>
      <c r="Z75" s="91">
        <f t="shared" si="73"/>
        <v>0</v>
      </c>
      <c r="AA75" s="91">
        <f t="shared" si="73"/>
        <v>0</v>
      </c>
      <c r="AB75" s="91">
        <f t="shared" si="73"/>
        <v>0</v>
      </c>
      <c r="AC75" s="91">
        <f t="shared" si="73"/>
        <v>0</v>
      </c>
      <c r="AD75" s="91">
        <f t="shared" si="73"/>
        <v>0</v>
      </c>
      <c r="AE75" s="91">
        <f t="shared" si="73"/>
        <v>0</v>
      </c>
      <c r="AF75" s="91">
        <f t="shared" si="73"/>
        <v>0</v>
      </c>
      <c r="AG75" s="91">
        <f t="shared" si="73"/>
        <v>0</v>
      </c>
      <c r="AH75" s="91">
        <f t="shared" si="73"/>
        <v>0</v>
      </c>
      <c r="AI75" s="91">
        <f t="shared" si="73"/>
        <v>0</v>
      </c>
      <c r="AJ75" s="91">
        <f t="shared" si="73"/>
        <v>0</v>
      </c>
      <c r="AK75" s="91">
        <f t="shared" ref="AK75:AY75" si="74">ROUND(AK18,AK59)</f>
        <v>0</v>
      </c>
      <c r="AL75" s="91">
        <f t="shared" si="74"/>
        <v>0</v>
      </c>
      <c r="AM75" s="91">
        <f t="shared" si="74"/>
        <v>0</v>
      </c>
      <c r="AN75" s="91">
        <f t="shared" si="74"/>
        <v>0</v>
      </c>
      <c r="AO75" s="91">
        <f t="shared" si="74"/>
        <v>0</v>
      </c>
      <c r="AP75" s="91">
        <f t="shared" si="74"/>
        <v>0</v>
      </c>
      <c r="AQ75" s="91">
        <f t="shared" si="74"/>
        <v>0</v>
      </c>
      <c r="AR75" s="91">
        <f t="shared" si="74"/>
        <v>0</v>
      </c>
      <c r="AS75" s="91">
        <f t="shared" si="74"/>
        <v>0</v>
      </c>
      <c r="AT75" s="91">
        <f t="shared" si="74"/>
        <v>0</v>
      </c>
      <c r="AU75" s="91">
        <f t="shared" si="74"/>
        <v>0</v>
      </c>
      <c r="AV75" s="91">
        <f t="shared" si="74"/>
        <v>0</v>
      </c>
      <c r="AW75" s="91">
        <f t="shared" si="74"/>
        <v>0</v>
      </c>
      <c r="AX75" s="91">
        <f t="shared" si="74"/>
        <v>0</v>
      </c>
      <c r="AY75" s="91">
        <f t="shared" si="74"/>
        <v>0</v>
      </c>
      <c r="AZ75" s="91">
        <f t="shared" ref="AZ75:BN75" si="75">ROUND(AZ18,AZ59)</f>
        <v>0</v>
      </c>
      <c r="BA75" s="91">
        <f t="shared" si="75"/>
        <v>0</v>
      </c>
      <c r="BB75" s="91">
        <f t="shared" si="75"/>
        <v>0</v>
      </c>
      <c r="BC75" s="91">
        <f t="shared" si="75"/>
        <v>0</v>
      </c>
      <c r="BD75" s="91">
        <f t="shared" si="75"/>
        <v>0</v>
      </c>
      <c r="BE75" s="91">
        <f t="shared" si="75"/>
        <v>0</v>
      </c>
      <c r="BF75" s="91">
        <f t="shared" si="75"/>
        <v>0</v>
      </c>
      <c r="BG75" s="91">
        <f t="shared" si="75"/>
        <v>0</v>
      </c>
      <c r="BH75" s="91">
        <f t="shared" si="75"/>
        <v>0</v>
      </c>
      <c r="BI75" s="91">
        <f t="shared" si="75"/>
        <v>0</v>
      </c>
      <c r="BJ75" s="91">
        <f t="shared" si="75"/>
        <v>0</v>
      </c>
      <c r="BK75" s="91">
        <f t="shared" si="75"/>
        <v>0</v>
      </c>
      <c r="BL75" s="91">
        <f t="shared" si="75"/>
        <v>0</v>
      </c>
      <c r="BM75" s="91">
        <f t="shared" si="75"/>
        <v>0</v>
      </c>
      <c r="BN75" s="91">
        <f t="shared" si="75"/>
        <v>0</v>
      </c>
    </row>
    <row r="76" spans="1:66">
      <c r="A76" s="245" t="s">
        <v>70</v>
      </c>
      <c r="B76" s="245"/>
      <c r="C76" s="91">
        <f>SUM(C75)</f>
        <v>0</v>
      </c>
      <c r="D76" s="91">
        <f t="shared" ref="D76:K76" si="76">SUM(D75)</f>
        <v>0</v>
      </c>
      <c r="E76" s="91">
        <f t="shared" si="76"/>
        <v>5</v>
      </c>
      <c r="F76" s="91">
        <f t="shared" si="76"/>
        <v>0</v>
      </c>
      <c r="G76" s="91">
        <f t="shared" si="76"/>
        <v>0</v>
      </c>
      <c r="H76" s="91">
        <f t="shared" si="76"/>
        <v>0</v>
      </c>
      <c r="I76" s="91">
        <f t="shared" si="76"/>
        <v>0</v>
      </c>
      <c r="J76" s="91">
        <f t="shared" si="76"/>
        <v>2</v>
      </c>
      <c r="K76" s="91">
        <f t="shared" si="76"/>
        <v>0</v>
      </c>
      <c r="L76" s="91">
        <f t="shared" ref="L76:AJ76" si="77">SUM(L75)</f>
        <v>0</v>
      </c>
      <c r="M76" s="91">
        <f t="shared" si="77"/>
        <v>0</v>
      </c>
      <c r="N76" s="88">
        <f t="shared" si="77"/>
        <v>0</v>
      </c>
      <c r="O76" s="88">
        <f t="shared" si="77"/>
        <v>0</v>
      </c>
      <c r="P76" s="88">
        <f t="shared" si="77"/>
        <v>0</v>
      </c>
      <c r="Q76" s="88">
        <f>SUM(Q75)</f>
        <v>0</v>
      </c>
      <c r="R76" s="88">
        <f t="shared" si="77"/>
        <v>0</v>
      </c>
      <c r="S76" s="91">
        <f t="shared" si="77"/>
        <v>0</v>
      </c>
      <c r="T76" s="91">
        <f t="shared" si="77"/>
        <v>0</v>
      </c>
      <c r="U76" s="91">
        <f t="shared" si="77"/>
        <v>0</v>
      </c>
      <c r="V76" s="91">
        <f t="shared" si="77"/>
        <v>0</v>
      </c>
      <c r="W76" s="91">
        <f t="shared" si="77"/>
        <v>0</v>
      </c>
      <c r="X76" s="91">
        <f t="shared" si="77"/>
        <v>0</v>
      </c>
      <c r="Y76" s="91">
        <f t="shared" si="77"/>
        <v>0</v>
      </c>
      <c r="Z76" s="91">
        <f t="shared" si="77"/>
        <v>0</v>
      </c>
      <c r="AA76" s="91">
        <f t="shared" si="77"/>
        <v>0</v>
      </c>
      <c r="AB76" s="91">
        <f t="shared" si="77"/>
        <v>0</v>
      </c>
      <c r="AC76" s="91">
        <f t="shared" si="77"/>
        <v>0</v>
      </c>
      <c r="AD76" s="91">
        <f t="shared" si="77"/>
        <v>0</v>
      </c>
      <c r="AE76" s="91">
        <f t="shared" si="77"/>
        <v>0</v>
      </c>
      <c r="AF76" s="91">
        <f t="shared" si="77"/>
        <v>0</v>
      </c>
      <c r="AG76" s="91">
        <f t="shared" si="77"/>
        <v>0</v>
      </c>
      <c r="AH76" s="91">
        <f t="shared" si="77"/>
        <v>0</v>
      </c>
      <c r="AI76" s="91">
        <f t="shared" si="77"/>
        <v>0</v>
      </c>
      <c r="AJ76" s="91">
        <f t="shared" si="77"/>
        <v>0</v>
      </c>
      <c r="AK76" s="91">
        <f t="shared" ref="AK76:AY76" si="78">SUM(AK75)</f>
        <v>0</v>
      </c>
      <c r="AL76" s="91">
        <f t="shared" si="78"/>
        <v>0</v>
      </c>
      <c r="AM76" s="91">
        <f t="shared" si="78"/>
        <v>0</v>
      </c>
      <c r="AN76" s="91">
        <f t="shared" si="78"/>
        <v>0</v>
      </c>
      <c r="AO76" s="91">
        <f t="shared" si="78"/>
        <v>0</v>
      </c>
      <c r="AP76" s="91">
        <f t="shared" si="78"/>
        <v>0</v>
      </c>
      <c r="AQ76" s="91">
        <f t="shared" si="78"/>
        <v>0</v>
      </c>
      <c r="AR76" s="91">
        <f t="shared" si="78"/>
        <v>0</v>
      </c>
      <c r="AS76" s="91">
        <f t="shared" si="78"/>
        <v>0</v>
      </c>
      <c r="AT76" s="91">
        <f t="shared" si="78"/>
        <v>0</v>
      </c>
      <c r="AU76" s="91">
        <f t="shared" si="78"/>
        <v>0</v>
      </c>
      <c r="AV76" s="91">
        <f t="shared" si="78"/>
        <v>0</v>
      </c>
      <c r="AW76" s="91">
        <f t="shared" si="78"/>
        <v>0</v>
      </c>
      <c r="AX76" s="91">
        <f t="shared" si="78"/>
        <v>0</v>
      </c>
      <c r="AY76" s="91">
        <f t="shared" si="78"/>
        <v>0</v>
      </c>
      <c r="AZ76" s="91">
        <f t="shared" ref="AZ76:BN76" si="79">SUM(AZ75)</f>
        <v>0</v>
      </c>
      <c r="BA76" s="91">
        <f t="shared" si="79"/>
        <v>0</v>
      </c>
      <c r="BB76" s="91">
        <f t="shared" si="79"/>
        <v>0</v>
      </c>
      <c r="BC76" s="91">
        <f t="shared" si="79"/>
        <v>0</v>
      </c>
      <c r="BD76" s="91">
        <f t="shared" si="79"/>
        <v>0</v>
      </c>
      <c r="BE76" s="91">
        <f t="shared" si="79"/>
        <v>0</v>
      </c>
      <c r="BF76" s="91">
        <f t="shared" si="79"/>
        <v>0</v>
      </c>
      <c r="BG76" s="91">
        <f t="shared" si="79"/>
        <v>0</v>
      </c>
      <c r="BH76" s="91">
        <f t="shared" si="79"/>
        <v>0</v>
      </c>
      <c r="BI76" s="91">
        <f t="shared" si="79"/>
        <v>0</v>
      </c>
      <c r="BJ76" s="91">
        <f t="shared" si="79"/>
        <v>0</v>
      </c>
      <c r="BK76" s="91">
        <f t="shared" si="79"/>
        <v>0</v>
      </c>
      <c r="BL76" s="91">
        <f t="shared" si="79"/>
        <v>0</v>
      </c>
      <c r="BM76" s="91">
        <f t="shared" si="79"/>
        <v>0</v>
      </c>
      <c r="BN76" s="91">
        <f t="shared" si="79"/>
        <v>0</v>
      </c>
    </row>
    <row r="77" spans="1:66"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88"/>
      <c r="O77" s="88"/>
      <c r="P77" s="88"/>
      <c r="Q77" s="88"/>
      <c r="R77" s="8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</row>
    <row r="78" spans="1:66"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88"/>
      <c r="O78" s="88"/>
      <c r="P78" s="88"/>
      <c r="Q78" s="88"/>
      <c r="R78" s="8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</row>
    <row r="79" spans="1:66">
      <c r="A79" s="78" t="s">
        <v>38</v>
      </c>
      <c r="C79" s="91">
        <f>-C63-C68-C72+C76</f>
        <v>-93</v>
      </c>
      <c r="D79" s="91">
        <f t="shared" ref="D79:K79" si="80">-D63-D68-D72+D76</f>
        <v>-72</v>
      </c>
      <c r="E79" s="91">
        <f t="shared" si="80"/>
        <v>-18</v>
      </c>
      <c r="F79" s="91">
        <f t="shared" si="80"/>
        <v>-3</v>
      </c>
      <c r="G79" s="91">
        <f t="shared" si="80"/>
        <v>-56</v>
      </c>
      <c r="H79" s="91">
        <f t="shared" si="80"/>
        <v>-298</v>
      </c>
      <c r="I79" s="91">
        <f t="shared" si="80"/>
        <v>-333</v>
      </c>
      <c r="J79" s="91">
        <f>-J63-J68-J72+J76</f>
        <v>-123</v>
      </c>
      <c r="K79" s="91">
        <f t="shared" si="80"/>
        <v>-14</v>
      </c>
      <c r="L79" s="91">
        <f t="shared" ref="L79:AJ79" si="81">-L63-L68-L72+L76</f>
        <v>0</v>
      </c>
      <c r="M79" s="92">
        <f t="shared" si="81"/>
        <v>-4.58</v>
      </c>
      <c r="N79" s="88">
        <f t="shared" si="81"/>
        <v>0</v>
      </c>
      <c r="O79" s="88">
        <f t="shared" si="81"/>
        <v>0</v>
      </c>
      <c r="P79" s="88">
        <f t="shared" si="81"/>
        <v>-81.5</v>
      </c>
      <c r="Q79" s="88">
        <f>-Q63-Q68-Q72+Q76</f>
        <v>-2</v>
      </c>
      <c r="R79" s="88">
        <f t="shared" si="81"/>
        <v>-2.7192999999999998E-2</v>
      </c>
      <c r="S79" s="91">
        <f t="shared" si="81"/>
        <v>-1</v>
      </c>
      <c r="T79" s="91">
        <f t="shared" si="81"/>
        <v>-2</v>
      </c>
      <c r="U79" s="91">
        <f t="shared" si="81"/>
        <v>0</v>
      </c>
      <c r="V79" s="91">
        <f t="shared" si="81"/>
        <v>0</v>
      </c>
      <c r="W79" s="91">
        <f t="shared" si="81"/>
        <v>0</v>
      </c>
      <c r="X79" s="91">
        <f t="shared" si="81"/>
        <v>0</v>
      </c>
      <c r="Y79" s="91">
        <f t="shared" si="81"/>
        <v>0</v>
      </c>
      <c r="Z79" s="91">
        <f t="shared" si="81"/>
        <v>0</v>
      </c>
      <c r="AA79" s="91">
        <f t="shared" si="81"/>
        <v>0</v>
      </c>
      <c r="AB79" s="91">
        <f t="shared" si="81"/>
        <v>0</v>
      </c>
      <c r="AC79" s="91">
        <f t="shared" si="81"/>
        <v>0</v>
      </c>
      <c r="AD79" s="91">
        <f t="shared" si="81"/>
        <v>0</v>
      </c>
      <c r="AE79" s="91">
        <f t="shared" si="81"/>
        <v>0</v>
      </c>
      <c r="AF79" s="91">
        <f t="shared" si="81"/>
        <v>0</v>
      </c>
      <c r="AG79" s="91">
        <f t="shared" si="81"/>
        <v>0</v>
      </c>
      <c r="AH79" s="91">
        <f t="shared" si="81"/>
        <v>0</v>
      </c>
      <c r="AI79" s="91">
        <f t="shared" si="81"/>
        <v>0</v>
      </c>
      <c r="AJ79" s="91">
        <f t="shared" si="81"/>
        <v>0</v>
      </c>
      <c r="AK79" s="91">
        <f t="shared" ref="AK79:AY79" si="82">-AK63-AK68-AK72+AK76</f>
        <v>0</v>
      </c>
      <c r="AL79" s="91">
        <f t="shared" si="82"/>
        <v>0</v>
      </c>
      <c r="AM79" s="91">
        <f t="shared" si="82"/>
        <v>0</v>
      </c>
      <c r="AN79" s="91">
        <f t="shared" si="82"/>
        <v>0</v>
      </c>
      <c r="AO79" s="91">
        <f t="shared" si="82"/>
        <v>0</v>
      </c>
      <c r="AP79" s="91">
        <f t="shared" si="82"/>
        <v>0</v>
      </c>
      <c r="AQ79" s="91">
        <f t="shared" si="82"/>
        <v>0</v>
      </c>
      <c r="AR79" s="91">
        <f t="shared" si="82"/>
        <v>0</v>
      </c>
      <c r="AS79" s="91">
        <f t="shared" si="82"/>
        <v>0</v>
      </c>
      <c r="AT79" s="91">
        <f t="shared" si="82"/>
        <v>0</v>
      </c>
      <c r="AU79" s="91">
        <f t="shared" si="82"/>
        <v>0</v>
      </c>
      <c r="AV79" s="91">
        <f t="shared" si="82"/>
        <v>0</v>
      </c>
      <c r="AW79" s="91">
        <f t="shared" si="82"/>
        <v>0</v>
      </c>
      <c r="AX79" s="91">
        <f t="shared" si="82"/>
        <v>0</v>
      </c>
      <c r="AY79" s="91">
        <f t="shared" si="82"/>
        <v>0</v>
      </c>
      <c r="AZ79" s="91">
        <f t="shared" ref="AZ79:BN79" si="83">-AZ63-AZ68-AZ72+AZ76</f>
        <v>0</v>
      </c>
      <c r="BA79" s="91">
        <f t="shared" si="83"/>
        <v>0</v>
      </c>
      <c r="BB79" s="91">
        <f t="shared" si="83"/>
        <v>0</v>
      </c>
      <c r="BC79" s="91">
        <f t="shared" si="83"/>
        <v>0</v>
      </c>
      <c r="BD79" s="91">
        <f t="shared" si="83"/>
        <v>0</v>
      </c>
      <c r="BE79" s="91">
        <f t="shared" si="83"/>
        <v>0</v>
      </c>
      <c r="BF79" s="91">
        <f t="shared" si="83"/>
        <v>0</v>
      </c>
      <c r="BG79" s="91">
        <f t="shared" si="83"/>
        <v>0</v>
      </c>
      <c r="BH79" s="91">
        <f t="shared" si="83"/>
        <v>0</v>
      </c>
      <c r="BI79" s="91">
        <f t="shared" si="83"/>
        <v>0</v>
      </c>
      <c r="BJ79" s="91">
        <f t="shared" si="83"/>
        <v>0</v>
      </c>
      <c r="BK79" s="91">
        <f t="shared" si="83"/>
        <v>0</v>
      </c>
      <c r="BL79" s="91">
        <f t="shared" si="83"/>
        <v>0</v>
      </c>
      <c r="BM79" s="91">
        <f t="shared" si="83"/>
        <v>0</v>
      </c>
      <c r="BN79" s="91">
        <f t="shared" si="83"/>
        <v>0</v>
      </c>
    </row>
    <row r="80" spans="1:66" ht="13.5" customHeight="1"/>
    <row r="81" spans="1:66" s="184" customFormat="1" ht="15.75" thickBot="1"/>
    <row r="82" spans="1:66" ht="15.75" thickTop="1"/>
    <row r="83" spans="1:66">
      <c r="A83" s="97"/>
      <c r="I83" s="178"/>
      <c r="J83" s="178"/>
      <c r="K83" s="178"/>
      <c r="L83" s="178"/>
    </row>
    <row r="84" spans="1:66">
      <c r="I84" s="178"/>
      <c r="J84" s="178"/>
      <c r="K84" s="246"/>
      <c r="L84" s="246"/>
    </row>
    <row r="85" spans="1:66">
      <c r="H85" s="178"/>
      <c r="I85" s="178"/>
      <c r="J85" s="178"/>
      <c r="K85" s="246"/>
      <c r="L85" s="246"/>
    </row>
    <row r="86" spans="1:66">
      <c r="B86" s="185" t="s">
        <v>173</v>
      </c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</row>
    <row r="87" spans="1:66" outlineLevel="1">
      <c r="B87" s="186" t="s">
        <v>75</v>
      </c>
      <c r="C87" s="704">
        <v>70.900000000000006</v>
      </c>
      <c r="D87" s="704">
        <v>67.89</v>
      </c>
      <c r="E87" s="704">
        <v>72.5</v>
      </c>
      <c r="F87" s="704">
        <v>71.540000000000006</v>
      </c>
      <c r="G87" s="292">
        <v>65</v>
      </c>
      <c r="H87" s="704">
        <v>56</v>
      </c>
      <c r="I87" s="705">
        <v>50.24</v>
      </c>
      <c r="J87" s="704">
        <v>48.98</v>
      </c>
      <c r="K87" s="704">
        <v>42.86</v>
      </c>
      <c r="L87" s="292">
        <v>37.6</v>
      </c>
      <c r="M87" s="292">
        <v>33.6</v>
      </c>
      <c r="N87" s="704">
        <v>30.2</v>
      </c>
      <c r="O87" s="706">
        <v>27.23</v>
      </c>
      <c r="P87" s="707">
        <v>23.2</v>
      </c>
      <c r="Q87" s="708">
        <v>21.4</v>
      </c>
      <c r="R87" s="708">
        <v>19.7</v>
      </c>
      <c r="S87" s="709">
        <v>18.8</v>
      </c>
      <c r="T87" s="710">
        <v>18.600000000000001</v>
      </c>
      <c r="U87" s="709">
        <v>19.2</v>
      </c>
      <c r="V87" s="709">
        <v>18.8</v>
      </c>
      <c r="W87" s="709">
        <v>17.600000000000001</v>
      </c>
      <c r="X87" s="709">
        <v>16.600000000000001</v>
      </c>
      <c r="Y87" s="709">
        <v>15.17979401871</v>
      </c>
      <c r="Z87" s="709">
        <v>17.441832088067201</v>
      </c>
      <c r="AA87" s="709">
        <v>18.8617119748471</v>
      </c>
      <c r="AB87" s="709">
        <v>17.866654979368398</v>
      </c>
      <c r="AC87" s="709">
        <v>17.565510594505099</v>
      </c>
      <c r="AD87" s="709">
        <v>15.779605106785001</v>
      </c>
      <c r="AE87" s="709">
        <v>17.715409461137401</v>
      </c>
      <c r="AF87" s="709">
        <v>17.948733356118701</v>
      </c>
      <c r="AG87" s="709">
        <v>16.406326786001902</v>
      </c>
      <c r="AH87" s="709">
        <v>14.997435396197201</v>
      </c>
      <c r="AI87" s="709">
        <v>12.958050936633301</v>
      </c>
      <c r="AJ87" s="709">
        <v>12.045540162544301</v>
      </c>
      <c r="AK87" s="709">
        <v>10.966561474301001</v>
      </c>
      <c r="AL87" s="709">
        <v>10.5009920416949</v>
      </c>
      <c r="AM87" s="709">
        <v>10.3004873305721</v>
      </c>
      <c r="AN87" s="709">
        <v>10.2864274310233</v>
      </c>
      <c r="AO87" s="709">
        <v>9.6791285506161309</v>
      </c>
      <c r="AP87" s="709">
        <v>9.4496687161925603</v>
      </c>
      <c r="AQ87" s="709">
        <v>9.1122837218698294</v>
      </c>
      <c r="AR87" s="709">
        <v>8.7858505066866304</v>
      </c>
      <c r="AS87" s="709">
        <v>8.4638827345730796</v>
      </c>
      <c r="AT87" s="709">
        <v>8.0808393575765098</v>
      </c>
      <c r="AU87" s="709">
        <v>7.31430044450103</v>
      </c>
      <c r="AV87" s="709">
        <v>6.8727205477733504</v>
      </c>
      <c r="AW87" s="709">
        <v>6.4922563083065201</v>
      </c>
      <c r="AX87" s="709">
        <v>6.1261490056323398</v>
      </c>
      <c r="AY87" s="709">
        <v>5.7027728320658397</v>
      </c>
      <c r="AZ87" s="709">
        <v>5.4401774504109097</v>
      </c>
      <c r="BA87" s="709">
        <v>5.10735838196375</v>
      </c>
      <c r="BB87" s="709">
        <v>4.8729088021131899</v>
      </c>
      <c r="BC87" s="709">
        <v>4.9045719107574097</v>
      </c>
      <c r="BD87" s="709">
        <v>4.7034301318171297</v>
      </c>
      <c r="BE87" s="315">
        <v>4.2268974919355502</v>
      </c>
      <c r="BF87" s="315">
        <v>4.1163055368558403</v>
      </c>
      <c r="BG87" s="315">
        <v>3.9350099730707502</v>
      </c>
      <c r="BH87" s="315">
        <v>3.8411150962348599</v>
      </c>
      <c r="BI87" s="315">
        <v>3.6831265339683599</v>
      </c>
      <c r="BJ87" s="315">
        <v>3.5752508610610501</v>
      </c>
      <c r="BK87" s="315">
        <v>3.44590341001601</v>
      </c>
      <c r="BL87" s="315">
        <v>3.3301616184760001</v>
      </c>
      <c r="BM87" s="315">
        <v>3.21559240190581</v>
      </c>
      <c r="BN87" s="315">
        <v>3.1099786548717598</v>
      </c>
    </row>
    <row r="88" spans="1:66" outlineLevel="1">
      <c r="B88" s="186" t="s">
        <v>76</v>
      </c>
      <c r="C88" s="704">
        <v>14.3</v>
      </c>
      <c r="D88" s="704">
        <v>16.2593984962406</v>
      </c>
      <c r="E88" s="704">
        <v>20.839506172839506</v>
      </c>
      <c r="F88" s="704">
        <v>21.514851485148512</v>
      </c>
      <c r="G88" s="292">
        <v>22</v>
      </c>
      <c r="H88" s="704">
        <v>22</v>
      </c>
      <c r="I88" s="711">
        <v>24</v>
      </c>
      <c r="J88" s="704">
        <v>24.96</v>
      </c>
      <c r="K88" s="712">
        <v>28.1</v>
      </c>
      <c r="L88" s="292">
        <v>33.799999999999997</v>
      </c>
      <c r="M88" s="292">
        <v>32.5</v>
      </c>
      <c r="N88" s="704">
        <v>34.700000000000003</v>
      </c>
      <c r="O88" s="706">
        <v>35.369999999999997</v>
      </c>
      <c r="P88" s="704">
        <v>39.5</v>
      </c>
      <c r="Q88" s="708">
        <v>32.9</v>
      </c>
      <c r="R88" s="708">
        <v>36</v>
      </c>
      <c r="S88" s="709">
        <v>36.1</v>
      </c>
      <c r="T88" s="709">
        <v>35.4</v>
      </c>
      <c r="U88" s="709">
        <v>36</v>
      </c>
      <c r="V88" s="709">
        <v>39</v>
      </c>
      <c r="W88" s="709">
        <v>37.700000000000003</v>
      </c>
      <c r="X88" s="709">
        <v>37.6</v>
      </c>
      <c r="Y88" s="709">
        <v>36.539206849959498</v>
      </c>
      <c r="Z88" s="709">
        <v>35.360923009788998</v>
      </c>
      <c r="AA88" s="709">
        <v>36.6252644076216</v>
      </c>
      <c r="AB88" s="709">
        <v>38.886194369748097</v>
      </c>
      <c r="AC88" s="709">
        <v>36.426429497990199</v>
      </c>
      <c r="AD88" s="709">
        <v>38.018383910225097</v>
      </c>
      <c r="AE88" s="709">
        <v>37.862590182517899</v>
      </c>
      <c r="AF88" s="709">
        <v>39.1613073533997</v>
      </c>
      <c r="AG88" s="709">
        <v>39.333856128198498</v>
      </c>
      <c r="AH88" s="709">
        <v>38.577351947843802</v>
      </c>
      <c r="AI88" s="709">
        <v>36.484965662540098</v>
      </c>
      <c r="AJ88" s="709">
        <v>34.633923179807397</v>
      </c>
      <c r="AK88" s="709">
        <v>32.9169821696279</v>
      </c>
      <c r="AL88" s="709">
        <v>31.654231726470901</v>
      </c>
      <c r="AM88" s="709">
        <v>30.142182248972599</v>
      </c>
      <c r="AN88" s="709">
        <v>28.689060281647802</v>
      </c>
      <c r="AO88" s="709">
        <v>26.402398676099999</v>
      </c>
      <c r="AP88" s="709">
        <v>24.8661965064118</v>
      </c>
      <c r="AQ88" s="709">
        <v>23.105524373606599</v>
      </c>
      <c r="AR88" s="709">
        <v>20.847348885411101</v>
      </c>
      <c r="AS88" s="709">
        <v>18.505079270031601</v>
      </c>
      <c r="AT88" s="709">
        <v>17.050676276115901</v>
      </c>
      <c r="AU88" s="709">
        <v>15.1118646784121</v>
      </c>
      <c r="AV88" s="709">
        <v>14.0305911530725</v>
      </c>
      <c r="AW88" s="709">
        <v>12.876075672840599</v>
      </c>
      <c r="AX88" s="709">
        <v>11.8463748289468</v>
      </c>
      <c r="AY88" s="709">
        <v>10.6423861360147</v>
      </c>
      <c r="AZ88" s="709">
        <v>9.4441902557953608</v>
      </c>
      <c r="BA88" s="709">
        <v>8.4529570867624404</v>
      </c>
      <c r="BB88" s="709">
        <v>7.5951746797779203</v>
      </c>
      <c r="BC88" s="709">
        <v>6.7412078447125801</v>
      </c>
      <c r="BD88" s="709">
        <v>5.7171618715822197</v>
      </c>
      <c r="BE88" s="315">
        <v>4.7713374122641801</v>
      </c>
      <c r="BF88" s="315">
        <v>4.2277512666637698</v>
      </c>
      <c r="BG88" s="315">
        <v>3.94321807045434</v>
      </c>
      <c r="BH88" s="315">
        <v>3.8133477942004301</v>
      </c>
      <c r="BI88" s="315">
        <v>3.7369100285392101</v>
      </c>
      <c r="BJ88" s="315">
        <v>3.63207035960346</v>
      </c>
      <c r="BK88" s="315">
        <v>3.5309486511510002</v>
      </c>
      <c r="BL88" s="315">
        <v>3.4052873410778202</v>
      </c>
      <c r="BM88" s="315">
        <v>3.30914498029765</v>
      </c>
      <c r="BN88" s="315">
        <v>3.2076142937102801</v>
      </c>
    </row>
    <row r="89" spans="1:66" outlineLevel="1">
      <c r="B89" s="186" t="s">
        <v>77</v>
      </c>
      <c r="C89" s="704">
        <v>1.7</v>
      </c>
      <c r="D89" s="704">
        <v>2.63</v>
      </c>
      <c r="E89" s="704">
        <v>1.2</v>
      </c>
      <c r="F89" s="704">
        <v>4.87</v>
      </c>
      <c r="G89" s="292">
        <v>3.8</v>
      </c>
      <c r="H89" s="704">
        <v>3.9</v>
      </c>
      <c r="I89" s="712">
        <v>4.3899999999999997</v>
      </c>
      <c r="J89" s="704">
        <v>4.22</v>
      </c>
      <c r="K89" s="704">
        <v>4.49</v>
      </c>
      <c r="L89" s="292">
        <v>5.4</v>
      </c>
      <c r="M89" s="292">
        <v>4</v>
      </c>
      <c r="N89" s="704">
        <v>4</v>
      </c>
      <c r="O89" s="706">
        <v>4.7319999999999993</v>
      </c>
      <c r="P89" s="704">
        <v>4.5999999999999996</v>
      </c>
      <c r="Q89" s="704">
        <v>4.8</v>
      </c>
      <c r="R89" s="704">
        <v>5.4</v>
      </c>
      <c r="S89" s="709">
        <v>4.8</v>
      </c>
      <c r="T89" s="710">
        <v>5.6</v>
      </c>
      <c r="U89" s="709">
        <v>5.2</v>
      </c>
      <c r="V89" s="709">
        <v>5.2</v>
      </c>
      <c r="W89" s="709">
        <v>4.8</v>
      </c>
      <c r="X89" s="709">
        <v>4.9000000000000004</v>
      </c>
      <c r="Y89" s="709">
        <v>4.5944199052488797</v>
      </c>
      <c r="Z89" s="709">
        <v>4.2099223663668202</v>
      </c>
      <c r="AA89" s="709">
        <v>3.4439169496601498</v>
      </c>
      <c r="AB89" s="709">
        <v>2.8218265470211601</v>
      </c>
      <c r="AC89" s="709">
        <v>2.94970163711888</v>
      </c>
      <c r="AD89" s="709">
        <v>3.0887218132085201</v>
      </c>
      <c r="AE89" s="709">
        <v>2.6109751059272299</v>
      </c>
      <c r="AF89" s="709">
        <v>2.6784610615751698</v>
      </c>
      <c r="AG89" s="709">
        <v>2.55724857746441</v>
      </c>
      <c r="AH89" s="709">
        <v>2.2439141052249201</v>
      </c>
      <c r="AI89" s="709">
        <v>2.1310550557230301</v>
      </c>
      <c r="AJ89" s="709">
        <v>2.03062163428035</v>
      </c>
      <c r="AK89" s="709">
        <v>2.08111380897367</v>
      </c>
      <c r="AL89" s="709">
        <v>2.12029767962464</v>
      </c>
      <c r="AM89" s="709">
        <v>1.89351660754427</v>
      </c>
      <c r="AN89" s="709">
        <v>1.5587772553822601</v>
      </c>
      <c r="AO89" s="709">
        <v>1.28899444984066</v>
      </c>
      <c r="AP89" s="709">
        <v>1.25277438513499</v>
      </c>
      <c r="AQ89" s="709">
        <v>1.2042176800889299</v>
      </c>
      <c r="AR89" s="709">
        <v>1.1308098557425199</v>
      </c>
      <c r="AS89" s="709">
        <v>1.0535176135845199</v>
      </c>
      <c r="AT89" s="709">
        <v>0.99043305597811904</v>
      </c>
      <c r="AU89" s="709">
        <v>0.956173527509107</v>
      </c>
      <c r="AV89" s="709">
        <v>0.93486634503972998</v>
      </c>
      <c r="AW89" s="709">
        <v>0.89191726094153301</v>
      </c>
      <c r="AX89" s="713">
        <v>0.836238567807427</v>
      </c>
      <c r="AY89" s="713">
        <v>0.79189874229304202</v>
      </c>
      <c r="AZ89" s="713">
        <v>0.74843053139294302</v>
      </c>
      <c r="BA89" s="713">
        <v>0.68171574946491498</v>
      </c>
      <c r="BB89" s="713">
        <v>0.64024244677818898</v>
      </c>
      <c r="BC89" s="713">
        <v>0.58420278215319699</v>
      </c>
      <c r="BD89" s="713">
        <v>0.498316300458295</v>
      </c>
      <c r="BE89" s="315">
        <v>0.43535389866207203</v>
      </c>
      <c r="BF89" s="315">
        <v>0.39573997977291903</v>
      </c>
      <c r="BG89" s="315">
        <v>0.34309183200411902</v>
      </c>
      <c r="BH89" s="315">
        <v>0.29034667991643298</v>
      </c>
      <c r="BI89" s="315">
        <v>0.246364635941695</v>
      </c>
      <c r="BJ89" s="315">
        <v>0.185503695194702</v>
      </c>
      <c r="BK89" s="315">
        <v>0.13620385428874199</v>
      </c>
      <c r="BL89" s="315">
        <v>7.9059315487970905E-2</v>
      </c>
      <c r="BM89" s="315">
        <v>2.5807919642889299E-2</v>
      </c>
      <c r="BN89" s="315">
        <v>1.9557774152360201E-9</v>
      </c>
    </row>
    <row r="90" spans="1:66">
      <c r="B90" s="186" t="s">
        <v>78</v>
      </c>
      <c r="C90" s="92">
        <f t="shared" ref="C90:AJ90" si="84">SUM(C87:C89)</f>
        <v>86.9</v>
      </c>
      <c r="D90" s="92">
        <f t="shared" si="84"/>
        <v>86.779398496240589</v>
      </c>
      <c r="E90" s="92">
        <f t="shared" si="84"/>
        <v>94.539506172839509</v>
      </c>
      <c r="F90" s="92">
        <f t="shared" si="84"/>
        <v>97.924851485148523</v>
      </c>
      <c r="G90" s="92">
        <f t="shared" si="84"/>
        <v>90.8</v>
      </c>
      <c r="H90" s="92">
        <f t="shared" si="84"/>
        <v>81.900000000000006</v>
      </c>
      <c r="I90" s="92">
        <f t="shared" si="84"/>
        <v>78.63000000000001</v>
      </c>
      <c r="J90" s="92">
        <f t="shared" si="84"/>
        <v>78.16</v>
      </c>
      <c r="K90" s="92">
        <f t="shared" si="84"/>
        <v>75.45</v>
      </c>
      <c r="L90" s="92">
        <f t="shared" si="84"/>
        <v>76.800000000000011</v>
      </c>
      <c r="M90" s="92">
        <f t="shared" si="84"/>
        <v>70.099999999999994</v>
      </c>
      <c r="N90" s="92">
        <f t="shared" si="84"/>
        <v>68.900000000000006</v>
      </c>
      <c r="O90" s="92">
        <f t="shared" si="84"/>
        <v>67.331999999999994</v>
      </c>
      <c r="P90" s="92">
        <f t="shared" si="84"/>
        <v>67.3</v>
      </c>
      <c r="Q90" s="92">
        <f t="shared" si="84"/>
        <v>59.099999999999994</v>
      </c>
      <c r="R90" s="92">
        <f t="shared" si="84"/>
        <v>61.1</v>
      </c>
      <c r="S90" s="92">
        <f t="shared" si="84"/>
        <v>59.7</v>
      </c>
      <c r="T90" s="92">
        <f t="shared" si="84"/>
        <v>59.6</v>
      </c>
      <c r="U90" s="92">
        <f t="shared" si="84"/>
        <v>60.400000000000006</v>
      </c>
      <c r="V90" s="92">
        <f t="shared" si="84"/>
        <v>63</v>
      </c>
      <c r="W90" s="92">
        <f t="shared" si="84"/>
        <v>60.1</v>
      </c>
      <c r="X90" s="92">
        <f t="shared" si="84"/>
        <v>59.1</v>
      </c>
      <c r="Y90" s="92">
        <f t="shared" si="84"/>
        <v>56.313420773918374</v>
      </c>
      <c r="Z90" s="92">
        <f t="shared" si="84"/>
        <v>57.012677464223017</v>
      </c>
      <c r="AA90" s="92">
        <f t="shared" si="84"/>
        <v>58.930893332128846</v>
      </c>
      <c r="AB90" s="92">
        <f t="shared" si="84"/>
        <v>59.574675896137656</v>
      </c>
      <c r="AC90" s="92">
        <f t="shared" si="84"/>
        <v>56.941641729614176</v>
      </c>
      <c r="AD90" s="92">
        <f t="shared" si="84"/>
        <v>56.886710830218618</v>
      </c>
      <c r="AE90" s="92">
        <f t="shared" si="84"/>
        <v>58.188974749582535</v>
      </c>
      <c r="AF90" s="92">
        <f t="shared" si="84"/>
        <v>59.788501771093571</v>
      </c>
      <c r="AG90" s="92">
        <f t="shared" si="84"/>
        <v>58.29743149166481</v>
      </c>
      <c r="AH90" s="92">
        <f t="shared" si="84"/>
        <v>55.818701449265916</v>
      </c>
      <c r="AI90" s="92">
        <f t="shared" si="84"/>
        <v>51.574071654896429</v>
      </c>
      <c r="AJ90" s="92">
        <f t="shared" si="84"/>
        <v>48.710084976632047</v>
      </c>
      <c r="AK90" s="92">
        <f t="shared" ref="AK90:BD90" si="85">SUM(AK87:AK89)</f>
        <v>45.964657452902571</v>
      </c>
      <c r="AL90" s="92">
        <f t="shared" si="85"/>
        <v>44.275521447790439</v>
      </c>
      <c r="AM90" s="92">
        <f t="shared" si="85"/>
        <v>42.33618618708897</v>
      </c>
      <c r="AN90" s="92">
        <f t="shared" si="85"/>
        <v>40.534264968053364</v>
      </c>
      <c r="AO90" s="92">
        <f t="shared" si="85"/>
        <v>37.370521676556791</v>
      </c>
      <c r="AP90" s="92">
        <f t="shared" si="85"/>
        <v>35.56863960773935</v>
      </c>
      <c r="AQ90" s="92">
        <f t="shared" si="85"/>
        <v>33.422025775565359</v>
      </c>
      <c r="AR90" s="92">
        <f t="shared" si="85"/>
        <v>30.764009247840249</v>
      </c>
      <c r="AS90" s="92">
        <f t="shared" si="85"/>
        <v>28.022479618189202</v>
      </c>
      <c r="AT90" s="92">
        <f t="shared" si="85"/>
        <v>26.121948689670528</v>
      </c>
      <c r="AU90" s="92">
        <f t="shared" si="85"/>
        <v>23.382338650422238</v>
      </c>
      <c r="AV90" s="92">
        <f t="shared" si="85"/>
        <v>21.838178045885581</v>
      </c>
      <c r="AW90" s="92">
        <f t="shared" si="85"/>
        <v>20.260249242088651</v>
      </c>
      <c r="AX90" s="92">
        <f t="shared" si="85"/>
        <v>18.808762402386566</v>
      </c>
      <c r="AY90" s="92">
        <f t="shared" si="85"/>
        <v>17.137057710373583</v>
      </c>
      <c r="AZ90" s="92">
        <f t="shared" si="85"/>
        <v>15.632798237599212</v>
      </c>
      <c r="BA90" s="92">
        <f t="shared" si="85"/>
        <v>14.242031218191107</v>
      </c>
      <c r="BB90" s="92">
        <f t="shared" si="85"/>
        <v>13.108325928669299</v>
      </c>
      <c r="BC90" s="92">
        <f t="shared" si="85"/>
        <v>12.229982537623187</v>
      </c>
      <c r="BD90" s="92">
        <f t="shared" si="85"/>
        <v>10.918908303857645</v>
      </c>
      <c r="BE90" s="92">
        <f t="shared" ref="BE90:BN90" si="86">SUM(BE87:BE89)</f>
        <v>9.4335888028618022</v>
      </c>
      <c r="BF90" s="92">
        <f t="shared" si="86"/>
        <v>8.7397967832925296</v>
      </c>
      <c r="BG90" s="92">
        <f t="shared" si="86"/>
        <v>8.2213198755292094</v>
      </c>
      <c r="BH90" s="92">
        <f t="shared" si="86"/>
        <v>7.9448095703517234</v>
      </c>
      <c r="BI90" s="92">
        <f t="shared" si="86"/>
        <v>7.6664011984492646</v>
      </c>
      <c r="BJ90" s="92">
        <f t="shared" si="86"/>
        <v>7.3928249158592116</v>
      </c>
      <c r="BK90" s="92">
        <f t="shared" si="86"/>
        <v>7.1130559154557522</v>
      </c>
      <c r="BL90" s="92">
        <f t="shared" si="86"/>
        <v>6.8145082750417911</v>
      </c>
      <c r="BM90" s="92">
        <f t="shared" si="86"/>
        <v>6.5505453018463493</v>
      </c>
      <c r="BN90" s="92">
        <f t="shared" si="86"/>
        <v>6.3175929505378177</v>
      </c>
    </row>
    <row r="91" spans="1:66">
      <c r="B91" s="187" t="s">
        <v>20</v>
      </c>
      <c r="C91" s="92"/>
      <c r="D91" s="92"/>
      <c r="E91" s="92"/>
      <c r="F91" s="92"/>
      <c r="G91" s="88"/>
      <c r="H91" s="88"/>
      <c r="I91" s="88"/>
      <c r="J91" s="88"/>
      <c r="K91" s="88"/>
      <c r="L91" s="88"/>
    </row>
    <row r="92" spans="1:66">
      <c r="B92" s="187"/>
      <c r="C92" s="100"/>
      <c r="D92" s="100"/>
      <c r="E92" s="100"/>
      <c r="H92" s="88"/>
      <c r="I92" s="88"/>
      <c r="J92" s="88"/>
      <c r="K92" s="88"/>
    </row>
    <row r="93" spans="1:66">
      <c r="B93" s="185" t="s">
        <v>79</v>
      </c>
      <c r="C93" s="80"/>
      <c r="D93" s="80"/>
      <c r="E93" s="80"/>
      <c r="F93" s="86"/>
      <c r="G93" s="86"/>
      <c r="H93" s="86"/>
      <c r="I93" s="86"/>
      <c r="J93" s="86"/>
      <c r="K93" s="86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</row>
    <row r="94" spans="1:66" outlineLevel="1">
      <c r="B94" s="186" t="s">
        <v>8</v>
      </c>
      <c r="C94" s="86">
        <f>KVARTS!B33*C87</f>
        <v>60471.526835890334</v>
      </c>
      <c r="D94" s="86">
        <f>KVARTS!C33*D87</f>
        <v>41229.057907022703</v>
      </c>
      <c r="E94" s="86">
        <f>KVARTS!D33*E87</f>
        <v>61408.17962637265</v>
      </c>
      <c r="F94" s="86">
        <f>KVARTS!E33*F87</f>
        <v>112943.22485740001</v>
      </c>
      <c r="G94" s="86">
        <f>KVARTS!F33*G87</f>
        <v>91170.79595</v>
      </c>
      <c r="H94" s="86">
        <f>KVARTS!G33*H87</f>
        <v>69741.413280000008</v>
      </c>
      <c r="I94" s="86">
        <f>KVARTS!H33*I87</f>
        <v>63516.010934400001</v>
      </c>
      <c r="J94" s="86">
        <f>KVARTS!I33*J87</f>
        <v>78559.097918999993</v>
      </c>
      <c r="K94" s="86">
        <f>KVARTS!J33*K87</f>
        <v>95701.346093000015</v>
      </c>
      <c r="L94" s="86">
        <f>KVARTS!K33*L87</f>
        <v>100038.170088</v>
      </c>
      <c r="M94" s="86">
        <f>KVARTS!L33*M87</f>
        <v>89818.486799999999</v>
      </c>
      <c r="N94" s="86">
        <f>KVARTS!M33*N87</f>
        <v>105613.457672</v>
      </c>
      <c r="O94" s="86">
        <f>KVARTS!N33*O87</f>
        <v>66967.166783299996</v>
      </c>
      <c r="P94" s="86">
        <f>KVARTS!O33*P87</f>
        <v>70772.942120000007</v>
      </c>
      <c r="Q94" s="86">
        <f>KVARTS!P33*Q87</f>
        <v>83722.402948000003</v>
      </c>
      <c r="R94" s="86">
        <f>KVARTS!Q33*R87</f>
        <v>80541.017050000009</v>
      </c>
      <c r="S94" s="86">
        <f>KVARTS!R33*S87</f>
        <v>75560.745492000002</v>
      </c>
      <c r="T94" s="86">
        <f>KVARTS!S33*T87</f>
        <v>73353.022182000001</v>
      </c>
      <c r="U94" s="86">
        <f>KVARTS!T33*U87</f>
        <v>52049.435711999999</v>
      </c>
      <c r="V94" s="86">
        <f>KVARTS!U33*V87</f>
        <v>44816.154212000001</v>
      </c>
      <c r="W94" s="86">
        <f>KVARTS!V33*W87</f>
        <v>50036.696512000002</v>
      </c>
      <c r="X94" s="86">
        <f>KVARTS!W33*X87</f>
        <v>60871.523218000002</v>
      </c>
      <c r="Y94" s="86">
        <f>KVARTS!X33*Y87</f>
        <v>53849.603402287801</v>
      </c>
      <c r="Z94" s="86">
        <f>KVARTS!Y33*Z87</f>
        <v>44650.264623539311</v>
      </c>
      <c r="AA94" s="86">
        <f>KVARTS!Z33*AA87</f>
        <v>72249.680019276449</v>
      </c>
      <c r="AB94" s="86">
        <f>KVARTS!AA33*AB87</f>
        <v>106871.34976314787</v>
      </c>
      <c r="AC94" s="86">
        <f>KVARTS!AB33*AC87</f>
        <v>95789.388874831711</v>
      </c>
      <c r="AD94" s="86">
        <f>KVARTS!AC33*AD87</f>
        <v>84958.614605181501</v>
      </c>
      <c r="AE94" s="86">
        <f>KVARTS!AD33*AE87</f>
        <v>80674.346815820652</v>
      </c>
      <c r="AF94" s="86">
        <f>KVARTS!AE33*AF87</f>
        <v>76146.551182945987</v>
      </c>
      <c r="AG94" s="86">
        <f>KVARTS!AF33*AG87</f>
        <v>69548.181843793907</v>
      </c>
      <c r="AH94" s="86">
        <f>KVARTS!AG33*AH87</f>
        <v>63932.701504244666</v>
      </c>
      <c r="AI94" s="86">
        <f>KVARTS!AH33*AI87</f>
        <v>55492.45989088028</v>
      </c>
      <c r="AJ94" s="86">
        <f>KVARTS!AI33*AJ87</f>
        <v>51618.502529743979</v>
      </c>
      <c r="AK94" s="86">
        <f>KVARTS!AJ33*AK87</f>
        <v>49228.577877527234</v>
      </c>
      <c r="AL94" s="86">
        <f>KVARTS!AK33*AL87</f>
        <v>49345.176479345522</v>
      </c>
      <c r="AM94" s="86">
        <f>KVARTS!AL33*AM87</f>
        <v>50635.461024772187</v>
      </c>
      <c r="AN94" s="86">
        <f>KVARTS!AM33*AN87</f>
        <v>52865.615580661048</v>
      </c>
      <c r="AO94" s="86">
        <f>KVARTS!AN33*AO87</f>
        <v>51975.621119577532</v>
      </c>
      <c r="AP94" s="86">
        <f>KVARTS!AO33*AP87</f>
        <v>51758.321660520385</v>
      </c>
      <c r="AQ94" s="86">
        <f>KVARTS!AP33*AQ87</f>
        <v>50908.582790092041</v>
      </c>
      <c r="AR94" s="86">
        <f>KVARTS!AQ33*AR87</f>
        <v>50066.560237155689</v>
      </c>
      <c r="AS94" s="86">
        <f>KVARTS!AR33*AS87</f>
        <v>49196.448805631415</v>
      </c>
      <c r="AT94" s="86">
        <f>KVARTS!AS33*AT87</f>
        <v>47909.403340431389</v>
      </c>
      <c r="AU94" s="86">
        <f>KVARTS!AT33*AU87</f>
        <v>44232.069186791305</v>
      </c>
      <c r="AV94" s="86">
        <f>KVARTS!AU33*AV87</f>
        <v>42392.918658287046</v>
      </c>
      <c r="AW94" s="86">
        <f>KVARTS!AV33*AW87</f>
        <v>40847.027826480895</v>
      </c>
      <c r="AX94" s="86">
        <f>KVARTS!AW33*AX87</f>
        <v>39314.479644574501</v>
      </c>
      <c r="AY94" s="86">
        <f>KVARTS!AX33*AY87</f>
        <v>37329.418063796787</v>
      </c>
      <c r="AZ94" s="86">
        <f>KVARTS!AY33*AZ87</f>
        <v>36322.721885512081</v>
      </c>
      <c r="BA94" s="86">
        <f>KVARTS!AZ33*BA87</f>
        <v>34782.58254700312</v>
      </c>
      <c r="BB94" s="86">
        <f>KVARTS!BA33*BB87</f>
        <v>33849.631605471615</v>
      </c>
      <c r="BC94" s="86">
        <f>KVARTS!BB33*BC87</f>
        <v>34750.970782683355</v>
      </c>
      <c r="BD94" s="86">
        <f>KVARTS!BC33*BD87</f>
        <v>33992.311945775276</v>
      </c>
      <c r="BE94" s="86">
        <f>KVARTS!BD33*BE87</f>
        <v>31159.314449993031</v>
      </c>
      <c r="BF94" s="86">
        <f>KVARTS!BE33*BF87</f>
        <v>30950.94783269375</v>
      </c>
      <c r="BG94" s="86">
        <f>KVARTS!BF33*BG87</f>
        <v>30179.522159689954</v>
      </c>
      <c r="BH94" s="86">
        <f>KVARTS!BG33*BH87</f>
        <v>30048.584206195206</v>
      </c>
      <c r="BI94" s="86">
        <f>KVARTS!BH33*BI87</f>
        <v>29388.911741966265</v>
      </c>
      <c r="BJ94" s="86">
        <f>KVARTS!BI33*BJ87</f>
        <v>29098.697984687547</v>
      </c>
      <c r="BK94" s="86">
        <f>KVARTS!BJ33*BK87</f>
        <v>28606.867780560919</v>
      </c>
      <c r="BL94" s="86">
        <f>KVARTS!BK33*BL87</f>
        <v>28198.93404073768</v>
      </c>
      <c r="BM94" s="86">
        <f>KVARTS!BL33*BM87</f>
        <v>27773.367842258238</v>
      </c>
      <c r="BN94" s="86">
        <f>KVARTS!BM33*BN87</f>
        <v>27398.395622024484</v>
      </c>
    </row>
    <row r="95" spans="1:66" outlineLevel="1">
      <c r="B95" s="186" t="s">
        <v>9</v>
      </c>
      <c r="C95" s="86">
        <f>KVARTS!B34*C88</f>
        <v>9295</v>
      </c>
      <c r="D95" s="86">
        <f>KVARTS!C34*D88</f>
        <v>10406.015037593985</v>
      </c>
      <c r="E95" s="86">
        <f>KVARTS!D34*E88</f>
        <v>11461.728395061729</v>
      </c>
      <c r="F95" s="86">
        <f>KVARTS!E34*F88</f>
        <v>21299.702970297025</v>
      </c>
      <c r="G95" s="86">
        <f>KVARTS!F34*G88</f>
        <v>26620</v>
      </c>
      <c r="H95" s="86">
        <f>KVARTS!G34*H88</f>
        <v>20240</v>
      </c>
      <c r="I95" s="86">
        <f>KVARTS!H34*I88</f>
        <v>21120</v>
      </c>
      <c r="J95" s="86">
        <f>KVARTS!I34*J88</f>
        <v>24211.200000000001</v>
      </c>
      <c r="K95" s="86">
        <f>KVARTS!J34*K88</f>
        <v>35125</v>
      </c>
      <c r="L95" s="86">
        <f>KVARTS!K34*L88</f>
        <v>58811.999999999993</v>
      </c>
      <c r="M95" s="86">
        <f>KVARTS!L34*M88</f>
        <v>51025</v>
      </c>
      <c r="N95" s="86">
        <f>KVARTS!M34*N88</f>
        <v>77034</v>
      </c>
      <c r="O95" s="86">
        <f>KVARTS!N34*O88</f>
        <v>59067.899999999994</v>
      </c>
      <c r="P95" s="86">
        <f>KVARTS!O34*P88</f>
        <v>62805</v>
      </c>
      <c r="Q95" s="86">
        <f>KVARTS!P34*Q88</f>
        <v>65800</v>
      </c>
      <c r="R95" s="86">
        <f>KVARTS!Q34*R88</f>
        <v>79560</v>
      </c>
      <c r="S95" s="86">
        <f>KVARTS!R34*S88</f>
        <v>83391</v>
      </c>
      <c r="T95" s="86">
        <f>KVARTS!S34*T88</f>
        <v>72570</v>
      </c>
      <c r="U95" s="86">
        <f>KVARTS!T34*U88</f>
        <v>69120</v>
      </c>
      <c r="V95" s="86">
        <f>KVARTS!U34*V88</f>
        <v>54600</v>
      </c>
      <c r="W95" s="86">
        <f>KVARTS!V34*W88</f>
        <v>62205.000000000007</v>
      </c>
      <c r="X95" s="86">
        <f>KVARTS!W34*X88</f>
        <v>82720</v>
      </c>
      <c r="Y95" s="86">
        <f>KVARTS!X34*Y88</f>
        <v>57366.554754436409</v>
      </c>
      <c r="Z95" s="86">
        <f>KVARTS!Y34*Z88</f>
        <v>39958.93054995469</v>
      </c>
      <c r="AA95" s="86">
        <f>KVARTS!Z34*AA88</f>
        <v>168746.91305578512</v>
      </c>
      <c r="AB95" s="86">
        <f>KVARTS!AA34*AB88</f>
        <v>468517.98820732493</v>
      </c>
      <c r="AC95" s="86">
        <f>KVARTS!AB34*AC88</f>
        <v>198263.21143236716</v>
      </c>
      <c r="AD95" s="86">
        <f>KVARTS!AC34*AD88</f>
        <v>168262.51876389765</v>
      </c>
      <c r="AE95" s="86">
        <f>KVARTS!AD34*AE88</f>
        <v>195523.23097251751</v>
      </c>
      <c r="AF95" s="86">
        <f>KVARTS!AE34*AF88</f>
        <v>156141.24506176964</v>
      </c>
      <c r="AG95" s="86">
        <f>KVARTS!AF34*AG88</f>
        <v>127790.17839078615</v>
      </c>
      <c r="AH95" s="86">
        <f>KVARTS!AG34*AH88</f>
        <v>127964.38292972598</v>
      </c>
      <c r="AI95" s="86">
        <f>KVARTS!AH34*AI88</f>
        <v>123565.25720390245</v>
      </c>
      <c r="AJ95" s="86">
        <f>KVARTS!AI34*AJ88</f>
        <v>95104.315349447133</v>
      </c>
      <c r="AK95" s="86">
        <f>KVARTS!AJ34*AK88</f>
        <v>90968.105385489398</v>
      </c>
      <c r="AL95" s="86">
        <f>KVARTS!AK34*AL88</f>
        <v>88022.196433556484</v>
      </c>
      <c r="AM95" s="86">
        <f>KVARTS!AL34*AM88</f>
        <v>84322.776344532031</v>
      </c>
      <c r="AN95" s="86">
        <f>KVARTS!AM34*AN88</f>
        <v>80725.831318514392</v>
      </c>
      <c r="AO95" s="86">
        <f>KVARTS!AN34*AO88</f>
        <v>74710.118115155812</v>
      </c>
      <c r="AP95" s="86">
        <f>KVARTS!AO34*AP88</f>
        <v>70745.137291835141</v>
      </c>
      <c r="AQ95" s="86">
        <f>KVARTS!AP34*AQ88</f>
        <v>66078.933647557773</v>
      </c>
      <c r="AR95" s="86">
        <f>KVARTS!AQ34*AR88</f>
        <v>59918.931849220397</v>
      </c>
      <c r="AS95" s="86">
        <f>KVARTS!AR34*AS88</f>
        <v>53440.861615574504</v>
      </c>
      <c r="AT95" s="86">
        <f>KVARTS!AS34*AT88</f>
        <v>49464.537642640913</v>
      </c>
      <c r="AU95" s="86">
        <f>KVARTS!AT34*AU88</f>
        <v>44716.785121804649</v>
      </c>
      <c r="AV95" s="86">
        <f>KVARTS!AU34*AV88</f>
        <v>42347.585948973501</v>
      </c>
      <c r="AW95" s="86">
        <f>KVARTS!AV34*AW88</f>
        <v>39640.249622991221</v>
      </c>
      <c r="AX95" s="86">
        <f>KVARTS!AW34*AX88</f>
        <v>37199.619870534771</v>
      </c>
      <c r="AY95" s="86">
        <f>KVARTS!AX34*AY88</f>
        <v>34087.269648431415</v>
      </c>
      <c r="AZ95" s="86">
        <f>KVARTS!AY34*AZ88</f>
        <v>30854.470873442384</v>
      </c>
      <c r="BA95" s="86">
        <f>KVARTS!AZ34*BA88</f>
        <v>28168.402095593476</v>
      </c>
      <c r="BB95" s="86">
        <f>KVARTS!BA34*BB88</f>
        <v>25816.150586558972</v>
      </c>
      <c r="BC95" s="86">
        <f>KVARTS!BB34*BC88</f>
        <v>23371.770245667456</v>
      </c>
      <c r="BD95" s="86">
        <f>KVARTS!BC34*BD88</f>
        <v>20217.830503654943</v>
      </c>
      <c r="BE95" s="86">
        <f>KVARTS!BD34*BE88</f>
        <v>17210.534721349777</v>
      </c>
      <c r="BF95" s="86">
        <f>KVARTS!BE34*BF88</f>
        <v>15554.778619668283</v>
      </c>
      <c r="BG95" s="86">
        <f>KVARTS!BF34*BG88</f>
        <v>14798.080083614392</v>
      </c>
      <c r="BH95" s="86">
        <f>KVARTS!BG34*BH88</f>
        <v>14596.9179329525</v>
      </c>
      <c r="BI95" s="86">
        <f>KVARTS!BH34*BI88</f>
        <v>14590.412255137186</v>
      </c>
      <c r="BJ95" s="86">
        <f>KVARTS!BI34*BJ88</f>
        <v>14464.697183286031</v>
      </c>
      <c r="BK95" s="86">
        <f>KVARTS!BJ34*BK88</f>
        <v>14343.220232796308</v>
      </c>
      <c r="BL95" s="86">
        <f>KVARTS!BK34*BL88</f>
        <v>14109.42127367761</v>
      </c>
      <c r="BM95" s="86">
        <f>KVARTS!BL34*BM88</f>
        <v>13985.287649551305</v>
      </c>
      <c r="BN95" s="86">
        <f>KVARTS!BM34*BN88</f>
        <v>13827.317029053807</v>
      </c>
    </row>
    <row r="96" spans="1:66" outlineLevel="1">
      <c r="B96" s="186" t="s">
        <v>10</v>
      </c>
      <c r="C96" s="86">
        <f>KVARTS!B8*C89</f>
        <v>1689.171</v>
      </c>
      <c r="D96" s="86">
        <f>KVARTS!C8*D89</f>
        <v>1618.0549000000001</v>
      </c>
      <c r="E96" s="86">
        <f>KVARTS!D8*E89</f>
        <v>1221.5640000000001</v>
      </c>
      <c r="F96" s="86">
        <f>KVARTS!E8*F89</f>
        <v>8363.1049000000003</v>
      </c>
      <c r="G96" s="86">
        <f>KVARTS!F8*G89</f>
        <v>5800.2059999999992</v>
      </c>
      <c r="H96" s="86">
        <f>KVARTS!G8*H89</f>
        <v>5370.69</v>
      </c>
      <c r="I96" s="86">
        <f>KVARTS!H8*I89</f>
        <v>4799.011385199241</v>
      </c>
      <c r="J96" s="86">
        <f>KVARTS!I8*J89</f>
        <v>5621.5799721835874</v>
      </c>
      <c r="K96" s="86">
        <f>KVARTS!J8*K89</f>
        <v>8293.2383966244724</v>
      </c>
      <c r="L96" s="86">
        <f>KVARTS!K8*L89</f>
        <v>10614.18013856813</v>
      </c>
      <c r="M96" s="86">
        <f>KVARTS!L8*M89</f>
        <v>7258.6102719033233</v>
      </c>
      <c r="N96" s="86">
        <f>KVARTS!M8*N89</f>
        <v>10084.356436</v>
      </c>
      <c r="O96" s="86">
        <f>KVARTS!N8*O89</f>
        <v>8344.9638914873703</v>
      </c>
      <c r="P96" s="86">
        <f>KVARTS!O8*P89</f>
        <v>10116.024402643619</v>
      </c>
      <c r="Q96" s="86">
        <f>KVARTS!P8*Q89</f>
        <v>13420.8</v>
      </c>
      <c r="R96" s="86">
        <f>KVARTS!Q8*R89</f>
        <v>15638.400000000001</v>
      </c>
      <c r="S96" s="86">
        <f>KVARTS!R8*S89</f>
        <v>13511.314285714285</v>
      </c>
      <c r="T96" s="86">
        <f>KVARTS!S8*T89</f>
        <v>13172.962962962962</v>
      </c>
      <c r="U96" s="86">
        <f>KVARTS!T8*U89</f>
        <v>8472.7058823529405</v>
      </c>
      <c r="V96" s="86">
        <f>KVARTS!U8*V89</f>
        <v>7711.2941176470586</v>
      </c>
      <c r="W96" s="86">
        <f>KVARTS!V8*W89</f>
        <v>9180.7115677879101</v>
      </c>
      <c r="X96" s="86">
        <f>KVARTS!W8*X89</f>
        <v>11023.369755579735</v>
      </c>
      <c r="Y96" s="86">
        <f>KVARTS!X8*Y89</f>
        <v>9737.5928971279864</v>
      </c>
      <c r="Z96" s="86">
        <f>KVARTS!Y8*Z89</f>
        <v>6588.5319561840779</v>
      </c>
      <c r="AA96" s="86">
        <f>KVARTS!Z8*AA89</f>
        <v>7540.2504026369406</v>
      </c>
      <c r="AB96" s="86">
        <f>KVARTS!AA8*AB89</f>
        <v>11280.471115997609</v>
      </c>
      <c r="AC96" s="86">
        <f>KVARTS!AB8*AC89</f>
        <v>11018.704877102675</v>
      </c>
      <c r="AD96" s="86">
        <f>KVARTS!AC8*AD89</f>
        <v>10062.867976799891</v>
      </c>
      <c r="AE96" s="86">
        <f>KVARTS!AD8*AE89</f>
        <v>7189.6321688793596</v>
      </c>
      <c r="AF96" s="86">
        <f>KVARTS!AE8*AF89</f>
        <v>6966.3948343001493</v>
      </c>
      <c r="AG96" s="86">
        <f>KVARTS!AF8*AG89</f>
        <v>6648.8018434899923</v>
      </c>
      <c r="AH96" s="86">
        <f>KVARTS!AG8*AH89</f>
        <v>5862.3226218742657</v>
      </c>
      <c r="AI96" s="86">
        <f>KVARTS!AH8*AI89</f>
        <v>5612.0176756547253</v>
      </c>
      <c r="AJ96" s="86">
        <f>KVARTS!AI8*AJ89</f>
        <v>5371.8230897494996</v>
      </c>
      <c r="AK96" s="86">
        <f>KVARTS!AJ8*AK89</f>
        <v>5765.408589214263</v>
      </c>
      <c r="AL96" s="86">
        <f>KVARTS!AK8*AL89</f>
        <v>6147.6191492748585</v>
      </c>
      <c r="AM96" s="86">
        <f>KVARTS!AL8*AM89</f>
        <v>5757.2562544684652</v>
      </c>
      <c r="AN96" s="86">
        <f>KVARTS!AM8*AN89</f>
        <v>4962.9604085213432</v>
      </c>
      <c r="AO96" s="86">
        <f>KVARTS!AN8*AO89</f>
        <v>4308.8794671910073</v>
      </c>
      <c r="AP96" s="86">
        <f>KVARTS!AO8*AP89</f>
        <v>4308.527428307214</v>
      </c>
      <c r="AQ96" s="86">
        <f>KVARTS!AP8*AQ89</f>
        <v>4264.5237364510749</v>
      </c>
      <c r="AR96" s="86">
        <f>KVARTS!AQ8*AR89</f>
        <v>4131.0979953716787</v>
      </c>
      <c r="AS96" s="86">
        <f>KVARTS!AR8*AS89</f>
        <v>3946.6519129120761</v>
      </c>
      <c r="AT96" s="86">
        <f>KVARTS!AS8*AT89</f>
        <v>3790.7170260119929</v>
      </c>
      <c r="AU96" s="86">
        <f>KVARTS!AT8*AU89</f>
        <v>3678.7968627934492</v>
      </c>
      <c r="AV96" s="86">
        <f>KVARTS!AU8*AV89</f>
        <v>3697.7395666203101</v>
      </c>
      <c r="AW96" s="86">
        <f>KVARTS!AV8*AW89</f>
        <v>3642.3709315903529</v>
      </c>
      <c r="AX96" s="86">
        <f>KVARTS!AW8*AX89</f>
        <v>3544.6287233617509</v>
      </c>
      <c r="AY96" s="86">
        <f>KVARTS!AX8*AY89</f>
        <v>3453.527314131295</v>
      </c>
      <c r="AZ96" s="86">
        <f>KVARTS!AY8*AZ89</f>
        <v>3402.586611914805</v>
      </c>
      <c r="BA96" s="86">
        <f>KVARTS!AZ8*BA89</f>
        <v>3202.4827992673154</v>
      </c>
      <c r="BB96" s="86">
        <f>KVARTS!BA8*BB89</f>
        <v>3157.0088054858334</v>
      </c>
      <c r="BC96" s="86">
        <f>KVARTS!BB8*BC89</f>
        <v>3001.6846642981272</v>
      </c>
      <c r="BD96" s="86">
        <f>KVARTS!BC8*BD89</f>
        <v>2575.0498954621321</v>
      </c>
      <c r="BE96" s="86">
        <f>KVARTS!BD8*BE89</f>
        <v>2268.0957301030135</v>
      </c>
      <c r="BF96" s="86">
        <f>KVARTS!BE8*BF89</f>
        <v>2123.6013562395692</v>
      </c>
      <c r="BG96" s="86">
        <f>KVARTS!BF8*BG89</f>
        <v>1855.0719121494744</v>
      </c>
      <c r="BH96" s="86">
        <f>KVARTS!BG8*BH89</f>
        <v>1576.8255979975838</v>
      </c>
      <c r="BI96" s="86">
        <f>KVARTS!BH8*BI89</f>
        <v>1330.9694211226556</v>
      </c>
      <c r="BJ96" s="86">
        <f>KVARTS!BI8*BJ89</f>
        <v>1015.3233891295679</v>
      </c>
      <c r="BK96" s="86">
        <f>KVARTS!BJ8*BK89</f>
        <v>656.04553905559499</v>
      </c>
      <c r="BL96" s="86">
        <f>KVARTS!BK8*BL89</f>
        <v>388.41662556371915</v>
      </c>
      <c r="BM96" s="86">
        <f>KVARTS!BL8*BM89</f>
        <v>129.32959890446566</v>
      </c>
      <c r="BN96" s="86">
        <f>KVARTS!BM8*BN89</f>
        <v>9.9968812055391808E-6</v>
      </c>
    </row>
    <row r="97" spans="2:66">
      <c r="B97" s="186" t="s">
        <v>11</v>
      </c>
      <c r="C97" s="86">
        <f>SUM(C94:C96)</f>
        <v>71455.697835890343</v>
      </c>
      <c r="D97" s="86">
        <f>SUM(D94:D96)</f>
        <v>53253.127844616691</v>
      </c>
      <c r="E97" s="86">
        <f>SUM(E94:E96)</f>
        <v>74091.472021434383</v>
      </c>
      <c r="F97" s="86">
        <f t="shared" ref="F97:AJ97" si="87">SUM(F94:F96)</f>
        <v>142606.03272769705</v>
      </c>
      <c r="G97" s="86">
        <f t="shared" si="87"/>
        <v>123591.00195000001</v>
      </c>
      <c r="H97" s="86">
        <f t="shared" si="87"/>
        <v>95352.10328000001</v>
      </c>
      <c r="I97" s="86">
        <f t="shared" si="87"/>
        <v>89435.022319599229</v>
      </c>
      <c r="J97" s="86">
        <f t="shared" si="87"/>
        <v>108391.87789118358</v>
      </c>
      <c r="K97" s="86">
        <f t="shared" si="87"/>
        <v>139119.58448962448</v>
      </c>
      <c r="L97" s="86">
        <f t="shared" si="87"/>
        <v>169464.35022656812</v>
      </c>
      <c r="M97" s="86">
        <f t="shared" si="87"/>
        <v>148102.09707190335</v>
      </c>
      <c r="N97" s="86">
        <f t="shared" si="87"/>
        <v>192731.81410799999</v>
      </c>
      <c r="O97" s="86">
        <f t="shared" si="87"/>
        <v>134380.03067478735</v>
      </c>
      <c r="P97" s="86">
        <f t="shared" si="87"/>
        <v>143693.96652264363</v>
      </c>
      <c r="Q97" s="86">
        <f t="shared" si="87"/>
        <v>162943.20294799999</v>
      </c>
      <c r="R97" s="86">
        <f t="shared" si="87"/>
        <v>175739.41705000002</v>
      </c>
      <c r="S97" s="86">
        <f t="shared" si="87"/>
        <v>172463.05977771431</v>
      </c>
      <c r="T97" s="86">
        <f t="shared" si="87"/>
        <v>159095.98514496294</v>
      </c>
      <c r="U97" s="86">
        <f t="shared" si="87"/>
        <v>129642.14159435294</v>
      </c>
      <c r="V97" s="86">
        <f t="shared" si="87"/>
        <v>107127.44832964706</v>
      </c>
      <c r="W97" s="86">
        <f t="shared" si="87"/>
        <v>121422.40807978791</v>
      </c>
      <c r="X97" s="86">
        <f t="shared" si="87"/>
        <v>154614.89297357976</v>
      </c>
      <c r="Y97" s="86">
        <f t="shared" si="87"/>
        <v>120953.7510538522</v>
      </c>
      <c r="Z97" s="86">
        <f t="shared" si="87"/>
        <v>91197.727129678067</v>
      </c>
      <c r="AA97" s="86">
        <f t="shared" si="87"/>
        <v>248536.84347769851</v>
      </c>
      <c r="AB97" s="86">
        <f t="shared" si="87"/>
        <v>586669.8090864704</v>
      </c>
      <c r="AC97" s="86">
        <f t="shared" si="87"/>
        <v>305071.30518430157</v>
      </c>
      <c r="AD97" s="86">
        <f t="shared" si="87"/>
        <v>263284.00134587905</v>
      </c>
      <c r="AE97" s="86">
        <f t="shared" si="87"/>
        <v>283387.20995721756</v>
      </c>
      <c r="AF97" s="86">
        <f t="shared" si="87"/>
        <v>239254.19107901579</v>
      </c>
      <c r="AG97" s="86">
        <f t="shared" si="87"/>
        <v>203987.16207807005</v>
      </c>
      <c r="AH97" s="86">
        <f t="shared" si="87"/>
        <v>197759.40705584493</v>
      </c>
      <c r="AI97" s="86">
        <f t="shared" si="87"/>
        <v>184669.73477043747</v>
      </c>
      <c r="AJ97" s="86">
        <f t="shared" si="87"/>
        <v>152094.6409689406</v>
      </c>
      <c r="AK97" s="86">
        <f t="shared" ref="AK97:BD97" si="88">SUM(AK94:AK96)</f>
        <v>145962.09185223089</v>
      </c>
      <c r="AL97" s="86">
        <f t="shared" si="88"/>
        <v>143514.99206217687</v>
      </c>
      <c r="AM97" s="86">
        <f t="shared" si="88"/>
        <v>140715.49362377269</v>
      </c>
      <c r="AN97" s="86">
        <f t="shared" si="88"/>
        <v>138554.40730769679</v>
      </c>
      <c r="AO97" s="86">
        <f t="shared" si="88"/>
        <v>130994.61870192434</v>
      </c>
      <c r="AP97" s="86">
        <f t="shared" si="88"/>
        <v>126811.98638066274</v>
      </c>
      <c r="AQ97" s="86">
        <f t="shared" si="88"/>
        <v>121252.04017410088</v>
      </c>
      <c r="AR97" s="86">
        <f t="shared" si="88"/>
        <v>114116.59008174777</v>
      </c>
      <c r="AS97" s="86">
        <f t="shared" si="88"/>
        <v>106583.96233411798</v>
      </c>
      <c r="AT97" s="86">
        <f t="shared" si="88"/>
        <v>101164.65800908429</v>
      </c>
      <c r="AU97" s="86">
        <f t="shared" si="88"/>
        <v>92627.6511713894</v>
      </c>
      <c r="AV97" s="86">
        <f t="shared" si="88"/>
        <v>88438.244173880856</v>
      </c>
      <c r="AW97" s="86">
        <f t="shared" si="88"/>
        <v>84129.648381062463</v>
      </c>
      <c r="AX97" s="86">
        <f t="shared" si="88"/>
        <v>80058.728238471012</v>
      </c>
      <c r="AY97" s="86">
        <f t="shared" si="88"/>
        <v>74870.215026359496</v>
      </c>
      <c r="AZ97" s="86">
        <f t="shared" si="88"/>
        <v>70579.779370869277</v>
      </c>
      <c r="BA97" s="86">
        <f t="shared" si="88"/>
        <v>66153.467441863904</v>
      </c>
      <c r="BB97" s="86">
        <f t="shared" si="88"/>
        <v>62822.790997516422</v>
      </c>
      <c r="BC97" s="86">
        <f t="shared" si="88"/>
        <v>61124.425692648932</v>
      </c>
      <c r="BD97" s="86">
        <f t="shared" si="88"/>
        <v>56785.192344892348</v>
      </c>
      <c r="BE97" s="86">
        <f t="shared" ref="BE97:BN97" si="89">SUM(BE94:BE96)</f>
        <v>50637.944901445822</v>
      </c>
      <c r="BF97" s="86">
        <f t="shared" si="89"/>
        <v>48629.3278086016</v>
      </c>
      <c r="BG97" s="86">
        <f t="shared" si="89"/>
        <v>46832.674155453824</v>
      </c>
      <c r="BH97" s="86">
        <f t="shared" si="89"/>
        <v>46222.327737145286</v>
      </c>
      <c r="BI97" s="86">
        <f t="shared" si="89"/>
        <v>45310.293418226101</v>
      </c>
      <c r="BJ97" s="86">
        <f t="shared" si="89"/>
        <v>44578.718557103144</v>
      </c>
      <c r="BK97" s="86">
        <f t="shared" si="89"/>
        <v>43606.133552412823</v>
      </c>
      <c r="BL97" s="86">
        <f t="shared" si="89"/>
        <v>42696.771939979008</v>
      </c>
      <c r="BM97" s="86">
        <f t="shared" si="89"/>
        <v>41887.985090714006</v>
      </c>
      <c r="BN97" s="86">
        <f t="shared" si="89"/>
        <v>41225.712661075173</v>
      </c>
    </row>
    <row r="98" spans="2:66">
      <c r="I98" s="178"/>
    </row>
    <row r="100" spans="2:66"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</row>
  </sheetData>
  <phoneticPr fontId="54" type="noConversion"/>
  <pageMargins left="0.51180555555555551" right="0.51180555555555551" top="0.51180555555555551" bottom="0.51180555555555551" header="0" footer="0"/>
  <pageSetup paperSize="9" scale="72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5"/>
  <dimension ref="A1:CV124"/>
  <sheetViews>
    <sheetView zoomScaleNormal="100" workbookViewId="0">
      <pane xSplit="1" ySplit="1" topLeftCell="BN48" activePane="bottomRight" state="frozen"/>
      <selection pane="topRight" activeCell="B1" sqref="B1"/>
      <selection pane="bottomLeft" activeCell="A2" sqref="A2"/>
      <selection pane="bottomRight" activeCell="BW86" sqref="BW86"/>
    </sheetView>
  </sheetViews>
  <sheetFormatPr baseColWidth="10" defaultColWidth="11.42578125" defaultRowHeight="12.75"/>
  <cols>
    <col min="1" max="1" width="44.140625" customWidth="1"/>
    <col min="2" max="4" width="11.5703125" customWidth="1"/>
    <col min="5" max="5" width="12.5703125" customWidth="1"/>
    <col min="6" max="8" width="11.5703125" customWidth="1"/>
    <col min="9" max="9" width="10.7109375" customWidth="1"/>
    <col min="10" max="10" width="13.140625" customWidth="1"/>
    <col min="11" max="11" width="13.85546875" customWidth="1"/>
    <col min="12" max="33" width="13.42578125" customWidth="1"/>
    <col min="34" max="62" width="13.28515625" customWidth="1"/>
    <col min="63" max="73" width="13.28515625" style="382" customWidth="1"/>
    <col min="74" max="86" width="11.42578125" style="382" customWidth="1"/>
    <col min="87" max="92" width="13.5703125" style="382" customWidth="1"/>
    <col min="93" max="100" width="11.42578125" customWidth="1"/>
  </cols>
  <sheetData>
    <row r="1" spans="1:100" s="338" customFormat="1">
      <c r="B1" s="53" t="s">
        <v>652</v>
      </c>
      <c r="C1" s="53" t="s">
        <v>653</v>
      </c>
      <c r="D1" s="53" t="s">
        <v>654</v>
      </c>
      <c r="E1" s="53" t="s">
        <v>655</v>
      </c>
      <c r="F1" s="53" t="s">
        <v>656</v>
      </c>
      <c r="G1" s="53" t="s">
        <v>657</v>
      </c>
      <c r="H1" s="53" t="s">
        <v>658</v>
      </c>
      <c r="I1" s="53">
        <v>2007</v>
      </c>
      <c r="J1" s="53">
        <v>2008</v>
      </c>
      <c r="K1" s="53">
        <v>2009</v>
      </c>
      <c r="L1" s="53">
        <v>2010</v>
      </c>
      <c r="M1" s="53">
        <v>2011</v>
      </c>
      <c r="N1" s="53">
        <v>2012</v>
      </c>
      <c r="O1" s="53">
        <v>2013</v>
      </c>
      <c r="P1" s="53">
        <v>2014</v>
      </c>
      <c r="Q1" s="53">
        <v>2015</v>
      </c>
      <c r="R1" s="53">
        <v>2016</v>
      </c>
      <c r="S1" s="53">
        <v>2017</v>
      </c>
      <c r="T1" s="53">
        <v>2018</v>
      </c>
      <c r="U1" s="53">
        <v>2019</v>
      </c>
      <c r="V1" s="53">
        <v>2020</v>
      </c>
      <c r="W1" s="53">
        <v>2021</v>
      </c>
      <c r="X1" s="53">
        <v>2022</v>
      </c>
      <c r="Y1" s="53">
        <v>2023</v>
      </c>
      <c r="Z1" s="53">
        <v>2024</v>
      </c>
      <c r="AA1" s="53">
        <v>2025</v>
      </c>
      <c r="AB1" s="53">
        <v>2026</v>
      </c>
      <c r="AC1" s="53">
        <v>2027</v>
      </c>
      <c r="AD1" s="53">
        <v>2028</v>
      </c>
      <c r="AE1" s="53">
        <v>2029</v>
      </c>
      <c r="AF1" s="53">
        <v>2030</v>
      </c>
      <c r="AG1" s="53">
        <v>2031</v>
      </c>
      <c r="AH1" s="53">
        <v>2032</v>
      </c>
      <c r="AI1" s="53">
        <v>2033</v>
      </c>
      <c r="AJ1" s="53">
        <v>2034</v>
      </c>
      <c r="AK1" s="53">
        <v>2035</v>
      </c>
      <c r="AL1" s="53">
        <v>2036</v>
      </c>
      <c r="AM1" s="53">
        <v>2037</v>
      </c>
      <c r="AN1" s="53">
        <v>2038</v>
      </c>
      <c r="AO1" s="53">
        <v>2039</v>
      </c>
      <c r="AP1" s="53">
        <v>2040</v>
      </c>
      <c r="AQ1" s="53">
        <v>2041</v>
      </c>
      <c r="AR1" s="53">
        <v>2042</v>
      </c>
      <c r="AS1" s="53">
        <v>2043</v>
      </c>
      <c r="AT1" s="53">
        <v>2044</v>
      </c>
      <c r="AU1" s="53">
        <v>2045</v>
      </c>
      <c r="AV1" s="53">
        <v>2046</v>
      </c>
      <c r="AW1" s="53">
        <v>2047</v>
      </c>
      <c r="AX1" s="53">
        <v>2048</v>
      </c>
      <c r="AY1" s="53">
        <v>2049</v>
      </c>
      <c r="AZ1" s="53">
        <v>2050</v>
      </c>
      <c r="BA1" s="53">
        <v>2051</v>
      </c>
      <c r="BB1" s="53">
        <v>2052</v>
      </c>
      <c r="BC1" s="53">
        <v>2053</v>
      </c>
      <c r="BD1" s="53">
        <v>2054</v>
      </c>
      <c r="BE1" s="53">
        <v>2055</v>
      </c>
      <c r="BF1" s="53">
        <v>2056</v>
      </c>
      <c r="BG1" s="53">
        <v>2057</v>
      </c>
      <c r="BH1" s="53">
        <v>2058</v>
      </c>
      <c r="BI1" s="53">
        <v>2059</v>
      </c>
      <c r="BJ1" s="53">
        <v>2060</v>
      </c>
      <c r="BK1" s="380">
        <v>2061</v>
      </c>
      <c r="BL1" s="380">
        <v>2062</v>
      </c>
      <c r="BM1" s="380">
        <v>2063</v>
      </c>
      <c r="BN1" s="380">
        <v>2064</v>
      </c>
      <c r="BO1" s="380">
        <v>2065</v>
      </c>
      <c r="BP1" s="380">
        <v>2066</v>
      </c>
      <c r="BQ1" s="380">
        <v>2067</v>
      </c>
      <c r="BR1" s="380">
        <v>2068</v>
      </c>
      <c r="BS1" s="380">
        <v>2069</v>
      </c>
      <c r="BT1" s="380">
        <v>2070</v>
      </c>
      <c r="BU1" s="380">
        <v>2071</v>
      </c>
      <c r="BV1" s="380">
        <v>2072</v>
      </c>
      <c r="BW1" s="380">
        <v>2073</v>
      </c>
      <c r="BX1" s="380">
        <v>2074</v>
      </c>
      <c r="BY1" s="380">
        <v>2075</v>
      </c>
      <c r="BZ1" s="380">
        <v>2076</v>
      </c>
      <c r="CA1" s="380">
        <v>2077</v>
      </c>
      <c r="CB1" s="380">
        <v>2078</v>
      </c>
      <c r="CC1" s="380">
        <v>2079</v>
      </c>
      <c r="CD1" s="380">
        <v>2080</v>
      </c>
      <c r="CE1" s="380">
        <v>2081</v>
      </c>
      <c r="CF1" s="380">
        <v>2082</v>
      </c>
      <c r="CG1" s="380">
        <v>2083</v>
      </c>
      <c r="CH1" s="380">
        <v>2084</v>
      </c>
      <c r="CI1" s="380">
        <v>2085</v>
      </c>
      <c r="CJ1" s="380">
        <v>2086</v>
      </c>
      <c r="CK1" s="380">
        <v>2087</v>
      </c>
      <c r="CL1" s="380">
        <v>2088</v>
      </c>
      <c r="CM1" s="380">
        <v>2089</v>
      </c>
      <c r="CN1" s="380">
        <v>2090</v>
      </c>
      <c r="CO1" s="53"/>
      <c r="CP1" s="53"/>
      <c r="CQ1" s="53"/>
      <c r="CR1" s="53"/>
      <c r="CS1" s="53"/>
      <c r="CT1" s="53"/>
      <c r="CU1" s="53"/>
      <c r="CV1" s="53"/>
    </row>
    <row r="2" spans="1:100" s="338" customFormat="1"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380"/>
      <c r="BL2" s="380"/>
      <c r="BM2" s="380"/>
      <c r="BN2" s="380"/>
      <c r="BO2" s="380"/>
      <c r="BP2" s="380"/>
      <c r="BQ2" s="380"/>
      <c r="BR2" s="380"/>
      <c r="BS2" s="380"/>
      <c r="BT2" s="380"/>
      <c r="BU2" s="380"/>
      <c r="BV2" s="380"/>
      <c r="BW2" s="380"/>
      <c r="BX2" s="380"/>
      <c r="BY2" s="381"/>
      <c r="BZ2" s="381"/>
      <c r="CA2" s="381"/>
      <c r="CB2" s="381"/>
      <c r="CC2" s="381"/>
      <c r="CD2" s="381"/>
      <c r="CE2" s="381"/>
      <c r="CF2" s="381"/>
      <c r="CG2" s="381"/>
      <c r="CH2" s="381"/>
      <c r="CI2" s="381"/>
      <c r="CJ2" s="381"/>
      <c r="CK2" s="381"/>
      <c r="CL2" s="381"/>
      <c r="CM2" s="381"/>
      <c r="CN2" s="381"/>
    </row>
    <row r="3" spans="1:100" ht="13.5" thickBot="1">
      <c r="H3" t="s">
        <v>150</v>
      </c>
      <c r="J3" s="32" t="s">
        <v>568</v>
      </c>
      <c r="L3" s="32" t="s">
        <v>601</v>
      </c>
      <c r="N3" t="s">
        <v>602</v>
      </c>
    </row>
    <row r="4" spans="1:100">
      <c r="A4" s="339" t="s">
        <v>149</v>
      </c>
      <c r="B4" s="340" t="s">
        <v>150</v>
      </c>
      <c r="C4" s="341" t="s">
        <v>635</v>
      </c>
      <c r="F4" t="s">
        <v>440</v>
      </c>
      <c r="H4" s="483">
        <f>(AZ34/AG34)^(1/20)</f>
        <v>0.96246528319092595</v>
      </c>
      <c r="I4" s="342"/>
      <c r="J4" s="483">
        <f>(AZ34/AL34)^(1/20)</f>
        <v>0.97013349845529229</v>
      </c>
      <c r="L4" s="483">
        <f>(AZ34/AQ34)^(1/20)</f>
        <v>0.9821312841711376</v>
      </c>
    </row>
    <row r="5" spans="1:100">
      <c r="A5" s="343"/>
      <c r="B5" s="344"/>
      <c r="C5" s="345"/>
      <c r="H5" s="484"/>
    </row>
    <row r="6" spans="1:100">
      <c r="A6" s="343" t="s">
        <v>126</v>
      </c>
      <c r="B6" s="346"/>
      <c r="C6" s="347"/>
      <c r="F6" t="s">
        <v>439</v>
      </c>
      <c r="H6" s="483">
        <f>(AZ54/AG54)^(1/20)</f>
        <v>0.98238415150933189</v>
      </c>
      <c r="I6" s="342"/>
      <c r="J6" s="483">
        <f>(AZ54/AL54)^(1/20)</f>
        <v>0.98472438510601412</v>
      </c>
      <c r="L6" s="483">
        <f>(AZ54/AQ54)^(1/20)</f>
        <v>0.98968384808637211</v>
      </c>
      <c r="Z6" s="2"/>
      <c r="AA6" s="2"/>
      <c r="AB6" s="2"/>
    </row>
    <row r="7" spans="1:100">
      <c r="A7" s="343"/>
      <c r="B7" s="348"/>
      <c r="C7" s="349"/>
      <c r="F7" t="s">
        <v>441</v>
      </c>
      <c r="H7" s="483">
        <f>H6/H4</f>
        <v>1.0206956746038336</v>
      </c>
      <c r="I7" s="342"/>
      <c r="J7" s="483">
        <f>J6/J4</f>
        <v>1.0150400812609341</v>
      </c>
      <c r="K7" s="32"/>
      <c r="L7" s="483">
        <f>L6/L4</f>
        <v>1.0076899738731044</v>
      </c>
      <c r="N7" s="485">
        <v>1.016</v>
      </c>
      <c r="P7" t="s">
        <v>603</v>
      </c>
      <c r="AA7" s="32"/>
    </row>
    <row r="8" spans="1:100">
      <c r="A8" s="343" t="s">
        <v>151</v>
      </c>
      <c r="B8" s="348">
        <v>-335544.32000000001</v>
      </c>
      <c r="C8" s="349">
        <v>2.3767070584277326E-2</v>
      </c>
      <c r="H8" s="484"/>
      <c r="N8" s="342"/>
    </row>
    <row r="9" spans="1:100">
      <c r="A9" s="343" t="s">
        <v>152</v>
      </c>
      <c r="B9" s="348"/>
      <c r="C9" s="349">
        <v>8.9385449588516089E-3</v>
      </c>
      <c r="F9" t="s">
        <v>442</v>
      </c>
      <c r="H9" s="483">
        <f>(AZ57/AG57)^(1/20)</f>
        <v>0.97505411253247887</v>
      </c>
      <c r="I9" s="342"/>
      <c r="J9" s="483">
        <f>(AZ57/AL57)^(1/20)</f>
        <v>0.98471592178798451</v>
      </c>
      <c r="L9" s="483">
        <f>(AZ57/AQ57)^(1/20)</f>
        <v>0.98800527159493934</v>
      </c>
      <c r="N9" s="342"/>
    </row>
    <row r="10" spans="1:100">
      <c r="A10" s="343" t="s">
        <v>153</v>
      </c>
      <c r="B10" s="348"/>
      <c r="C10" s="349">
        <v>1.1885226997173541</v>
      </c>
      <c r="F10" t="s">
        <v>441</v>
      </c>
      <c r="H10" s="483">
        <f>H9/H4</f>
        <v>1.0130797749917964</v>
      </c>
      <c r="I10" s="342"/>
      <c r="J10" s="483">
        <f>J9/J4</f>
        <v>1.0150313573914429</v>
      </c>
      <c r="K10" s="32"/>
      <c r="L10" s="483">
        <f>L9/L4</f>
        <v>1.0059808576699183</v>
      </c>
      <c r="N10" s="485">
        <v>1.0049999999999999</v>
      </c>
      <c r="P10" t="s">
        <v>603</v>
      </c>
      <c r="AA10" s="32"/>
    </row>
    <row r="11" spans="1:100">
      <c r="A11" s="343"/>
      <c r="B11" s="348"/>
      <c r="C11" s="349"/>
    </row>
    <row r="12" spans="1:100">
      <c r="A12" s="343" t="s">
        <v>122</v>
      </c>
      <c r="B12" s="348"/>
      <c r="C12" s="349">
        <v>-0.01</v>
      </c>
    </row>
    <row r="13" spans="1:100">
      <c r="A13" s="343" t="s">
        <v>123</v>
      </c>
      <c r="B13" s="348"/>
      <c r="C13" s="349">
        <v>0.03</v>
      </c>
    </row>
    <row r="14" spans="1:100">
      <c r="A14" s="343" t="s">
        <v>154</v>
      </c>
      <c r="B14" s="348"/>
      <c r="C14" s="349">
        <v>-0.05</v>
      </c>
    </row>
    <row r="15" spans="1:100">
      <c r="A15" s="343"/>
      <c r="B15" s="348"/>
      <c r="C15" s="349"/>
    </row>
    <row r="16" spans="1:100" ht="13.5" thickBot="1">
      <c r="A16" s="350" t="s">
        <v>155</v>
      </c>
      <c r="B16" s="351"/>
      <c r="C16" s="352">
        <v>0.9</v>
      </c>
    </row>
    <row r="17" spans="1:100">
      <c r="A17" s="2"/>
      <c r="B17" s="2"/>
      <c r="C17" s="2"/>
      <c r="D17" s="2"/>
      <c r="E17" s="2"/>
      <c r="F17" s="2"/>
      <c r="G17" s="2"/>
      <c r="H17" s="2"/>
    </row>
    <row r="18" spans="1:100">
      <c r="A18" s="2"/>
      <c r="B18" s="2"/>
      <c r="C18" s="2"/>
      <c r="D18" s="2"/>
      <c r="E18" s="2"/>
      <c r="F18" s="2"/>
      <c r="G18" s="2"/>
      <c r="H18" s="2"/>
    </row>
    <row r="19" spans="1:100">
      <c r="A19" s="353"/>
      <c r="B19" s="354" t="s">
        <v>139</v>
      </c>
      <c r="C19" s="355" t="s">
        <v>137</v>
      </c>
      <c r="D19" s="354" t="s">
        <v>142</v>
      </c>
      <c r="E19" s="698" t="s">
        <v>146</v>
      </c>
      <c r="F19" s="356"/>
    </row>
    <row r="20" spans="1:100">
      <c r="A20" s="356"/>
      <c r="B20" t="s">
        <v>140</v>
      </c>
      <c r="C20" s="357" t="s">
        <v>315</v>
      </c>
      <c r="D20" t="s">
        <v>143</v>
      </c>
      <c r="E20" t="s">
        <v>138</v>
      </c>
      <c r="F20" s="356"/>
    </row>
    <row r="21" spans="1:100">
      <c r="A21" s="356"/>
      <c r="B21" t="s">
        <v>141</v>
      </c>
      <c r="C21" s="357" t="s">
        <v>138</v>
      </c>
      <c r="D21" t="s">
        <v>144</v>
      </c>
      <c r="F21" s="356"/>
    </row>
    <row r="22" spans="1:100">
      <c r="A22" s="356"/>
      <c r="C22" s="358" t="s">
        <v>647</v>
      </c>
      <c r="D22" t="s">
        <v>145</v>
      </c>
      <c r="F22" s="356"/>
    </row>
    <row r="23" spans="1:100">
      <c r="A23" s="356" t="s">
        <v>134</v>
      </c>
      <c r="B23" s="359">
        <f>SUM(Y30:CN30)</f>
        <v>3120.7826463829974</v>
      </c>
      <c r="C23" s="657">
        <v>3520</v>
      </c>
      <c r="D23" s="360">
        <f>B23/C23</f>
        <v>0.88658597908607883</v>
      </c>
      <c r="E23" s="4">
        <f>C23-B23</f>
        <v>399.21735361700257</v>
      </c>
      <c r="F23" s="356"/>
      <c r="O23" s="34"/>
    </row>
    <row r="24" spans="1:100">
      <c r="A24" s="356" t="s">
        <v>135</v>
      </c>
      <c r="B24" s="359">
        <f>SUM(Y31:CN31)</f>
        <v>3587.8259382298056</v>
      </c>
      <c r="C24" s="657">
        <v>3684</v>
      </c>
      <c r="D24" s="360">
        <f>B24/C24</f>
        <v>0.97389412004066389</v>
      </c>
      <c r="E24" s="4">
        <f>C24-B24</f>
        <v>96.174061770194385</v>
      </c>
      <c r="F24" s="356"/>
      <c r="AX24" s="73"/>
    </row>
    <row r="25" spans="1:100">
      <c r="A25" s="356" t="s">
        <v>136</v>
      </c>
      <c r="B25" s="359">
        <f>SUM(Y32:CN32)</f>
        <v>227.44490224979447</v>
      </c>
      <c r="C25" s="657">
        <v>316</v>
      </c>
      <c r="D25" s="360">
        <f>B25/C25</f>
        <v>0.71976234889175461</v>
      </c>
      <c r="E25" s="4">
        <f>C25-B25</f>
        <v>88.555097750205533</v>
      </c>
      <c r="F25" s="356"/>
    </row>
    <row r="26" spans="1:100">
      <c r="A26" s="361" t="s">
        <v>19</v>
      </c>
      <c r="B26" s="362">
        <f>SUM(B23:B25)</f>
        <v>6936.0534868625973</v>
      </c>
      <c r="C26" s="363">
        <f>SUM(C23:C25)</f>
        <v>7520</v>
      </c>
      <c r="D26" s="364">
        <f>B26/C26</f>
        <v>0.92234753814662196</v>
      </c>
      <c r="E26" s="697">
        <f>C26-B26</f>
        <v>583.94651313740269</v>
      </c>
      <c r="F26" s="356"/>
      <c r="R26" s="474"/>
      <c r="AH26" s="1"/>
    </row>
    <row r="27" spans="1:100">
      <c r="A27" s="356" t="s">
        <v>316</v>
      </c>
      <c r="I27" s="365"/>
      <c r="J27" s="366"/>
      <c r="BA27" s="404"/>
    </row>
    <row r="28" spans="1:100" ht="12" customHeight="1">
      <c r="J28" s="404"/>
      <c r="AF28" s="34"/>
      <c r="BB28" s="404"/>
      <c r="BU28" s="383"/>
    </row>
    <row r="29" spans="1:100" s="2" customFormat="1">
      <c r="A29" s="2" t="s">
        <v>147</v>
      </c>
      <c r="BK29" s="379"/>
      <c r="BL29" s="379"/>
      <c r="BM29" s="379"/>
      <c r="BN29" s="379"/>
      <c r="BO29" s="379"/>
      <c r="BP29" s="379"/>
      <c r="BQ29" s="379"/>
      <c r="BR29" s="379"/>
      <c r="BS29" s="379"/>
      <c r="BT29" s="379"/>
      <c r="BU29" s="379"/>
      <c r="BV29" s="379"/>
      <c r="BW29" s="379"/>
      <c r="BX29" s="379"/>
      <c r="BY29" s="379"/>
      <c r="BZ29" s="379"/>
      <c r="CA29" s="379"/>
      <c r="CB29" s="379"/>
      <c r="CC29" s="379"/>
      <c r="CD29" s="379"/>
      <c r="CE29" s="379"/>
      <c r="CF29" s="379"/>
      <c r="CG29" s="379"/>
      <c r="CH29" s="379"/>
      <c r="CI29" s="379"/>
      <c r="CJ29" s="379"/>
      <c r="CK29" s="379"/>
      <c r="CL29" s="379"/>
      <c r="CM29" s="379"/>
      <c r="CN29" s="379"/>
    </row>
    <row r="30" spans="1:100">
      <c r="A30" t="s">
        <v>0</v>
      </c>
      <c r="I30" s="42">
        <f>KVARTS!L62</f>
        <v>128.28</v>
      </c>
      <c r="J30" s="42">
        <f>KVARTS!M62</f>
        <v>122.66</v>
      </c>
      <c r="K30" s="42">
        <f>KVARTS!N62</f>
        <v>114.94</v>
      </c>
      <c r="L30" s="42">
        <f>KVARTS!O62</f>
        <v>104.39</v>
      </c>
      <c r="M30" s="42">
        <f>KVARTS!P62</f>
        <v>97.46</v>
      </c>
      <c r="N30" s="42">
        <f>KVARTS!Q62</f>
        <v>89.2</v>
      </c>
      <c r="O30" s="42">
        <f>KVARTS!R62</f>
        <v>84.94</v>
      </c>
      <c r="P30" s="42">
        <f>KVARTS!S62</f>
        <v>87.7</v>
      </c>
      <c r="Q30" s="42">
        <f>KVARTS!T62</f>
        <v>90.85</v>
      </c>
      <c r="R30" s="42">
        <f>KVARTS!U62</f>
        <v>93.9</v>
      </c>
      <c r="S30" s="42">
        <f>KVARTS!V62</f>
        <v>92.28</v>
      </c>
      <c r="T30" s="42">
        <f>KVARTS!W62</f>
        <v>86.27</v>
      </c>
      <c r="U30" s="42">
        <f>KVARTS!X62</f>
        <v>83.21</v>
      </c>
      <c r="V30" s="42">
        <f>KVARTS!Y62</f>
        <v>98.49</v>
      </c>
      <c r="W30" s="42">
        <f>KVARTS!Z62</f>
        <v>102.36</v>
      </c>
      <c r="X30" s="42">
        <f>KVARTS!AA62</f>
        <v>97.81</v>
      </c>
      <c r="Y30" s="42">
        <f>KVARTS!AB62</f>
        <v>104.14</v>
      </c>
      <c r="Z30" s="42">
        <f>KVARTS!AC62</f>
        <v>102.88638281259</v>
      </c>
      <c r="AA30" s="42">
        <f>KVARTS!AD62</f>
        <v>105.18980898457799</v>
      </c>
      <c r="AB30" s="42">
        <f>KVARTS!AE62</f>
        <v>101.045761449213</v>
      </c>
      <c r="AC30" s="42">
        <f>KVARTS!AF62</f>
        <v>96.575066729448693</v>
      </c>
      <c r="AD30" s="42">
        <f>KVARTS!AG62</f>
        <v>87.047892082627996</v>
      </c>
      <c r="AE30" s="42">
        <f>KVARTS!AH62</f>
        <v>78.845847543704807</v>
      </c>
      <c r="AF30" s="42">
        <f>KVARTS!AI62</f>
        <v>73.793908506930094</v>
      </c>
      <c r="AG30" s="42">
        <f>KVARTS!AJ62</f>
        <v>71.649846538435597</v>
      </c>
      <c r="AH30" s="42">
        <f>KVARTS!AK62</f>
        <v>70.715986239141799</v>
      </c>
      <c r="AI30" s="42">
        <f>KVARTS!AL62</f>
        <v>69.386447109542203</v>
      </c>
      <c r="AJ30" s="42">
        <f>KVARTS!AM62</f>
        <v>69.474901314808406</v>
      </c>
      <c r="AK30" s="42">
        <f>KVARTS!AN62</f>
        <v>69.035837323349497</v>
      </c>
      <c r="AL30" s="42">
        <f>KVARTS!AO62</f>
        <v>67.882734389063302</v>
      </c>
      <c r="AM30" s="42">
        <f>KVARTS!AP62</f>
        <v>66.422217238456199</v>
      </c>
      <c r="AN30" s="42">
        <f>KVARTS!AQ62</f>
        <v>63.920650066007603</v>
      </c>
      <c r="AO30" s="42">
        <f>KVARTS!AR62</f>
        <v>61.744994652282898</v>
      </c>
      <c r="AP30" s="42">
        <f>KVARTS!AS62</f>
        <v>59.765761492930402</v>
      </c>
      <c r="AQ30" s="42">
        <f>KVARTS!AT62</f>
        <v>58.160948087532198</v>
      </c>
      <c r="AR30" s="42">
        <f>KVARTS!AU62</f>
        <v>56.304564567923002</v>
      </c>
      <c r="AS30" s="42">
        <f>KVARTS!AV62</f>
        <v>54.5807199205301</v>
      </c>
      <c r="AT30" s="42">
        <f>KVARTS!AW62</f>
        <v>53.233861304295701</v>
      </c>
      <c r="AU30" s="42">
        <f>KVARTS!AX62</f>
        <v>51.418462866102303</v>
      </c>
      <c r="AV30" s="42">
        <f>KVARTS!AY62</f>
        <v>49.851933117199302</v>
      </c>
      <c r="AW30" s="42">
        <f>KVARTS!AZ62</f>
        <v>48.074596180958899</v>
      </c>
      <c r="AX30" s="42">
        <f>KVARTS!BA62</f>
        <v>46.7917568132398</v>
      </c>
      <c r="AY30" s="42">
        <f>KVARTS!BB62</f>
        <v>45.026558890705999</v>
      </c>
      <c r="AZ30" s="42">
        <f>KVARTS!BC62</f>
        <v>43.367769223710603</v>
      </c>
      <c r="BA30" s="42">
        <f>KVARTS!BD62</f>
        <v>42.037652389517497</v>
      </c>
      <c r="BB30" s="42">
        <f>KVARTS!BE62</f>
        <v>40.516113098128699</v>
      </c>
      <c r="BC30" s="42">
        <f>KVARTS!BF62</f>
        <v>39.141344857402203</v>
      </c>
      <c r="BD30" s="42">
        <f>KVARTS!BG62</f>
        <v>37.644952559843603</v>
      </c>
      <c r="BE30" s="42">
        <f>KVARTS!BH62</f>
        <v>36.054581090807901</v>
      </c>
      <c r="BF30" s="42">
        <f>KVARTS!BI62</f>
        <v>34.609852540656</v>
      </c>
      <c r="BG30" s="42">
        <f>KVARTS!BJ62</f>
        <v>33.132615728303797</v>
      </c>
      <c r="BH30" s="42">
        <f>KVARTS!BK62</f>
        <v>31.356614947318999</v>
      </c>
      <c r="BI30" s="42">
        <f>KVARTS!BL62</f>
        <v>29.729547090828401</v>
      </c>
      <c r="BJ30" s="42">
        <f>KVARTS!BM62</f>
        <v>28.071746988221999</v>
      </c>
      <c r="BK30" s="384">
        <f t="shared" ref="BK30:BL32" si="0">BJ30</f>
        <v>28.071746988221999</v>
      </c>
      <c r="BL30" s="384">
        <f t="shared" si="0"/>
        <v>28.071746988221999</v>
      </c>
      <c r="BM30" s="384">
        <f t="shared" ref="BM30:BO30" si="1">BL30</f>
        <v>28.071746988221999</v>
      </c>
      <c r="BN30" s="384">
        <f t="shared" si="1"/>
        <v>28.071746988221999</v>
      </c>
      <c r="BO30" s="384">
        <f t="shared" si="1"/>
        <v>28.071746988221999</v>
      </c>
      <c r="BP30" s="384">
        <f t="shared" ref="BP30:CN30" si="2">BO30</f>
        <v>28.071746988221999</v>
      </c>
      <c r="BQ30" s="384">
        <f t="shared" si="2"/>
        <v>28.071746988221999</v>
      </c>
      <c r="BR30" s="384">
        <f t="shared" si="2"/>
        <v>28.071746988221999</v>
      </c>
      <c r="BS30" s="384">
        <f t="shared" si="2"/>
        <v>28.071746988221999</v>
      </c>
      <c r="BT30" s="384">
        <f t="shared" si="2"/>
        <v>28.071746988221999</v>
      </c>
      <c r="BU30" s="384">
        <f t="shared" si="2"/>
        <v>28.071746988221999</v>
      </c>
      <c r="BV30" s="384">
        <f t="shared" si="2"/>
        <v>28.071746988221999</v>
      </c>
      <c r="BW30" s="384">
        <f t="shared" si="2"/>
        <v>28.071746988221999</v>
      </c>
      <c r="BX30" s="384">
        <f t="shared" si="2"/>
        <v>28.071746988221999</v>
      </c>
      <c r="BY30" s="384">
        <f t="shared" si="2"/>
        <v>28.071746988221999</v>
      </c>
      <c r="BZ30" s="384">
        <f t="shared" si="2"/>
        <v>28.071746988221999</v>
      </c>
      <c r="CA30" s="384">
        <f t="shared" si="2"/>
        <v>28.071746988221999</v>
      </c>
      <c r="CB30" s="384">
        <f t="shared" si="2"/>
        <v>28.071746988221999</v>
      </c>
      <c r="CC30" s="384">
        <f t="shared" si="2"/>
        <v>28.071746988221999</v>
      </c>
      <c r="CD30" s="384">
        <f t="shared" si="2"/>
        <v>28.071746988221999</v>
      </c>
      <c r="CE30" s="384">
        <f t="shared" si="2"/>
        <v>28.071746988221999</v>
      </c>
      <c r="CF30" s="384">
        <f t="shared" si="2"/>
        <v>28.071746988221999</v>
      </c>
      <c r="CG30" s="384">
        <f t="shared" si="2"/>
        <v>28.071746988221999</v>
      </c>
      <c r="CH30" s="384">
        <f t="shared" si="2"/>
        <v>28.071746988221999</v>
      </c>
      <c r="CI30" s="384">
        <f t="shared" si="2"/>
        <v>28.071746988221999</v>
      </c>
      <c r="CJ30" s="384">
        <f t="shared" si="2"/>
        <v>28.071746988221999</v>
      </c>
      <c r="CK30" s="384">
        <f t="shared" si="2"/>
        <v>28.071746988221999</v>
      </c>
      <c r="CL30" s="384">
        <f t="shared" si="2"/>
        <v>28.071746988221999</v>
      </c>
      <c r="CM30" s="384">
        <f t="shared" si="2"/>
        <v>28.071746988221999</v>
      </c>
      <c r="CN30" s="384">
        <f t="shared" si="2"/>
        <v>28.071746988221999</v>
      </c>
      <c r="CO30" s="42"/>
      <c r="CP30" s="42"/>
      <c r="CQ30" s="42"/>
      <c r="CR30" s="42"/>
      <c r="CS30" s="42"/>
      <c r="CT30" s="42"/>
      <c r="CU30" s="42"/>
      <c r="CV30" s="42"/>
    </row>
    <row r="31" spans="1:100">
      <c r="A31" t="s">
        <v>253</v>
      </c>
      <c r="I31" s="42">
        <f>KVARTS!L63</f>
        <v>89.51</v>
      </c>
      <c r="J31" s="42">
        <f>KVARTS!M63</f>
        <v>99.46</v>
      </c>
      <c r="K31" s="42">
        <f>KVARTS!N63</f>
        <v>103.68</v>
      </c>
      <c r="L31" s="42">
        <f>KVARTS!O63</f>
        <v>106.53</v>
      </c>
      <c r="M31" s="42">
        <f>KVARTS!P63</f>
        <v>100.3</v>
      </c>
      <c r="N31" s="42">
        <f>KVARTS!Q63</f>
        <v>113.06</v>
      </c>
      <c r="O31" s="42">
        <f>KVARTS!R63</f>
        <v>107.05</v>
      </c>
      <c r="P31" s="42">
        <f>KVARTS!S63</f>
        <v>106.8</v>
      </c>
      <c r="Q31" s="42">
        <f>KVARTS!T63</f>
        <v>114.92</v>
      </c>
      <c r="R31" s="42">
        <f>KVARTS!U63</f>
        <v>114.65</v>
      </c>
      <c r="S31" s="42">
        <f>KVARTS!V63</f>
        <v>122.37</v>
      </c>
      <c r="T31" s="42">
        <f>KVARTS!W63</f>
        <v>119.89</v>
      </c>
      <c r="U31" s="42">
        <f>KVARTS!X63</f>
        <v>113.12</v>
      </c>
      <c r="V31" s="42">
        <f>KVARTS!Y63</f>
        <v>110.11</v>
      </c>
      <c r="W31" s="42">
        <f>KVARTS!Z63</f>
        <v>113.08</v>
      </c>
      <c r="X31" s="42">
        <f>KVARTS!AA63</f>
        <v>122.85</v>
      </c>
      <c r="Y31" s="42">
        <f>KVARTS!AB63</f>
        <v>116.02</v>
      </c>
      <c r="Z31" s="42">
        <f>KVARTS!AC63</f>
        <v>124.23875195111999</v>
      </c>
      <c r="AA31" s="42">
        <f>KVARTS!AD63</f>
        <v>118.452074931315</v>
      </c>
      <c r="AB31" s="42">
        <f>KVARTS!AE63</f>
        <v>120.086121418196</v>
      </c>
      <c r="AC31" s="42">
        <f>KVARTS!AF63</f>
        <v>120.094642530738</v>
      </c>
      <c r="AD31" s="42">
        <f>KVARTS!AG63</f>
        <v>116.166092510014</v>
      </c>
      <c r="AE31" s="42">
        <f>KVARTS!AH63</f>
        <v>110.636270971982</v>
      </c>
      <c r="AF31" s="42">
        <f>KVARTS!AI63</f>
        <v>104.941576370565</v>
      </c>
      <c r="AG31" s="42">
        <f>KVARTS!AJ63</f>
        <v>100.130445581107</v>
      </c>
      <c r="AH31" s="42">
        <f>KVARTS!AK63</f>
        <v>93.491734289047798</v>
      </c>
      <c r="AI31" s="42">
        <f>KVARTS!AL63</f>
        <v>89.335084783925794</v>
      </c>
      <c r="AJ31" s="42">
        <f>KVARTS!AM63</f>
        <v>86.735572945646098</v>
      </c>
      <c r="AK31" s="42">
        <f>KVARTS!AN63</f>
        <v>84.333941951932403</v>
      </c>
      <c r="AL31" s="42">
        <f>KVARTS!AO63</f>
        <v>82.153770465193006</v>
      </c>
      <c r="AM31" s="42">
        <f>KVARTS!AP63</f>
        <v>78.840469550338696</v>
      </c>
      <c r="AN31" s="42">
        <f>KVARTS!AQ63</f>
        <v>73.883116241559094</v>
      </c>
      <c r="AO31" s="42">
        <f>KVARTS!AR63</f>
        <v>68.539686645509505</v>
      </c>
      <c r="AP31" s="42">
        <f>KVARTS!AS63</f>
        <v>64.692185788338307</v>
      </c>
      <c r="AQ31" s="42">
        <f>KVARTS!AT63</f>
        <v>61.2290977700995</v>
      </c>
      <c r="AR31" s="42">
        <f>KVARTS!AU63</f>
        <v>58.607326135775999</v>
      </c>
      <c r="AS31" s="42">
        <f>KVARTS!AV63</f>
        <v>55.8623403806005</v>
      </c>
      <c r="AT31" s="42">
        <f>KVARTS!AW63</f>
        <v>52.7872782740288</v>
      </c>
      <c r="AU31" s="42">
        <f>KVARTS!AX63</f>
        <v>50.282890109274298</v>
      </c>
      <c r="AV31" s="42">
        <f>KVARTS!AY63</f>
        <v>48.339968322707897</v>
      </c>
      <c r="AW31" s="42">
        <f>KVARTS!AZ63</f>
        <v>46.446472786406297</v>
      </c>
      <c r="AX31" s="42">
        <f>KVARTS!BA63</f>
        <v>44.699381400699799</v>
      </c>
      <c r="AY31" s="42">
        <f>KVARTS!BB63</f>
        <v>43.293508537680601</v>
      </c>
      <c r="AZ31" s="42">
        <f>KVARTS!BC63</f>
        <v>41.648785780853402</v>
      </c>
      <c r="BA31" s="42">
        <f>KVARTS!BD63</f>
        <v>40.118689809552301</v>
      </c>
      <c r="BB31" s="42">
        <f>KVARTS!BE63</f>
        <v>38.369959232385099</v>
      </c>
      <c r="BC31" s="42">
        <f>KVARTS!BF63</f>
        <v>36.9035212621121</v>
      </c>
      <c r="BD31" s="42">
        <f>KVARTS!BG63</f>
        <v>35.812746227007899</v>
      </c>
      <c r="BE31" s="42">
        <f>KVARTS!BH63</f>
        <v>35.2091385576473</v>
      </c>
      <c r="BF31" s="42">
        <f>KVARTS!BI63</f>
        <v>34.416161845962002</v>
      </c>
      <c r="BG31" s="42">
        <f>KVARTS!BJ63</f>
        <v>33.891618791822097</v>
      </c>
      <c r="BH31" s="42">
        <f>KVARTS!BK63</f>
        <v>33.466268432734097</v>
      </c>
      <c r="BI31" s="42">
        <f>KVARTS!BL63</f>
        <v>32.995546425285298</v>
      </c>
      <c r="BJ31" s="42">
        <f>KVARTS!BM63</f>
        <v>32.602377394214301</v>
      </c>
      <c r="BK31" s="384">
        <f t="shared" si="0"/>
        <v>32.602377394214301</v>
      </c>
      <c r="BL31" s="384">
        <f t="shared" si="0"/>
        <v>32.602377394214301</v>
      </c>
      <c r="BM31" s="384">
        <f t="shared" ref="BM31:BO31" si="3">BL31</f>
        <v>32.602377394214301</v>
      </c>
      <c r="BN31" s="384">
        <f t="shared" si="3"/>
        <v>32.602377394214301</v>
      </c>
      <c r="BO31" s="384">
        <f t="shared" si="3"/>
        <v>32.602377394214301</v>
      </c>
      <c r="BP31" s="384">
        <f t="shared" ref="BP31:CN31" si="4">BO31</f>
        <v>32.602377394214301</v>
      </c>
      <c r="BQ31" s="384">
        <f t="shared" si="4"/>
        <v>32.602377394214301</v>
      </c>
      <c r="BR31" s="384">
        <f t="shared" si="4"/>
        <v>32.602377394214301</v>
      </c>
      <c r="BS31" s="384">
        <f t="shared" si="4"/>
        <v>32.602377394214301</v>
      </c>
      <c r="BT31" s="384">
        <f t="shared" si="4"/>
        <v>32.602377394214301</v>
      </c>
      <c r="BU31" s="384">
        <f t="shared" si="4"/>
        <v>32.602377394214301</v>
      </c>
      <c r="BV31" s="384">
        <f t="shared" si="4"/>
        <v>32.602377394214301</v>
      </c>
      <c r="BW31" s="384">
        <f t="shared" si="4"/>
        <v>32.602377394214301</v>
      </c>
      <c r="BX31" s="384">
        <f t="shared" si="4"/>
        <v>32.602377394214301</v>
      </c>
      <c r="BY31" s="384">
        <f t="shared" si="4"/>
        <v>32.602377394214301</v>
      </c>
      <c r="BZ31" s="384">
        <f t="shared" si="4"/>
        <v>32.602377394214301</v>
      </c>
      <c r="CA31" s="384">
        <f t="shared" si="4"/>
        <v>32.602377394214301</v>
      </c>
      <c r="CB31" s="384">
        <f t="shared" si="4"/>
        <v>32.602377394214301</v>
      </c>
      <c r="CC31" s="384">
        <f t="shared" si="4"/>
        <v>32.602377394214301</v>
      </c>
      <c r="CD31" s="384">
        <f t="shared" si="4"/>
        <v>32.602377394214301</v>
      </c>
      <c r="CE31" s="384">
        <f t="shared" si="4"/>
        <v>32.602377394214301</v>
      </c>
      <c r="CF31" s="384">
        <f t="shared" si="4"/>
        <v>32.602377394214301</v>
      </c>
      <c r="CG31" s="384">
        <f t="shared" si="4"/>
        <v>32.602377394214301</v>
      </c>
      <c r="CH31" s="384">
        <f t="shared" si="4"/>
        <v>32.602377394214301</v>
      </c>
      <c r="CI31" s="384">
        <f t="shared" si="4"/>
        <v>32.602377394214301</v>
      </c>
      <c r="CJ31" s="384">
        <f t="shared" si="4"/>
        <v>32.602377394214301</v>
      </c>
      <c r="CK31" s="384">
        <f t="shared" si="4"/>
        <v>32.602377394214301</v>
      </c>
      <c r="CL31" s="384">
        <f t="shared" si="4"/>
        <v>32.602377394214301</v>
      </c>
      <c r="CM31" s="384">
        <f t="shared" si="4"/>
        <v>32.602377394214301</v>
      </c>
      <c r="CN31" s="384">
        <f t="shared" si="4"/>
        <v>32.602377394214301</v>
      </c>
      <c r="CO31" s="42"/>
      <c r="CP31" s="42"/>
      <c r="CQ31" s="42"/>
      <c r="CR31" s="42"/>
      <c r="CS31" s="42"/>
      <c r="CT31" s="42"/>
      <c r="CU31" s="42"/>
      <c r="CV31" s="42"/>
    </row>
    <row r="32" spans="1:100">
      <c r="A32" t="s">
        <v>4</v>
      </c>
      <c r="I32" s="42">
        <f>KVARTS!L64</f>
        <v>19.759999999999998</v>
      </c>
      <c r="J32" s="42">
        <f>KVARTS!M64</f>
        <v>20.86</v>
      </c>
      <c r="K32" s="42">
        <f>KVARTS!N64</f>
        <v>21.400000000000002</v>
      </c>
      <c r="L32" s="42">
        <f>KVARTS!O64</f>
        <v>19.72</v>
      </c>
      <c r="M32" s="42">
        <f>KVARTS!P64</f>
        <v>20.89</v>
      </c>
      <c r="N32" s="42">
        <f>KVARTS!Q64</f>
        <v>22.380000000000003</v>
      </c>
      <c r="O32" s="42">
        <f>KVARTS!R64</f>
        <v>21.71</v>
      </c>
      <c r="P32" s="42">
        <f>KVARTS!S64</f>
        <v>21.86</v>
      </c>
      <c r="Q32" s="42">
        <f>KVARTS!T64</f>
        <v>22.07</v>
      </c>
      <c r="R32" s="42">
        <f>KVARTS!U64</f>
        <v>22.11</v>
      </c>
      <c r="S32" s="42">
        <f>KVARTS!V64</f>
        <v>22.1</v>
      </c>
      <c r="T32" s="42">
        <f>KVARTS!W64</f>
        <v>21.17</v>
      </c>
      <c r="U32" s="42">
        <f>KVARTS!X64</f>
        <v>19.080000000000002</v>
      </c>
      <c r="V32" s="42">
        <f>KVARTS!Y64</f>
        <v>18.25</v>
      </c>
      <c r="W32" s="42">
        <f>KVARTS!Z64</f>
        <v>15.309999999999999</v>
      </c>
      <c r="X32" s="42">
        <f>KVARTS!AA64</f>
        <v>12.53</v>
      </c>
      <c r="Y32" s="42">
        <f>KVARTS!AB64</f>
        <v>12.99</v>
      </c>
      <c r="Z32" s="42">
        <f>KVARTS!AC64</f>
        <v>14.090805668825199</v>
      </c>
      <c r="AA32" s="42">
        <f>KVARTS!AD64</f>
        <v>14.5264171933746</v>
      </c>
      <c r="AB32" s="42">
        <f>KVARTS!AE64</f>
        <v>15.2825943649325</v>
      </c>
      <c r="AC32" s="42">
        <f>KVARTS!AF64</f>
        <v>15.4169352290532</v>
      </c>
      <c r="AD32" s="42">
        <f>KVARTS!AG64</f>
        <v>15.381716184560201</v>
      </c>
      <c r="AE32" s="42">
        <f>KVARTS!AH64</f>
        <v>15.1238272946275</v>
      </c>
      <c r="AF32" s="42">
        <f>KVARTS!AI64</f>
        <v>14.458167543187299</v>
      </c>
      <c r="AG32" s="42">
        <f>KVARTS!AJ64</f>
        <v>12.999656846400301</v>
      </c>
      <c r="AH32" s="42">
        <f>KVARTS!AK64</f>
        <v>12.1010429740265</v>
      </c>
      <c r="AI32" s="42">
        <f>KVARTS!AL64</f>
        <v>10.7036492009246</v>
      </c>
      <c r="AJ32" s="42">
        <f>KVARTS!AM64</f>
        <v>9.5442071522411407</v>
      </c>
      <c r="AK32" s="42">
        <f>KVARTS!AN64</f>
        <v>8.4064845679676008</v>
      </c>
      <c r="AL32" s="42">
        <f>KVARTS!AO64</f>
        <v>7.6252250618180204</v>
      </c>
      <c r="AM32" s="42">
        <f>KVARTS!AP64</f>
        <v>6.5501176409275104</v>
      </c>
      <c r="AN32" s="42">
        <f>KVARTS!AQ64</f>
        <v>5.5222163666163597</v>
      </c>
      <c r="AO32" s="42">
        <f>KVARTS!AR64</f>
        <v>4.8854317326599297</v>
      </c>
      <c r="AP32" s="42">
        <f>KVARTS!AS64</f>
        <v>4.4192166560990804</v>
      </c>
      <c r="AQ32" s="42">
        <f>KVARTS!AT64</f>
        <v>3.9106154586444402</v>
      </c>
      <c r="AR32" s="42">
        <f>KVARTS!AU64</f>
        <v>3.5138655571550999</v>
      </c>
      <c r="AS32" s="42">
        <f>KVARTS!AV64</f>
        <v>3.1591642798824502</v>
      </c>
      <c r="AT32" s="42">
        <f>KVARTS!AW64</f>
        <v>2.7467847078208401</v>
      </c>
      <c r="AU32" s="42">
        <f>KVARTS!AX64</f>
        <v>2.4737210810597499</v>
      </c>
      <c r="AV32" s="42">
        <f>KVARTS!AY64</f>
        <v>2.0487444447745702</v>
      </c>
      <c r="AW32" s="42">
        <f>KVARTS!AZ64</f>
        <v>1.9173434812521499</v>
      </c>
      <c r="AX32" s="42">
        <f>KVARTS!BA64</f>
        <v>1.4773356022698201</v>
      </c>
      <c r="AY32" s="42">
        <f>KVARTS!BB64</f>
        <v>1.1472303341380401</v>
      </c>
      <c r="AZ32" s="42">
        <f>KVARTS!BC64</f>
        <v>0.95530164193360201</v>
      </c>
      <c r="BA32" s="42">
        <f>KVARTS!BD64</f>
        <v>0.78101941680904496</v>
      </c>
      <c r="BB32" s="42">
        <f>KVARTS!BE64</f>
        <v>0.53412031437233098</v>
      </c>
      <c r="BC32" s="42">
        <f>KVARTS!BF64</f>
        <v>0.42513031815542501</v>
      </c>
      <c r="BD32" s="42">
        <f>KVARTS!BG64</f>
        <v>0.30469153579019798</v>
      </c>
      <c r="BE32" s="42">
        <f>KVARTS!BH64</f>
        <v>0.20867618493161899</v>
      </c>
      <c r="BF32" s="42">
        <f>KVARTS!BI64</f>
        <v>0.13997563850716699</v>
      </c>
      <c r="BG32" s="42">
        <f>KVARTS!BJ64</f>
        <v>7.6948321395320804E-2</v>
      </c>
      <c r="BH32" s="42">
        <f>KVARTS!BK64</f>
        <v>7.25227032817196E-2</v>
      </c>
      <c r="BI32" s="42">
        <f>KVARTS!BL64</f>
        <v>6.7570852599601494E-2</v>
      </c>
      <c r="BJ32" s="42">
        <f>KVARTS!BM64</f>
        <v>4.6981570863863398E-2</v>
      </c>
      <c r="BK32" s="384">
        <f t="shared" si="0"/>
        <v>4.6981570863863398E-2</v>
      </c>
      <c r="BL32" s="384">
        <f t="shared" si="0"/>
        <v>4.6981570863863398E-2</v>
      </c>
      <c r="BM32" s="384">
        <f t="shared" ref="BM32:CN32" si="5">BL32</f>
        <v>4.6981570863863398E-2</v>
      </c>
      <c r="BN32" s="384">
        <f t="shared" si="5"/>
        <v>4.6981570863863398E-2</v>
      </c>
      <c r="BO32" s="384">
        <f t="shared" si="5"/>
        <v>4.6981570863863398E-2</v>
      </c>
      <c r="BP32" s="384">
        <f t="shared" si="5"/>
        <v>4.6981570863863398E-2</v>
      </c>
      <c r="BQ32" s="384">
        <f t="shared" si="5"/>
        <v>4.6981570863863398E-2</v>
      </c>
      <c r="BR32" s="384">
        <f t="shared" si="5"/>
        <v>4.6981570863863398E-2</v>
      </c>
      <c r="BS32" s="384">
        <f t="shared" si="5"/>
        <v>4.6981570863863398E-2</v>
      </c>
      <c r="BT32" s="384">
        <f t="shared" si="5"/>
        <v>4.6981570863863398E-2</v>
      </c>
      <c r="BU32" s="384">
        <f t="shared" si="5"/>
        <v>4.6981570863863398E-2</v>
      </c>
      <c r="BV32" s="384">
        <f t="shared" si="5"/>
        <v>4.6981570863863398E-2</v>
      </c>
      <c r="BW32" s="384">
        <f t="shared" si="5"/>
        <v>4.6981570863863398E-2</v>
      </c>
      <c r="BX32" s="384">
        <f t="shared" si="5"/>
        <v>4.6981570863863398E-2</v>
      </c>
      <c r="BY32" s="384">
        <f t="shared" si="5"/>
        <v>4.6981570863863398E-2</v>
      </c>
      <c r="BZ32" s="384">
        <f t="shared" si="5"/>
        <v>4.6981570863863398E-2</v>
      </c>
      <c r="CA32" s="384">
        <f t="shared" si="5"/>
        <v>4.6981570863863398E-2</v>
      </c>
      <c r="CB32" s="384">
        <f t="shared" si="5"/>
        <v>4.6981570863863398E-2</v>
      </c>
      <c r="CC32" s="384">
        <f t="shared" si="5"/>
        <v>4.6981570863863398E-2</v>
      </c>
      <c r="CD32" s="384">
        <f t="shared" si="5"/>
        <v>4.6981570863863398E-2</v>
      </c>
      <c r="CE32" s="384">
        <f t="shared" si="5"/>
        <v>4.6981570863863398E-2</v>
      </c>
      <c r="CF32" s="384">
        <f t="shared" si="5"/>
        <v>4.6981570863863398E-2</v>
      </c>
      <c r="CG32" s="384">
        <f t="shared" si="5"/>
        <v>4.6981570863863398E-2</v>
      </c>
      <c r="CH32" s="384">
        <f t="shared" si="5"/>
        <v>4.6981570863863398E-2</v>
      </c>
      <c r="CI32" s="384">
        <f t="shared" si="5"/>
        <v>4.6981570863863398E-2</v>
      </c>
      <c r="CJ32" s="384">
        <f t="shared" si="5"/>
        <v>4.6981570863863398E-2</v>
      </c>
      <c r="CK32" s="384">
        <f t="shared" si="5"/>
        <v>4.6981570863863398E-2</v>
      </c>
      <c r="CL32" s="384">
        <f t="shared" si="5"/>
        <v>4.6981570863863398E-2</v>
      </c>
      <c r="CM32" s="384">
        <f t="shared" si="5"/>
        <v>4.6981570863863398E-2</v>
      </c>
      <c r="CN32" s="384">
        <f t="shared" si="5"/>
        <v>4.6981570863863398E-2</v>
      </c>
      <c r="CO32" s="42"/>
      <c r="CP32" s="42"/>
      <c r="CQ32" s="42"/>
      <c r="CR32" s="42"/>
      <c r="CS32" s="42"/>
      <c r="CT32" s="42"/>
      <c r="CU32" s="42"/>
      <c r="CV32" s="42"/>
    </row>
    <row r="33" spans="1:100">
      <c r="A33" t="s">
        <v>310</v>
      </c>
      <c r="I33" s="42">
        <f t="shared" ref="I33:AF33" si="6">I30+I32</f>
        <v>148.04</v>
      </c>
      <c r="J33" s="42">
        <f t="shared" si="6"/>
        <v>143.51999999999998</v>
      </c>
      <c r="K33" s="42">
        <f t="shared" si="6"/>
        <v>136.34</v>
      </c>
      <c r="L33" s="42">
        <f t="shared" si="6"/>
        <v>124.11</v>
      </c>
      <c r="M33" s="42">
        <f t="shared" si="6"/>
        <v>118.35</v>
      </c>
      <c r="N33" s="42">
        <f t="shared" si="6"/>
        <v>111.58000000000001</v>
      </c>
      <c r="O33" s="42">
        <f t="shared" si="6"/>
        <v>106.65</v>
      </c>
      <c r="P33" s="42">
        <f t="shared" si="6"/>
        <v>109.56</v>
      </c>
      <c r="Q33" s="42">
        <f t="shared" si="6"/>
        <v>112.91999999999999</v>
      </c>
      <c r="R33" s="42">
        <f>R30+R32</f>
        <v>116.01</v>
      </c>
      <c r="S33" s="42">
        <f t="shared" si="6"/>
        <v>114.38</v>
      </c>
      <c r="T33" s="42">
        <f t="shared" si="6"/>
        <v>107.44</v>
      </c>
      <c r="U33" s="42">
        <f t="shared" si="6"/>
        <v>102.28999999999999</v>
      </c>
      <c r="V33" s="42">
        <f t="shared" si="6"/>
        <v>116.74</v>
      </c>
      <c r="W33" s="42">
        <f t="shared" si="6"/>
        <v>117.67</v>
      </c>
      <c r="X33" s="42">
        <f t="shared" si="6"/>
        <v>110.34</v>
      </c>
      <c r="Y33" s="42">
        <f t="shared" si="6"/>
        <v>117.13</v>
      </c>
      <c r="Z33" s="42">
        <f t="shared" si="6"/>
        <v>116.9771884814152</v>
      </c>
      <c r="AA33" s="42">
        <f t="shared" si="6"/>
        <v>119.71622617795259</v>
      </c>
      <c r="AB33" s="42">
        <f t="shared" si="6"/>
        <v>116.32835581414551</v>
      </c>
      <c r="AC33" s="42">
        <f t="shared" si="6"/>
        <v>111.99200195850189</v>
      </c>
      <c r="AD33" s="42">
        <f t="shared" si="6"/>
        <v>102.4296082671882</v>
      </c>
      <c r="AE33" s="42">
        <f t="shared" si="6"/>
        <v>93.96967483833231</v>
      </c>
      <c r="AF33" s="42">
        <f t="shared" si="6"/>
        <v>88.252076050117395</v>
      </c>
      <c r="AG33" s="42">
        <f t="shared" ref="AG33:AZ33" si="7">AG30+AG32</f>
        <v>84.649503384835896</v>
      </c>
      <c r="AH33" s="42">
        <f t="shared" si="7"/>
        <v>82.817029213168297</v>
      </c>
      <c r="AI33" s="42">
        <f t="shared" si="7"/>
        <v>80.090096310466805</v>
      </c>
      <c r="AJ33" s="42">
        <f t="shared" si="7"/>
        <v>79.019108467049548</v>
      </c>
      <c r="AK33" s="42">
        <f t="shared" si="7"/>
        <v>77.442321891317093</v>
      </c>
      <c r="AL33" s="42">
        <f t="shared" si="7"/>
        <v>75.507959450881316</v>
      </c>
      <c r="AM33" s="42">
        <f t="shared" si="7"/>
        <v>72.972334879383709</v>
      </c>
      <c r="AN33" s="42">
        <f t="shared" si="7"/>
        <v>69.442866432623958</v>
      </c>
      <c r="AO33" s="42">
        <f t="shared" si="7"/>
        <v>66.630426384942822</v>
      </c>
      <c r="AP33" s="42">
        <f t="shared" si="7"/>
        <v>64.184978149029476</v>
      </c>
      <c r="AQ33" s="42">
        <f t="shared" si="7"/>
        <v>62.071563546176641</v>
      </c>
      <c r="AR33" s="42">
        <f t="shared" si="7"/>
        <v>59.818430125078102</v>
      </c>
      <c r="AS33" s="42">
        <f t="shared" si="7"/>
        <v>57.739884200412547</v>
      </c>
      <c r="AT33" s="42">
        <f t="shared" si="7"/>
        <v>55.980646012116537</v>
      </c>
      <c r="AU33" s="42">
        <f t="shared" si="7"/>
        <v>53.892183947162053</v>
      </c>
      <c r="AV33" s="42">
        <f t="shared" si="7"/>
        <v>51.900677561973872</v>
      </c>
      <c r="AW33" s="42">
        <f t="shared" si="7"/>
        <v>49.991939662211053</v>
      </c>
      <c r="AX33" s="42">
        <f t="shared" si="7"/>
        <v>48.269092415509618</v>
      </c>
      <c r="AY33" s="42">
        <f t="shared" si="7"/>
        <v>46.173789224844036</v>
      </c>
      <c r="AZ33" s="42">
        <f t="shared" si="7"/>
        <v>44.323070865644205</v>
      </c>
      <c r="BA33" s="42">
        <f t="shared" ref="BA33:BI33" si="8">BA30+BA32</f>
        <v>42.818671806326542</v>
      </c>
      <c r="BB33" s="42">
        <f t="shared" si="8"/>
        <v>41.050233412501029</v>
      </c>
      <c r="BC33" s="42">
        <f t="shared" si="8"/>
        <v>39.566475175557628</v>
      </c>
      <c r="BD33" s="42">
        <f t="shared" si="8"/>
        <v>37.949644095633801</v>
      </c>
      <c r="BE33" s="42">
        <f t="shared" si="8"/>
        <v>36.26325727573952</v>
      </c>
      <c r="BF33" s="42">
        <f t="shared" si="8"/>
        <v>34.749828179163167</v>
      </c>
      <c r="BG33" s="42">
        <f t="shared" si="8"/>
        <v>33.209564049699118</v>
      </c>
      <c r="BH33" s="42">
        <f t="shared" si="8"/>
        <v>31.429137650600719</v>
      </c>
      <c r="BI33" s="42">
        <f t="shared" si="8"/>
        <v>29.797117943428002</v>
      </c>
      <c r="BJ33" s="42">
        <f t="shared" ref="BJ33" si="9">BJ30+BJ32</f>
        <v>28.118728559085863</v>
      </c>
      <c r="BK33" s="384">
        <f t="shared" ref="BK33:BT33" si="10">BK30+BK32</f>
        <v>28.118728559085863</v>
      </c>
      <c r="BL33" s="384">
        <f t="shared" si="10"/>
        <v>28.118728559085863</v>
      </c>
      <c r="BM33" s="384">
        <f t="shared" si="10"/>
        <v>28.118728559085863</v>
      </c>
      <c r="BN33" s="384">
        <f t="shared" si="10"/>
        <v>28.118728559085863</v>
      </c>
      <c r="BO33" s="384">
        <f t="shared" si="10"/>
        <v>28.118728559085863</v>
      </c>
      <c r="BP33" s="384">
        <f t="shared" si="10"/>
        <v>28.118728559085863</v>
      </c>
      <c r="BQ33" s="384">
        <f t="shared" si="10"/>
        <v>28.118728559085863</v>
      </c>
      <c r="BR33" s="384">
        <f t="shared" si="10"/>
        <v>28.118728559085863</v>
      </c>
      <c r="BS33" s="384">
        <f t="shared" si="10"/>
        <v>28.118728559085863</v>
      </c>
      <c r="BT33" s="384">
        <f t="shared" si="10"/>
        <v>28.118728559085863</v>
      </c>
      <c r="BU33" s="384">
        <f t="shared" ref="BU33:CI33" si="11">BU30+BU32</f>
        <v>28.118728559085863</v>
      </c>
      <c r="BV33" s="384">
        <f t="shared" si="11"/>
        <v>28.118728559085863</v>
      </c>
      <c r="BW33" s="384">
        <f t="shared" si="11"/>
        <v>28.118728559085863</v>
      </c>
      <c r="BX33" s="384">
        <f t="shared" si="11"/>
        <v>28.118728559085863</v>
      </c>
      <c r="BY33" s="384">
        <f t="shared" si="11"/>
        <v>28.118728559085863</v>
      </c>
      <c r="BZ33" s="384">
        <f t="shared" si="11"/>
        <v>28.118728559085863</v>
      </c>
      <c r="CA33" s="384">
        <f t="shared" si="11"/>
        <v>28.118728559085863</v>
      </c>
      <c r="CB33" s="384">
        <f t="shared" si="11"/>
        <v>28.118728559085863</v>
      </c>
      <c r="CC33" s="384">
        <f t="shared" si="11"/>
        <v>28.118728559085863</v>
      </c>
      <c r="CD33" s="384">
        <f t="shared" si="11"/>
        <v>28.118728559085863</v>
      </c>
      <c r="CE33" s="384">
        <f t="shared" si="11"/>
        <v>28.118728559085863</v>
      </c>
      <c r="CF33" s="384">
        <f t="shared" si="11"/>
        <v>28.118728559085863</v>
      </c>
      <c r="CG33" s="384">
        <f t="shared" si="11"/>
        <v>28.118728559085863</v>
      </c>
      <c r="CH33" s="384">
        <f t="shared" si="11"/>
        <v>28.118728559085863</v>
      </c>
      <c r="CI33" s="384">
        <f t="shared" si="11"/>
        <v>28.118728559085863</v>
      </c>
      <c r="CJ33" s="384">
        <f t="shared" ref="CJ33:CN33" si="12">CJ30+CJ32</f>
        <v>28.118728559085863</v>
      </c>
      <c r="CK33" s="384">
        <f t="shared" si="12"/>
        <v>28.118728559085863</v>
      </c>
      <c r="CL33" s="384">
        <f t="shared" si="12"/>
        <v>28.118728559085863</v>
      </c>
      <c r="CM33" s="384">
        <f t="shared" si="12"/>
        <v>28.118728559085863</v>
      </c>
      <c r="CN33" s="384">
        <f t="shared" si="12"/>
        <v>28.118728559085863</v>
      </c>
      <c r="CO33" s="42"/>
      <c r="CP33" s="42"/>
      <c r="CQ33" s="42"/>
      <c r="CR33" s="42"/>
      <c r="CS33" s="42"/>
      <c r="CT33" s="42"/>
      <c r="CU33" s="42"/>
      <c r="CV33" s="42"/>
    </row>
    <row r="34" spans="1:100">
      <c r="A34" t="s">
        <v>314</v>
      </c>
      <c r="I34" s="42">
        <f>I30+I31+I32</f>
        <v>237.55</v>
      </c>
      <c r="J34" s="42">
        <f t="shared" ref="J34:AF34" si="13">J30+J31+J32</f>
        <v>242.98000000000002</v>
      </c>
      <c r="K34" s="42">
        <f t="shared" si="13"/>
        <v>240.02</v>
      </c>
      <c r="L34" s="42">
        <f t="shared" si="13"/>
        <v>230.64000000000001</v>
      </c>
      <c r="M34" s="42">
        <f t="shared" si="13"/>
        <v>218.64999999999998</v>
      </c>
      <c r="N34" s="42">
        <f t="shared" si="13"/>
        <v>224.64</v>
      </c>
      <c r="O34" s="42">
        <f t="shared" si="13"/>
        <v>213.70000000000002</v>
      </c>
      <c r="P34" s="42">
        <f t="shared" si="13"/>
        <v>216.36</v>
      </c>
      <c r="Q34" s="42">
        <f t="shared" si="13"/>
        <v>227.83999999999997</v>
      </c>
      <c r="R34" s="42">
        <f>R30+R31+R32</f>
        <v>230.66000000000003</v>
      </c>
      <c r="S34" s="42">
        <f t="shared" si="13"/>
        <v>236.75</v>
      </c>
      <c r="T34" s="42">
        <f t="shared" si="13"/>
        <v>227.32999999999998</v>
      </c>
      <c r="U34" s="42">
        <f t="shared" si="13"/>
        <v>215.41</v>
      </c>
      <c r="V34" s="42">
        <f t="shared" si="13"/>
        <v>226.85</v>
      </c>
      <c r="W34" s="42">
        <f t="shared" si="13"/>
        <v>230.75</v>
      </c>
      <c r="X34" s="42">
        <f t="shared" si="13"/>
        <v>233.19</v>
      </c>
      <c r="Y34" s="42">
        <f t="shared" si="13"/>
        <v>233.15</v>
      </c>
      <c r="Z34" s="42">
        <f t="shared" si="13"/>
        <v>241.21594043253518</v>
      </c>
      <c r="AA34" s="42">
        <f t="shared" si="13"/>
        <v>238.16830110926762</v>
      </c>
      <c r="AB34" s="42">
        <f t="shared" si="13"/>
        <v>236.41447723234148</v>
      </c>
      <c r="AC34" s="42">
        <f t="shared" si="13"/>
        <v>232.08664448923989</v>
      </c>
      <c r="AD34" s="42">
        <f t="shared" si="13"/>
        <v>218.59570077720218</v>
      </c>
      <c r="AE34" s="42">
        <f t="shared" si="13"/>
        <v>204.6059458103143</v>
      </c>
      <c r="AF34" s="42">
        <f t="shared" si="13"/>
        <v>193.19365242068238</v>
      </c>
      <c r="AG34" s="42">
        <f t="shared" ref="AG34:AZ34" si="14">AG30+AG31+AG32</f>
        <v>184.77994896594291</v>
      </c>
      <c r="AH34" s="42">
        <f t="shared" si="14"/>
        <v>176.30876350221612</v>
      </c>
      <c r="AI34" s="42">
        <f t="shared" si="14"/>
        <v>169.4251810943926</v>
      </c>
      <c r="AJ34" s="42">
        <f t="shared" si="14"/>
        <v>165.75468141269565</v>
      </c>
      <c r="AK34" s="42">
        <f t="shared" si="14"/>
        <v>161.7762638432495</v>
      </c>
      <c r="AL34" s="42">
        <f t="shared" si="14"/>
        <v>157.66172991607431</v>
      </c>
      <c r="AM34" s="42">
        <f t="shared" si="14"/>
        <v>151.81280442972241</v>
      </c>
      <c r="AN34" s="42">
        <f t="shared" si="14"/>
        <v>143.32598267418305</v>
      </c>
      <c r="AO34" s="42">
        <f t="shared" si="14"/>
        <v>135.17011303045234</v>
      </c>
      <c r="AP34" s="42">
        <f t="shared" si="14"/>
        <v>128.87716393736778</v>
      </c>
      <c r="AQ34" s="42">
        <f t="shared" si="14"/>
        <v>123.30066131627613</v>
      </c>
      <c r="AR34" s="42">
        <f t="shared" si="14"/>
        <v>118.4257562608541</v>
      </c>
      <c r="AS34" s="42">
        <f t="shared" si="14"/>
        <v>113.60222458101305</v>
      </c>
      <c r="AT34" s="42">
        <f t="shared" si="14"/>
        <v>108.76792428614533</v>
      </c>
      <c r="AU34" s="42">
        <f t="shared" si="14"/>
        <v>104.17507405643636</v>
      </c>
      <c r="AV34" s="42">
        <f t="shared" si="14"/>
        <v>100.24064588468177</v>
      </c>
      <c r="AW34" s="42">
        <f t="shared" si="14"/>
        <v>96.438412448617342</v>
      </c>
      <c r="AX34" s="42">
        <f t="shared" si="14"/>
        <v>92.968473816209411</v>
      </c>
      <c r="AY34" s="42">
        <f t="shared" si="14"/>
        <v>89.467297762524652</v>
      </c>
      <c r="AZ34" s="42">
        <f t="shared" si="14"/>
        <v>85.971856646497599</v>
      </c>
      <c r="BA34" s="42">
        <f t="shared" ref="BA34:BI34" si="15">BA30+BA31+BA32</f>
        <v>82.937361615878842</v>
      </c>
      <c r="BB34" s="42">
        <f t="shared" si="15"/>
        <v>79.420192644886129</v>
      </c>
      <c r="BC34" s="42">
        <f t="shared" si="15"/>
        <v>76.469996437669721</v>
      </c>
      <c r="BD34" s="42">
        <f t="shared" si="15"/>
        <v>73.762390322641693</v>
      </c>
      <c r="BE34" s="42">
        <f t="shared" si="15"/>
        <v>71.472395833386827</v>
      </c>
      <c r="BF34" s="42">
        <f t="shared" si="15"/>
        <v>69.165990025125168</v>
      </c>
      <c r="BG34" s="42">
        <f t="shared" si="15"/>
        <v>67.101182841521222</v>
      </c>
      <c r="BH34" s="42">
        <f t="shared" si="15"/>
        <v>64.895406083334819</v>
      </c>
      <c r="BI34" s="42">
        <f t="shared" si="15"/>
        <v>62.792664368713304</v>
      </c>
      <c r="BJ34" s="42">
        <f t="shared" ref="BJ34" si="16">BJ30+BJ31+BJ32</f>
        <v>60.721105953300167</v>
      </c>
      <c r="BK34" s="384">
        <f t="shared" ref="BK34:BT34" si="17">BK30+BK31+BK32</f>
        <v>60.721105953300167</v>
      </c>
      <c r="BL34" s="384">
        <f t="shared" si="17"/>
        <v>60.721105953300167</v>
      </c>
      <c r="BM34" s="384">
        <f t="shared" si="17"/>
        <v>60.721105953300167</v>
      </c>
      <c r="BN34" s="384">
        <f t="shared" si="17"/>
        <v>60.721105953300167</v>
      </c>
      <c r="BO34" s="384">
        <f t="shared" si="17"/>
        <v>60.721105953300167</v>
      </c>
      <c r="BP34" s="384">
        <f t="shared" si="17"/>
        <v>60.721105953300167</v>
      </c>
      <c r="BQ34" s="384">
        <f t="shared" si="17"/>
        <v>60.721105953300167</v>
      </c>
      <c r="BR34" s="384">
        <f t="shared" si="17"/>
        <v>60.721105953300167</v>
      </c>
      <c r="BS34" s="384">
        <f t="shared" si="17"/>
        <v>60.721105953300167</v>
      </c>
      <c r="BT34" s="384">
        <f t="shared" si="17"/>
        <v>60.721105953300167</v>
      </c>
      <c r="BU34" s="384">
        <f t="shared" ref="BU34:CI34" si="18">BU30+BU31+BU32</f>
        <v>60.721105953300167</v>
      </c>
      <c r="BV34" s="384">
        <f t="shared" si="18"/>
        <v>60.721105953300167</v>
      </c>
      <c r="BW34" s="384">
        <f t="shared" si="18"/>
        <v>60.721105953300167</v>
      </c>
      <c r="BX34" s="384">
        <f t="shared" si="18"/>
        <v>60.721105953300167</v>
      </c>
      <c r="BY34" s="384">
        <f t="shared" si="18"/>
        <v>60.721105953300167</v>
      </c>
      <c r="BZ34" s="384">
        <f t="shared" si="18"/>
        <v>60.721105953300167</v>
      </c>
      <c r="CA34" s="384">
        <f t="shared" si="18"/>
        <v>60.721105953300167</v>
      </c>
      <c r="CB34" s="384">
        <f t="shared" si="18"/>
        <v>60.721105953300167</v>
      </c>
      <c r="CC34" s="384">
        <f t="shared" si="18"/>
        <v>60.721105953300167</v>
      </c>
      <c r="CD34" s="384">
        <f t="shared" si="18"/>
        <v>60.721105953300167</v>
      </c>
      <c r="CE34" s="384">
        <f t="shared" si="18"/>
        <v>60.721105953300167</v>
      </c>
      <c r="CF34" s="384">
        <f t="shared" si="18"/>
        <v>60.721105953300167</v>
      </c>
      <c r="CG34" s="384">
        <f t="shared" si="18"/>
        <v>60.721105953300167</v>
      </c>
      <c r="CH34" s="384">
        <f t="shared" si="18"/>
        <v>60.721105953300167</v>
      </c>
      <c r="CI34" s="384">
        <f t="shared" si="18"/>
        <v>60.721105953300167</v>
      </c>
      <c r="CJ34" s="384">
        <f t="shared" ref="CJ34:CN34" si="19">CJ30+CJ31+CJ32</f>
        <v>60.721105953300167</v>
      </c>
      <c r="CK34" s="384">
        <f t="shared" si="19"/>
        <v>60.721105953300167</v>
      </c>
      <c r="CL34" s="384">
        <f t="shared" si="19"/>
        <v>60.721105953300167</v>
      </c>
      <c r="CM34" s="384">
        <f t="shared" si="19"/>
        <v>60.721105953300167</v>
      </c>
      <c r="CN34" s="384">
        <f t="shared" si="19"/>
        <v>60.721105953300167</v>
      </c>
      <c r="CO34" s="42"/>
      <c r="CP34" s="42"/>
      <c r="CQ34" s="42"/>
      <c r="CR34" s="42"/>
      <c r="CS34" s="42"/>
      <c r="CT34" s="42"/>
      <c r="CU34" s="42"/>
      <c r="CV34" s="42"/>
    </row>
    <row r="35" spans="1:100">
      <c r="I35" s="40"/>
      <c r="J35" s="40"/>
      <c r="K35" s="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385"/>
      <c r="BL35" s="385"/>
      <c r="BM35" s="385"/>
      <c r="BN35" s="385"/>
      <c r="BO35" s="385"/>
      <c r="BP35" s="385"/>
      <c r="BQ35" s="385"/>
      <c r="BR35" s="385"/>
      <c r="BS35" s="385"/>
      <c r="BT35" s="385"/>
    </row>
    <row r="36" spans="1:100">
      <c r="I36" s="40"/>
      <c r="J36" s="40"/>
      <c r="K36" s="40"/>
      <c r="L36" s="40"/>
      <c r="M36" s="40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8"/>
      <c r="AX36" s="208"/>
      <c r="AY36" s="208"/>
      <c r="AZ36" s="208"/>
      <c r="BA36" s="208"/>
      <c r="BB36" s="208"/>
      <c r="BC36" s="208"/>
      <c r="BD36" s="208"/>
      <c r="BE36" s="208"/>
      <c r="BF36" s="208"/>
      <c r="BG36" s="208"/>
      <c r="BH36" s="208"/>
      <c r="BI36" s="208"/>
      <c r="BJ36" s="208"/>
      <c r="BK36" s="208"/>
      <c r="BL36" s="208"/>
      <c r="BM36" s="208"/>
      <c r="BN36" s="208"/>
      <c r="BO36" s="208"/>
      <c r="BP36" s="208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E36" s="208"/>
      <c r="CF36" s="208"/>
      <c r="CG36" s="208"/>
      <c r="CH36" s="208"/>
      <c r="CI36" s="208"/>
      <c r="CJ36" s="208"/>
      <c r="CK36" s="208"/>
      <c r="CL36" s="208"/>
      <c r="CM36" s="208"/>
      <c r="CN36" s="208"/>
    </row>
    <row r="37" spans="1:100">
      <c r="A37" s="2" t="s">
        <v>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379"/>
      <c r="BL37" s="379"/>
      <c r="BM37" s="379"/>
      <c r="BN37" s="379"/>
      <c r="BO37" s="379"/>
      <c r="BP37" s="379"/>
      <c r="BQ37" s="379"/>
      <c r="BR37" s="379"/>
      <c r="BS37" s="379"/>
      <c r="BT37" s="379"/>
    </row>
    <row r="38" spans="1:100">
      <c r="A38" t="s">
        <v>2</v>
      </c>
      <c r="I38" s="42">
        <f>KVARTS!L33*(1+Skiftberegning!H25)</f>
        <v>2673.1692499999999</v>
      </c>
      <c r="J38" s="42">
        <f>KVARTS!M33*(1+Skiftberegning!I25)</f>
        <v>3497.13436</v>
      </c>
      <c r="K38" s="42">
        <f>KVARTS!N33*(1+Skiftberegning!J25)</f>
        <v>2459.3157099999999</v>
      </c>
      <c r="L38" s="42">
        <f>KVARTS!O33*(1+Skiftberegning!K25)</f>
        <v>3050.5578500000001</v>
      </c>
      <c r="M38" s="42">
        <f>KVARTS!P33*(1+Skiftberegning!L25)</f>
        <v>3912.2618200000002</v>
      </c>
      <c r="N38" s="42">
        <f>KVARTS!Q33*(1+Skiftberegning!M25)</f>
        <v>4088.3765000000003</v>
      </c>
      <c r="O38" s="42">
        <f>KVARTS!R33*(1+Skiftberegning!N25)</f>
        <v>4019.1885900000002</v>
      </c>
      <c r="P38" s="42">
        <f>KVARTS!S33*(1+Skiftberegning!O25)</f>
        <v>3943.7108699999999</v>
      </c>
      <c r="Q38" s="42">
        <f>KVARTS!T33*(1+Skiftberegning!P25)</f>
        <v>2710.9081099999999</v>
      </c>
      <c r="R38" s="42">
        <f>KVARTS!U33*(1+Skiftberegning!Q25)</f>
        <v>2383.83799</v>
      </c>
      <c r="S38" s="42">
        <f>KVARTS!V33*(1+Skiftberegning!R25)</f>
        <v>2842.9941199999998</v>
      </c>
      <c r="T38" s="42">
        <f>KVARTS!W33*(1+Skiftberegning!S25)</f>
        <v>3666.9592299999999</v>
      </c>
      <c r="U38" s="42">
        <f>KVARTS!X33*(1+Skiftberegning!T25)</f>
        <v>3547.4528399999999</v>
      </c>
      <c r="V38" s="42">
        <f>KVARTS!Y33*(1+Skiftberegning!U25)</f>
        <v>2559.9526700000001</v>
      </c>
      <c r="W38" s="42">
        <f>KVARTS!Z33*(1+Skiftberegning!V25)</f>
        <v>3830.4942900000001</v>
      </c>
      <c r="X38" s="42">
        <f>KVARTS!AA33*(1+Skiftberegning!W25)</f>
        <v>5981.6093099999998</v>
      </c>
      <c r="Y38" s="42">
        <f>KVARTS!AB33*(1+Skiftberegning!X25)</f>
        <v>5453.2652699999999</v>
      </c>
      <c r="Z38" s="42">
        <f>KVARTS!AC33*(1+Skiftberegning!Y25)</f>
        <v>5384.0773600000002</v>
      </c>
      <c r="AA38" s="42">
        <f>KVARTS!AD33*(1+Skiftberegning!Z25)</f>
        <v>4553.9081099309251</v>
      </c>
      <c r="AB38" s="42">
        <f>KVARTS!AE33*(1+Skiftberegning!AA25)</f>
        <v>4242.4470669952716</v>
      </c>
      <c r="AC38" s="42">
        <f>KVARTS!AF33*(1+Skiftberegning!AB25)</f>
        <v>4239.1074340377854</v>
      </c>
      <c r="AD38" s="42">
        <f>KVARTS!AG33*(1+Skiftberegning!AC25)</f>
        <v>4262.9089451157533</v>
      </c>
      <c r="AE38" s="42">
        <f>KVARTS!AH33*(1+Skiftberegning!AD25)</f>
        <v>4282.4696524381825</v>
      </c>
      <c r="AF38" s="42">
        <f>KVARTS!AI33*(1+Skiftberegning!AE25)</f>
        <v>4285.2791849262276</v>
      </c>
      <c r="AG38" s="42">
        <f>KVARTS!AJ33*(1+Skiftberegning!AF25)</f>
        <v>4488.9711321902769</v>
      </c>
      <c r="AH38" s="42">
        <f>KVARTS!AK33*(1+Skiftberegning!AG25)</f>
        <v>4699.0966456709193</v>
      </c>
      <c r="AI38" s="42">
        <f>KVARTS!AL33*(1+Skiftberegning!AH25)</f>
        <v>4915.8315912379112</v>
      </c>
      <c r="AJ38" s="42">
        <f>KVARTS!AM33*(1+Skiftberegning!AI25)</f>
        <v>5139.3562959693136</v>
      </c>
      <c r="AK38" s="42">
        <f>KVARTS!AN33*(1+Skiftberegning!AJ25)</f>
        <v>5369.8657733261525</v>
      </c>
      <c r="AL38" s="42">
        <f>KVARTS!AO33*(1+Skiftberegning!AK25)</f>
        <v>5477.2630887926762</v>
      </c>
      <c r="AM38" s="42">
        <f>KVARTS!AP33*(1+Skiftberegning!AL25)</f>
        <v>5586.808350568529</v>
      </c>
      <c r="AN38" s="42">
        <f>KVARTS!AQ33*(1+Skiftberegning!AM25)</f>
        <v>5698.5445175799005</v>
      </c>
      <c r="AO38" s="42">
        <f>KVARTS!AR33*(1+Skiftberegning!AN25)</f>
        <v>5812.5154079314989</v>
      </c>
      <c r="AP38" s="42">
        <f>KVARTS!AS33*(1+Skiftberegning!AO25)</f>
        <v>5928.7657160901281</v>
      </c>
      <c r="AQ38" s="42">
        <f>KVARTS!AT33*(1+Skiftberegning!AP25)</f>
        <v>6047.3410304119307</v>
      </c>
      <c r="AR38" s="42">
        <f>KVARTS!AU33*(1+Skiftberegning!AQ25)</f>
        <v>6168.2878510201699</v>
      </c>
      <c r="AS38" s="42">
        <f>KVARTS!AV33*(1+Skiftberegning!AR25)</f>
        <v>6291.653608040574</v>
      </c>
      <c r="AT38" s="42">
        <f>KVARTS!AW33*(1+Skiftberegning!AS25)</f>
        <v>6417.4866802013848</v>
      </c>
      <c r="AU38" s="42">
        <f>KVARTS!AX33*(1+Skiftberegning!AT25)</f>
        <v>6545.8364138054121</v>
      </c>
      <c r="AV38" s="42">
        <f>KVARTS!AY33*(1+Skiftberegning!AU25)</f>
        <v>6676.7531420815212</v>
      </c>
      <c r="AW38" s="42">
        <f>KVARTS!AZ33*(1+Skiftberegning!AV25)</f>
        <v>6810.2882049231521</v>
      </c>
      <c r="AX38" s="42">
        <f>KVARTS!BA33*(1+Skiftberegning!AW25)</f>
        <v>6946.4939690216142</v>
      </c>
      <c r="AY38" s="42">
        <f>KVARTS!BB33*(1+Skiftberegning!AX25)</f>
        <v>7085.423848402048</v>
      </c>
      <c r="AZ38" s="42">
        <f>KVARTS!BC33*(1+Skiftberegning!AY25)</f>
        <v>7227.1323253700893</v>
      </c>
      <c r="BA38" s="42">
        <f>KVARTS!BD33*(1+Skiftberegning!AZ25)</f>
        <v>7371.67497187749</v>
      </c>
      <c r="BB38" s="42">
        <f>KVARTS!BE33*(1+Skiftberegning!BA25)</f>
        <v>7519.1084713150394</v>
      </c>
      <c r="BC38" s="42">
        <f>KVARTS!BF33*(1+Skiftberegning!BB25)</f>
        <v>7669.4906407413409</v>
      </c>
      <c r="BD38" s="42">
        <f>KVARTS!BG33*(1+Skiftberegning!BC25)</f>
        <v>7822.8804535561685</v>
      </c>
      <c r="BE38" s="42">
        <f>KVARTS!BH33*(1+Skiftberegning!BD25)</f>
        <v>7979.3380626272919</v>
      </c>
      <c r="BF38" s="42">
        <f>KVARTS!BI33*(1+Skiftberegning!BE25)</f>
        <v>8138.9248238798382</v>
      </c>
      <c r="BG38" s="42">
        <f>KVARTS!BJ33*(1+Skiftberegning!BF25)</f>
        <v>8301.7033203574356</v>
      </c>
      <c r="BH38" s="42">
        <f>KVARTS!BK33*(1+Skiftberegning!BG25)</f>
        <v>8467.7373867645838</v>
      </c>
      <c r="BI38" s="42">
        <f>KVARTS!BL33*(1+Skiftberegning!BH25)</f>
        <v>8637.0921344998769</v>
      </c>
      <c r="BJ38" s="42">
        <f>KVARTS!BM33*(1+Skiftberegning!BI25)</f>
        <v>8809.8339771898718</v>
      </c>
      <c r="BK38" s="384">
        <f>Skiftberegning!BJ2*Skiftberegning!BJ15*(1+Skiftberegning!BJ25)</f>
        <v>8986.0306567336702</v>
      </c>
      <c r="BL38" s="384">
        <f>Skiftberegning!BK2*Skiftberegning!BK15*(1+Skiftberegning!BK25)</f>
        <v>9165.751269868344</v>
      </c>
      <c r="BM38" s="384">
        <f>Skiftberegning!BL2*Skiftberegning!BL15*(1+Skiftberegning!BL25)</f>
        <v>9349.0662952657094</v>
      </c>
      <c r="BN38" s="384">
        <f>Skiftberegning!BM2*Skiftberegning!BM15*(1+Skiftberegning!BM25)</f>
        <v>9536.0476211710247</v>
      </c>
      <c r="BO38" s="384">
        <f>Skiftberegning!BN2*Skiftberegning!BN15*(1+Skiftberegning!BN25)</f>
        <v>9726.7685735944451</v>
      </c>
      <c r="BP38" s="384">
        <f>Skiftberegning!BO2*Skiftberegning!BO15*(1+Skiftberegning!BO25)</f>
        <v>9921.3039450663346</v>
      </c>
      <c r="BQ38" s="384">
        <f>Skiftberegning!BP2*Skiftberegning!BP15*(1+Skiftberegning!BP25)</f>
        <v>10119.730023967661</v>
      </c>
      <c r="BR38" s="384">
        <f>Skiftberegning!BQ2*Skiftberegning!BQ15*(1+Skiftberegning!BQ25)</f>
        <v>10322.124624447015</v>
      </c>
      <c r="BS38" s="384">
        <f>Skiftberegning!BR2*Skiftberegning!BR15*(1+Skiftberegning!BR25)</f>
        <v>10528.567116935956</v>
      </c>
      <c r="BT38" s="384">
        <f>Skiftberegning!BS2*Skiftberegning!BS15*(1+Skiftberegning!BS25)</f>
        <v>10739.138459274674</v>
      </c>
      <c r="BU38" s="384">
        <f>Skiftberegning!BT2*Skiftberegning!BT15*(1+Skiftberegning!BT25)</f>
        <v>10953.921228460167</v>
      </c>
      <c r="BV38" s="384">
        <f>Skiftberegning!BU2*Skiftberegning!BU15*(1+Skiftberegning!BU25)</f>
        <v>11172.999653029372</v>
      </c>
      <c r="BW38" s="384">
        <f>Skiftberegning!BV2*Skiftberegning!BV15*(1+Skiftberegning!BV25)</f>
        <v>11396.459646089959</v>
      </c>
      <c r="BX38" s="384">
        <f>Skiftberegning!BW2*Skiftberegning!BW15*(1+Skiftberegning!BW25)</f>
        <v>11624.388839011757</v>
      </c>
      <c r="BY38" s="384">
        <f>Skiftberegning!BX2*Skiftberegning!BX15*(1+Skiftberegning!BX25)</f>
        <v>11856.876615791993</v>
      </c>
      <c r="BZ38" s="384">
        <f>Skiftberegning!BY2*Skiftberegning!BY15*(1+Skiftberegning!BY25)</f>
        <v>12094.014148107834</v>
      </c>
      <c r="CA38" s="384">
        <f>Skiftberegning!BZ2*Skiftberegning!BZ15*(1+Skiftberegning!BZ25)</f>
        <v>12335.894431069992</v>
      </c>
      <c r="CB38" s="384">
        <f>Skiftberegning!CA2*Skiftberegning!CA15*(1+Skiftberegning!CA25)</f>
        <v>12582.61231969139</v>
      </c>
      <c r="CC38" s="384">
        <f>Skiftberegning!CB2*Skiftberegning!CB15*(1+Skiftberegning!CB25)</f>
        <v>12834.264566085219</v>
      </c>
      <c r="CD38" s="384">
        <f>Skiftberegning!CC2*Skiftberegning!CC15*(1+Skiftberegning!CC25)</f>
        <v>13090.949857406924</v>
      </c>
      <c r="CE38" s="384">
        <f>Skiftberegning!CD2*Skiftberegning!CD15*(1+Skiftberegning!CD25)</f>
        <v>13352.768854555063</v>
      </c>
      <c r="CF38" s="384">
        <f>Skiftberegning!CE2*Skiftberegning!CE15*(1+Skiftberegning!CE25)</f>
        <v>13619.824231646162</v>
      </c>
      <c r="CG38" s="384">
        <f>Skiftberegning!CF2*Skiftberegning!CF15*(1+Skiftberegning!CF25)</f>
        <v>13892.220716279087</v>
      </c>
      <c r="CH38" s="384">
        <f>Skiftberegning!CG2*Skiftberegning!CG15*(1+Skiftberegning!CG25)</f>
        <v>14170.065130604669</v>
      </c>
      <c r="CI38" s="384">
        <f>Skiftberegning!CH2*Skiftberegning!CH15*(1+Skiftberegning!CH25)</f>
        <v>14453.466433216765</v>
      </c>
      <c r="CJ38" s="384">
        <f>Skiftberegning!CI2*Skiftberegning!CI15*(1+Skiftberegning!CI25)</f>
        <v>14742.535761881101</v>
      </c>
      <c r="CK38" s="384">
        <f>Skiftberegning!CJ2*Skiftberegning!CJ15*(1+Skiftberegning!CJ25)</f>
        <v>15037.386477118724</v>
      </c>
      <c r="CL38" s="384">
        <f>Skiftberegning!CK2*Skiftberegning!CK15*(1+Skiftberegning!CK25)</f>
        <v>15338.1342066611</v>
      </c>
      <c r="CM38" s="384">
        <f>Skiftberegning!CL2*Skiftberegning!CL15*(1+Skiftberegning!CL25)</f>
        <v>15644.896890794324</v>
      </c>
      <c r="CN38" s="384">
        <f>Skiftberegning!CM2*Skiftberegning!CM15*(1+Skiftberegning!CM25)</f>
        <v>15957.794828610209</v>
      </c>
      <c r="CO38" s="42"/>
      <c r="CP38" s="42"/>
      <c r="CQ38" s="42"/>
      <c r="CR38" s="42"/>
      <c r="CS38" s="42"/>
      <c r="CT38" s="42"/>
      <c r="CU38" s="42"/>
      <c r="CV38" s="42"/>
    </row>
    <row r="39" spans="1:100">
      <c r="A39" t="s">
        <v>21</v>
      </c>
      <c r="I39" s="42">
        <f>KVARTS!L34*(1+Skiftberegning!H26)</f>
        <v>1570</v>
      </c>
      <c r="J39" s="42">
        <f>KVARTS!M34*(1+Skiftberegning!I26)</f>
        <v>2220</v>
      </c>
      <c r="K39" s="42">
        <f>KVARTS!N34*(1+Skiftberegning!J26)</f>
        <v>1670</v>
      </c>
      <c r="L39" s="42">
        <f>KVARTS!O34*(1+Skiftberegning!K26)</f>
        <v>1590</v>
      </c>
      <c r="M39" s="42">
        <f>KVARTS!P34*(1+Skiftberegning!L26)</f>
        <v>2000</v>
      </c>
      <c r="N39" s="42">
        <f>KVARTS!Q34*(1+Skiftberegning!M26)</f>
        <v>2210</v>
      </c>
      <c r="O39" s="42">
        <f>KVARTS!R34*(1+Skiftberegning!N26)</f>
        <v>2310</v>
      </c>
      <c r="P39" s="42">
        <f>KVARTS!S34*(1+Skiftberegning!O26)</f>
        <v>2050</v>
      </c>
      <c r="Q39" s="42">
        <f>KVARTS!T34*(1+Skiftberegning!P26)</f>
        <v>1920</v>
      </c>
      <c r="R39" s="42">
        <f>KVARTS!U34*(1+Skiftberegning!Q26)</f>
        <v>1400</v>
      </c>
      <c r="S39" s="42">
        <f>KVARTS!V34*(1+Skiftberegning!R26)</f>
        <v>1650</v>
      </c>
      <c r="T39" s="42">
        <f>KVARTS!W34*(1+Skiftberegning!S26)</f>
        <v>2200</v>
      </c>
      <c r="U39" s="42">
        <f>KVARTS!X34*(1+Skiftberegning!T26)</f>
        <v>1570</v>
      </c>
      <c r="V39" s="42">
        <f>KVARTS!Y34*(1+Skiftberegning!U26)</f>
        <v>1130.0307556703999</v>
      </c>
      <c r="W39" s="42">
        <f>KVARTS!Z34*(1+Skiftberegning!V26)</f>
        <v>4607.3909850236996</v>
      </c>
      <c r="X39" s="42">
        <f>KVARTS!AA34*(1+Skiftberegning!W26)</f>
        <v>12048.4402189743</v>
      </c>
      <c r="Y39" s="42">
        <f>KVARTS!AB34*(1+Skiftberegning!X26)</f>
        <v>5442.8395581100303</v>
      </c>
      <c r="Z39" s="42">
        <f>KVARTS!AC34*(1+Skiftberegning!Y26)</f>
        <v>4425.8198654952084</v>
      </c>
      <c r="AA39" s="42">
        <f>KVARTS!AD34*(1+Skiftberegning!Z26)</f>
        <v>5164.0215323355096</v>
      </c>
      <c r="AB39" s="42">
        <f>KVARTS!AE34*(1+Skiftberegning!AA26)</f>
        <v>3987.13055344958</v>
      </c>
      <c r="AC39" s="42">
        <f>KVARTS!AF34*(1+Skiftberegning!AB26)</f>
        <v>3248.8596585670934</v>
      </c>
      <c r="AD39" s="42">
        <f>KVARTS!AG34*(1+Skiftberegning!AC26)</f>
        <v>3317.0857113970019</v>
      </c>
      <c r="AE39" s="42">
        <f>KVARTS!AH34*(1+Skiftberegning!AD26)</f>
        <v>3386.7445113363383</v>
      </c>
      <c r="AF39" s="42">
        <f>KVARTS!AI34*(1+Skiftberegning!AE26)</f>
        <v>2745.9873620351436</v>
      </c>
      <c r="AG39" s="42">
        <f>KVARTS!AJ34*(1+Skiftberegning!AF26)</f>
        <v>2763.5615232499827</v>
      </c>
      <c r="AH39" s="42">
        <f>KVARTS!AK34*(1+Skiftberegning!AG26)</f>
        <v>2780.7402559686129</v>
      </c>
      <c r="AI39" s="42">
        <f>KVARTS!AL34*(1+Skiftberegning!AH26)</f>
        <v>2797.5007133866757</v>
      </c>
      <c r="AJ39" s="42">
        <f>KVARTS!AM34*(1+Skiftberegning!AI26)</f>
        <v>2813.8192929990864</v>
      </c>
      <c r="AK39" s="42">
        <f>KVARTS!AN34*(1+Skiftberegning!AJ26)</f>
        <v>2829.6716155106378</v>
      </c>
      <c r="AL39" s="42">
        <f>KVARTS!AO34*(1+Skiftberegning!AK26)</f>
        <v>2845.0325032054407</v>
      </c>
      <c r="AM39" s="42">
        <f>KVARTS!AP34*(1+Skiftberegning!AL26)</f>
        <v>2859.875957761843</v>
      </c>
      <c r="AN39" s="42">
        <f>KVARTS!AQ34*(1+Skiftberegning!AM26)</f>
        <v>2874.1751374992073</v>
      </c>
      <c r="AO39" s="42">
        <f>KVARTS!AR34*(1+Skiftberegning!AN26)</f>
        <v>2887.9023340429735</v>
      </c>
      <c r="AP39" s="42">
        <f>KVARTS!AS34*(1+Skiftberegning!AO26)</f>
        <v>2901.0308354706976</v>
      </c>
      <c r="AQ39" s="42">
        <f>KVARTS!AT34*(1+Skiftberegning!AP26)</f>
        <v>2959.051452180111</v>
      </c>
      <c r="AR39" s="42">
        <f>KVARTS!AU34*(1+Skiftberegning!AQ26)</f>
        <v>3018.2324812237139</v>
      </c>
      <c r="AS39" s="42">
        <f>KVARTS!AV34*(1+Skiftberegning!AR26)</f>
        <v>3078.597130848188</v>
      </c>
      <c r="AT39" s="42">
        <f>KVARTS!AW34*(1+Skiftberegning!AS26)</f>
        <v>3140.169073465152</v>
      </c>
      <c r="AU39" s="42">
        <f>KVARTS!AX34*(1+Skiftberegning!AT26)</f>
        <v>3202.9724549344551</v>
      </c>
      <c r="AV39" s="42">
        <f>KVARTS!AY34*(1+Skiftberegning!AU26)</f>
        <v>3267.0319040331442</v>
      </c>
      <c r="AW39" s="42">
        <f>KVARTS!AZ34*(1+Skiftberegning!AV26)</f>
        <v>3332.3725421138074</v>
      </c>
      <c r="AX39" s="42">
        <f>KVARTS!BA34*(1+Skiftberegning!AW26)</f>
        <v>3399.0199929560836</v>
      </c>
      <c r="AY39" s="42">
        <f>KVARTS!BB34*(1+Skiftberegning!AX26)</f>
        <v>3467.000392815205</v>
      </c>
      <c r="AZ39" s="42">
        <f>KVARTS!BC34*(1+Skiftberegning!AY26)</f>
        <v>3536.3404006715095</v>
      </c>
      <c r="BA39" s="42">
        <f>KVARTS!BD34*(1+Skiftberegning!AZ26)</f>
        <v>3607.0672086849395</v>
      </c>
      <c r="BB39" s="42">
        <f>KVARTS!BE34*(1+Skiftberegning!BA26)</f>
        <v>3679.2085528586381</v>
      </c>
      <c r="BC39" s="42">
        <f>KVARTS!BF34*(1+Skiftberegning!BB26)</f>
        <v>3752.7927239158112</v>
      </c>
      <c r="BD39" s="42">
        <f>KVARTS!BG34*(1+Skiftberegning!BC26)</f>
        <v>3827.8485783941278</v>
      </c>
      <c r="BE39" s="42">
        <f>KVARTS!BH34*(1+Skiftberegning!BD26)</f>
        <v>3904.4055499620104</v>
      </c>
      <c r="BF39" s="42">
        <f>KVARTS!BI34*(1+Skiftberegning!BE26)</f>
        <v>3982.493660961251</v>
      </c>
      <c r="BG39" s="42">
        <f>KVARTS!BJ34*(1+Skiftberegning!BF26)</f>
        <v>4062.1435341804759</v>
      </c>
      <c r="BH39" s="42">
        <f>KVARTS!BK34*(1+Skiftberegning!BG26)</f>
        <v>4143.3864048640853</v>
      </c>
      <c r="BI39" s="42">
        <f>KVARTS!BL34*(1+Skiftberegning!BH26)</f>
        <v>4226.2541329613668</v>
      </c>
      <c r="BJ39" s="42">
        <f>KVARTS!BM34*(1+Skiftberegning!BI26)</f>
        <v>4310.7792156205942</v>
      </c>
      <c r="BK39" s="384">
        <f>Skiftberegning!BJ5*Skiftberegning!BJ16*(1+Skiftberegning!BJ26)</f>
        <v>4396.9947999330061</v>
      </c>
      <c r="BL39" s="384">
        <f>Skiftberegning!BK5*Skiftberegning!BK16*(1+Skiftberegning!BK26)</f>
        <v>4484.9346959316672</v>
      </c>
      <c r="BM39" s="384">
        <f>Skiftberegning!BL5*Skiftberegning!BL16*(1+Skiftberegning!BL26)</f>
        <v>4574.6333898502999</v>
      </c>
      <c r="BN39" s="384">
        <f>Skiftberegning!BM5*Skiftberegning!BM16*(1+Skiftberegning!BM26)</f>
        <v>4666.126057647306</v>
      </c>
      <c r="BO39" s="384">
        <f>Skiftberegning!BN5*Skiftberegning!BN16*(1+Skiftberegning!BN26)</f>
        <v>4759.4485788002521</v>
      </c>
      <c r="BP39" s="384">
        <f>Skiftberegning!BO5*Skiftberegning!BO16*(1+Skiftberegning!BO26)</f>
        <v>4854.6375503762565</v>
      </c>
      <c r="BQ39" s="384">
        <f>Skiftberegning!BP5*Skiftberegning!BP16*(1+Skiftberegning!BP26)</f>
        <v>4951.7303013837827</v>
      </c>
      <c r="BR39" s="384">
        <f>Skiftberegning!BQ5*Skiftberegning!BQ16*(1+Skiftberegning!BQ26)</f>
        <v>5050.7649074114579</v>
      </c>
      <c r="BS39" s="384">
        <f>Skiftberegning!BR5*Skiftberegning!BR16*(1+Skiftberegning!BR26)</f>
        <v>5151.7802055596867</v>
      </c>
      <c r="BT39" s="384">
        <f>Skiftberegning!BS5*Skiftberegning!BS16*(1+Skiftberegning!BS26)</f>
        <v>5254.8158096708812</v>
      </c>
      <c r="BU39" s="384">
        <f>Skiftberegning!BT5*Skiftberegning!BT16*(1+Skiftberegning!BT26)</f>
        <v>5359.912125864299</v>
      </c>
      <c r="BV39" s="384">
        <f>Skiftberegning!BU5*Skiftberegning!BU16*(1+Skiftberegning!BU26)</f>
        <v>5467.1103683815845</v>
      </c>
      <c r="BW39" s="384">
        <f>Skiftberegning!BV5*Skiftberegning!BV16*(1+Skiftberegning!BV26)</f>
        <v>5576.4525757492165</v>
      </c>
      <c r="BX39" s="384">
        <f>Skiftberegning!BW5*Skiftberegning!BW16*(1+Skiftberegning!BW26)</f>
        <v>5687.9816272642011</v>
      </c>
      <c r="BY39" s="384">
        <f>Skiftberegning!BX5*Skiftberegning!BX16*(1+Skiftberegning!BX26)</f>
        <v>5801.7412598094861</v>
      </c>
      <c r="BZ39" s="384">
        <f>Skiftberegning!BY5*Skiftberegning!BY16*(1+Skiftberegning!BY26)</f>
        <v>5917.7760850056757</v>
      </c>
      <c r="CA39" s="384">
        <f>Skiftberegning!BZ5*Skiftberegning!BZ16*(1+Skiftberegning!BZ26)</f>
        <v>6036.1316067057887</v>
      </c>
      <c r="CB39" s="384">
        <f>Skiftberegning!CA5*Skiftberegning!CA16*(1+Skiftberegning!CA26)</f>
        <v>6156.8542388399046</v>
      </c>
      <c r="CC39" s="384">
        <f>Skiftberegning!CB5*Skiftberegning!CB16*(1+Skiftberegning!CB26)</f>
        <v>6279.9913236167022</v>
      </c>
      <c r="CD39" s="384">
        <f>Skiftberegning!CC5*Skiftberegning!CC16*(1+Skiftberegning!CC26)</f>
        <v>6405.591150089037</v>
      </c>
      <c r="CE39" s="384">
        <f>Skiftberegning!CD5*Skiftberegning!CD16*(1+Skiftberegning!CD26)</f>
        <v>6533.702973090818</v>
      </c>
      <c r="CF39" s="384">
        <f>Skiftberegning!CE5*Skiftberegning!CE16*(1+Skiftberegning!CE26)</f>
        <v>6664.3770325526348</v>
      </c>
      <c r="CG39" s="384">
        <f>Skiftberegning!CF5*Skiftberegning!CF16*(1+Skiftberegning!CF26)</f>
        <v>6797.6645732036877</v>
      </c>
      <c r="CH39" s="384">
        <f>Skiftberegning!CG5*Skiftberegning!CG16*(1+Skiftberegning!CG26)</f>
        <v>6933.6178646677618</v>
      </c>
      <c r="CI39" s="384">
        <f>Skiftberegning!CH5*Skiftberegning!CH16*(1+Skiftberegning!CH26)</f>
        <v>7072.2902219611169</v>
      </c>
      <c r="CJ39" s="384">
        <f>Skiftberegning!CI5*Skiftberegning!CI16*(1+Skiftberegning!CI26)</f>
        <v>7213.7360264003401</v>
      </c>
      <c r="CK39" s="384">
        <f>Skiftberegning!CJ5*Skiftberegning!CJ16*(1+Skiftberegning!CJ26)</f>
        <v>7358.0107469283466</v>
      </c>
      <c r="CL39" s="384">
        <f>Skiftberegning!CK5*Skiftberegning!CK16*(1+Skiftberegning!CK26)</f>
        <v>7505.1709618669138</v>
      </c>
      <c r="CM39" s="384">
        <f>Skiftberegning!CL5*Skiftberegning!CL16*(1+Skiftberegning!CL26)</f>
        <v>7655.2743811042528</v>
      </c>
      <c r="CN39" s="384">
        <f>Skiftberegning!CM5*Skiftberegning!CM16*(1+Skiftberegning!CM26)</f>
        <v>7808.3798687263379</v>
      </c>
      <c r="CO39" s="42"/>
      <c r="CP39" s="42"/>
      <c r="CQ39" s="42"/>
      <c r="CR39" s="42"/>
      <c r="CS39" s="42"/>
      <c r="CT39" s="42"/>
      <c r="CU39" s="42"/>
      <c r="CV39" s="42"/>
    </row>
    <row r="40" spans="1:100">
      <c r="A40" t="s">
        <v>3</v>
      </c>
      <c r="I40" s="42">
        <f>KVARTS!L8*(1+Skiftberegning!H25)</f>
        <v>1814.6525679758308</v>
      </c>
      <c r="J40" s="42">
        <f>KVARTS!M8*(1+Skiftberegning!I25)</f>
        <v>2521.089109</v>
      </c>
      <c r="K40" s="42">
        <f>KVARTS!N8*(1+Skiftberegning!J25)</f>
        <v>1763.5173058933583</v>
      </c>
      <c r="L40" s="42">
        <f>KVARTS!O8*(1+Skiftberegning!K25)</f>
        <v>2199.1357397051347</v>
      </c>
      <c r="M40" s="42">
        <f>KVARTS!P8*(1+Skiftberegning!L25)</f>
        <v>2796</v>
      </c>
      <c r="N40" s="42">
        <f>KVARTS!Q8*(1+Skiftberegning!M25)</f>
        <v>2896</v>
      </c>
      <c r="O40" s="42">
        <f>KVARTS!R8*(1+Skiftberegning!N25)</f>
        <v>2814.8571428571427</v>
      </c>
      <c r="P40" s="42">
        <f>KVARTS!S8*(1+Skiftberegning!O25)</f>
        <v>2352.3148148148148</v>
      </c>
      <c r="Q40" s="42">
        <f>KVARTS!T8*(1+Skiftberegning!P25)</f>
        <v>1629.3665158371039</v>
      </c>
      <c r="R40" s="42">
        <f>KVARTS!U8*(1+Skiftberegning!Q25)</f>
        <v>1482.9411764705881</v>
      </c>
      <c r="S40" s="42">
        <f>KVARTS!V8*(1+Skiftberegning!R25)</f>
        <v>1912.648243289148</v>
      </c>
      <c r="T40" s="42">
        <f>KVARTS!W8*(1+Skiftberegning!S25)</f>
        <v>2249.6672970570885</v>
      </c>
      <c r="U40" s="42">
        <f>KVARTS!X8*(1+Skiftberegning!T25)</f>
        <v>2119.4390364718961</v>
      </c>
      <c r="V40" s="42">
        <f>KVARTS!Y8*(1+Skiftberegning!U25)</f>
        <v>1565.0008201623934</v>
      </c>
      <c r="W40" s="42">
        <f>KVARTS!Z8*(1+Skiftberegning!V25)</f>
        <v>2189.4402544698478</v>
      </c>
      <c r="X40" s="42">
        <f>KVARTS!AA8*(1+Skiftberegning!W25)</f>
        <v>3997.5777844693371</v>
      </c>
      <c r="Y40" s="42">
        <f>KVARTS!AB8*(1+Skiftberegning!X25)</f>
        <v>3735.5320071846963</v>
      </c>
      <c r="Z40" s="42">
        <f>KVARTS!AC8*(1+Skiftberegning!Y25)</f>
        <v>3257.9392335584689</v>
      </c>
      <c r="AA40" s="42">
        <f>KVARTS!AD8*(1+Skiftberegning!Z25)</f>
        <v>2753.619577819039</v>
      </c>
      <c r="AB40" s="42">
        <f>KVARTS!AE8*(1+Skiftberegning!AA25)</f>
        <v>2600.894571229383</v>
      </c>
      <c r="AC40" s="42">
        <f>KVARTS!AF8*(1+Skiftberegning!AB25)</f>
        <v>2599.9826149409701</v>
      </c>
      <c r="AD40" s="42">
        <f>KVARTS!AG8*(1+Skiftberegning!AC25)</f>
        <v>2612.5432378289061</v>
      </c>
      <c r="AE40" s="42">
        <f>KVARTS!AH8*(1+Skiftberegning!AD25)</f>
        <v>2633.4456543407628</v>
      </c>
      <c r="AF40" s="42">
        <f>KVARTS!AI8*(1+Skiftberegning!AE25)</f>
        <v>2645.4081839097844</v>
      </c>
      <c r="AG40" s="42">
        <f>KVARTS!AJ8*(1+Skiftberegning!AF25)</f>
        <v>2770.3475727055761</v>
      </c>
      <c r="AH40" s="42">
        <f>KVARTS!AK8*(1+Skiftberegning!AG25)</f>
        <v>2899.4132325623177</v>
      </c>
      <c r="AI40" s="42">
        <f>KVARTS!AL8*(1+Skiftberegning!AH25)</f>
        <v>3040.5100391145429</v>
      </c>
      <c r="AJ40" s="42">
        <f>KVARTS!AM8*(1+Skiftberegning!AI25)</f>
        <v>3183.8804366594845</v>
      </c>
      <c r="AK40" s="42">
        <f>KVARTS!AN8*(1+Skiftberegning!AJ25)</f>
        <v>3342.8223587181874</v>
      </c>
      <c r="AL40" s="42">
        <f>KVARTS!AO8*(1+Skiftberegning!AK25)</f>
        <v>3439.1886355841784</v>
      </c>
      <c r="AM40" s="42">
        <f>KVARTS!AP8*(1+Skiftberegning!AL25)</f>
        <v>3541.3229742118929</v>
      </c>
      <c r="AN40" s="42">
        <f>KVARTS!AQ8*(1+Skiftberegning!AM25)</f>
        <v>3653.2207199937156</v>
      </c>
      <c r="AO40" s="42">
        <f>KVARTS!AR8*(1+Skiftberegning!AN25)</f>
        <v>3746.1660460368284</v>
      </c>
      <c r="AP40" s="42">
        <f>KVARTS!AS8*(1+Skiftberegning!AO25)</f>
        <v>3827.3329056736761</v>
      </c>
      <c r="AQ40" s="42">
        <f>KVARTS!AT8*(1+Skiftberegning!AP25)</f>
        <v>3847.4155129319984</v>
      </c>
      <c r="AR40" s="42">
        <f>KVARTS!AU8*(1+Skiftberegning!AQ25)</f>
        <v>3955.3670813373474</v>
      </c>
      <c r="AS40" s="42">
        <f>KVARTS!AV8*(1+Skiftberegning!AR25)</f>
        <v>4083.7542797920105</v>
      </c>
      <c r="AT40" s="42">
        <f>KVARTS!AW8*(1+Skiftberegning!AS25)</f>
        <v>4238.7768991037792</v>
      </c>
      <c r="AU40" s="42">
        <f>KVARTS!AX8*(1+Skiftberegning!AT25)</f>
        <v>4361.0718513470219</v>
      </c>
      <c r="AV40" s="42">
        <f>KVARTS!AY8*(1+Skiftberegning!AU25)</f>
        <v>4546.2958406868756</v>
      </c>
      <c r="AW40" s="42">
        <f>KVARTS!AZ8*(1+Skiftberegning!AV25)</f>
        <v>4697.6805241495067</v>
      </c>
      <c r="AX40" s="42">
        <f>KVARTS!BA8*(1+Skiftberegning!AW25)</f>
        <v>4930.9582977080781</v>
      </c>
      <c r="AY40" s="42">
        <f>KVARTS!BB8*(1+Skiftberegning!AX25)</f>
        <v>5138.0869040623429</v>
      </c>
      <c r="AZ40" s="42">
        <f>KVARTS!BC8*(1+Skiftberegning!AY25)</f>
        <v>5167.5008284776004</v>
      </c>
      <c r="BA40" s="42">
        <f>KVARTS!BD8*(1+Skiftberegning!AZ25)</f>
        <v>5209.7747075960888</v>
      </c>
      <c r="BB40" s="42">
        <f>KVARTS!BE8*(1+Skiftberegning!BA25)</f>
        <v>5366.1531934633458</v>
      </c>
      <c r="BC40" s="42">
        <f>KVARTS!BF8*(1+Skiftberegning!BB25)</f>
        <v>5406.9253159230066</v>
      </c>
      <c r="BD40" s="42">
        <f>KVARTS!BG8*(1+Skiftberegning!BC25)</f>
        <v>5430.8373646684122</v>
      </c>
      <c r="BE40" s="42">
        <f>KVARTS!BH8*(1+Skiftberegning!BD25)</f>
        <v>5402.4369854675278</v>
      </c>
      <c r="BF40" s="42">
        <f>KVARTS!BI8*(1+Skiftberegning!BE25)</f>
        <v>5473.3324210275114</v>
      </c>
      <c r="BG40" s="42">
        <f>KVARTS!BJ8*(1+Skiftberegning!BF25)</f>
        <v>4816.6444516674801</v>
      </c>
      <c r="BH40" s="42">
        <f>KVARTS!BK8*(1+Skiftberegning!BG25)</f>
        <v>4912.9773407008288</v>
      </c>
      <c r="BI40" s="42">
        <f>KVARTS!BL8*(1+Skiftberegning!BH25)</f>
        <v>5011.2368875148395</v>
      </c>
      <c r="BJ40" s="42">
        <f>KVARTS!BM8*(1+Skiftberegning!BI25)</f>
        <v>5111.4616252651495</v>
      </c>
      <c r="BK40" s="384">
        <f>Skiftberegning!BJ6*(1+Skiftberegning!BJ25)</f>
        <v>5213.6908577704526</v>
      </c>
      <c r="BL40" s="384">
        <f>Skiftberegning!BK6*(1+Skiftberegning!BK25)</f>
        <v>5317.9646749258618</v>
      </c>
      <c r="BM40" s="384">
        <f>Skiftberegning!BL6*(1+Skiftberegning!BL25)</f>
        <v>5424.323968424379</v>
      </c>
      <c r="BN40" s="384">
        <f>Skiftberegning!BM6*(1+Skiftberegning!BM25)</f>
        <v>5532.8104477928664</v>
      </c>
      <c r="BO40" s="384">
        <f>Skiftberegning!BN6*(1+Skiftberegning!BN25)</f>
        <v>5643.4666567487238</v>
      </c>
      <c r="BP40" s="384">
        <f>Skiftberegning!BO6*(1+Skiftberegning!BO25)</f>
        <v>5756.3359898836989</v>
      </c>
      <c r="BQ40" s="384">
        <f>Skiftberegning!BP6*(1+Skiftberegning!BP25)</f>
        <v>5871.4627096813729</v>
      </c>
      <c r="BR40" s="384">
        <f>Skiftberegning!BQ6*(1+Skiftberegning!BQ25)</f>
        <v>5988.8919638750003</v>
      </c>
      <c r="BS40" s="384">
        <f>Skiftberegning!BR6*(1+Skiftberegning!BR25)</f>
        <v>6108.6698031525002</v>
      </c>
      <c r="BT40" s="384">
        <f>Skiftberegning!BS6*(1+Skiftberegning!BS25)</f>
        <v>6230.8431992155502</v>
      </c>
      <c r="BU40" s="384">
        <f>Skiftberegning!BT6*(1+Skiftberegning!BT25)</f>
        <v>6355.460063199861</v>
      </c>
      <c r="BV40" s="384">
        <f>Skiftberegning!BU6*(1+Skiftberegning!BU25)</f>
        <v>6482.5692644638584</v>
      </c>
      <c r="BW40" s="384">
        <f>Skiftberegning!BV6*(1+Skiftberegning!BV25)</f>
        <v>6612.2206497531361</v>
      </c>
      <c r="BX40" s="384">
        <f>Skiftberegning!BW6*(1+Skiftberegning!BW25)</f>
        <v>6744.4650627481988</v>
      </c>
      <c r="BY40" s="384">
        <f>Skiftberegning!BX6*(1+Skiftberegning!BX25)</f>
        <v>6879.354364003163</v>
      </c>
      <c r="BZ40" s="384">
        <f>Skiftberegning!BY6*(1+Skiftberegning!BY25)</f>
        <v>7016.9414512832263</v>
      </c>
      <c r="CA40" s="384">
        <f>Skiftberegning!BZ6*(1+Skiftberegning!BZ25)</f>
        <v>7157.2802803088907</v>
      </c>
      <c r="CB40" s="384">
        <f>Skiftberegning!CA6*(1+Skiftberegning!CA25)</f>
        <v>7300.4258859150686</v>
      </c>
      <c r="CC40" s="384">
        <f>Skiftberegning!CB6*(1+Skiftberegning!CB25)</f>
        <v>7446.4344036333705</v>
      </c>
      <c r="CD40" s="384">
        <f>Skiftberegning!CC6*(1+Skiftberegning!CC25)</f>
        <v>7595.3630917060382</v>
      </c>
      <c r="CE40" s="384">
        <f>Skiftberegning!CD6*(1+Skiftberegning!CD25)</f>
        <v>7747.2703535401588</v>
      </c>
      <c r="CF40" s="384">
        <f>Skiftberegning!CE6*(1+Skiftberegning!CE25)</f>
        <v>7902.2157606109622</v>
      </c>
      <c r="CG40" s="384">
        <f>Skiftberegning!CF6*(1+Skiftberegning!CF25)</f>
        <v>8060.260075823182</v>
      </c>
      <c r="CH40" s="384">
        <f>Skiftberegning!CG6*(1+Skiftberegning!CG25)</f>
        <v>8221.4652773396465</v>
      </c>
      <c r="CI40" s="384">
        <f>Skiftberegning!CH6*(1+Skiftberegning!CH25)</f>
        <v>8385.8945828864398</v>
      </c>
      <c r="CJ40" s="384">
        <f>Skiftberegning!CI6*(1+Skiftberegning!CI25)</f>
        <v>8553.6124745441684</v>
      </c>
      <c r="CK40" s="384">
        <f>Skiftberegning!CJ6*(1+Skiftberegning!CJ25)</f>
        <v>8724.6847240350526</v>
      </c>
      <c r="CL40" s="384">
        <f>Skiftberegning!CK6*(1+Skiftberegning!CK25)</f>
        <v>8899.1784185157539</v>
      </c>
      <c r="CM40" s="384">
        <f>Skiftberegning!CL6*(1+Skiftberegning!CL25)</f>
        <v>9077.1619868860689</v>
      </c>
      <c r="CN40" s="384">
        <f>Skiftberegning!CM6*(1+Skiftberegning!CM25)</f>
        <v>9258.7052266237897</v>
      </c>
      <c r="CO40" s="42"/>
      <c r="CP40" s="42"/>
      <c r="CQ40" s="42"/>
      <c r="CR40" s="42"/>
      <c r="CS40" s="42"/>
      <c r="CT40" s="42"/>
      <c r="CU40" s="42"/>
      <c r="CV40" s="42"/>
    </row>
    <row r="41" spans="1:100">
      <c r="A41" s="32" t="s">
        <v>449</v>
      </c>
      <c r="B41" s="32"/>
      <c r="C41" s="32"/>
      <c r="D41" s="32"/>
      <c r="E41" s="32"/>
      <c r="F41" s="32"/>
      <c r="G41" s="32"/>
      <c r="H41" s="32"/>
      <c r="I41" s="42">
        <f>KVARTS!L24</f>
        <v>686.78097129739911</v>
      </c>
      <c r="J41" s="42">
        <f>KVARTS!M24</f>
        <v>865.25316900172857</v>
      </c>
      <c r="K41" s="42">
        <f>KVARTS!N24</f>
        <v>610.64953926234023</v>
      </c>
      <c r="L41" s="42">
        <f>KVARTS!O24</f>
        <v>745.23316322570793</v>
      </c>
      <c r="M41" s="42">
        <f>KVARTS!P24</f>
        <v>926.49436553454541</v>
      </c>
      <c r="N41" s="42">
        <f>KVARTS!Q24</f>
        <v>948.57234634062252</v>
      </c>
      <c r="O41" s="42">
        <f>KVARTS!R24</f>
        <v>919.05693741335904</v>
      </c>
      <c r="P41" s="42">
        <f>KVARTS!S24</f>
        <v>887.40201284929424</v>
      </c>
      <c r="Q41" s="42">
        <f>KVARTS!T24</f>
        <v>609.27765806212767</v>
      </c>
      <c r="R41" s="42">
        <f>KVARTS!U24</f>
        <v>529.09356510271709</v>
      </c>
      <c r="S41" s="42">
        <f>KVARTS!V24</f>
        <v>617.84267875064791</v>
      </c>
      <c r="T41" s="42">
        <f>KVARTS!W24</f>
        <v>777.90668416864003</v>
      </c>
      <c r="U41" s="42">
        <f>KVARTS!X24</f>
        <v>739.15954161665695</v>
      </c>
      <c r="V41" s="42">
        <f>KVARTS!Y24</f>
        <v>526.90082484282038</v>
      </c>
      <c r="W41" s="42">
        <f>KVARTS!Z24</f>
        <v>753.03291861893058</v>
      </c>
      <c r="X41" s="42">
        <f>KVARTS!AA24</f>
        <v>1088.785107390717</v>
      </c>
      <c r="Y41" s="42">
        <f>KVARTS!AB24</f>
        <v>953.37084400232902</v>
      </c>
      <c r="Z41" s="42">
        <f>KVARTS!AC24</f>
        <v>914.30729599999984</v>
      </c>
      <c r="AA41" s="42">
        <f>KVARTS!AD24</f>
        <v>746.45804266564221</v>
      </c>
      <c r="AB41" s="42">
        <f>KVARTS!AE24</f>
        <v>674.49526567499993</v>
      </c>
      <c r="AC41" s="42">
        <f>KVARTS!AF24</f>
        <v>660.10216101860942</v>
      </c>
      <c r="AD41" s="42">
        <f>KVARTS!AG24</f>
        <v>650.1552075609078</v>
      </c>
      <c r="AE41" s="42">
        <f>KVARTS!AH24</f>
        <v>639.70469936737209</v>
      </c>
      <c r="AF41" s="42">
        <f>KVARTS!AI24</f>
        <v>627.57292192637476</v>
      </c>
      <c r="AG41" s="42">
        <f>KVARTS!AJ24</f>
        <v>644.51305117637469</v>
      </c>
      <c r="AH41" s="42">
        <f>KVARTS!AK24</f>
        <v>661.45318042637473</v>
      </c>
      <c r="AI41" s="42">
        <f>KVARTS!AL24</f>
        <v>678.39330967637477</v>
      </c>
      <c r="AJ41" s="42">
        <f>KVARTS!AM24</f>
        <v>695.3334389263747</v>
      </c>
      <c r="AK41" s="42">
        <f>KVARTS!AN24</f>
        <v>712.27491013487713</v>
      </c>
      <c r="AL41" s="42">
        <f>KVARTS!AO24</f>
        <v>712.27491013487713</v>
      </c>
      <c r="AM41" s="42">
        <f>KVARTS!AP24</f>
        <v>712.27491013487713</v>
      </c>
      <c r="AN41" s="42">
        <f>KVARTS!AQ24</f>
        <v>712.27491013487713</v>
      </c>
      <c r="AO41" s="42">
        <f>KVARTS!AR24</f>
        <v>712.27491013487713</v>
      </c>
      <c r="AP41" s="42">
        <f>KVARTS!AS24</f>
        <v>712.27491013487713</v>
      </c>
      <c r="AQ41" s="42">
        <f>KVARTS!AT24</f>
        <v>712.27491013487713</v>
      </c>
      <c r="AR41" s="42">
        <f>KVARTS!AU24</f>
        <v>712.27491013487713</v>
      </c>
      <c r="AS41" s="42">
        <f>KVARTS!AV24</f>
        <v>712.27491013487713</v>
      </c>
      <c r="AT41" s="42">
        <f>KVARTS!AW24</f>
        <v>712.27491013487713</v>
      </c>
      <c r="AU41" s="42">
        <f>KVARTS!AX24</f>
        <v>712.27491013487713</v>
      </c>
      <c r="AV41" s="42">
        <f>KVARTS!AY24</f>
        <v>712.27491013487713</v>
      </c>
      <c r="AW41" s="42">
        <f>KVARTS!AZ24</f>
        <v>712.27491013487713</v>
      </c>
      <c r="AX41" s="42">
        <f>KVARTS!BA24</f>
        <v>712.27491013487713</v>
      </c>
      <c r="AY41" s="42">
        <f>KVARTS!BB24</f>
        <v>712.27491013487713</v>
      </c>
      <c r="AZ41" s="42">
        <f>KVARTS!BC24</f>
        <v>712.27491013487713</v>
      </c>
      <c r="BA41" s="42">
        <f>KVARTS!BD24</f>
        <v>712.27491013487713</v>
      </c>
      <c r="BB41" s="42">
        <f>KVARTS!BE24</f>
        <v>712.27491013487713</v>
      </c>
      <c r="BC41" s="42">
        <f>KVARTS!BF24</f>
        <v>712.27491013487713</v>
      </c>
      <c r="BD41" s="42">
        <f>KVARTS!BG24</f>
        <v>712.27491013487713</v>
      </c>
      <c r="BE41" s="42">
        <f>KVARTS!BH24</f>
        <v>712.27491013487713</v>
      </c>
      <c r="BF41" s="42">
        <f>KVARTS!BI24</f>
        <v>712.27491013487713</v>
      </c>
      <c r="BG41" s="42">
        <f>KVARTS!BJ24</f>
        <v>712.27491013487713</v>
      </c>
      <c r="BH41" s="42">
        <f>KVARTS!BK24</f>
        <v>712.27491013487713</v>
      </c>
      <c r="BI41" s="42">
        <f>KVARTS!BL24</f>
        <v>712.27491013487713</v>
      </c>
      <c r="BJ41" s="42">
        <f>KVARTS!BM24</f>
        <v>712.27491013487713</v>
      </c>
      <c r="BK41" s="384">
        <f t="shared" ref="BK41:BU41" si="20">BJ41</f>
        <v>712.27491013487713</v>
      </c>
      <c r="BL41" s="384">
        <f t="shared" si="20"/>
        <v>712.27491013487713</v>
      </c>
      <c r="BM41" s="384">
        <f t="shared" si="20"/>
        <v>712.27491013487713</v>
      </c>
      <c r="BN41" s="384">
        <f t="shared" si="20"/>
        <v>712.27491013487713</v>
      </c>
      <c r="BO41" s="384">
        <f t="shared" si="20"/>
        <v>712.27491013487713</v>
      </c>
      <c r="BP41" s="384">
        <f t="shared" si="20"/>
        <v>712.27491013487713</v>
      </c>
      <c r="BQ41" s="384">
        <f t="shared" si="20"/>
        <v>712.27491013487713</v>
      </c>
      <c r="BR41" s="384">
        <f t="shared" si="20"/>
        <v>712.27491013487713</v>
      </c>
      <c r="BS41" s="384">
        <f t="shared" si="20"/>
        <v>712.27491013487713</v>
      </c>
      <c r="BT41" s="384">
        <f t="shared" si="20"/>
        <v>712.27491013487713</v>
      </c>
      <c r="BU41" s="384">
        <f t="shared" si="20"/>
        <v>712.27491013487713</v>
      </c>
      <c r="BV41" s="384">
        <f t="shared" ref="BV41:CI41" si="21">BU41</f>
        <v>712.27491013487713</v>
      </c>
      <c r="BW41" s="384">
        <f t="shared" si="21"/>
        <v>712.27491013487713</v>
      </c>
      <c r="BX41" s="384">
        <f t="shared" si="21"/>
        <v>712.27491013487713</v>
      </c>
      <c r="BY41" s="384">
        <f t="shared" si="21"/>
        <v>712.27491013487713</v>
      </c>
      <c r="BZ41" s="384">
        <f t="shared" si="21"/>
        <v>712.27491013487713</v>
      </c>
      <c r="CA41" s="384">
        <f t="shared" si="21"/>
        <v>712.27491013487713</v>
      </c>
      <c r="CB41" s="384">
        <f t="shared" si="21"/>
        <v>712.27491013487713</v>
      </c>
      <c r="CC41" s="384">
        <f t="shared" si="21"/>
        <v>712.27491013487713</v>
      </c>
      <c r="CD41" s="384">
        <f t="shared" si="21"/>
        <v>712.27491013487713</v>
      </c>
      <c r="CE41" s="384">
        <f t="shared" si="21"/>
        <v>712.27491013487713</v>
      </c>
      <c r="CF41" s="384">
        <f t="shared" si="21"/>
        <v>712.27491013487713</v>
      </c>
      <c r="CG41" s="384">
        <f t="shared" si="21"/>
        <v>712.27491013487713</v>
      </c>
      <c r="CH41" s="384">
        <f t="shared" si="21"/>
        <v>712.27491013487713</v>
      </c>
      <c r="CI41" s="384">
        <f t="shared" si="21"/>
        <v>712.27491013487713</v>
      </c>
      <c r="CJ41" s="384">
        <f t="shared" ref="CJ41" si="22">CI41</f>
        <v>712.27491013487713</v>
      </c>
      <c r="CK41" s="384">
        <f t="shared" ref="CK41" si="23">CJ41</f>
        <v>712.27491013487713</v>
      </c>
      <c r="CL41" s="384">
        <f t="shared" ref="CL41" si="24">CK41</f>
        <v>712.27491013487713</v>
      </c>
      <c r="CM41" s="384">
        <f t="shared" ref="CM41" si="25">CL41</f>
        <v>712.27491013487713</v>
      </c>
      <c r="CN41" s="384">
        <f t="shared" ref="CN41" si="26">CM41</f>
        <v>712.27491013487713</v>
      </c>
      <c r="CO41" s="42"/>
      <c r="CP41" s="42"/>
      <c r="CQ41" s="42"/>
      <c r="CR41" s="42"/>
      <c r="CS41" s="42"/>
      <c r="CT41" s="42"/>
      <c r="CU41" s="42"/>
      <c r="CV41" s="42"/>
    </row>
    <row r="42" spans="1:100"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86"/>
      <c r="BL42" s="386"/>
      <c r="BM42" s="386"/>
      <c r="BN42" s="386"/>
      <c r="BO42" s="386"/>
      <c r="BP42" s="386"/>
      <c r="BQ42" s="386"/>
      <c r="BR42" s="386"/>
      <c r="BS42" s="386"/>
      <c r="BT42" s="386"/>
    </row>
    <row r="43" spans="1:100">
      <c r="A43" t="s">
        <v>126</v>
      </c>
      <c r="B43" s="33">
        <f>KVARTS!E12</f>
        <v>3.3768572714993228</v>
      </c>
      <c r="C43" s="33">
        <f>KVARTS!F12</f>
        <v>2.8261711188540595</v>
      </c>
      <c r="D43" s="33">
        <f>KVARTS!G12</f>
        <v>1.5860316265060126</v>
      </c>
      <c r="E43" s="33">
        <f>KVARTS!H12</f>
        <v>2.2700949733611253</v>
      </c>
      <c r="F43" s="33">
        <f>KVARTS!I12</f>
        <v>2.6772366930917224</v>
      </c>
      <c r="G43" s="33">
        <f>KVARTS!J12</f>
        <v>3.3927468454954646</v>
      </c>
      <c r="H43" s="33">
        <f>KVARTS!K12</f>
        <v>3.2259441007040701</v>
      </c>
      <c r="I43" s="33">
        <f>KVARTS!L12</f>
        <v>2.8526724815013837</v>
      </c>
      <c r="J43" s="33">
        <f>KVARTS!M12</f>
        <v>3.8391002966509991</v>
      </c>
      <c r="K43" s="33">
        <f>KVARTS!N12</f>
        <v>-0.3555462662997444</v>
      </c>
      <c r="L43" s="33">
        <f>KVARTS!O12</f>
        <v>1.6400434423899046</v>
      </c>
      <c r="M43" s="33">
        <f>KVARTS!P12</f>
        <v>3.1568415686220375</v>
      </c>
      <c r="N43" s="33">
        <f>KVARTS!Q12</f>
        <v>2.0693372652606179</v>
      </c>
      <c r="O43" s="33">
        <f>KVARTS!R12</f>
        <v>1.4648326556271352</v>
      </c>
      <c r="P43" s="33">
        <f>KVARTS!S12</f>
        <v>1.6222229774082164</v>
      </c>
      <c r="Q43" s="33">
        <f>KVARTS!T12</f>
        <v>0.11862713555246263</v>
      </c>
      <c r="R43" s="33">
        <f>KVARTS!U12</f>
        <v>1.26158320570533</v>
      </c>
      <c r="S43" s="33">
        <f>KVARTS!V12</f>
        <v>2.1301100036596132</v>
      </c>
      <c r="T43" s="33">
        <f>KVARTS!W12</f>
        <v>2.4425832969282135</v>
      </c>
      <c r="U43" s="33">
        <f>KVARTS!X12</f>
        <v>1.8122100752601344</v>
      </c>
      <c r="V43" s="33">
        <f>KVARTS!Y12</f>
        <v>1.2335843963063864</v>
      </c>
      <c r="W43" s="33">
        <f>KVARTS!Z12</f>
        <v>4.6978588636374052</v>
      </c>
      <c r="X43" s="33">
        <f>KVARTS!AA12</f>
        <v>8.002799820521167</v>
      </c>
      <c r="Y43" s="33">
        <f>KVARTS!AB12</f>
        <v>4.1163383837448997</v>
      </c>
      <c r="Z43" s="33">
        <f>KVARTS!AC12</f>
        <v>2.949525204852077</v>
      </c>
      <c r="AA43" s="33">
        <f>KVARTS!AD12</f>
        <v>3.6</v>
      </c>
      <c r="AB43" s="33">
        <f>KVARTS!AE12</f>
        <v>3.1</v>
      </c>
      <c r="AC43" s="33">
        <f>KVARTS!AF12</f>
        <v>2.1</v>
      </c>
      <c r="AD43" s="33">
        <f>KVARTS!AG12</f>
        <v>2.1</v>
      </c>
      <c r="AE43" s="33">
        <f>KVARTS!AH12</f>
        <v>2.1</v>
      </c>
      <c r="AF43" s="33">
        <f>KVARTS!AI12</f>
        <v>2</v>
      </c>
      <c r="AG43" s="33">
        <f>KVARTS!AJ12</f>
        <v>2</v>
      </c>
      <c r="AH43" s="33">
        <f>KVARTS!AK12</f>
        <v>2</v>
      </c>
      <c r="AI43" s="33">
        <f>KVARTS!AL12</f>
        <v>2</v>
      </c>
      <c r="AJ43" s="33">
        <f>KVARTS!AM12</f>
        <v>2</v>
      </c>
      <c r="AK43" s="33">
        <f>KVARTS!AN12</f>
        <v>2</v>
      </c>
      <c r="AL43" s="33">
        <f>KVARTS!AO12</f>
        <v>2</v>
      </c>
      <c r="AM43" s="33">
        <f>KVARTS!AP12</f>
        <v>2</v>
      </c>
      <c r="AN43" s="33">
        <f>KVARTS!AQ12</f>
        <v>2</v>
      </c>
      <c r="AO43" s="33">
        <f>KVARTS!AR12</f>
        <v>2</v>
      </c>
      <c r="AP43" s="33">
        <f>KVARTS!AS12</f>
        <v>2</v>
      </c>
      <c r="AQ43" s="33">
        <f>KVARTS!AT12</f>
        <v>2</v>
      </c>
      <c r="AR43" s="33">
        <f>KVARTS!AU12</f>
        <v>2</v>
      </c>
      <c r="AS43" s="33">
        <f>KVARTS!AV12</f>
        <v>2</v>
      </c>
      <c r="AT43" s="33">
        <f>KVARTS!AW12</f>
        <v>2</v>
      </c>
      <c r="AU43" s="33">
        <f>KVARTS!AX12</f>
        <v>2</v>
      </c>
      <c r="AV43" s="33">
        <f>KVARTS!AY12</f>
        <v>2</v>
      </c>
      <c r="AW43" s="33">
        <f>KVARTS!AZ12</f>
        <v>2</v>
      </c>
      <c r="AX43" s="33">
        <f>KVARTS!BA12</f>
        <v>2</v>
      </c>
      <c r="AY43" s="33">
        <f>KVARTS!BB12</f>
        <v>2</v>
      </c>
      <c r="AZ43" s="33">
        <f>KVARTS!BC12</f>
        <v>2</v>
      </c>
      <c r="BA43" s="33">
        <f>KVARTS!BD12</f>
        <v>2</v>
      </c>
      <c r="BB43" s="33">
        <f>KVARTS!BE12</f>
        <v>2</v>
      </c>
      <c r="BC43" s="33">
        <f>KVARTS!BF12</f>
        <v>2</v>
      </c>
      <c r="BD43" s="33">
        <f>KVARTS!BG12</f>
        <v>2</v>
      </c>
      <c r="BE43" s="33">
        <f>KVARTS!BH12</f>
        <v>2</v>
      </c>
      <c r="BF43" s="33">
        <f>KVARTS!BI12</f>
        <v>2</v>
      </c>
      <c r="BG43" s="33">
        <f>KVARTS!BJ12</f>
        <v>2</v>
      </c>
      <c r="BH43" s="33">
        <f>KVARTS!BK12</f>
        <v>2</v>
      </c>
      <c r="BI43" s="33">
        <f>KVARTS!BL12</f>
        <v>2</v>
      </c>
      <c r="BJ43" s="33">
        <f>KVARTS!BM12</f>
        <v>2</v>
      </c>
      <c r="BK43" s="387">
        <f t="shared" ref="BK43:BT43" si="27">BJ43</f>
        <v>2</v>
      </c>
      <c r="BL43" s="387">
        <f t="shared" si="27"/>
        <v>2</v>
      </c>
      <c r="BM43" s="387">
        <f t="shared" si="27"/>
        <v>2</v>
      </c>
      <c r="BN43" s="387">
        <f t="shared" si="27"/>
        <v>2</v>
      </c>
      <c r="BO43" s="387">
        <f t="shared" si="27"/>
        <v>2</v>
      </c>
      <c r="BP43" s="387">
        <f t="shared" si="27"/>
        <v>2</v>
      </c>
      <c r="BQ43" s="387">
        <f t="shared" si="27"/>
        <v>2</v>
      </c>
      <c r="BR43" s="387">
        <f t="shared" si="27"/>
        <v>2</v>
      </c>
      <c r="BS43" s="387">
        <f t="shared" si="27"/>
        <v>2</v>
      </c>
      <c r="BT43" s="387">
        <f t="shared" si="27"/>
        <v>2</v>
      </c>
      <c r="BU43" s="387">
        <f t="shared" ref="BU43:CI43" si="28">BT43</f>
        <v>2</v>
      </c>
      <c r="BV43" s="387">
        <f t="shared" si="28"/>
        <v>2</v>
      </c>
      <c r="BW43" s="387">
        <f t="shared" si="28"/>
        <v>2</v>
      </c>
      <c r="BX43" s="387">
        <f t="shared" si="28"/>
        <v>2</v>
      </c>
      <c r="BY43" s="387">
        <f t="shared" si="28"/>
        <v>2</v>
      </c>
      <c r="BZ43" s="387">
        <f t="shared" si="28"/>
        <v>2</v>
      </c>
      <c r="CA43" s="387">
        <f t="shared" si="28"/>
        <v>2</v>
      </c>
      <c r="CB43" s="387">
        <f t="shared" si="28"/>
        <v>2</v>
      </c>
      <c r="CC43" s="387">
        <f t="shared" si="28"/>
        <v>2</v>
      </c>
      <c r="CD43" s="387">
        <f t="shared" si="28"/>
        <v>2</v>
      </c>
      <c r="CE43" s="387">
        <f t="shared" si="28"/>
        <v>2</v>
      </c>
      <c r="CF43" s="387">
        <f t="shared" si="28"/>
        <v>2</v>
      </c>
      <c r="CG43" s="387">
        <f t="shared" si="28"/>
        <v>2</v>
      </c>
      <c r="CH43" s="387">
        <f t="shared" si="28"/>
        <v>2</v>
      </c>
      <c r="CI43" s="387">
        <f t="shared" si="28"/>
        <v>2</v>
      </c>
      <c r="CJ43" s="387">
        <f t="shared" ref="CJ43" si="29">CI43</f>
        <v>2</v>
      </c>
      <c r="CK43" s="387">
        <f t="shared" ref="CK43" si="30">CJ43</f>
        <v>2</v>
      </c>
      <c r="CL43" s="387">
        <f t="shared" ref="CL43" si="31">CK43</f>
        <v>2</v>
      </c>
      <c r="CM43" s="387">
        <f t="shared" ref="CM43" si="32">CL43</f>
        <v>2</v>
      </c>
      <c r="CN43" s="387">
        <f t="shared" ref="CN43" si="33">CM43</f>
        <v>2</v>
      </c>
      <c r="CO43" s="33"/>
      <c r="CP43" s="33"/>
      <c r="CQ43" s="33"/>
      <c r="CR43" s="33"/>
      <c r="CS43" s="33"/>
      <c r="CT43" s="33"/>
      <c r="CU43" s="33"/>
      <c r="CV43" s="33"/>
    </row>
    <row r="44" spans="1:100">
      <c r="A44" t="s">
        <v>127</v>
      </c>
      <c r="B44" s="33">
        <f>KVARTS!E13</f>
        <v>0.5139438427739772</v>
      </c>
      <c r="C44" s="33">
        <f>KVARTS!F13</f>
        <v>0.52846877522558411</v>
      </c>
      <c r="D44" s="33">
        <f>KVARTS!G13</f>
        <v>0.53685045713687085</v>
      </c>
      <c r="E44" s="33">
        <f>KVARTS!H13</f>
        <v>0.54903747237880118</v>
      </c>
      <c r="F44" s="33">
        <f>KVARTS!I13</f>
        <v>0.56373650504814976</v>
      </c>
      <c r="G44" s="33">
        <f>KVARTS!J13</f>
        <v>0.58286265754007727</v>
      </c>
      <c r="H44" s="33">
        <f>KVARTS!K13</f>
        <v>0.60166548105619833</v>
      </c>
      <c r="I44" s="33">
        <f>KVARTS!L13</f>
        <v>0.61882902666498141</v>
      </c>
      <c r="J44" s="33">
        <f>KVARTS!M13</f>
        <v>0.64258649366343923</v>
      </c>
      <c r="K44" s="33">
        <f>KVARTS!N13</f>
        <v>0.64030180137747239</v>
      </c>
      <c r="L44" s="33">
        <f>KVARTS!O13</f>
        <v>0.65080302908246801</v>
      </c>
      <c r="M44" s="33">
        <f>KVARTS!P13</f>
        <v>0.67134784963439476</v>
      </c>
      <c r="N44" s="33">
        <f>KVARTS!Q13</f>
        <v>0.68524030086640508</v>
      </c>
      <c r="O44" s="33">
        <f>KVARTS!R13</f>
        <v>0.69527792456301385</v>
      </c>
      <c r="P44" s="33">
        <f>KVARTS!S13</f>
        <v>0.70655688281212203</v>
      </c>
      <c r="Q44" s="33">
        <f>KVARTS!T13</f>
        <v>0.70739505100325084</v>
      </c>
      <c r="R44" s="33">
        <f>KVARTS!U13</f>
        <v>0.71631942816469851</v>
      </c>
      <c r="S44" s="33">
        <f>KVARTS!V13</f>
        <v>0.73157781996219207</v>
      </c>
      <c r="T44" s="33">
        <f>KVARTS!W13</f>
        <v>0.74944721759662014</v>
      </c>
      <c r="U44" s="33">
        <f>KVARTS!X13</f>
        <v>0.7630287755826628</v>
      </c>
      <c r="V44" s="33">
        <f>KVARTS!Y13</f>
        <v>0.77244137949757818</v>
      </c>
      <c r="W44" s="33">
        <f>KVARTS!Z13</f>
        <v>0.80872958531070815</v>
      </c>
      <c r="X44" s="33">
        <f>KVARTS!AA13</f>
        <v>0.87345059511245504</v>
      </c>
      <c r="Y44" s="33">
        <f>KVARTS!AB13</f>
        <v>0.90940477722211732</v>
      </c>
      <c r="Z44" s="33">
        <f>KVARTS!AC13</f>
        <v>0.93622790034041259</v>
      </c>
      <c r="AA44" s="33">
        <f>KVARTS!AD13</f>
        <v>0.96993210475266745</v>
      </c>
      <c r="AB44" s="33">
        <f>KVARTS!AE13</f>
        <v>1</v>
      </c>
      <c r="AC44" s="33">
        <f>KVARTS!AF13</f>
        <v>1.0209999999999999</v>
      </c>
      <c r="AD44" s="33">
        <f>KVARTS!AG13</f>
        <v>1.0424409999999997</v>
      </c>
      <c r="AE44" s="33">
        <f>KVARTS!AH13</f>
        <v>1.0643322609999997</v>
      </c>
      <c r="AF44" s="33">
        <f>KVARTS!AI13</f>
        <v>1.0856189062199997</v>
      </c>
      <c r="AG44" s="33">
        <f>KVARTS!AJ13</f>
        <v>1.1073312843443996</v>
      </c>
      <c r="AH44" s="33">
        <f>KVARTS!AK13</f>
        <v>1.1294779100312877</v>
      </c>
      <c r="AI44" s="33">
        <f>KVARTS!AL13</f>
        <v>1.1520674682319134</v>
      </c>
      <c r="AJ44" s="33">
        <f>KVARTS!AM13</f>
        <v>1.1751088175965516</v>
      </c>
      <c r="AK44" s="33">
        <f>KVARTS!AN13</f>
        <v>1.1986109939484826</v>
      </c>
      <c r="AL44" s="33">
        <f>KVARTS!AO13</f>
        <v>1.2225832138274522</v>
      </c>
      <c r="AM44" s="33">
        <f>KVARTS!AP13</f>
        <v>1.2470348781040013</v>
      </c>
      <c r="AN44" s="33">
        <f>KVARTS!AQ13</f>
        <v>1.2719755756660813</v>
      </c>
      <c r="AO44" s="33">
        <f>KVARTS!AR13</f>
        <v>1.297415087179403</v>
      </c>
      <c r="AP44" s="33">
        <f>KVARTS!AS13</f>
        <v>1.323363388922991</v>
      </c>
      <c r="AQ44" s="33">
        <f>KVARTS!AT13</f>
        <v>1.3498306567014509</v>
      </c>
      <c r="AR44" s="33">
        <f>KVARTS!AU13</f>
        <v>1.37682726983548</v>
      </c>
      <c r="AS44" s="33">
        <f>KVARTS!AV13</f>
        <v>1.4043638152321896</v>
      </c>
      <c r="AT44" s="33">
        <f>KVARTS!AW13</f>
        <v>1.4324510915368334</v>
      </c>
      <c r="AU44" s="33">
        <f>KVARTS!AX13</f>
        <v>1.4611001133675701</v>
      </c>
      <c r="AV44" s="33">
        <f>KVARTS!AY13</f>
        <v>1.4903221156349216</v>
      </c>
      <c r="AW44" s="33">
        <f>KVARTS!AZ13</f>
        <v>1.52012855794762</v>
      </c>
      <c r="AX44" s="33">
        <f>KVARTS!BA13</f>
        <v>1.5505311291065724</v>
      </c>
      <c r="AY44" s="33">
        <f>KVARTS!BB13</f>
        <v>1.5815417516887038</v>
      </c>
      <c r="AZ44" s="33">
        <f>KVARTS!BC13</f>
        <v>1.613172586722478</v>
      </c>
      <c r="BA44" s="33">
        <f>KVARTS!BD13</f>
        <v>1.6454360384569275</v>
      </c>
      <c r="BB44" s="33">
        <f>KVARTS!BE13</f>
        <v>1.6783447592260661</v>
      </c>
      <c r="BC44" s="33">
        <f>KVARTS!BF13</f>
        <v>1.7119116544105875</v>
      </c>
      <c r="BD44" s="33">
        <f>KVARTS!BG13</f>
        <v>1.7461498874987993</v>
      </c>
      <c r="BE44" s="33">
        <f>KVARTS!BH13</f>
        <v>1.7810728852487754</v>
      </c>
      <c r="BF44" s="33">
        <f>KVARTS!BI13</f>
        <v>1.816694342953751</v>
      </c>
      <c r="BG44" s="33">
        <f>KVARTS!BJ13</f>
        <v>1.853028229812826</v>
      </c>
      <c r="BH44" s="33">
        <f>KVARTS!BK13</f>
        <v>1.8900887944090825</v>
      </c>
      <c r="BI44" s="33">
        <f>KVARTS!BL13</f>
        <v>1.9278905702972642</v>
      </c>
      <c r="BJ44" s="33">
        <f>KVARTS!BM13</f>
        <v>1.9664483817032095</v>
      </c>
      <c r="BK44" s="387">
        <f t="shared" ref="BK44:BT44" si="34">BJ44*(1+BK43/100)</f>
        <v>2.0057773493372735</v>
      </c>
      <c r="BL44" s="387">
        <f t="shared" si="34"/>
        <v>2.0458928963240188</v>
      </c>
      <c r="BM44" s="387">
        <f t="shared" si="34"/>
        <v>2.0868107542504992</v>
      </c>
      <c r="BN44" s="387">
        <f t="shared" si="34"/>
        <v>2.1285469693355092</v>
      </c>
      <c r="BO44" s="387">
        <f t="shared" si="34"/>
        <v>2.1711179087222194</v>
      </c>
      <c r="BP44" s="387">
        <f t="shared" si="34"/>
        <v>2.2145402668966638</v>
      </c>
      <c r="BQ44" s="387">
        <f t="shared" si="34"/>
        <v>2.2588310722345972</v>
      </c>
      <c r="BR44" s="387">
        <f t="shared" si="34"/>
        <v>2.304007693679289</v>
      </c>
      <c r="BS44" s="387">
        <f t="shared" si="34"/>
        <v>2.3500878475528748</v>
      </c>
      <c r="BT44" s="387">
        <f t="shared" si="34"/>
        <v>2.3970896045039325</v>
      </c>
      <c r="BU44" s="387">
        <f t="shared" ref="BU44:CI44" si="35">BT44*(1+BU43/100)</f>
        <v>2.4450313965940111</v>
      </c>
      <c r="BV44" s="387">
        <f t="shared" si="35"/>
        <v>2.4939320245258916</v>
      </c>
      <c r="BW44" s="387">
        <f t="shared" si="35"/>
        <v>2.5438106650164096</v>
      </c>
      <c r="BX44" s="387">
        <f t="shared" si="35"/>
        <v>2.5946868783167378</v>
      </c>
      <c r="BY44" s="387">
        <f t="shared" si="35"/>
        <v>2.6465806158830727</v>
      </c>
      <c r="BZ44" s="387">
        <f t="shared" si="35"/>
        <v>2.6995122282007342</v>
      </c>
      <c r="CA44" s="387">
        <f t="shared" si="35"/>
        <v>2.7535024727647488</v>
      </c>
      <c r="CB44" s="387">
        <f t="shared" si="35"/>
        <v>2.8085725222200439</v>
      </c>
      <c r="CC44" s="387">
        <f t="shared" si="35"/>
        <v>2.8647439726644448</v>
      </c>
      <c r="CD44" s="387">
        <f t="shared" si="35"/>
        <v>2.9220388521177338</v>
      </c>
      <c r="CE44" s="387">
        <f t="shared" si="35"/>
        <v>2.9804796291600884</v>
      </c>
      <c r="CF44" s="387">
        <f t="shared" si="35"/>
        <v>3.04008922174329</v>
      </c>
      <c r="CG44" s="387">
        <f t="shared" si="35"/>
        <v>3.1008910061781561</v>
      </c>
      <c r="CH44" s="387">
        <f t="shared" si="35"/>
        <v>3.1629088263017193</v>
      </c>
      <c r="CI44" s="387">
        <f t="shared" si="35"/>
        <v>3.2261670028277538</v>
      </c>
      <c r="CJ44" s="387">
        <f t="shared" ref="CJ44" si="36">CI44*(1+CJ43/100)</f>
        <v>3.2906903428843091</v>
      </c>
      <c r="CK44" s="387">
        <f t="shared" ref="CK44" si="37">CJ44*(1+CK43/100)</f>
        <v>3.3565041497419954</v>
      </c>
      <c r="CL44" s="387">
        <f t="shared" ref="CL44" si="38">CK44*(1+CL43/100)</f>
        <v>3.4236342327368354</v>
      </c>
      <c r="CM44" s="387">
        <f t="shared" ref="CM44" si="39">CL44*(1+CM43/100)</f>
        <v>3.4921069173915722</v>
      </c>
      <c r="CN44" s="387">
        <f t="shared" ref="CN44" si="40">CM44*(1+CN43/100)</f>
        <v>3.5619490557394036</v>
      </c>
      <c r="CO44" s="33"/>
      <c r="CP44" s="33"/>
      <c r="CQ44" s="33"/>
      <c r="CR44" s="33"/>
      <c r="CS44" s="33"/>
      <c r="CT44" s="33"/>
      <c r="CU44" s="33"/>
      <c r="CV44" s="33"/>
    </row>
    <row r="46" spans="1:100">
      <c r="A46" s="2" t="s">
        <v>110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379"/>
      <c r="BL46" s="379"/>
      <c r="BM46" s="379"/>
      <c r="BN46" s="379"/>
      <c r="BO46" s="379"/>
      <c r="BP46" s="379"/>
      <c r="BQ46" s="379"/>
      <c r="BR46" s="379"/>
      <c r="BS46" s="379"/>
      <c r="BT46" s="379"/>
    </row>
    <row r="47" spans="1:100">
      <c r="A47" t="s">
        <v>8</v>
      </c>
      <c r="I47" s="42">
        <f>KVARTS!L80+Skiftberegning!H55</f>
        <v>342914.15139000001</v>
      </c>
      <c r="J47" s="42">
        <f>KVARTS!M80+Skiftberegning!I55</f>
        <v>428958.50059760001</v>
      </c>
      <c r="K47" s="42">
        <f>KVARTS!N80+Skiftberegning!J55</f>
        <v>282673.74770740001</v>
      </c>
      <c r="L47" s="42">
        <f>KVARTS!O80+Skiftberegning!K55</f>
        <v>318447.73396149999</v>
      </c>
      <c r="M47" s="42">
        <f>KVARTS!P80+Skiftberegning!L55</f>
        <v>381289.03697720001</v>
      </c>
      <c r="N47" s="42">
        <f>KVARTS!Q80+Skiftberegning!M55</f>
        <v>364683.18380000006</v>
      </c>
      <c r="O47" s="42">
        <f>KVARTS!R80+Skiftberegning!N55</f>
        <v>341389.87883460004</v>
      </c>
      <c r="P47" s="42">
        <f>KVARTS!S80+Skiftberegning!O55</f>
        <v>345863.44329899998</v>
      </c>
      <c r="Q47" s="42">
        <f>KVARTS!T80+Skiftberegning!P55</f>
        <v>246286.00179349998</v>
      </c>
      <c r="R47" s="42">
        <f>KVARTS!U80+Skiftberegning!Q55</f>
        <v>223842.38726100003</v>
      </c>
      <c r="S47" s="42">
        <f>KVARTS!V80+Skiftberegning!R55</f>
        <v>262351.4973936</v>
      </c>
      <c r="T47" s="42">
        <f>KVARTS!W80+Skiftberegning!S55</f>
        <v>316348.57277209999</v>
      </c>
      <c r="U47" s="42">
        <f>KVARTS!X80+Skiftberegning!T55</f>
        <v>295183.55081639998</v>
      </c>
      <c r="V47" s="42">
        <f>KVARTS!Y80+Skiftberegning!U55</f>
        <v>252129.7384683</v>
      </c>
      <c r="W47" s="42">
        <f>KVARTS!Z80+Skiftberegning!V55</f>
        <v>392089.3955244</v>
      </c>
      <c r="X47" s="42">
        <f>KVARTS!AA80+Skiftberegning!W55</f>
        <v>585061.2066111</v>
      </c>
      <c r="Y47" s="42">
        <f>KVARTS!AB80+Skiftberegning!X55</f>
        <v>567903.04521779995</v>
      </c>
      <c r="Z47" s="42">
        <f>KVARTS!AC80+Skiftberegning!Y55</f>
        <v>553948.24435355898</v>
      </c>
      <c r="AA47" s="42">
        <f>KVARTS!AD80+Skiftberegning!Z55</f>
        <v>479024.72421695461</v>
      </c>
      <c r="AB47" s="42">
        <f>KVARTS!AE80+Skiftberegning!AA55</f>
        <v>428681.29429251759</v>
      </c>
      <c r="AC47" s="42">
        <f>KVARTS!AF80+Skiftberegning!AB55</f>
        <v>409392.08331550116</v>
      </c>
      <c r="AD47" s="42">
        <f>KVARTS!AG80+Skiftberegning!AC55</f>
        <v>371077.23781250563</v>
      </c>
      <c r="AE47" s="42">
        <f>KVARTS!AH80+Skiftberegning!AD55</f>
        <v>337654.94932668348</v>
      </c>
      <c r="AF47" s="42">
        <f>KVARTS!AI80+Skiftberegning!AE55</f>
        <v>316227.50009909802</v>
      </c>
      <c r="AG47" s="42">
        <f>KVARTS!AJ80+Skiftberegning!AF55</f>
        <v>321634.09273690084</v>
      </c>
      <c r="AH47" s="42">
        <f>KVARTS!AK80+Skiftberegning!AG55</f>
        <v>332301.25373166212</v>
      </c>
      <c r="AI47" s="42">
        <f>KVARTS!AL80+Skiftberegning!AH55</f>
        <v>341092.08870484598</v>
      </c>
      <c r="AJ47" s="42">
        <f>KVARTS!AM80+Skiftberegning!AI55</f>
        <v>357056.2714841073</v>
      </c>
      <c r="AK47" s="42">
        <f>KVARTS!AN80+Skiftberegning!AJ55</f>
        <v>370713.17997556663</v>
      </c>
      <c r="AL47" s="42">
        <f>KVARTS!AO80+Skiftberegning!AK55</f>
        <v>371811.59543553367</v>
      </c>
      <c r="AM47" s="42">
        <f>KVARTS!AP80+Skiftberegning!AL55</f>
        <v>371088.19793108397</v>
      </c>
      <c r="AN47" s="42">
        <f>KVARTS!AQ80+Skiftberegning!AM55</f>
        <v>364254.66999379091</v>
      </c>
      <c r="AO47" s="42">
        <f>KVARTS!AR80+Skiftberegning!AN55</f>
        <v>358893.73277904233</v>
      </c>
      <c r="AP47" s="42">
        <f>KVARTS!AS80+Skiftberegning!AO55</f>
        <v>354337.19773530529</v>
      </c>
      <c r="AQ47" s="42">
        <f>KVARTS!AT80+Skiftberegning!AP55</f>
        <v>351719.08773739176</v>
      </c>
      <c r="AR47" s="42">
        <f>KVARTS!AU80+Skiftberegning!AQ55</f>
        <v>347302.76158130018</v>
      </c>
      <c r="AS47" s="42">
        <f>KVARTS!AV80+Skiftberegning!AR55</f>
        <v>343402.98341745522</v>
      </c>
      <c r="AT47" s="42">
        <f>KVARTS!AW80+Skiftberegning!AS55</f>
        <v>341627.59585600556</v>
      </c>
      <c r="AU47" s="42">
        <f>KVARTS!AX80+Skiftberegning!AT55</f>
        <v>336576.84657083388</v>
      </c>
      <c r="AV47" s="42">
        <f>KVARTS!AY80+Skiftberegning!AU55</f>
        <v>332849.05107909831</v>
      </c>
      <c r="AW47" s="42">
        <f>KVARTS!AZ80+Skiftberegning!AV55</f>
        <v>327401.85532762803</v>
      </c>
      <c r="AX47" s="42">
        <f>KVARTS!BA80+Skiftberegning!AW55</f>
        <v>325038.65650309628</v>
      </c>
      <c r="AY47" s="42">
        <f>KVARTS!BB80+Skiftberegning!AX55</f>
        <v>319032.25417568756</v>
      </c>
      <c r="AZ47" s="42">
        <f>KVARTS!BC80+Skiftberegning!AY55</f>
        <v>313424.60683586902</v>
      </c>
      <c r="BA47" s="42">
        <f>KVARTS!BD80+Skiftberegning!AZ55</f>
        <v>309887.90999629209</v>
      </c>
      <c r="BB47" s="42">
        <f>KVARTS!BE80+Skiftberegning!BA55</f>
        <v>304645.04922089772</v>
      </c>
      <c r="BC47" s="42">
        <f>KVARTS!BF80+Skiftberegning!BB55</f>
        <v>300194.17804987542</v>
      </c>
      <c r="BD47" s="42">
        <f>KVARTS!BG80+Skiftberegning!BC55</f>
        <v>294491.96355544979</v>
      </c>
      <c r="BE47" s="42">
        <f>KVARTS!BH80+Skiftberegning!BD55</f>
        <v>287691.69122996571</v>
      </c>
      <c r="BF47" s="42">
        <f>KVARTS!BI80+Skiftberegning!BE55</f>
        <v>281686.9879939658</v>
      </c>
      <c r="BG47" s="42">
        <f>KVARTS!BJ80+Skiftberegning!BF55</f>
        <v>275057.14600378665</v>
      </c>
      <c r="BH47" s="42">
        <f>KVARTS!BK80+Skiftberegning!BG55</f>
        <v>265519.58071179426</v>
      </c>
      <c r="BI47" s="42">
        <f>KVARTS!BL80+Skiftberegning!BH55</f>
        <v>256776.83734043769</v>
      </c>
      <c r="BJ47" s="42">
        <f>KVARTS!BM80+Skiftberegning!BI55</f>
        <v>247307.43041591562</v>
      </c>
      <c r="BK47" s="384">
        <f t="shared" ref="BK47:BT47" si="41">BK30*BK38</f>
        <v>252253.57902423397</v>
      </c>
      <c r="BL47" s="384">
        <f t="shared" si="41"/>
        <v>257298.65060471866</v>
      </c>
      <c r="BM47" s="384">
        <f t="shared" si="41"/>
        <v>262444.62361681298</v>
      </c>
      <c r="BN47" s="384">
        <f t="shared" si="41"/>
        <v>267693.51608914929</v>
      </c>
      <c r="BO47" s="384">
        <f t="shared" si="41"/>
        <v>273047.38641093223</v>
      </c>
      <c r="BP47" s="384">
        <f t="shared" si="41"/>
        <v>278508.33413915092</v>
      </c>
      <c r="BQ47" s="384">
        <f t="shared" si="41"/>
        <v>284078.50082193391</v>
      </c>
      <c r="BR47" s="384">
        <f t="shared" si="41"/>
        <v>289760.07083837263</v>
      </c>
      <c r="BS47" s="384">
        <f t="shared" si="41"/>
        <v>295555.27225514007</v>
      </c>
      <c r="BT47" s="384">
        <f t="shared" si="41"/>
        <v>301466.37770024291</v>
      </c>
      <c r="BU47" s="384">
        <f t="shared" ref="BU47:CI47" si="42">BU30*BU38</f>
        <v>307495.7052542477</v>
      </c>
      <c r="BV47" s="384">
        <f t="shared" si="42"/>
        <v>313645.61935933272</v>
      </c>
      <c r="BW47" s="384">
        <f t="shared" si="42"/>
        <v>319918.53174651938</v>
      </c>
      <c r="BX47" s="384">
        <f t="shared" si="42"/>
        <v>326316.9023814497</v>
      </c>
      <c r="BY47" s="384">
        <f t="shared" si="42"/>
        <v>332843.24042907869</v>
      </c>
      <c r="BZ47" s="384">
        <f t="shared" si="42"/>
        <v>339500.10523766035</v>
      </c>
      <c r="CA47" s="384">
        <f t="shared" si="42"/>
        <v>346290.10734241357</v>
      </c>
      <c r="CB47" s="384">
        <f t="shared" si="42"/>
        <v>353215.9094892618</v>
      </c>
      <c r="CC47" s="384">
        <f t="shared" si="42"/>
        <v>360280.22767904709</v>
      </c>
      <c r="CD47" s="384">
        <f t="shared" si="42"/>
        <v>367485.83223262802</v>
      </c>
      <c r="CE47" s="384">
        <f t="shared" si="42"/>
        <v>374835.54887728061</v>
      </c>
      <c r="CF47" s="384">
        <f t="shared" si="42"/>
        <v>382332.25985482614</v>
      </c>
      <c r="CG47" s="384">
        <f t="shared" si="42"/>
        <v>389978.90505192272</v>
      </c>
      <c r="CH47" s="384">
        <f t="shared" si="42"/>
        <v>397778.48315296118</v>
      </c>
      <c r="CI47" s="384">
        <f t="shared" si="42"/>
        <v>405734.0528160205</v>
      </c>
      <c r="CJ47" s="384">
        <f t="shared" ref="CJ47:CN47" si="43">CJ30*CJ38</f>
        <v>413848.73387234093</v>
      </c>
      <c r="CK47" s="384">
        <f t="shared" si="43"/>
        <v>422125.70854978776</v>
      </c>
      <c r="CL47" s="384">
        <f t="shared" si="43"/>
        <v>430568.22272078355</v>
      </c>
      <c r="CM47" s="384">
        <f t="shared" si="43"/>
        <v>439179.5871751993</v>
      </c>
      <c r="CN47" s="384">
        <f t="shared" si="43"/>
        <v>447963.17891870323</v>
      </c>
      <c r="CO47" s="42"/>
      <c r="CP47" s="42"/>
      <c r="CQ47" s="42"/>
      <c r="CR47" s="42"/>
      <c r="CS47" s="42"/>
      <c r="CT47" s="42"/>
      <c r="CU47" s="42"/>
      <c r="CV47" s="42"/>
    </row>
    <row r="48" spans="1:100">
      <c r="A48" t="s">
        <v>9</v>
      </c>
      <c r="I48" s="42">
        <f>KVARTS!L81+Skiftberegning!H58</f>
        <v>140530.70000000001</v>
      </c>
      <c r="J48" s="42">
        <f>KVARTS!M81+Skiftberegning!I58</f>
        <v>220801.19999999998</v>
      </c>
      <c r="K48" s="42">
        <f>KVARTS!N81+Skiftberegning!J58</f>
        <v>173145.60000000001</v>
      </c>
      <c r="L48" s="42">
        <f>KVARTS!O81+Skiftberegning!K58</f>
        <v>169382.7</v>
      </c>
      <c r="M48" s="42">
        <f>KVARTS!P81+Skiftberegning!L58</f>
        <v>200600</v>
      </c>
      <c r="N48" s="42">
        <f>KVARTS!Q81+Skiftberegning!M58</f>
        <v>249862.6</v>
      </c>
      <c r="O48" s="42">
        <f>KVARTS!R81+Skiftberegning!N58</f>
        <v>247285.5</v>
      </c>
      <c r="P48" s="42">
        <f>KVARTS!S81+Skiftberegning!O58</f>
        <v>218940</v>
      </c>
      <c r="Q48" s="42">
        <f>KVARTS!T81+Skiftberegning!P58</f>
        <v>220646.39999999999</v>
      </c>
      <c r="R48" s="42">
        <f>KVARTS!U81+Skiftberegning!Q58</f>
        <v>160510</v>
      </c>
      <c r="S48" s="42">
        <f>KVARTS!V81+Skiftberegning!R58</f>
        <v>201910.5</v>
      </c>
      <c r="T48" s="42">
        <f>KVARTS!W81+Skiftberegning!S58</f>
        <v>263758</v>
      </c>
      <c r="U48" s="42">
        <f>KVARTS!X81+Skiftberegning!T58</f>
        <v>177598.4</v>
      </c>
      <c r="V48" s="42">
        <f>KVARTS!Y81+Skiftberegning!U58</f>
        <v>124427.68650686773</v>
      </c>
      <c r="W48" s="42">
        <f>KVARTS!Z81+Skiftberegning!V58</f>
        <v>521003.77258647996</v>
      </c>
      <c r="X48" s="42">
        <f>KVARTS!AA81+Skiftberegning!W58</f>
        <v>1480150.8809009925</v>
      </c>
      <c r="Y48" s="42">
        <f>KVARTS!AB81+Skiftberegning!X58</f>
        <v>631478.2455319257</v>
      </c>
      <c r="Z48" s="42">
        <f>KVARTS!AC81+Skiftberegning!Y58</f>
        <v>549858.33644959843</v>
      </c>
      <c r="AA48" s="42">
        <f>KVARTS!AD81+Skiftberegning!Z58</f>
        <v>611689.06549512991</v>
      </c>
      <c r="AB48" s="42">
        <f>KVARTS!AE81+Skiftberegning!AA58</f>
        <v>478799.04375174531</v>
      </c>
      <c r="AC48" s="42">
        <f>KVARTS!AF81+Skiftberegning!AB58</f>
        <v>390170.6393281506</v>
      </c>
      <c r="AD48" s="42">
        <f>KVARTS!AG81+Skiftberegning!AC58</f>
        <v>385332.88561378972</v>
      </c>
      <c r="AE48" s="42">
        <f>KVARTS!AH81+Skiftberegning!AD58</f>
        <v>374696.78346907988</v>
      </c>
      <c r="AF48" s="42">
        <f>KVARTS!AI81+Skiftberegning!AE58</f>
        <v>288168.24246561737</v>
      </c>
      <c r="AG48" s="42">
        <f>KVARTS!AJ81+Skiftberegning!AF58</f>
        <v>276716.64671382355</v>
      </c>
      <c r="AH48" s="42">
        <f>KVARTS!AK81+Skiftberegning!AG58</f>
        <v>259976.22913787633</v>
      </c>
      <c r="AI48" s="42">
        <f>KVARTS!AL81+Skiftberegning!AH58</f>
        <v>249914.96341349155</v>
      </c>
      <c r="AJ48" s="42">
        <f>KVARTS!AM81+Skiftberegning!AI58</f>
        <v>244058.2285437886</v>
      </c>
      <c r="AK48" s="42">
        <f>KVARTS!AN81+Skiftberegning!AJ58</f>
        <v>238637.3617655049</v>
      </c>
      <c r="AL48" s="42">
        <f>KVARTS!AO81+Skiftberegning!AK58</f>
        <v>233730.14723435327</v>
      </c>
      <c r="AM48" s="42">
        <f>KVARTS!AP81+Skiftberegning!AL58</f>
        <v>225473.96336566829</v>
      </c>
      <c r="AN48" s="42">
        <f>KVARTS!AQ81+Skiftberegning!AM58</f>
        <v>212353.01578245303</v>
      </c>
      <c r="AO48" s="42">
        <f>KVARTS!AR81+Skiftberegning!AN58</f>
        <v>197935.92103814092</v>
      </c>
      <c r="AP48" s="42">
        <f>KVARTS!AS81+Skiftberegning!AO58</f>
        <v>187674.02578596867</v>
      </c>
      <c r="AQ48" s="42">
        <f>KVARTS!AT81+Skiftberegning!AP58</f>
        <v>181180.05067229093</v>
      </c>
      <c r="AR48" s="42">
        <f>KVARTS!AU81+Skiftberegning!AQ58</f>
        <v>176890.5353806706</v>
      </c>
      <c r="AS48" s="42">
        <f>KVARTS!AV81+Skiftberegning!AR58</f>
        <v>171977.64081818156</v>
      </c>
      <c r="AT48" s="42">
        <f>KVARTS!AW81+Skiftberegning!AS58</f>
        <v>165760.97870850418</v>
      </c>
      <c r="AU48" s="42">
        <f>KVARTS!AX81+Skiftberegning!AT58</f>
        <v>161054.71197450173</v>
      </c>
      <c r="AV48" s="42">
        <f>KVARTS!AY81+Skiftberegning!AU58</f>
        <v>157928.21875023824</v>
      </c>
      <c r="AW48" s="42">
        <f>KVARTS!AZ81+Skiftberegning!AV58</f>
        <v>154776.95059145652</v>
      </c>
      <c r="AX48" s="42">
        <f>KVARTS!BA81+Skiftberegning!AW58</f>
        <v>151934.09105374792</v>
      </c>
      <c r="AY48" s="42">
        <f>KVARTS!BB81+Skiftberegning!AX58</f>
        <v>150098.61110648708</v>
      </c>
      <c r="AZ48" s="42">
        <f>KVARTS!BC81+Skiftberegning!AY58</f>
        <v>147284.283795745</v>
      </c>
      <c r="BA48" s="42">
        <f>KVARTS!BD81+Skiftberegning!AZ58</f>
        <v>144710.81046743874</v>
      </c>
      <c r="BB48" s="42">
        <f>KVARTS!BE81+Skiftberegning!BA58</f>
        <v>141171.08218062852</v>
      </c>
      <c r="BC48" s="42">
        <f>KVARTS!BF81+Skiftberegning!BB58</f>
        <v>138491.26607932671</v>
      </c>
      <c r="BD48" s="42">
        <f>KVARTS!BG81+Skiftberegning!BC58</f>
        <v>137085.76973344185</v>
      </c>
      <c r="BE48" s="42">
        <f>KVARTS!BH81+Skiftberegning!BD58</f>
        <v>137470.75599385952</v>
      </c>
      <c r="BF48" s="42">
        <f>KVARTS!BI81+Skiftberegning!BE58</f>
        <v>137062.14638616014</v>
      </c>
      <c r="BG48" s="42">
        <f>KVARTS!BJ81+Skiftberegning!BF58</f>
        <v>137672.62013810963</v>
      </c>
      <c r="BH48" s="42">
        <f>KVARTS!BK81+Skiftberegning!BG58</f>
        <v>138663.68164572257</v>
      </c>
      <c r="BI48" s="42">
        <f>KVARTS!BL81+Skiftberegning!BH58</f>
        <v>139447.56444918065</v>
      </c>
      <c r="BJ48" s="42">
        <f>KVARTS!BM81+Skiftberegning!BI58</f>
        <v>140541.65085079771</v>
      </c>
      <c r="BK48" s="384">
        <f t="shared" ref="BK48:BT48" si="44">BK31*BK39</f>
        <v>143352.48386781366</v>
      </c>
      <c r="BL48" s="384">
        <f t="shared" si="44"/>
        <v>146219.53354516998</v>
      </c>
      <c r="BM48" s="384">
        <f t="shared" si="44"/>
        <v>149143.92421607336</v>
      </c>
      <c r="BN48" s="384">
        <f t="shared" si="44"/>
        <v>152126.80270039482</v>
      </c>
      <c r="BO48" s="384">
        <f t="shared" si="44"/>
        <v>155169.33875440274</v>
      </c>
      <c r="BP48" s="384">
        <f t="shared" si="44"/>
        <v>158272.72552949077</v>
      </c>
      <c r="BQ48" s="384">
        <f t="shared" si="44"/>
        <v>161438.1800400806</v>
      </c>
      <c r="BR48" s="384">
        <f t="shared" si="44"/>
        <v>164666.94364088221</v>
      </c>
      <c r="BS48" s="384">
        <f t="shared" si="44"/>
        <v>167960.28251369984</v>
      </c>
      <c r="BT48" s="384">
        <f t="shared" si="44"/>
        <v>171319.48816397385</v>
      </c>
      <c r="BU48" s="384">
        <f t="shared" ref="BU48:CI48" si="45">BU31*BU39</f>
        <v>174745.87792725334</v>
      </c>
      <c r="BV48" s="384">
        <f t="shared" si="45"/>
        <v>178240.79548579839</v>
      </c>
      <c r="BW48" s="384">
        <f t="shared" si="45"/>
        <v>181805.61139551437</v>
      </c>
      <c r="BX48" s="384">
        <f t="shared" si="45"/>
        <v>185441.72362342465</v>
      </c>
      <c r="BY48" s="384">
        <f t="shared" si="45"/>
        <v>189150.55809589318</v>
      </c>
      <c r="BZ48" s="384">
        <f t="shared" si="45"/>
        <v>192933.56925781106</v>
      </c>
      <c r="CA48" s="384">
        <f t="shared" si="45"/>
        <v>196792.24064296726</v>
      </c>
      <c r="CB48" s="384">
        <f t="shared" si="45"/>
        <v>200728.0854558266</v>
      </c>
      <c r="CC48" s="384">
        <f t="shared" si="45"/>
        <v>204742.6471649431</v>
      </c>
      <c r="CD48" s="384">
        <f t="shared" si="45"/>
        <v>208837.50010824201</v>
      </c>
      <c r="CE48" s="384">
        <f t="shared" si="45"/>
        <v>213014.25011040687</v>
      </c>
      <c r="CF48" s="384">
        <f t="shared" si="45"/>
        <v>217274.53511261501</v>
      </c>
      <c r="CG48" s="384">
        <f t="shared" si="45"/>
        <v>221620.02581486732</v>
      </c>
      <c r="CH48" s="384">
        <f t="shared" si="45"/>
        <v>226052.42633116466</v>
      </c>
      <c r="CI48" s="384">
        <f t="shared" si="45"/>
        <v>230573.47485778795</v>
      </c>
      <c r="CJ48" s="384">
        <f t="shared" ref="CJ48:CN48" si="46">CJ31*CJ39</f>
        <v>235184.94435494376</v>
      </c>
      <c r="CK48" s="384">
        <f t="shared" si="46"/>
        <v>239888.6432420426</v>
      </c>
      <c r="CL48" s="384">
        <f t="shared" si="46"/>
        <v>244686.41610688347</v>
      </c>
      <c r="CM48" s="384">
        <f t="shared" si="46"/>
        <v>249580.14442902117</v>
      </c>
      <c r="CN48" s="384">
        <f t="shared" si="46"/>
        <v>254571.74731760158</v>
      </c>
      <c r="CO48" s="42"/>
      <c r="CP48" s="42"/>
      <c r="CQ48" s="42"/>
      <c r="CR48" s="42"/>
      <c r="CS48" s="42"/>
      <c r="CT48" s="42"/>
      <c r="CU48" s="42"/>
      <c r="CV48" s="42"/>
    </row>
    <row r="49" spans="1:100">
      <c r="A49" t="s">
        <v>10</v>
      </c>
      <c r="I49" s="42">
        <f>KVARTS!L82+Skiftberegning!H56</f>
        <v>35857.534743202414</v>
      </c>
      <c r="J49" s="42">
        <f>KVARTS!M82+Skiftberegning!I56</f>
        <v>52589.918813739998</v>
      </c>
      <c r="K49" s="42">
        <f>KVARTS!N82+Skiftberegning!J56</f>
        <v>37739.270346117868</v>
      </c>
      <c r="L49" s="42">
        <f>KVARTS!O82+Skiftberegning!K56</f>
        <v>43366.956786985254</v>
      </c>
      <c r="M49" s="42">
        <f>KVARTS!P82+Skiftberegning!L56</f>
        <v>58408.44</v>
      </c>
      <c r="N49" s="42">
        <f>KVARTS!Q82+Skiftberegning!M56</f>
        <v>64812.48000000001</v>
      </c>
      <c r="O49" s="42">
        <f>KVARTS!R82+Skiftberegning!N56</f>
        <v>61110.548571428568</v>
      </c>
      <c r="P49" s="42">
        <f>KVARTS!S82+Skiftberegning!O56</f>
        <v>51421.601851851847</v>
      </c>
      <c r="Q49" s="42">
        <f>KVARTS!T82+Skiftberegning!P56</f>
        <v>35960.11900452488</v>
      </c>
      <c r="R49" s="42">
        <f>KVARTS!U82+Skiftberegning!Q56</f>
        <v>32787.829411764702</v>
      </c>
      <c r="S49" s="42">
        <f>KVARTS!V82+Skiftberegning!R56</f>
        <v>42269.526176690175</v>
      </c>
      <c r="T49" s="42">
        <f>KVARTS!W82+Skiftberegning!S56</f>
        <v>47625.456678698567</v>
      </c>
      <c r="U49" s="42">
        <f>KVARTS!X82+Skiftberegning!T56</f>
        <v>40438.896815883782</v>
      </c>
      <c r="V49" s="42">
        <f>KVARTS!Y82+Skiftberegning!U56</f>
        <v>28561.264967963682</v>
      </c>
      <c r="W49" s="42">
        <f>KVARTS!Z82+Skiftberegning!V56</f>
        <v>33520.330295933367</v>
      </c>
      <c r="X49" s="42">
        <f>KVARTS!AA82+Skiftberegning!W56</f>
        <v>50089.649639400792</v>
      </c>
      <c r="Y49" s="42">
        <f>KVARTS!AB82+Skiftberegning!X56</f>
        <v>48524.560773329205</v>
      </c>
      <c r="Z49" s="42">
        <f>KVARTS!AC82+Skiftberegning!Y56</f>
        <v>45906.988620913697</v>
      </c>
      <c r="AA49" s="42">
        <f>KVARTS!AD82+Skiftberegning!Z56</f>
        <v>40000.2267792434</v>
      </c>
      <c r="AB49" s="42">
        <f>KVARTS!AE82+Skiftberegning!AA56</f>
        <v>39748.416718053697</v>
      </c>
      <c r="AC49" s="42">
        <f>KVARTS!AF82+Skiftberegning!AB56</f>
        <v>40083.763571209303</v>
      </c>
      <c r="AD49" s="42">
        <f>KVARTS!AG82+Skiftberegning!AC56</f>
        <v>40185.398604176196</v>
      </c>
      <c r="AE49" s="42">
        <f>KVARTS!AH82+Skiftberegning!AD56</f>
        <v>39827.777266037003</v>
      </c>
      <c r="AF49" s="42">
        <f>KVARTS!AI82+Skiftberegning!AE56</f>
        <v>38247.754743086502</v>
      </c>
      <c r="AG49" s="42">
        <f>KVARTS!AJ82+Skiftberegning!AF56</f>
        <v>36013.567790430498</v>
      </c>
      <c r="AH49" s="42">
        <f>KVARTS!AK82+Skiftberegning!AG56</f>
        <v>35085.924126697697</v>
      </c>
      <c r="AI49" s="42">
        <f>KVARTS!AL82+Skiftberegning!AH56</f>
        <v>32544.552850571603</v>
      </c>
      <c r="AJ49" s="42">
        <f>KVARTS!AM82+Skiftberegning!AI56</f>
        <v>30387.614435446099</v>
      </c>
      <c r="AK49" s="42">
        <f>KVARTS!AN82+Skiftberegning!AJ56</f>
        <v>28101.384572021499</v>
      </c>
      <c r="AL49" s="42">
        <f>KVARTS!AO82+Skiftberegning!AK56</f>
        <v>26224.587376376199</v>
      </c>
      <c r="AM49" s="42">
        <f>KVARTS!AP82+Skiftberegning!AL56</f>
        <v>23196.082085607199</v>
      </c>
      <c r="AN49" s="42">
        <f>KVARTS!AQ82+Skiftberegning!AM56</f>
        <v>20173.875250811299</v>
      </c>
      <c r="AO49" s="42">
        <f>KVARTS!AR82+Skiftberegning!AN56</f>
        <v>18301.638477121502</v>
      </c>
      <c r="AP49" s="42">
        <f>KVARTS!AS82+Skiftberegning!AO56</f>
        <v>16913.8133251892</v>
      </c>
      <c r="AQ49" s="42">
        <f>KVARTS!AT82+Skiftberegning!AP56</f>
        <v>15045.762580700301</v>
      </c>
      <c r="AR49" s="42">
        <f>KVARTS!AU82+Skiftberegning!AQ56</f>
        <v>13898.6281530164</v>
      </c>
      <c r="AS49" s="42">
        <f>KVARTS!AV82+Skiftberegning!AR56</f>
        <v>12901.250648536001</v>
      </c>
      <c r="AT49" s="42">
        <f>KVARTS!AW82+Skiftberegning!AS56</f>
        <v>11643.0075663225</v>
      </c>
      <c r="AU49" s="42">
        <f>KVARTS!AX82+Skiftberegning!AT56</f>
        <v>10788.075374693401</v>
      </c>
      <c r="AV49" s="42">
        <f>KVARTS!AY82+Skiftberegning!AU56</f>
        <v>9314.1983479089704</v>
      </c>
      <c r="AW49" s="42">
        <f>KVARTS!AZ82+Skiftberegning!AV56</f>
        <v>9007.0671299832393</v>
      </c>
      <c r="AX49" s="42">
        <f>KVARTS!BA82+Skiftberegning!AW56</f>
        <v>7284.6802465119308</v>
      </c>
      <c r="AY49" s="42">
        <f>KVARTS!BB82+Skiftberegning!AX56</f>
        <v>5894.56915577773</v>
      </c>
      <c r="AZ49" s="42">
        <f>KVARTS!BC82+Skiftberegning!AY56</f>
        <v>4936.5220261379</v>
      </c>
      <c r="BA49" s="42">
        <f>KVARTS!BD82+Skiftberegning!AZ56</f>
        <v>4068.9352038332099</v>
      </c>
      <c r="BB49" s="42">
        <f>KVARTS!BE82+Skiftberegning!BA56</f>
        <v>2866.17143066273</v>
      </c>
      <c r="BC49" s="42">
        <f>KVARTS!BF82+Skiftberegning!BB56</f>
        <v>2298.6478798009698</v>
      </c>
      <c r="BD49" s="42">
        <f>KVARTS!BG82+Skiftberegning!BC56</f>
        <v>1654.7301772676099</v>
      </c>
      <c r="BE49" s="42">
        <f>KVARTS!BH82+Skiftberegning!BD56</f>
        <v>1127.35993946084</v>
      </c>
      <c r="BF49" s="42">
        <f>KVARTS!BI82+Skiftberegning!BE56</f>
        <v>766.13320039530402</v>
      </c>
      <c r="BG49" s="42">
        <f>KVARTS!BJ82+Skiftberegning!BF56</f>
        <v>370.63270531389799</v>
      </c>
      <c r="BH49" s="42">
        <f>KVARTS!BK82+Skiftberegning!BG56</f>
        <v>356.30239790945802</v>
      </c>
      <c r="BI49" s="42">
        <f>KVARTS!BL82+Skiftberegning!BH56</f>
        <v>338.613549067951</v>
      </c>
      <c r="BJ49" s="42">
        <f>KVARTS!BM82+Skiftberegning!BI56</f>
        <v>240.14449656531301</v>
      </c>
      <c r="BK49" s="384">
        <f t="shared" ref="BK49:BT49" si="47">BK32*BK40</f>
        <v>244.94738649661926</v>
      </c>
      <c r="BL49" s="384">
        <f t="shared" si="47"/>
        <v>249.84633422655165</v>
      </c>
      <c r="BM49" s="384">
        <f t="shared" si="47"/>
        <v>254.84326091108269</v>
      </c>
      <c r="BN49" s="384">
        <f t="shared" si="47"/>
        <v>259.9401261293043</v>
      </c>
      <c r="BO49" s="384">
        <f t="shared" si="47"/>
        <v>265.13892865189041</v>
      </c>
      <c r="BP49" s="384">
        <f t="shared" si="47"/>
        <v>270.44170722492828</v>
      </c>
      <c r="BQ49" s="384">
        <f t="shared" si="47"/>
        <v>275.85054136942682</v>
      </c>
      <c r="BR49" s="384">
        <f t="shared" si="47"/>
        <v>281.36755219681538</v>
      </c>
      <c r="BS49" s="384">
        <f t="shared" si="47"/>
        <v>286.99490324075168</v>
      </c>
      <c r="BT49" s="384">
        <f t="shared" si="47"/>
        <v>292.73480130556669</v>
      </c>
      <c r="BU49" s="384">
        <f t="shared" ref="BU49:CI49" si="48">BU32*BU40</f>
        <v>298.58949733167799</v>
      </c>
      <c r="BV49" s="384">
        <f t="shared" si="48"/>
        <v>304.56128727831157</v>
      </c>
      <c r="BW49" s="384">
        <f t="shared" si="48"/>
        <v>310.65251302387782</v>
      </c>
      <c r="BX49" s="384">
        <f t="shared" si="48"/>
        <v>316.8655632843554</v>
      </c>
      <c r="BY49" s="384">
        <f t="shared" si="48"/>
        <v>323.20287455004251</v>
      </c>
      <c r="BZ49" s="384">
        <f t="shared" si="48"/>
        <v>329.66693204104337</v>
      </c>
      <c r="CA49" s="384">
        <f t="shared" si="48"/>
        <v>336.26027068186426</v>
      </c>
      <c r="CB49" s="384">
        <f t="shared" si="48"/>
        <v>342.9854760955015</v>
      </c>
      <c r="CC49" s="384">
        <f t="shared" si="48"/>
        <v>349.84518561741157</v>
      </c>
      <c r="CD49" s="384">
        <f t="shared" si="48"/>
        <v>356.8420893297598</v>
      </c>
      <c r="CE49" s="384">
        <f t="shared" si="48"/>
        <v>363.978931116355</v>
      </c>
      <c r="CF49" s="384">
        <f t="shared" si="48"/>
        <v>371.25850973868211</v>
      </c>
      <c r="CG49" s="384">
        <f t="shared" si="48"/>
        <v>378.68367993345578</v>
      </c>
      <c r="CH49" s="384">
        <f t="shared" si="48"/>
        <v>386.25735353212497</v>
      </c>
      <c r="CI49" s="384">
        <f t="shared" si="48"/>
        <v>393.98250060276746</v>
      </c>
      <c r="CJ49" s="384">
        <f t="shared" ref="CJ49:CN49" si="49">CJ32*CJ40</f>
        <v>401.86215061482278</v>
      </c>
      <c r="CK49" s="384">
        <f t="shared" si="49"/>
        <v>409.89939362711931</v>
      </c>
      <c r="CL49" s="384">
        <f t="shared" si="49"/>
        <v>418.09738149966171</v>
      </c>
      <c r="CM49" s="384">
        <f t="shared" si="49"/>
        <v>426.45932912965492</v>
      </c>
      <c r="CN49" s="384">
        <f t="shared" si="49"/>
        <v>434.98851571224799</v>
      </c>
      <c r="CO49" s="42"/>
      <c r="CP49" s="42"/>
      <c r="CQ49" s="42"/>
      <c r="CR49" s="42"/>
      <c r="CS49" s="42"/>
      <c r="CT49" s="42"/>
      <c r="CU49" s="42"/>
      <c r="CV49" s="42"/>
    </row>
    <row r="50" spans="1:100">
      <c r="A50" t="s">
        <v>11</v>
      </c>
      <c r="I50" s="42">
        <f>KVARTS!L83+Skiftberegning!H59</f>
        <v>519302.38613320247</v>
      </c>
      <c r="J50" s="42">
        <f>KVARTS!M83+Skiftberegning!I59</f>
        <v>702349.61941133998</v>
      </c>
      <c r="K50" s="42">
        <f>KVARTS!N83+Skiftberegning!J59</f>
        <v>493558.61805351783</v>
      </c>
      <c r="L50" s="42">
        <f>KVARTS!O83+Skiftberegning!K59</f>
        <v>531197.39074848522</v>
      </c>
      <c r="M50" s="42">
        <f>KVARTS!P83+Skiftberegning!L59</f>
        <v>640297.47697720001</v>
      </c>
      <c r="N50" s="42">
        <f>KVARTS!Q83+Skiftberegning!M59</f>
        <v>679358.26380000007</v>
      </c>
      <c r="O50" s="42">
        <f>KVARTS!R83+Skiftberegning!N59</f>
        <v>649785.92740602861</v>
      </c>
      <c r="P50" s="42">
        <f>KVARTS!S83+Skiftberegning!O59</f>
        <v>616225.04515085171</v>
      </c>
      <c r="Q50" s="42">
        <f>KVARTS!T83+Skiftberegning!P59</f>
        <v>502892.52079802484</v>
      </c>
      <c r="R50" s="42">
        <f>KVARTS!U83+Skiftberegning!Q59</f>
        <v>417140.21667276468</v>
      </c>
      <c r="S50" s="42">
        <f>KVARTS!V83+Skiftberegning!R59</f>
        <v>506531.52357029018</v>
      </c>
      <c r="T50" s="42">
        <f>KVARTS!W83+Skiftberegning!S59</f>
        <v>627732.02945079852</v>
      </c>
      <c r="U50" s="42">
        <f>KVARTS!X83+Skiftberegning!T59</f>
        <v>513220.84763228381</v>
      </c>
      <c r="V50" s="42">
        <f>KVARTS!Y83+Skiftberegning!U59</f>
        <v>405118.68994313141</v>
      </c>
      <c r="W50" s="42">
        <f>KVARTS!Z83+Skiftberegning!V59</f>
        <v>946613.49840681336</v>
      </c>
      <c r="X50" s="42">
        <f>KVARTS!AA83+Skiftberegning!W59</f>
        <v>2115301.7371514933</v>
      </c>
      <c r="Y50" s="42">
        <f>KVARTS!AB83+Skiftberegning!X59</f>
        <v>1247905.8515230548</v>
      </c>
      <c r="Z50" s="42">
        <f>KVARTS!AC83+Skiftberegning!Y59</f>
        <v>1149713.5694240709</v>
      </c>
      <c r="AA50" s="42">
        <f>KVARTS!AD83+Skiftberegning!Z59</f>
        <v>1130714.0164913279</v>
      </c>
      <c r="AB50" s="42">
        <f>KVARTS!AE83+Skiftberegning!AA59</f>
        <v>947228.7547623167</v>
      </c>
      <c r="AC50" s="42">
        <f>KVARTS!AF83+Skiftberegning!AB59</f>
        <v>839646.48621486104</v>
      </c>
      <c r="AD50" s="42">
        <f>KVARTS!AG83+Skiftberegning!AC59</f>
        <v>796595.52203047159</v>
      </c>
      <c r="AE50" s="42">
        <f>KVARTS!AH83+Skiftberegning!AD59</f>
        <v>752179.51006180025</v>
      </c>
      <c r="AF50" s="42">
        <f>KVARTS!AI83+Skiftberegning!AE59</f>
        <v>642643.49730780197</v>
      </c>
      <c r="AG50" s="42">
        <f>KVARTS!AJ83+Skiftberegning!AF59</f>
        <v>634364.30724115483</v>
      </c>
      <c r="AH50" s="42">
        <f>KVARTS!AK83+Skiftberegning!AG59</f>
        <v>627363.40699623618</v>
      </c>
      <c r="AI50" s="42">
        <f>KVARTS!AL83+Skiftberegning!AH59</f>
        <v>623551.60496890906</v>
      </c>
      <c r="AJ50" s="42">
        <f>KVARTS!AM83+Skiftberegning!AI59</f>
        <v>631502.114463342</v>
      </c>
      <c r="AK50" s="42">
        <f>KVARTS!AN83+Skiftberegning!AJ59</f>
        <v>637451.92631309305</v>
      </c>
      <c r="AL50" s="42">
        <f>KVARTS!AO83+Skiftberegning!AK59</f>
        <v>631766.33004626306</v>
      </c>
      <c r="AM50" s="42">
        <f>KVARTS!AP83+Skiftberegning!AL59</f>
        <v>619758.24338235951</v>
      </c>
      <c r="AN50" s="42">
        <f>KVARTS!AQ83+Skiftberegning!AM59</f>
        <v>596781.56102705526</v>
      </c>
      <c r="AO50" s="42">
        <f>KVARTS!AR83+Skiftberegning!AN59</f>
        <v>575131.2922943047</v>
      </c>
      <c r="AP50" s="42">
        <f>KVARTS!AS83+Skiftberegning!AO59</f>
        <v>558925.0368464631</v>
      </c>
      <c r="AQ50" s="42">
        <f>KVARTS!AT83+Skiftberegning!AP59</f>
        <v>547944.900990383</v>
      </c>
      <c r="AR50" s="42">
        <f>KVARTS!AU83+Skiftberegning!AQ59</f>
        <v>538091.92511498719</v>
      </c>
      <c r="AS50" s="42">
        <f>KVARTS!AV83+Skiftberegning!AR59</f>
        <v>528281.87488417281</v>
      </c>
      <c r="AT50" s="42">
        <f>KVARTS!AW83+Skiftberegning!AS59</f>
        <v>519031.58213083225</v>
      </c>
      <c r="AU50" s="42">
        <f>KVARTS!AX83+Skiftberegning!AT59</f>
        <v>508419.63392002898</v>
      </c>
      <c r="AV50" s="42">
        <f>KVARTS!AY83+Skiftberegning!AU59</f>
        <v>500091.46817724552</v>
      </c>
      <c r="AW50" s="42">
        <f>KVARTS!AZ83+Skiftberegning!AV59</f>
        <v>491185.8730490678</v>
      </c>
      <c r="AX50" s="42">
        <f>KVARTS!BA83+Skiftberegning!AW59</f>
        <v>484257.42780335614</v>
      </c>
      <c r="AY50" s="42">
        <f>KVARTS!BB83+Skiftberegning!AX59</f>
        <v>475025.43443795241</v>
      </c>
      <c r="AZ50" s="42">
        <f>KVARTS!BC83+Skiftberegning!AY59</f>
        <v>465645.41265775193</v>
      </c>
      <c r="BA50" s="42">
        <f>KVARTS!BD83+Skiftberegning!AZ59</f>
        <v>458667.65566756407</v>
      </c>
      <c r="BB50" s="42">
        <f>KVARTS!BE83+Skiftberegning!BA59</f>
        <v>448682.30283218902</v>
      </c>
      <c r="BC50" s="42">
        <f>KVARTS!BF83+Skiftberegning!BB59</f>
        <v>440984.09200900316</v>
      </c>
      <c r="BD50" s="42">
        <f>KVARTS!BG83+Skiftberegning!BC59</f>
        <v>433232.46346615924</v>
      </c>
      <c r="BE50" s="42">
        <f>KVARTS!BH83+Skiftberegning!BD59</f>
        <v>426289.80716328608</v>
      </c>
      <c r="BF50" s="42">
        <f>KVARTS!BI83+Skiftberegning!BE59</f>
        <v>419515.26758052123</v>
      </c>
      <c r="BG50" s="42">
        <f>KVARTS!BJ83+Skiftberegning!BF59</f>
        <v>413100.39884721016</v>
      </c>
      <c r="BH50" s="42">
        <f>KVARTS!BK83+Skiftberegning!BG59</f>
        <v>404539.56475542625</v>
      </c>
      <c r="BI50" s="42">
        <f>KVARTS!BL83+Skiftberegning!BH59</f>
        <v>396563.01533868624</v>
      </c>
      <c r="BJ50" s="42">
        <f>KVARTS!BM83+Skiftberegning!BI59</f>
        <v>388089.22576327866</v>
      </c>
      <c r="BK50" s="384">
        <f t="shared" ref="BK50:BT50" si="50">SUM(BK47:BK49)</f>
        <v>395851.01027854427</v>
      </c>
      <c r="BL50" s="384">
        <f t="shared" si="50"/>
        <v>403768.03048411518</v>
      </c>
      <c r="BM50" s="384">
        <f t="shared" si="50"/>
        <v>411843.3910937974</v>
      </c>
      <c r="BN50" s="384">
        <f t="shared" si="50"/>
        <v>420080.25891567342</v>
      </c>
      <c r="BO50" s="384">
        <f t="shared" si="50"/>
        <v>428481.86409398686</v>
      </c>
      <c r="BP50" s="384">
        <f t="shared" si="50"/>
        <v>437051.50137586659</v>
      </c>
      <c r="BQ50" s="384">
        <f t="shared" si="50"/>
        <v>445792.53140338394</v>
      </c>
      <c r="BR50" s="384">
        <f t="shared" si="50"/>
        <v>454708.38203145168</v>
      </c>
      <c r="BS50" s="384">
        <f t="shared" si="50"/>
        <v>463802.54967208067</v>
      </c>
      <c r="BT50" s="384">
        <f t="shared" si="50"/>
        <v>473078.60066552233</v>
      </c>
      <c r="BU50" s="384">
        <f t="shared" ref="BU50:CI50" si="51">SUM(BU47:BU49)</f>
        <v>482540.17267883272</v>
      </c>
      <c r="BV50" s="384">
        <f t="shared" si="51"/>
        <v>492190.97613240941</v>
      </c>
      <c r="BW50" s="384">
        <f t="shared" si="51"/>
        <v>502034.79565505759</v>
      </c>
      <c r="BX50" s="384">
        <f t="shared" si="51"/>
        <v>512075.49156815873</v>
      </c>
      <c r="BY50" s="384">
        <f t="shared" si="51"/>
        <v>522317.00139952189</v>
      </c>
      <c r="BZ50" s="384">
        <f t="shared" si="51"/>
        <v>532763.34142751247</v>
      </c>
      <c r="CA50" s="384">
        <f t="shared" si="51"/>
        <v>543418.60825606261</v>
      </c>
      <c r="CB50" s="384">
        <f t="shared" si="51"/>
        <v>554286.98042118386</v>
      </c>
      <c r="CC50" s="384">
        <f t="shared" si="51"/>
        <v>565372.72002960765</v>
      </c>
      <c r="CD50" s="384">
        <f t="shared" si="51"/>
        <v>576680.17443019978</v>
      </c>
      <c r="CE50" s="384">
        <f t="shared" si="51"/>
        <v>588213.77791880385</v>
      </c>
      <c r="CF50" s="384">
        <f t="shared" si="51"/>
        <v>599978.05347717984</v>
      </c>
      <c r="CG50" s="384">
        <f t="shared" si="51"/>
        <v>611977.61454672343</v>
      </c>
      <c r="CH50" s="384">
        <f t="shared" si="51"/>
        <v>624217.16683765803</v>
      </c>
      <c r="CI50" s="384">
        <f t="shared" si="51"/>
        <v>636701.51017441112</v>
      </c>
      <c r="CJ50" s="384">
        <f t="shared" ref="CJ50:CN50" si="52">SUM(CJ47:CJ49)</f>
        <v>649435.54037789954</v>
      </c>
      <c r="CK50" s="384">
        <f t="shared" si="52"/>
        <v>662424.25118545745</v>
      </c>
      <c r="CL50" s="384">
        <f t="shared" si="52"/>
        <v>675672.7362091667</v>
      </c>
      <c r="CM50" s="384">
        <f t="shared" si="52"/>
        <v>689186.19093335012</v>
      </c>
      <c r="CN50" s="384">
        <f t="shared" si="52"/>
        <v>702969.91475201701</v>
      </c>
      <c r="CO50" s="42"/>
      <c r="CP50" s="42"/>
      <c r="CQ50" s="42"/>
      <c r="CR50" s="42"/>
      <c r="CS50" s="42"/>
      <c r="CT50" s="42"/>
      <c r="CU50" s="42"/>
      <c r="CV50" s="42"/>
    </row>
    <row r="51" spans="1:100"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388"/>
      <c r="BL51" s="388"/>
      <c r="BM51" s="388"/>
      <c r="BN51" s="388"/>
      <c r="BO51" s="388"/>
      <c r="BP51" s="388"/>
      <c r="BQ51" s="388"/>
      <c r="BR51" s="388"/>
      <c r="BS51" s="388"/>
      <c r="BT51" s="388"/>
    </row>
    <row r="52" spans="1:100">
      <c r="I52" s="41"/>
      <c r="J52" s="41"/>
      <c r="K52" s="41"/>
      <c r="L52" s="41"/>
      <c r="M52" s="41"/>
      <c r="N52" s="41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8"/>
      <c r="AB52" s="398"/>
      <c r="AC52" s="398"/>
      <c r="AD52" s="398"/>
      <c r="AE52" s="398"/>
      <c r="AF52" s="398"/>
      <c r="AG52" s="398"/>
      <c r="AH52" s="398"/>
      <c r="AI52" s="398"/>
      <c r="AJ52" s="398"/>
      <c r="AK52" s="398"/>
      <c r="AL52" s="398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8"/>
      <c r="BA52" s="398"/>
      <c r="BB52" s="398"/>
      <c r="BC52" s="398"/>
      <c r="BD52" s="398"/>
      <c r="BE52" s="398"/>
      <c r="BF52" s="398"/>
      <c r="BG52" s="398"/>
      <c r="BH52" s="398"/>
      <c r="BI52" s="398"/>
      <c r="BJ52" s="398"/>
      <c r="BK52" s="398"/>
      <c r="BL52" s="398"/>
      <c r="BM52" s="398"/>
      <c r="BN52" s="398"/>
      <c r="BO52" s="398"/>
      <c r="BP52" s="398"/>
      <c r="BQ52" s="398"/>
      <c r="BR52" s="398"/>
      <c r="BS52" s="398"/>
      <c r="BT52" s="398"/>
      <c r="BU52" s="398"/>
      <c r="BV52" s="398"/>
      <c r="BW52" s="398"/>
      <c r="BX52" s="398"/>
      <c r="BY52" s="398"/>
      <c r="BZ52" s="398"/>
      <c r="CA52" s="398"/>
      <c r="CB52" s="398"/>
      <c r="CC52" s="398"/>
      <c r="CD52" s="398"/>
      <c r="CE52" s="398"/>
      <c r="CF52" s="398"/>
      <c r="CG52" s="398"/>
      <c r="CH52" s="398"/>
      <c r="CI52" s="398"/>
      <c r="CJ52" s="398"/>
      <c r="CK52" s="398"/>
      <c r="CL52" s="398"/>
      <c r="CM52" s="398"/>
      <c r="CN52" s="398"/>
    </row>
    <row r="53" spans="1:100" s="2" customFormat="1">
      <c r="A53" s="2" t="s">
        <v>385</v>
      </c>
      <c r="BK53" s="379"/>
      <c r="BL53" s="379"/>
      <c r="BM53" s="379"/>
      <c r="BN53" s="379"/>
      <c r="BO53" s="379"/>
      <c r="BP53" s="379"/>
      <c r="BQ53" s="379"/>
      <c r="BR53" s="379"/>
      <c r="BS53" s="379"/>
      <c r="BT53" s="379"/>
      <c r="BU53" s="379"/>
      <c r="BV53" s="379"/>
      <c r="BW53" s="379"/>
      <c r="BX53" s="379"/>
      <c r="BY53" s="379"/>
      <c r="BZ53" s="379"/>
      <c r="CA53" s="379"/>
      <c r="CB53" s="379"/>
      <c r="CC53" s="379"/>
      <c r="CD53" s="379"/>
      <c r="CE53" s="379"/>
      <c r="CF53" s="379"/>
      <c r="CG53" s="379"/>
      <c r="CH53" s="379"/>
      <c r="CI53" s="379"/>
      <c r="CJ53" s="379"/>
      <c r="CK53" s="379"/>
      <c r="CL53" s="379"/>
      <c r="CM53" s="379"/>
      <c r="CN53" s="379"/>
    </row>
    <row r="54" spans="1:100">
      <c r="A54" t="s">
        <v>313</v>
      </c>
      <c r="I54" s="42">
        <f>I55/KVARTS!L15</f>
        <v>101161.56528280534</v>
      </c>
      <c r="J54" s="42">
        <f>J55/KVARTS!M15</f>
        <v>108457.01391841305</v>
      </c>
      <c r="K54" s="42">
        <f>K55/KVARTS!N15</f>
        <v>107717.2822813549</v>
      </c>
      <c r="L54" s="42">
        <f>L55/KVARTS!O15</f>
        <v>108694.70905777787</v>
      </c>
      <c r="M54" s="42">
        <f>M55/KVARTS!P15</f>
        <v>112080.24674276779</v>
      </c>
      <c r="N54" s="42">
        <f>N55/KVARTS!Q15</f>
        <v>118364.50326259893</v>
      </c>
      <c r="O54" s="42">
        <f>O55/KVARTS!R15</f>
        <v>122784.98924167397</v>
      </c>
      <c r="P54" s="42">
        <f>P55/KVARTS!S15</f>
        <v>120509.44534094984</v>
      </c>
      <c r="Q54" s="42">
        <f>Q55/KVARTS!T15</f>
        <v>117324.4328180403</v>
      </c>
      <c r="R54" s="42">
        <f>R55/KVARTS!U15</f>
        <v>110892.86590730997</v>
      </c>
      <c r="S54" s="42">
        <f>S55/KVARTS!V15</f>
        <v>80160.79378620132</v>
      </c>
      <c r="T54" s="42">
        <f>T55/KVARTS!W15</f>
        <v>88863.923490390167</v>
      </c>
      <c r="U54" s="42">
        <f>U55/KVARTS!X15</f>
        <v>90233.808625400998</v>
      </c>
      <c r="V54" s="42">
        <f>V55/KVARTS!Y15</f>
        <v>77210.647667261481</v>
      </c>
      <c r="W54" s="42">
        <f>W55/KVARTS!Z15</f>
        <v>86553.781960918961</v>
      </c>
      <c r="X54" s="42">
        <f>X55/KVARTS!AA15</f>
        <v>104517.51453485691</v>
      </c>
      <c r="Y54" s="42">
        <f>Y55/KVARTS!AB15</f>
        <v>99860.558147429678</v>
      </c>
      <c r="Z54" s="42">
        <f>Z55/KVARTS!AC15</f>
        <v>95264.594467607778</v>
      </c>
      <c r="AA54" s="42">
        <f>AA55/KVARTS!AD15</f>
        <v>98103.523038539774</v>
      </c>
      <c r="AB54" s="42">
        <f>AB55/KVARTS!AE15</f>
        <v>103415.34605491448</v>
      </c>
      <c r="AC54" s="42">
        <f>AC55/KVARTS!AF15</f>
        <v>104027.95118372542</v>
      </c>
      <c r="AD54" s="42">
        <f>AD55/KVARTS!AG15</f>
        <v>102642.07037417749</v>
      </c>
      <c r="AE54" s="42">
        <f>AE55/KVARTS!AH15</f>
        <v>100850.46785157442</v>
      </c>
      <c r="AF54" s="42">
        <f>AF55/KVARTS!AI15</f>
        <v>93291.780335690346</v>
      </c>
      <c r="AG54" s="42">
        <f>AG55/KVARTS!AJ15</f>
        <v>92673.906590685641</v>
      </c>
      <c r="AH54" s="42">
        <f>AH55/KVARTS!AK15</f>
        <v>93631.228203927836</v>
      </c>
      <c r="AI54" s="42">
        <f>AI55/KVARTS!AL15</f>
        <v>93262.367660878081</v>
      </c>
      <c r="AJ54" s="42">
        <f>AJ55/KVARTS!AM15</f>
        <v>92747.4880848717</v>
      </c>
      <c r="AK54" s="42">
        <f>AK55/KVARTS!AN15</f>
        <v>91806.920495555984</v>
      </c>
      <c r="AL54" s="42">
        <f>AL55/KVARTS!AO15</f>
        <v>88367.092948856662</v>
      </c>
      <c r="AM54" s="42">
        <f>AM55/KVARTS!AP15</f>
        <v>86666.612575307488</v>
      </c>
      <c r="AN54" s="42">
        <f>AN55/KVARTS!AQ15</f>
        <v>85018.958500637265</v>
      </c>
      <c r="AO54" s="42">
        <f>AO55/KVARTS!AR15</f>
        <v>81903.391572286666</v>
      </c>
      <c r="AP54" s="42">
        <f>AP55/KVARTS!AS15</f>
        <v>80707.647886927793</v>
      </c>
      <c r="AQ54" s="42">
        <f>AQ55/KVARTS!AT15</f>
        <v>79919.870365169423</v>
      </c>
      <c r="AR54" s="42">
        <f>AR55/KVARTS!AU15</f>
        <v>79162.044068667834</v>
      </c>
      <c r="AS54" s="42">
        <f>AS55/KVARTS!AV15</f>
        <v>77688.118945763708</v>
      </c>
      <c r="AT54" s="42">
        <f>AT55/KVARTS!AW15</f>
        <v>76511.19845760327</v>
      </c>
      <c r="AU54" s="42">
        <f>AU55/KVARTS!AX15</f>
        <v>76089.406799941906</v>
      </c>
      <c r="AV54" s="42">
        <f>AV55/KVARTS!AY15</f>
        <v>73222.413651893628</v>
      </c>
      <c r="AW54" s="42">
        <f>AW55/KVARTS!AZ15</f>
        <v>73860.287082548719</v>
      </c>
      <c r="AX54" s="42">
        <f>AX55/KVARTS!BA15</f>
        <v>71210.238301224541</v>
      </c>
      <c r="AY54" s="42">
        <f>AY55/KVARTS!BB15</f>
        <v>68522.021812818843</v>
      </c>
      <c r="AZ54" s="42">
        <f>AZ55/KVARTS!BC15</f>
        <v>64950.787505148721</v>
      </c>
      <c r="BA54" s="42">
        <f>BA55/KVARTS!BD15</f>
        <v>62975.862629596428</v>
      </c>
      <c r="BB54" s="42">
        <f>BB55/KVARTS!BE15</f>
        <v>61008.371650724715</v>
      </c>
      <c r="BC54" s="42">
        <f>BC55/KVARTS!BF15</f>
        <v>60552.76265704439</v>
      </c>
      <c r="BD54" s="42">
        <f>BD55/KVARTS!BG15</f>
        <v>60555.462945804284</v>
      </c>
      <c r="BE54" s="42">
        <f>BE55/KVARTS!BH15</f>
        <v>57876.63399217384</v>
      </c>
      <c r="BF54" s="42">
        <f>BF55/KVARTS!BI15</f>
        <v>52785.479920396705</v>
      </c>
      <c r="BG54" s="42">
        <f>BG55/KVARTS!BJ15</f>
        <v>52012.063211980305</v>
      </c>
      <c r="BH54" s="42">
        <f>BH55/KVARTS!BK15</f>
        <v>51400.667663072338</v>
      </c>
      <c r="BI54" s="42">
        <f>BI55/KVARTS!BL15</f>
        <v>49559.965265121413</v>
      </c>
      <c r="BJ54" s="42">
        <f>BJ55/KVARTS!BM15</f>
        <v>48532.876967143318</v>
      </c>
      <c r="BK54" s="384">
        <f t="shared" ref="BK54:CN54" si="53">BJ54*BK34/BJ34*$N$7</f>
        <v>49309.40299861761</v>
      </c>
      <c r="BL54" s="384">
        <f t="shared" si="53"/>
        <v>50098.353446595494</v>
      </c>
      <c r="BM54" s="384">
        <f t="shared" si="53"/>
        <v>50899.927101741021</v>
      </c>
      <c r="BN54" s="384">
        <f t="shared" si="53"/>
        <v>51714.325935368877</v>
      </c>
      <c r="BO54" s="384">
        <f t="shared" si="53"/>
        <v>52541.755150334779</v>
      </c>
      <c r="BP54" s="384">
        <f t="shared" si="53"/>
        <v>53382.423232740133</v>
      </c>
      <c r="BQ54" s="384">
        <f t="shared" si="53"/>
        <v>54236.542004463976</v>
      </c>
      <c r="BR54" s="384">
        <f t="shared" si="53"/>
        <v>55104.326676535398</v>
      </c>
      <c r="BS54" s="384">
        <f t="shared" si="53"/>
        <v>55985.995903359966</v>
      </c>
      <c r="BT54" s="384">
        <f t="shared" si="53"/>
        <v>56881.771837813729</v>
      </c>
      <c r="BU54" s="384">
        <f t="shared" si="53"/>
        <v>57791.880187218747</v>
      </c>
      <c r="BV54" s="384">
        <f t="shared" si="53"/>
        <v>58716.550270214248</v>
      </c>
      <c r="BW54" s="384">
        <f t="shared" si="53"/>
        <v>59656.015074537674</v>
      </c>
      <c r="BX54" s="384">
        <f t="shared" si="53"/>
        <v>60610.511315730277</v>
      </c>
      <c r="BY54" s="384">
        <f t="shared" si="53"/>
        <v>61580.279496781965</v>
      </c>
      <c r="BZ54" s="384">
        <f t="shared" si="53"/>
        <v>62565.563968730479</v>
      </c>
      <c r="CA54" s="384">
        <f t="shared" si="53"/>
        <v>63566.61299223017</v>
      </c>
      <c r="CB54" s="384">
        <f t="shared" si="53"/>
        <v>64583.678800105852</v>
      </c>
      <c r="CC54" s="384">
        <f t="shared" si="53"/>
        <v>65617.017660907542</v>
      </c>
      <c r="CD54" s="384">
        <f t="shared" si="53"/>
        <v>66666.889943482063</v>
      </c>
      <c r="CE54" s="384">
        <f t="shared" si="53"/>
        <v>67733.56018257777</v>
      </c>
      <c r="CF54" s="384">
        <f t="shared" si="53"/>
        <v>68817.297145499018</v>
      </c>
      <c r="CG54" s="384">
        <f t="shared" si="53"/>
        <v>69918.373899826998</v>
      </c>
      <c r="CH54" s="384">
        <f t="shared" si="53"/>
        <v>71037.067882224233</v>
      </c>
      <c r="CI54" s="384">
        <f t="shared" si="53"/>
        <v>72173.660968339827</v>
      </c>
      <c r="CJ54" s="384">
        <f t="shared" si="53"/>
        <v>73328.439543833272</v>
      </c>
      <c r="CK54" s="384">
        <f t="shared" si="53"/>
        <v>74501.694576534603</v>
      </c>
      <c r="CL54" s="384">
        <f t="shared" si="53"/>
        <v>75693.721689759157</v>
      </c>
      <c r="CM54" s="384">
        <f t="shared" si="53"/>
        <v>76904.821236795309</v>
      </c>
      <c r="CN54" s="384">
        <f t="shared" si="53"/>
        <v>78135.298376584033</v>
      </c>
      <c r="CO54" s="42"/>
      <c r="CP54" s="42"/>
      <c r="CQ54" s="42"/>
      <c r="CR54" s="42"/>
      <c r="CS54" s="42"/>
      <c r="CT54" s="42"/>
      <c r="CU54" s="42"/>
      <c r="CV54" s="42"/>
    </row>
    <row r="55" spans="1:100">
      <c r="A55" t="s">
        <v>122</v>
      </c>
      <c r="I55" s="311">
        <v>69756</v>
      </c>
      <c r="J55" s="311">
        <v>80246</v>
      </c>
      <c r="K55" s="311">
        <v>84640</v>
      </c>
      <c r="L55" s="311">
        <v>87287</v>
      </c>
      <c r="M55" s="311">
        <v>93966</v>
      </c>
      <c r="N55" s="311">
        <v>101517</v>
      </c>
      <c r="O55" s="311">
        <v>107941</v>
      </c>
      <c r="P55" s="311">
        <v>110496</v>
      </c>
      <c r="Q55" s="311">
        <v>109512</v>
      </c>
      <c r="R55" s="311">
        <v>101128</v>
      </c>
      <c r="S55" s="311">
        <v>69958.704359511918</v>
      </c>
      <c r="T55" s="311">
        <v>78639.942586238292</v>
      </c>
      <c r="U55" s="311">
        <v>81608.968391717004</v>
      </c>
      <c r="V55" s="311">
        <v>72763.488761157088</v>
      </c>
      <c r="W55" s="311">
        <v>81731.616582548595</v>
      </c>
      <c r="X55" s="311">
        <v>104517.51453485691</v>
      </c>
      <c r="Y55" s="311">
        <v>110246.05619476238</v>
      </c>
      <c r="Z55" s="311">
        <v>111903.1274789423</v>
      </c>
      <c r="AA55" s="311">
        <v>119155.9802849432</v>
      </c>
      <c r="AB55" s="311">
        <v>128119.8440697778</v>
      </c>
      <c r="AC55" s="311">
        <v>132964.12544476852</v>
      </c>
      <c r="AD55" s="311">
        <v>134863.57689574614</v>
      </c>
      <c r="AE55" s="311">
        <v>135112.51683857013</v>
      </c>
      <c r="AF55" s="311">
        <v>127554.46406424147</v>
      </c>
      <c r="AG55" s="311">
        <v>129491.09153190469</v>
      </c>
      <c r="AH55" s="311">
        <v>133767.00715228988</v>
      </c>
      <c r="AI55" s="311">
        <v>136149.427409325</v>
      </c>
      <c r="AJ55" s="311">
        <v>138314.60821007937</v>
      </c>
      <c r="AK55" s="311">
        <v>139839.07234270571</v>
      </c>
      <c r="AL55" s="311">
        <v>137414.16093856891</v>
      </c>
      <c r="AM55" s="311">
        <v>137538.02442140077</v>
      </c>
      <c r="AN55" s="311">
        <v>137766.46900816457</v>
      </c>
      <c r="AO55" s="311">
        <v>135372.29908262013</v>
      </c>
      <c r="AP55" s="311">
        <v>136063.85805316086</v>
      </c>
      <c r="AQ55" s="311">
        <v>137430.47041183588</v>
      </c>
      <c r="AR55" s="311">
        <v>138849.85603102419</v>
      </c>
      <c r="AS55" s="311">
        <v>138989.89020565269</v>
      </c>
      <c r="AT55" s="311">
        <v>139621.97671641741</v>
      </c>
      <c r="AU55" s="311">
        <v>141629.31271144407</v>
      </c>
      <c r="AV55" s="311">
        <v>139018.6803639353</v>
      </c>
      <c r="AW55" s="311">
        <v>143034.32940818978</v>
      </c>
      <c r="AX55" s="311">
        <v>140660.41801936089</v>
      </c>
      <c r="AY55" s="311">
        <v>138057.436555275</v>
      </c>
      <c r="AZ55" s="311">
        <v>133479.39491184585</v>
      </c>
      <c r="BA55" s="311">
        <v>132009.17137343992</v>
      </c>
      <c r="BB55" s="311">
        <v>130442.64162827835</v>
      </c>
      <c r="BC55" s="311">
        <v>132057.86922780186</v>
      </c>
      <c r="BD55" s="311">
        <v>134705.03337821909</v>
      </c>
      <c r="BE55" s="311">
        <v>131320.92473847442</v>
      </c>
      <c r="BF55" s="311">
        <v>122164.58195521464</v>
      </c>
      <c r="BG55" s="311">
        <v>122782.10992629087</v>
      </c>
      <c r="BH55" s="311">
        <v>123765.59740770262</v>
      </c>
      <c r="BI55" s="311">
        <v>121720.11312624323</v>
      </c>
      <c r="BJ55" s="311">
        <v>121581.51822836275</v>
      </c>
      <c r="BK55" s="384">
        <f>BK54*KVARTS!BN15</f>
        <v>125997.3589704169</v>
      </c>
      <c r="BL55" s="384">
        <f>BL54*KVARTS!BO15</f>
        <v>130573.58304822246</v>
      </c>
      <c r="BM55" s="384">
        <f>BM54*KVARTS!BP15</f>
        <v>135316.01558453389</v>
      </c>
      <c r="BN55" s="384">
        <f>BN54*KVARTS!BQ15</f>
        <v>140230.69327056414</v>
      </c>
      <c r="BO55" s="384">
        <f>BO54*KVARTS!BR15</f>
        <v>145323.87205015105</v>
      </c>
      <c r="BP55" s="384">
        <f>BP54*KVARTS!BS15</f>
        <v>150602.03508301251</v>
      </c>
      <c r="BQ55" s="384">
        <f>BQ54*KVARTS!BT15</f>
        <v>156071.90099722752</v>
      </c>
      <c r="BR55" s="384">
        <f>BR54*KVARTS!BU15</f>
        <v>161740.43244144681</v>
      </c>
      <c r="BS55" s="384">
        <f>BS54*KVARTS!BV15</f>
        <v>167614.84494772018</v>
      </c>
      <c r="BT55" s="384">
        <f>BT54*KVARTS!BW15</f>
        <v>173702.61611622138</v>
      </c>
      <c r="BU55" s="384">
        <f>BU54*KVARTS!BX15</f>
        <v>180011.49513356254</v>
      </c>
      <c r="BV55" s="384">
        <f>BV54*KVARTS!BY15</f>
        <v>186549.51263681354</v>
      </c>
      <c r="BW55" s="384">
        <f>BW54*KVARTS!BZ15</f>
        <v>193324.99093578261</v>
      </c>
      <c r="BX55" s="384">
        <f>BX54*KVARTS!CA15</f>
        <v>200346.55460657022</v>
      </c>
      <c r="BY55" s="384">
        <f>BY54*KVARTS!CB15</f>
        <v>207623.14146988088</v>
      </c>
      <c r="BZ55" s="384">
        <f>BZ54*KVARTS!CC15</f>
        <v>215164.01396806698</v>
      </c>
      <c r="CA55" s="384">
        <f>CA54*KVARTS!CD15</f>
        <v>222978.77095538715</v>
      </c>
      <c r="CB55" s="384">
        <f>CB54*KVARTS!CE15</f>
        <v>231077.35991648684</v>
      </c>
      <c r="CC55" s="384">
        <f>CC54*KVARTS!CF15</f>
        <v>239470.08962865363</v>
      </c>
      <c r="CD55" s="384">
        <f>CD54*KVARTS!CG15</f>
        <v>248167.64328396632</v>
      </c>
      <c r="CE55" s="384">
        <f>CE54*KVARTS!CH15</f>
        <v>257181.09208803996</v>
      </c>
      <c r="CF55" s="384">
        <f>CF54*KVARTS!CI15</f>
        <v>266521.90935267758</v>
      </c>
      <c r="CG55" s="384">
        <f>CG54*KVARTS!CJ15</f>
        <v>276201.98510036682</v>
      </c>
      <c r="CH55" s="384">
        <f>CH54*KVARTS!CK15</f>
        <v>286233.64119921217</v>
      </c>
      <c r="CI55" s="384">
        <f>CI54*KVARTS!CL15</f>
        <v>296629.64704756753</v>
      </c>
      <c r="CJ55" s="384">
        <f>CJ54*KVARTS!CM15</f>
        <v>307403.23582833528</v>
      </c>
      <c r="CK55" s="384">
        <f>CK54*KVARTS!CN15</f>
        <v>318568.12135362037</v>
      </c>
      <c r="CL55" s="384">
        <f>CL54*KVARTS!CO15</f>
        <v>330138.5155211839</v>
      </c>
      <c r="CM55" s="384">
        <f>CM54*KVARTS!CP15</f>
        <v>342129.14640491334</v>
      </c>
      <c r="CN55" s="384">
        <f>CN54*KVARTS!CQ15</f>
        <v>354555.27700233978</v>
      </c>
      <c r="CO55" s="42"/>
      <c r="CP55" s="42"/>
      <c r="CQ55" s="42"/>
      <c r="CR55" s="42"/>
      <c r="CS55" s="42"/>
      <c r="CT55" s="42"/>
      <c r="CU55" s="42"/>
      <c r="CV55" s="42"/>
    </row>
    <row r="56" spans="1:100">
      <c r="A56" s="32" t="s">
        <v>454</v>
      </c>
      <c r="B56" s="32"/>
      <c r="C56" s="32"/>
      <c r="D56" s="32"/>
      <c r="E56" s="32"/>
      <c r="F56" s="32"/>
      <c r="G56" s="32"/>
      <c r="H56" s="32"/>
      <c r="I56" s="42">
        <f>KVARTS!L58</f>
        <v>0</v>
      </c>
      <c r="J56" s="42">
        <f>KVARTS!M58</f>
        <v>0</v>
      </c>
      <c r="K56" s="42">
        <f>KVARTS!N58</f>
        <v>0</v>
      </c>
      <c r="L56" s="42">
        <f>KVARTS!O58</f>
        <v>0</v>
      </c>
      <c r="M56" s="42">
        <f>KVARTS!P58</f>
        <v>0</v>
      </c>
      <c r="N56" s="42">
        <f>KVARTS!Q58</f>
        <v>0</v>
      </c>
      <c r="O56" s="42">
        <f>KVARTS!R58</f>
        <v>0</v>
      </c>
      <c r="P56" s="42">
        <f>KVARTS!S58</f>
        <v>0</v>
      </c>
      <c r="Q56" s="42">
        <f>KVARTS!T58</f>
        <v>0</v>
      </c>
      <c r="R56" s="42">
        <f>KVARTS!U58</f>
        <v>0</v>
      </c>
      <c r="S56" s="42">
        <f>KVARTS!V58</f>
        <v>0</v>
      </c>
      <c r="T56" s="42">
        <f>KVARTS!W58</f>
        <v>0</v>
      </c>
      <c r="U56" s="42">
        <f>KVARTS!X58</f>
        <v>0</v>
      </c>
      <c r="V56" s="42">
        <f>KVARTS!Y58</f>
        <v>0</v>
      </c>
      <c r="W56" s="42">
        <f>KVARTS!Z58</f>
        <v>0</v>
      </c>
      <c r="X56" s="42">
        <f>KVARTS!AA58</f>
        <v>0</v>
      </c>
      <c r="Y56" s="42">
        <f>KVARTS!AB58</f>
        <v>0</v>
      </c>
      <c r="Z56" s="42">
        <f>KVARTS!AC58</f>
        <v>0</v>
      </c>
      <c r="AA56" s="42">
        <f>KVARTS!AD58</f>
        <v>0</v>
      </c>
      <c r="AB56" s="42">
        <f>KVARTS!AE58</f>
        <v>0</v>
      </c>
      <c r="AC56" s="42">
        <f>KVARTS!AF58</f>
        <v>0</v>
      </c>
      <c r="AD56" s="42">
        <f>KVARTS!AG58</f>
        <v>0</v>
      </c>
      <c r="AE56" s="42">
        <f>KVARTS!AH58</f>
        <v>0</v>
      </c>
      <c r="AF56" s="42">
        <f>KVARTS!AI58</f>
        <v>0</v>
      </c>
      <c r="AG56" s="42">
        <f>KVARTS!AJ58</f>
        <v>0</v>
      </c>
      <c r="AH56" s="42">
        <f>KVARTS!AK58</f>
        <v>0</v>
      </c>
      <c r="AI56" s="42">
        <f>KVARTS!AL58</f>
        <v>0</v>
      </c>
      <c r="AJ56" s="42">
        <f>KVARTS!AM58</f>
        <v>0</v>
      </c>
      <c r="AK56" s="42">
        <f>KVARTS!AN58</f>
        <v>0</v>
      </c>
      <c r="AL56" s="42">
        <f>KVARTS!AO58</f>
        <v>0</v>
      </c>
      <c r="AM56" s="42">
        <f>KVARTS!AP58</f>
        <v>0</v>
      </c>
      <c r="AN56" s="42">
        <f>KVARTS!AQ58</f>
        <v>0</v>
      </c>
      <c r="AO56" s="42">
        <f>KVARTS!AR58</f>
        <v>0</v>
      </c>
      <c r="AP56" s="42">
        <f>KVARTS!AS58</f>
        <v>0</v>
      </c>
      <c r="AQ56" s="42">
        <f>KVARTS!AT58</f>
        <v>0</v>
      </c>
      <c r="AR56" s="42">
        <f>KVARTS!AU58</f>
        <v>0</v>
      </c>
      <c r="AS56" s="42">
        <f>KVARTS!AV58</f>
        <v>0</v>
      </c>
      <c r="AT56" s="42">
        <f>KVARTS!AW58</f>
        <v>0</v>
      </c>
      <c r="AU56" s="42">
        <f>KVARTS!AX58</f>
        <v>0</v>
      </c>
      <c r="AV56" s="42">
        <f>KVARTS!AY58</f>
        <v>0</v>
      </c>
      <c r="AW56" s="42">
        <f>KVARTS!AZ58</f>
        <v>0</v>
      </c>
      <c r="AX56" s="42">
        <f>KVARTS!BA58</f>
        <v>0</v>
      </c>
      <c r="AY56" s="42">
        <f>KVARTS!BB58</f>
        <v>0</v>
      </c>
      <c r="AZ56" s="42">
        <f>KVARTS!BC58</f>
        <v>0</v>
      </c>
      <c r="BA56" s="42">
        <f>KVARTS!BD58</f>
        <v>0</v>
      </c>
      <c r="BB56" s="42">
        <f>KVARTS!BE58</f>
        <v>0</v>
      </c>
      <c r="BC56" s="42">
        <f>KVARTS!BF58</f>
        <v>0</v>
      </c>
      <c r="BD56" s="42">
        <f>KVARTS!BG58</f>
        <v>0</v>
      </c>
      <c r="BE56" s="42">
        <f>KVARTS!BH58</f>
        <v>0</v>
      </c>
      <c r="BF56" s="42">
        <f>KVARTS!BI58</f>
        <v>0</v>
      </c>
      <c r="BG56" s="42">
        <f>KVARTS!BJ58</f>
        <v>0</v>
      </c>
      <c r="BH56" s="42">
        <f>KVARTS!BK58</f>
        <v>0</v>
      </c>
      <c r="BI56" s="42">
        <f>KVARTS!BL58</f>
        <v>0</v>
      </c>
      <c r="BJ56" s="42">
        <f>KVARTS!BM58</f>
        <v>0</v>
      </c>
      <c r="BK56" s="384">
        <f t="shared" ref="BK56:CN56" si="54">BJ56*(1+$C13)</f>
        <v>0</v>
      </c>
      <c r="BL56" s="384">
        <f t="shared" si="54"/>
        <v>0</v>
      </c>
      <c r="BM56" s="384">
        <f t="shared" si="54"/>
        <v>0</v>
      </c>
      <c r="BN56" s="384">
        <f t="shared" si="54"/>
        <v>0</v>
      </c>
      <c r="BO56" s="384">
        <f t="shared" si="54"/>
        <v>0</v>
      </c>
      <c r="BP56" s="384">
        <f t="shared" si="54"/>
        <v>0</v>
      </c>
      <c r="BQ56" s="384">
        <f t="shared" si="54"/>
        <v>0</v>
      </c>
      <c r="BR56" s="384">
        <f t="shared" si="54"/>
        <v>0</v>
      </c>
      <c r="BS56" s="384">
        <f t="shared" si="54"/>
        <v>0</v>
      </c>
      <c r="BT56" s="384">
        <f t="shared" si="54"/>
        <v>0</v>
      </c>
      <c r="BU56" s="384">
        <f t="shared" si="54"/>
        <v>0</v>
      </c>
      <c r="BV56" s="384">
        <f t="shared" si="54"/>
        <v>0</v>
      </c>
      <c r="BW56" s="384">
        <f t="shared" si="54"/>
        <v>0</v>
      </c>
      <c r="BX56" s="384">
        <f t="shared" si="54"/>
        <v>0</v>
      </c>
      <c r="BY56" s="384">
        <f t="shared" si="54"/>
        <v>0</v>
      </c>
      <c r="BZ56" s="384">
        <f t="shared" si="54"/>
        <v>0</v>
      </c>
      <c r="CA56" s="384">
        <f t="shared" si="54"/>
        <v>0</v>
      </c>
      <c r="CB56" s="384">
        <f t="shared" si="54"/>
        <v>0</v>
      </c>
      <c r="CC56" s="384">
        <f t="shared" si="54"/>
        <v>0</v>
      </c>
      <c r="CD56" s="384">
        <f t="shared" si="54"/>
        <v>0</v>
      </c>
      <c r="CE56" s="384">
        <f t="shared" si="54"/>
        <v>0</v>
      </c>
      <c r="CF56" s="384">
        <f t="shared" si="54"/>
        <v>0</v>
      </c>
      <c r="CG56" s="384">
        <f t="shared" si="54"/>
        <v>0</v>
      </c>
      <c r="CH56" s="384">
        <f t="shared" si="54"/>
        <v>0</v>
      </c>
      <c r="CI56" s="384">
        <f t="shared" si="54"/>
        <v>0</v>
      </c>
      <c r="CJ56" s="384">
        <f t="shared" si="54"/>
        <v>0</v>
      </c>
      <c r="CK56" s="384">
        <f t="shared" si="54"/>
        <v>0</v>
      </c>
      <c r="CL56" s="384">
        <f t="shared" si="54"/>
        <v>0</v>
      </c>
      <c r="CM56" s="384">
        <f t="shared" si="54"/>
        <v>0</v>
      </c>
      <c r="CN56" s="384">
        <f t="shared" si="54"/>
        <v>0</v>
      </c>
      <c r="CO56" s="42"/>
      <c r="CP56" s="42"/>
      <c r="CQ56" s="42"/>
      <c r="CR56" s="42"/>
      <c r="CS56" s="42"/>
      <c r="CT56" s="42"/>
      <c r="CU56" s="42"/>
      <c r="CV56" s="42"/>
    </row>
    <row r="57" spans="1:100">
      <c r="A57" t="s">
        <v>443</v>
      </c>
      <c r="I57" s="42">
        <f>+I58/KVARTS!L15</f>
        <v>165310.60835252271</v>
      </c>
      <c r="J57" s="42">
        <f>+J58/KVARTS!M15</f>
        <v>174253.49373098018</v>
      </c>
      <c r="K57" s="42">
        <f>+K58/KVARTS!N15</f>
        <v>179222.51845745437</v>
      </c>
      <c r="L57" s="42">
        <f>+L58/KVARTS!O15</f>
        <v>164881.92977549916</v>
      </c>
      <c r="M57" s="42">
        <f>+M58/KVARTS!P15</f>
        <v>183738.55879118241</v>
      </c>
      <c r="N57" s="42">
        <f>+N58/KVARTS!Q15</f>
        <v>210468.14642030632</v>
      </c>
      <c r="O57" s="42">
        <f>+O58/KVARTS!R15</f>
        <v>249094.01345362002</v>
      </c>
      <c r="P57" s="42">
        <f>+P58/KVARTS!S15</f>
        <v>241904.47601787411</v>
      </c>
      <c r="Q57" s="42">
        <f>+Q58/KVARTS!T15</f>
        <v>216043.99946708954</v>
      </c>
      <c r="R57" s="42">
        <f>+R58/KVARTS!U15</f>
        <v>180811.98817388658</v>
      </c>
      <c r="S57" s="42">
        <f>+S58/KVARTS!V15</f>
        <v>174352.60242187069</v>
      </c>
      <c r="T57" s="42">
        <f>+T58/KVARTS!W15</f>
        <v>179271.68931722647</v>
      </c>
      <c r="U57" s="42">
        <f>+U58/KVARTS!X15</f>
        <v>205820.0502058939</v>
      </c>
      <c r="V57" s="42">
        <f>+V58/KVARTS!Y15</f>
        <v>191734.61523460192</v>
      </c>
      <c r="W57" s="42">
        <f>+W58/KVARTS!Z15</f>
        <v>196600.43784996957</v>
      </c>
      <c r="X57" s="42">
        <f>+X58/KVARTS!AA15</f>
        <v>187065.92462000001</v>
      </c>
      <c r="Y57" s="42">
        <f>+Y58/KVARTS!AB15</f>
        <v>205379.03985507248</v>
      </c>
      <c r="Z57" s="42">
        <f>+Z58/KVARTS!AC15</f>
        <v>223509.23163887981</v>
      </c>
      <c r="AA57" s="42">
        <f>+AA58/KVARTS!AD15</f>
        <v>241035.48526939406</v>
      </c>
      <c r="AB57" s="42">
        <f>+AB58/KVARTS!AE15</f>
        <v>227798.81863562955</v>
      </c>
      <c r="AC57" s="42">
        <f>+AC58/KVARTS!AF15</f>
        <v>199558.52446436891</v>
      </c>
      <c r="AD57" s="42">
        <f>+AD58/KVARTS!AG15</f>
        <v>181079.23473158843</v>
      </c>
      <c r="AE57" s="42">
        <f>+AE58/KVARTS!AH15</f>
        <v>178136.97279499634</v>
      </c>
      <c r="AF57" s="42">
        <f>+AF58/KVARTS!AI15</f>
        <v>173113.64446973542</v>
      </c>
      <c r="AG57" s="42">
        <f>+AG58/KVARTS!AJ15</f>
        <v>162195.48655216224</v>
      </c>
      <c r="AH57" s="42">
        <f>+AH58/KVARTS!AK15</f>
        <v>154948.39282157298</v>
      </c>
      <c r="AI57" s="42">
        <f>+AI58/KVARTS!AL15</f>
        <v>152516.56593655166</v>
      </c>
      <c r="AJ57" s="42">
        <f>+AJ58/KVARTS!AM15</f>
        <v>144862.02116359238</v>
      </c>
      <c r="AK57" s="42">
        <f>+AK58/KVARTS!AN15</f>
        <v>137457.21654379752</v>
      </c>
      <c r="AL57" s="42">
        <f>+AL58/KVARTS!AO15</f>
        <v>133166.17690105049</v>
      </c>
      <c r="AM57" s="42">
        <f>+AM58/KVARTS!AP15</f>
        <v>131243.88407311059</v>
      </c>
      <c r="AN57" s="42">
        <f>+AN58/KVARTS!AQ15</f>
        <v>130997.08136391459</v>
      </c>
      <c r="AO57" s="42">
        <f>+AO58/KVARTS!AR15</f>
        <v>128497.54984025889</v>
      </c>
      <c r="AP57" s="42">
        <f>+AP58/KVARTS!AS15</f>
        <v>125922.14824313956</v>
      </c>
      <c r="AQ57" s="42">
        <f>+AQ58/KVARTS!AT15</f>
        <v>124574.1396122959</v>
      </c>
      <c r="AR57" s="42">
        <f>+AR58/KVARTS!AU15</f>
        <v>122106.2468881355</v>
      </c>
      <c r="AS57" s="42">
        <f>+AS58/KVARTS!AV15</f>
        <v>119667.38819602375</v>
      </c>
      <c r="AT57" s="42">
        <f>+AT58/KVARTS!AW15</f>
        <v>115945.83914974077</v>
      </c>
      <c r="AU57" s="42">
        <f>+AU58/KVARTS!AX15</f>
        <v>112809.21800855339</v>
      </c>
      <c r="AV57" s="42">
        <f>+AV58/KVARTS!AY15</f>
        <v>109406.76126992542</v>
      </c>
      <c r="AW57" s="42">
        <f>+AW58/KVARTS!AZ15</f>
        <v>106461.88087638968</v>
      </c>
      <c r="AX57" s="42">
        <f>+AX58/KVARTS!BA15</f>
        <v>103556.81858394899</v>
      </c>
      <c r="AY57" s="42">
        <f>+AY58/KVARTS!BB15</f>
        <v>101560.93626652735</v>
      </c>
      <c r="AZ57" s="42">
        <f>+AZ58/KVARTS!BC15</f>
        <v>97861.784902110667</v>
      </c>
      <c r="BA57" s="42">
        <f>+BA58/KVARTS!BD15</f>
        <v>93315.76889088974</v>
      </c>
      <c r="BB57" s="42">
        <f>+BB58/KVARTS!BE15</f>
        <v>91330.172916251118</v>
      </c>
      <c r="BC57" s="42">
        <f>+BC58/KVARTS!BF15</f>
        <v>89338.43831769313</v>
      </c>
      <c r="BD57" s="42">
        <f>+BD58/KVARTS!BG15</f>
        <v>87508.464754836677</v>
      </c>
      <c r="BE57" s="42">
        <f>+BE58/KVARTS!BH15</f>
        <v>84988.310772988159</v>
      </c>
      <c r="BF57" s="42">
        <f>+BF58/KVARTS!BI15</f>
        <v>82291.73771697226</v>
      </c>
      <c r="BG57" s="42">
        <f>+BG58/KVARTS!BJ15</f>
        <v>79363.33206276453</v>
      </c>
      <c r="BH57" s="42">
        <f>+BH58/KVARTS!BK15</f>
        <v>77485.385983525513</v>
      </c>
      <c r="BI57" s="42">
        <f>+BI58/KVARTS!BL15</f>
        <v>74622.630423499344</v>
      </c>
      <c r="BJ57" s="42">
        <f>+BJ58/KVARTS!BM15</f>
        <v>72290.782878082697</v>
      </c>
      <c r="BK57" s="384">
        <f t="shared" ref="BK57:CN57" si="55">+BJ57*(BK34/BJ34)*$N$10</f>
        <v>72652.236792473108</v>
      </c>
      <c r="BL57" s="384">
        <f t="shared" si="55"/>
        <v>73015.497976435465</v>
      </c>
      <c r="BM57" s="384">
        <f t="shared" si="55"/>
        <v>73380.575466317634</v>
      </c>
      <c r="BN57" s="384">
        <f t="shared" si="55"/>
        <v>73747.478343649214</v>
      </c>
      <c r="BO57" s="384">
        <f t="shared" si="55"/>
        <v>74116.215735367456</v>
      </c>
      <c r="BP57" s="384">
        <f t="shared" si="55"/>
        <v>74486.796814044283</v>
      </c>
      <c r="BQ57" s="384">
        <f t="shared" si="55"/>
        <v>74859.230798114499</v>
      </c>
      <c r="BR57" s="384">
        <f t="shared" si="55"/>
        <v>75233.526952105065</v>
      </c>
      <c r="BS57" s="384">
        <f t="shared" si="55"/>
        <v>75609.694586865589</v>
      </c>
      <c r="BT57" s="384">
        <f t="shared" si="55"/>
        <v>75987.743059799905</v>
      </c>
      <c r="BU57" s="384">
        <f t="shared" si="55"/>
        <v>76367.681775098899</v>
      </c>
      <c r="BV57" s="384">
        <f t="shared" si="55"/>
        <v>76749.520183974382</v>
      </c>
      <c r="BW57" s="384">
        <f t="shared" si="55"/>
        <v>77133.26778489424</v>
      </c>
      <c r="BX57" s="384">
        <f t="shared" si="55"/>
        <v>77518.934123818704</v>
      </c>
      <c r="BY57" s="384">
        <f t="shared" si="55"/>
        <v>77906.528794437792</v>
      </c>
      <c r="BZ57" s="384">
        <f t="shared" si="55"/>
        <v>78296.061438409975</v>
      </c>
      <c r="CA57" s="384">
        <f t="shared" si="55"/>
        <v>78687.541745602022</v>
      </c>
      <c r="CB57" s="384">
        <f t="shared" si="55"/>
        <v>79080.979454330023</v>
      </c>
      <c r="CC57" s="384">
        <f t="shared" si="55"/>
        <v>79476.384351601664</v>
      </c>
      <c r="CD57" s="384">
        <f t="shared" si="55"/>
        <v>79873.766273359666</v>
      </c>
      <c r="CE57" s="384">
        <f t="shared" si="55"/>
        <v>80273.135104726462</v>
      </c>
      <c r="CF57" s="384">
        <f t="shared" si="55"/>
        <v>80674.500780250091</v>
      </c>
      <c r="CG57" s="384">
        <f t="shared" si="55"/>
        <v>81077.873284151327</v>
      </c>
      <c r="CH57" s="384">
        <f t="shared" si="55"/>
        <v>81483.262650572069</v>
      </c>
      <c r="CI57" s="384">
        <f t="shared" si="55"/>
        <v>81890.678963824917</v>
      </c>
      <c r="CJ57" s="384">
        <f t="shared" si="55"/>
        <v>82300.132358644027</v>
      </c>
      <c r="CK57" s="384">
        <f t="shared" si="55"/>
        <v>82711.633020437235</v>
      </c>
      <c r="CL57" s="384">
        <f t="shared" si="55"/>
        <v>83125.191185539414</v>
      </c>
      <c r="CM57" s="384">
        <f t="shared" si="55"/>
        <v>83540.817141467109</v>
      </c>
      <c r="CN57" s="384">
        <f t="shared" si="55"/>
        <v>83958.521227174439</v>
      </c>
      <c r="CO57" s="42"/>
      <c r="CP57" s="42"/>
      <c r="CQ57" s="42"/>
      <c r="CR57" s="42"/>
      <c r="CS57" s="42"/>
      <c r="CT57" s="42"/>
      <c r="CU57" s="42"/>
      <c r="CV57" s="42"/>
    </row>
    <row r="58" spans="1:100">
      <c r="A58" t="s">
        <v>154</v>
      </c>
      <c r="I58" s="311">
        <v>113989.99970000063</v>
      </c>
      <c r="J58" s="311">
        <v>128927.99970000167</v>
      </c>
      <c r="K58" s="311">
        <v>140825.99970000033</v>
      </c>
      <c r="L58" s="311">
        <v>132407.99970000144</v>
      </c>
      <c r="M58" s="311">
        <v>154042.99970000127</v>
      </c>
      <c r="N58" s="311">
        <v>180510.99976103683</v>
      </c>
      <c r="O58" s="311">
        <v>218979.99969096738</v>
      </c>
      <c r="P58" s="311">
        <v>221803.9997316972</v>
      </c>
      <c r="Q58" s="311">
        <v>201657.99996948242</v>
      </c>
      <c r="R58" s="311">
        <v>164890.27125813926</v>
      </c>
      <c r="S58" s="311">
        <v>152162.69189742999</v>
      </c>
      <c r="T58" s="311">
        <v>158646.105207916</v>
      </c>
      <c r="U58" s="311">
        <v>186147.10192900003</v>
      </c>
      <c r="V58" s="311">
        <v>180691.13447759999</v>
      </c>
      <c r="W58" s="311">
        <v>185647.25009439999</v>
      </c>
      <c r="X58" s="311">
        <v>187065.92462000001</v>
      </c>
      <c r="Y58" s="311">
        <v>226738.46000000002</v>
      </c>
      <c r="Z58" s="311">
        <v>262546.46000000002</v>
      </c>
      <c r="AA58" s="311">
        <v>292760.32747008197</v>
      </c>
      <c r="AB58" s="311">
        <v>282216.81052422005</v>
      </c>
      <c r="AC58" s="311">
        <v>255067.26200529429</v>
      </c>
      <c r="AD58" s="311">
        <v>237923.81825912808</v>
      </c>
      <c r="AE58" s="311">
        <v>238655.65771849922</v>
      </c>
      <c r="AF58" s="311">
        <v>236692.00076458527</v>
      </c>
      <c r="AG58" s="311">
        <v>226631.97622553646</v>
      </c>
      <c r="AH58" s="311">
        <v>221368.26749357622</v>
      </c>
      <c r="AI58" s="311">
        <v>222651.89747491945</v>
      </c>
      <c r="AJ58" s="311">
        <v>216033.16828836815</v>
      </c>
      <c r="AK58" s="311">
        <v>209372.99219425971</v>
      </c>
      <c r="AL58" s="311">
        <v>207078.42539128871</v>
      </c>
      <c r="AM58" s="311">
        <v>208281.1822963756</v>
      </c>
      <c r="AN58" s="311">
        <v>212270.36496508573</v>
      </c>
      <c r="AO58" s="311">
        <v>212384.47412775143</v>
      </c>
      <c r="AP58" s="311">
        <v>212290.33124974419</v>
      </c>
      <c r="AQ58" s="311">
        <v>214218.09782525475</v>
      </c>
      <c r="AR58" s="311">
        <v>214173.78745550659</v>
      </c>
      <c r="AS58" s="311">
        <v>214093.96149975291</v>
      </c>
      <c r="AT58" s="311">
        <v>211584.54684383326</v>
      </c>
      <c r="AU58" s="311">
        <v>209977.87584380372</v>
      </c>
      <c r="AV58" s="311">
        <v>207717.59378139261</v>
      </c>
      <c r="AW58" s="311">
        <v>206169.0299371568</v>
      </c>
      <c r="AX58" s="311">
        <v>204554.08854491787</v>
      </c>
      <c r="AY58" s="311">
        <v>204623.88797301054</v>
      </c>
      <c r="AZ58" s="311">
        <v>201114.2949220048</v>
      </c>
      <c r="BA58" s="311">
        <v>195607.28210767693</v>
      </c>
      <c r="BB58" s="311">
        <v>195274.00409516945</v>
      </c>
      <c r="BC58" s="311">
        <v>194835.76449177027</v>
      </c>
      <c r="BD58" s="311">
        <v>194661.72153991813</v>
      </c>
      <c r="BE58" s="311">
        <v>192836.77700017637</v>
      </c>
      <c r="BF58" s="311">
        <v>190452.67281310589</v>
      </c>
      <c r="BG58" s="311">
        <v>187348.79486962137</v>
      </c>
      <c r="BH58" s="311">
        <v>186573.9400406116</v>
      </c>
      <c r="BI58" s="311">
        <v>183274.44275507863</v>
      </c>
      <c r="BJ58" s="311">
        <v>181098.33344898379</v>
      </c>
      <c r="BK58" s="384">
        <f>+BK57*KVARTS!BN15</f>
        <v>185643.9016185533</v>
      </c>
      <c r="BL58" s="384">
        <f>+BL57*KVARTS!BO15</f>
        <v>190303.56354917897</v>
      </c>
      <c r="BM58" s="384">
        <f>+BM57*KVARTS!BP15</f>
        <v>195080.18299426333</v>
      </c>
      <c r="BN58" s="384">
        <f>+BN57*KVARTS!BQ15</f>
        <v>199976.69558741932</v>
      </c>
      <c r="BO58" s="384">
        <f>+BO57*KVARTS!BR15</f>
        <v>204996.11064666352</v>
      </c>
      <c r="BP58" s="384">
        <f>+BP57*KVARTS!BS15</f>
        <v>210141.51302389475</v>
      </c>
      <c r="BQ58" s="384">
        <f>+BQ57*KVARTS!BT15</f>
        <v>215416.06500079448</v>
      </c>
      <c r="BR58" s="384">
        <f>+BR57*KVARTS!BU15</f>
        <v>220823.0082323144</v>
      </c>
      <c r="BS58" s="384">
        <f>+BS57*KVARTS!BV15</f>
        <v>226365.66573894548</v>
      </c>
      <c r="BT58" s="384">
        <f>+BT57*KVARTS!BW15</f>
        <v>232047.44394899296</v>
      </c>
      <c r="BU58" s="384">
        <f>+BU57*KVARTS!BX15</f>
        <v>237871.83479211267</v>
      </c>
      <c r="BV58" s="384">
        <f>+BV57*KVARTS!BY15</f>
        <v>243842.41784539467</v>
      </c>
      <c r="BW58" s="384">
        <f>+BW57*KVARTS!BZ15</f>
        <v>249962.86253331404</v>
      </c>
      <c r="BX58" s="384">
        <f>+BX57*KVARTS!CA15</f>
        <v>256236.9303829002</v>
      </c>
      <c r="BY58" s="384">
        <f>+BY57*KVARTS!CB15</f>
        <v>262668.47733551101</v>
      </c>
      <c r="BZ58" s="384">
        <f>+BZ57*KVARTS!CC15</f>
        <v>269261.45611663233</v>
      </c>
      <c r="CA58" s="384">
        <f>+CA57*KVARTS!CD15</f>
        <v>276019.91866515978</v>
      </c>
      <c r="CB58" s="384">
        <f>+CB57*KVARTS!CE15</f>
        <v>282948.01862365525</v>
      </c>
      <c r="CC58" s="384">
        <f>+CC57*KVARTS!CF15</f>
        <v>290050.01389110897</v>
      </c>
      <c r="CD58" s="384">
        <f>+CD57*KVARTS!CG15</f>
        <v>297330.26923977578</v>
      </c>
      <c r="CE58" s="384">
        <f>+CE57*KVARTS!CH15</f>
        <v>304793.25899769412</v>
      </c>
      <c r="CF58" s="384">
        <f>+CF57*KVARTS!CI15</f>
        <v>312443.56979853625</v>
      </c>
      <c r="CG58" s="384">
        <f>+CG57*KVARTS!CJ15</f>
        <v>320285.90340047947</v>
      </c>
      <c r="CH58" s="384">
        <f>+CH57*KVARTS!CK15</f>
        <v>328325.07957583142</v>
      </c>
      <c r="CI58" s="384">
        <f>+CI57*KVARTS!CL15</f>
        <v>336566.03907318471</v>
      </c>
      <c r="CJ58" s="384">
        <f>+CJ57*KVARTS!CM15</f>
        <v>345013.84665392165</v>
      </c>
      <c r="CK58" s="384">
        <f>+CK57*KVARTS!CN15</f>
        <v>353673.69420493499</v>
      </c>
      <c r="CL58" s="384">
        <f>+CL57*KVARTS!CO15</f>
        <v>362550.9039294789</v>
      </c>
      <c r="CM58" s="384">
        <f>+CM57*KVARTS!CP15</f>
        <v>371650.93161810882</v>
      </c>
      <c r="CN58" s="384">
        <f>+CN57*KVARTS!CQ15</f>
        <v>380979.37000172329</v>
      </c>
      <c r="CO58" s="42"/>
      <c r="CP58" s="42"/>
      <c r="CQ58" s="42"/>
      <c r="CR58" s="42"/>
      <c r="CS58" s="42"/>
      <c r="CT58" s="42"/>
      <c r="CU58" s="42"/>
      <c r="CV58" s="42"/>
    </row>
    <row r="59" spans="1:100" s="2" customFormat="1">
      <c r="A59" s="2" t="s">
        <v>124</v>
      </c>
      <c r="I59" s="44">
        <f>SUM(I55:I58)-I57</f>
        <v>183745.99970000063</v>
      </c>
      <c r="J59" s="44">
        <f t="shared" ref="J59:BU59" si="56">SUM(J55:J58)-J57</f>
        <v>209173.9997000017</v>
      </c>
      <c r="K59" s="44">
        <f t="shared" si="56"/>
        <v>225465.99970000036</v>
      </c>
      <c r="L59" s="44">
        <f t="shared" si="56"/>
        <v>219694.99970000144</v>
      </c>
      <c r="M59" s="44">
        <f t="shared" si="56"/>
        <v>248008.99970000127</v>
      </c>
      <c r="N59" s="44">
        <f t="shared" si="56"/>
        <v>282027.99976103683</v>
      </c>
      <c r="O59" s="44">
        <f t="shared" si="56"/>
        <v>326920.99969096738</v>
      </c>
      <c r="P59" s="44">
        <f t="shared" si="56"/>
        <v>332299.99973169726</v>
      </c>
      <c r="Q59" s="44">
        <f t="shared" si="56"/>
        <v>311169.99996948242</v>
      </c>
      <c r="R59" s="44">
        <f t="shared" si="56"/>
        <v>266018.27125813928</v>
      </c>
      <c r="S59" s="44">
        <f t="shared" si="56"/>
        <v>222121.39625694189</v>
      </c>
      <c r="T59" s="44">
        <f t="shared" si="56"/>
        <v>237286.04779415432</v>
      </c>
      <c r="U59" s="44">
        <f t="shared" si="56"/>
        <v>267756.07032071694</v>
      </c>
      <c r="V59" s="44">
        <f t="shared" si="56"/>
        <v>253454.62323875711</v>
      </c>
      <c r="W59" s="44">
        <f t="shared" si="56"/>
        <v>267378.86667694862</v>
      </c>
      <c r="X59" s="44">
        <f t="shared" si="56"/>
        <v>291583.4391548569</v>
      </c>
      <c r="Y59" s="44">
        <f t="shared" si="56"/>
        <v>336984.51619476243</v>
      </c>
      <c r="Z59" s="44">
        <f t="shared" si="56"/>
        <v>374449.58747894241</v>
      </c>
      <c r="AA59" s="44">
        <f t="shared" si="56"/>
        <v>411916.30775502516</v>
      </c>
      <c r="AB59" s="44">
        <f t="shared" si="56"/>
        <v>410336.65459399781</v>
      </c>
      <c r="AC59" s="44">
        <f t="shared" si="56"/>
        <v>388031.38745006279</v>
      </c>
      <c r="AD59" s="44">
        <f t="shared" si="56"/>
        <v>372787.39515487419</v>
      </c>
      <c r="AE59" s="44">
        <f t="shared" si="56"/>
        <v>373768.17455706932</v>
      </c>
      <c r="AF59" s="44">
        <f t="shared" si="56"/>
        <v>364246.46482882672</v>
      </c>
      <c r="AG59" s="44">
        <f t="shared" si="56"/>
        <v>356123.0677574412</v>
      </c>
      <c r="AH59" s="44">
        <f t="shared" si="56"/>
        <v>355135.27464586613</v>
      </c>
      <c r="AI59" s="44">
        <f t="shared" si="56"/>
        <v>358801.32488424447</v>
      </c>
      <c r="AJ59" s="44">
        <f t="shared" si="56"/>
        <v>354347.77649844752</v>
      </c>
      <c r="AK59" s="44">
        <f t="shared" si="56"/>
        <v>349212.06453696539</v>
      </c>
      <c r="AL59" s="44">
        <f t="shared" si="56"/>
        <v>344492.58632985759</v>
      </c>
      <c r="AM59" s="44">
        <f t="shared" si="56"/>
        <v>345819.20671777643</v>
      </c>
      <c r="AN59" s="44">
        <f t="shared" si="56"/>
        <v>350036.83397325029</v>
      </c>
      <c r="AO59" s="44">
        <f t="shared" si="56"/>
        <v>347756.77321037155</v>
      </c>
      <c r="AP59" s="44">
        <f t="shared" si="56"/>
        <v>348354.18930290506</v>
      </c>
      <c r="AQ59" s="44">
        <f t="shared" si="56"/>
        <v>351648.5682370906</v>
      </c>
      <c r="AR59" s="44">
        <f t="shared" si="56"/>
        <v>353023.64348653081</v>
      </c>
      <c r="AS59" s="44">
        <f t="shared" si="56"/>
        <v>353083.85170540563</v>
      </c>
      <c r="AT59" s="44">
        <f t="shared" si="56"/>
        <v>351206.52356025064</v>
      </c>
      <c r="AU59" s="44">
        <f t="shared" si="56"/>
        <v>351607.18855524785</v>
      </c>
      <c r="AV59" s="44">
        <f t="shared" si="56"/>
        <v>346736.27414532797</v>
      </c>
      <c r="AW59" s="44">
        <f t="shared" si="56"/>
        <v>349203.35934534657</v>
      </c>
      <c r="AX59" s="44">
        <f t="shared" si="56"/>
        <v>345214.50656427874</v>
      </c>
      <c r="AY59" s="44">
        <f t="shared" si="56"/>
        <v>342681.32452828554</v>
      </c>
      <c r="AZ59" s="44">
        <f t="shared" si="56"/>
        <v>334593.6898338506</v>
      </c>
      <c r="BA59" s="44">
        <f t="shared" ref="BA59:BJ59" si="57">SUM(BA55:BA58)-BA57</f>
        <v>327616.45348111691</v>
      </c>
      <c r="BB59" s="44">
        <f t="shared" si="57"/>
        <v>325716.64572344779</v>
      </c>
      <c r="BC59" s="44">
        <f t="shared" si="57"/>
        <v>326893.63371957216</v>
      </c>
      <c r="BD59" s="44">
        <f t="shared" si="57"/>
        <v>329366.75491813716</v>
      </c>
      <c r="BE59" s="44">
        <f t="shared" si="57"/>
        <v>324157.70173865079</v>
      </c>
      <c r="BF59" s="44">
        <f t="shared" si="57"/>
        <v>312617.25476832059</v>
      </c>
      <c r="BG59" s="44">
        <f t="shared" si="57"/>
        <v>310130.90479591221</v>
      </c>
      <c r="BH59" s="44">
        <f t="shared" si="57"/>
        <v>310339.53744831425</v>
      </c>
      <c r="BI59" s="44">
        <f t="shared" si="57"/>
        <v>304994.55588132184</v>
      </c>
      <c r="BJ59" s="44">
        <f t="shared" si="57"/>
        <v>302679.85167734651</v>
      </c>
      <c r="BK59" s="384">
        <f t="shared" si="56"/>
        <v>311641.26058897015</v>
      </c>
      <c r="BL59" s="384">
        <f t="shared" si="56"/>
        <v>320877.14659740147</v>
      </c>
      <c r="BM59" s="384">
        <f t="shared" si="56"/>
        <v>330396.19857879722</v>
      </c>
      <c r="BN59" s="384">
        <f t="shared" si="56"/>
        <v>340207.38885798352</v>
      </c>
      <c r="BO59" s="384">
        <f t="shared" si="56"/>
        <v>350319.98269681458</v>
      </c>
      <c r="BP59" s="384">
        <f t="shared" si="56"/>
        <v>360743.54810690723</v>
      </c>
      <c r="BQ59" s="384">
        <f t="shared" si="56"/>
        <v>371487.965998022</v>
      </c>
      <c r="BR59" s="384">
        <f t="shared" si="56"/>
        <v>382563.44067376124</v>
      </c>
      <c r="BS59" s="384">
        <f t="shared" si="56"/>
        <v>393980.51068666566</v>
      </c>
      <c r="BT59" s="384">
        <f t="shared" si="56"/>
        <v>405750.06006521441</v>
      </c>
      <c r="BU59" s="384">
        <f t="shared" si="56"/>
        <v>417883.32992567518</v>
      </c>
      <c r="BV59" s="384">
        <f t="shared" ref="BV59:CI59" si="58">SUM(BV55:BV58)-BV57</f>
        <v>430391.93048220815</v>
      </c>
      <c r="BW59" s="384">
        <f t="shared" si="58"/>
        <v>443287.85346909671</v>
      </c>
      <c r="BX59" s="384">
        <f t="shared" si="58"/>
        <v>456583.48498947039</v>
      </c>
      <c r="BY59" s="384">
        <f t="shared" si="58"/>
        <v>470291.61880539195</v>
      </c>
      <c r="BZ59" s="384">
        <f t="shared" si="58"/>
        <v>484425.47008469934</v>
      </c>
      <c r="CA59" s="384">
        <f t="shared" si="58"/>
        <v>498998.68962054688</v>
      </c>
      <c r="CB59" s="384">
        <f t="shared" si="58"/>
        <v>514025.37854014209</v>
      </c>
      <c r="CC59" s="384">
        <f t="shared" si="58"/>
        <v>529520.10351976252</v>
      </c>
      <c r="CD59" s="384">
        <f t="shared" si="58"/>
        <v>545497.91252374218</v>
      </c>
      <c r="CE59" s="384">
        <f t="shared" si="58"/>
        <v>561974.3510857342</v>
      </c>
      <c r="CF59" s="384">
        <f t="shared" si="58"/>
        <v>578965.47915121389</v>
      </c>
      <c r="CG59" s="384">
        <f t="shared" si="58"/>
        <v>596487.88850084622</v>
      </c>
      <c r="CH59" s="384">
        <f t="shared" si="58"/>
        <v>614558.72077504348</v>
      </c>
      <c r="CI59" s="384">
        <f t="shared" si="58"/>
        <v>633195.68612075225</v>
      </c>
      <c r="CJ59" s="384">
        <f t="shared" ref="CJ59:CN59" si="59">SUM(CJ55:CJ58)-CJ57</f>
        <v>652417.08248225693</v>
      </c>
      <c r="CK59" s="384">
        <f t="shared" si="59"/>
        <v>672241.81555855542</v>
      </c>
      <c r="CL59" s="384">
        <f t="shared" si="59"/>
        <v>692689.4194506628</v>
      </c>
      <c r="CM59" s="384">
        <f t="shared" si="59"/>
        <v>713780.07802302216</v>
      </c>
      <c r="CN59" s="384">
        <f t="shared" si="59"/>
        <v>735534.64700406301</v>
      </c>
      <c r="CO59" s="42"/>
      <c r="CP59" s="42"/>
      <c r="CQ59" s="42"/>
      <c r="CR59" s="42"/>
      <c r="CS59" s="42"/>
      <c r="CT59" s="42"/>
      <c r="CU59" s="42"/>
      <c r="CV59" s="42"/>
    </row>
    <row r="60" spans="1:100">
      <c r="A60" s="21"/>
      <c r="B60" s="21"/>
      <c r="C60" s="21"/>
      <c r="D60" s="21"/>
      <c r="E60" s="21"/>
      <c r="F60" s="21"/>
      <c r="G60" s="21"/>
      <c r="H60" s="21"/>
      <c r="I60" s="40"/>
      <c r="J60" s="40"/>
      <c r="K60" s="40"/>
      <c r="L60" s="40"/>
      <c r="M60" s="40"/>
      <c r="N60" s="47">
        <f>+N58/N50</f>
        <v>0.26570810922552995</v>
      </c>
      <c r="O60" s="47">
        <f t="shared" ref="O60:BZ60" si="60">+O58/O50</f>
        <v>0.33700329670903201</v>
      </c>
      <c r="P60" s="47">
        <f t="shared" si="60"/>
        <v>0.35993993018800402</v>
      </c>
      <c r="Q60" s="47">
        <f t="shared" si="60"/>
        <v>0.40099622012567909</v>
      </c>
      <c r="R60" s="47">
        <f t="shared" si="60"/>
        <v>0.3952873989790614</v>
      </c>
      <c r="S60" s="47">
        <f t="shared" si="60"/>
        <v>0.30040122838734779</v>
      </c>
      <c r="T60" s="47">
        <f t="shared" si="60"/>
        <v>0.25272902729961882</v>
      </c>
      <c r="U60" s="47">
        <f t="shared" si="60"/>
        <v>0.36270370307009048</v>
      </c>
      <c r="V60" s="47">
        <f t="shared" si="60"/>
        <v>0.44602023792820944</v>
      </c>
      <c r="W60" s="47">
        <f t="shared" si="60"/>
        <v>0.19611726476207175</v>
      </c>
      <c r="X60" s="47">
        <f t="shared" si="60"/>
        <v>8.8434629128564243E-2</v>
      </c>
      <c r="Y60" s="47">
        <f t="shared" si="60"/>
        <v>0.18169516532298358</v>
      </c>
      <c r="Z60" s="47">
        <f t="shared" si="60"/>
        <v>0.22835814674390434</v>
      </c>
      <c r="AA60" s="47">
        <f t="shared" si="60"/>
        <v>0.25891633357348348</v>
      </c>
      <c r="AB60" s="47">
        <f t="shared" si="60"/>
        <v>0.29793944610036177</v>
      </c>
      <c r="AC60" s="47">
        <f t="shared" si="60"/>
        <v>0.30377934784809418</v>
      </c>
      <c r="AD60" s="47">
        <f t="shared" si="60"/>
        <v>0.29867581687212519</v>
      </c>
      <c r="AE60" s="47">
        <f t="shared" si="60"/>
        <v>0.31728550768272179</v>
      </c>
      <c r="AF60" s="47">
        <f t="shared" si="60"/>
        <v>0.36830995996403704</v>
      </c>
      <c r="AG60" s="47">
        <f t="shared" si="60"/>
        <v>0.35725839811378585</v>
      </c>
      <c r="AH60" s="47">
        <f t="shared" si="60"/>
        <v>0.35285492431487048</v>
      </c>
      <c r="AI60" s="47">
        <f t="shared" si="60"/>
        <v>0.35707052263304029</v>
      </c>
      <c r="AJ60" s="47">
        <f t="shared" si="60"/>
        <v>0.34209413292615132</v>
      </c>
      <c r="AK60" s="47">
        <f t="shared" si="60"/>
        <v>0.32845299159300584</v>
      </c>
      <c r="AL60" s="47">
        <f t="shared" si="60"/>
        <v>0.32777692564927408</v>
      </c>
      <c r="AM60" s="47">
        <f t="shared" si="60"/>
        <v>0.33606843397462749</v>
      </c>
      <c r="AN60" s="47">
        <f t="shared" si="60"/>
        <v>0.35569189604278406</v>
      </c>
      <c r="AO60" s="47">
        <f t="shared" si="60"/>
        <v>0.36927998349822111</v>
      </c>
      <c r="AP60" s="47">
        <f t="shared" si="60"/>
        <v>0.37981896901151063</v>
      </c>
      <c r="AQ60" s="47">
        <f t="shared" si="60"/>
        <v>0.39094824577811793</v>
      </c>
      <c r="AR60" s="47">
        <f t="shared" si="60"/>
        <v>0.39802453346561345</v>
      </c>
      <c r="AS60" s="47">
        <f t="shared" si="60"/>
        <v>0.40526463556353048</v>
      </c>
      <c r="AT60" s="47">
        <f t="shared" si="60"/>
        <v>0.4076525477991032</v>
      </c>
      <c r="AU60" s="47">
        <f t="shared" si="60"/>
        <v>0.41300111528901307</v>
      </c>
      <c r="AV60" s="47">
        <f t="shared" si="60"/>
        <v>0.41535920326433573</v>
      </c>
      <c r="AW60" s="47">
        <f t="shared" si="60"/>
        <v>0.41973729549131639</v>
      </c>
      <c r="AX60" s="47">
        <f t="shared" si="60"/>
        <v>0.42240774596436703</v>
      </c>
      <c r="AY60" s="47">
        <f t="shared" si="60"/>
        <v>0.43076406680227647</v>
      </c>
      <c r="AZ60" s="47">
        <f t="shared" si="60"/>
        <v>0.43190438358258504</v>
      </c>
      <c r="BA60" s="47">
        <f t="shared" ref="BA60:BJ60" si="61">+BA58/BA50</f>
        <v>0.42646844548692214</v>
      </c>
      <c r="BB60" s="47">
        <f t="shared" si="61"/>
        <v>0.43521663961906604</v>
      </c>
      <c r="BC60" s="47">
        <f t="shared" si="61"/>
        <v>0.44182039221449398</v>
      </c>
      <c r="BD60" s="47">
        <f t="shared" si="61"/>
        <v>0.44932394950851506</v>
      </c>
      <c r="BE60" s="47">
        <f t="shared" si="61"/>
        <v>0.45236075026844863</v>
      </c>
      <c r="BF60" s="47">
        <f t="shared" si="61"/>
        <v>0.45398269748680992</v>
      </c>
      <c r="BG60" s="47">
        <f t="shared" si="61"/>
        <v>0.45351879444423976</v>
      </c>
      <c r="BH60" s="47">
        <f t="shared" si="61"/>
        <v>0.4612007237250309</v>
      </c>
      <c r="BI60" s="47">
        <f t="shared" si="61"/>
        <v>0.46215717468900208</v>
      </c>
      <c r="BJ60" s="47">
        <f t="shared" si="61"/>
        <v>0.46664097178376102</v>
      </c>
      <c r="BK60" s="47">
        <f t="shared" si="60"/>
        <v>0.46897417664267982</v>
      </c>
      <c r="BL60" s="47">
        <f t="shared" si="60"/>
        <v>0.47131904752589321</v>
      </c>
      <c r="BM60" s="47">
        <f t="shared" si="60"/>
        <v>0.4736756427635227</v>
      </c>
      <c r="BN60" s="47">
        <f t="shared" si="60"/>
        <v>0.47604402097734017</v>
      </c>
      <c r="BO60" s="47">
        <f t="shared" si="60"/>
        <v>0.47842424108222681</v>
      </c>
      <c r="BP60" s="47">
        <f t="shared" si="60"/>
        <v>0.48081636228763791</v>
      </c>
      <c r="BQ60" s="47">
        <f t="shared" si="60"/>
        <v>0.483220444099076</v>
      </c>
      <c r="BR60" s="47">
        <f t="shared" si="60"/>
        <v>0.48563654631957132</v>
      </c>
      <c r="BS60" s="47">
        <f t="shared" si="60"/>
        <v>0.48806472905116915</v>
      </c>
      <c r="BT60" s="47">
        <f t="shared" si="60"/>
        <v>0.49050505269642486</v>
      </c>
      <c r="BU60" s="47">
        <f t="shared" si="60"/>
        <v>0.49295757795990702</v>
      </c>
      <c r="BV60" s="47">
        <f t="shared" si="60"/>
        <v>0.49542236584970645</v>
      </c>
      <c r="BW60" s="47">
        <f t="shared" si="60"/>
        <v>0.49789947767895493</v>
      </c>
      <c r="BX60" s="47">
        <f t="shared" si="60"/>
        <v>0.5003889750673497</v>
      </c>
      <c r="BY60" s="47">
        <f t="shared" si="60"/>
        <v>0.50289091994268642</v>
      </c>
      <c r="BZ60" s="47">
        <f t="shared" si="60"/>
        <v>0.50540537454239975</v>
      </c>
      <c r="CA60" s="47">
        <f t="shared" ref="CA60:CI60" si="62">+CA58/CA50</f>
        <v>0.50793240141511176</v>
      </c>
      <c r="CB60" s="47">
        <f t="shared" si="62"/>
        <v>0.51047206342218732</v>
      </c>
      <c r="CC60" s="47">
        <f t="shared" si="62"/>
        <v>0.51302442373929813</v>
      </c>
      <c r="CD60" s="47">
        <f t="shared" si="62"/>
        <v>0.51558954585799455</v>
      </c>
      <c r="CE60" s="47">
        <f t="shared" si="62"/>
        <v>0.51816749358728442</v>
      </c>
      <c r="CF60" s="47">
        <f t="shared" si="62"/>
        <v>0.52075833105522085</v>
      </c>
      <c r="CG60" s="47">
        <f t="shared" si="62"/>
        <v>0.52336212271049698</v>
      </c>
      <c r="CH60" s="47">
        <f t="shared" si="62"/>
        <v>0.52597893332404921</v>
      </c>
      <c r="CI60" s="47">
        <f t="shared" si="62"/>
        <v>0.52860882799066933</v>
      </c>
      <c r="CJ60" s="47">
        <f t="shared" ref="CJ60:CN60" si="63">+CJ58/CJ50</f>
        <v>0.53125187213062253</v>
      </c>
      <c r="CK60" s="47">
        <f t="shared" si="63"/>
        <v>0.53390813149127558</v>
      </c>
      <c r="CL60" s="47">
        <f t="shared" si="63"/>
        <v>0.53657767214873198</v>
      </c>
      <c r="CM60" s="47">
        <f t="shared" si="63"/>
        <v>0.53926056050947557</v>
      </c>
      <c r="CN60" s="47">
        <f t="shared" si="63"/>
        <v>0.54195686331202297</v>
      </c>
    </row>
    <row r="61" spans="1:100">
      <c r="A61" s="21"/>
      <c r="B61" s="21"/>
      <c r="C61" s="21"/>
      <c r="D61" s="21"/>
      <c r="E61" s="21"/>
      <c r="F61" s="21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379"/>
      <c r="BL61" s="379"/>
      <c r="BM61" s="379"/>
      <c r="BN61" s="379"/>
      <c r="BO61" s="379"/>
      <c r="BP61" s="379"/>
      <c r="BQ61" s="379"/>
      <c r="BR61" s="379"/>
      <c r="BS61" s="379"/>
      <c r="BT61" s="379"/>
    </row>
    <row r="62" spans="1:100" s="2" customFormat="1">
      <c r="A62" s="2" t="s">
        <v>125</v>
      </c>
      <c r="I62" s="44">
        <f>I50-I59</f>
        <v>335556.38643320184</v>
      </c>
      <c r="J62" s="44">
        <f t="shared" ref="J62:Z62" si="64">J50-J59</f>
        <v>493175.61971133831</v>
      </c>
      <c r="K62" s="44">
        <f>K50-K59</f>
        <v>268092.61835351749</v>
      </c>
      <c r="L62" s="44">
        <f>L50-L59</f>
        <v>311502.39104848378</v>
      </c>
      <c r="M62" s="44">
        <f>M50-M59</f>
        <v>392288.47727719875</v>
      </c>
      <c r="N62" s="44">
        <f t="shared" si="64"/>
        <v>397330.26403896324</v>
      </c>
      <c r="O62" s="44">
        <f t="shared" si="64"/>
        <v>322864.92771506123</v>
      </c>
      <c r="P62" s="44">
        <f t="shared" si="64"/>
        <v>283925.04541915446</v>
      </c>
      <c r="Q62" s="44">
        <f t="shared" si="64"/>
        <v>191722.52082854242</v>
      </c>
      <c r="R62" s="44">
        <f t="shared" si="64"/>
        <v>151121.9454146254</v>
      </c>
      <c r="S62" s="44">
        <f t="shared" si="64"/>
        <v>284410.12731334829</v>
      </c>
      <c r="T62" s="44">
        <f t="shared" si="64"/>
        <v>390445.9816566442</v>
      </c>
      <c r="U62" s="44">
        <f t="shared" si="64"/>
        <v>245464.77731156687</v>
      </c>
      <c r="V62" s="44">
        <f t="shared" si="64"/>
        <v>151664.0667043743</v>
      </c>
      <c r="W62" s="44">
        <f t="shared" si="64"/>
        <v>679234.63172986475</v>
      </c>
      <c r="X62" s="44">
        <f t="shared" si="64"/>
        <v>1823718.2979966365</v>
      </c>
      <c r="Y62" s="44">
        <f t="shared" si="64"/>
        <v>910921.33532829233</v>
      </c>
      <c r="Z62" s="44">
        <f t="shared" si="64"/>
        <v>775263.98194512841</v>
      </c>
      <c r="AA62" s="44">
        <f t="shared" ref="AA62:AZ62" si="65">AA50-AA59</f>
        <v>718797.7087363028</v>
      </c>
      <c r="AB62" s="44">
        <f t="shared" si="65"/>
        <v>536892.10016831895</v>
      </c>
      <c r="AC62" s="44">
        <f t="shared" si="65"/>
        <v>451615.09876479825</v>
      </c>
      <c r="AD62" s="44">
        <f t="shared" si="65"/>
        <v>423808.1268755974</v>
      </c>
      <c r="AE62" s="44">
        <f t="shared" si="65"/>
        <v>378411.33550473093</v>
      </c>
      <c r="AF62" s="44">
        <f t="shared" si="65"/>
        <v>278397.03247897525</v>
      </c>
      <c r="AG62" s="44">
        <f t="shared" si="65"/>
        <v>278241.23948371364</v>
      </c>
      <c r="AH62" s="44">
        <f t="shared" si="65"/>
        <v>272228.13235037006</v>
      </c>
      <c r="AI62" s="44">
        <f t="shared" si="65"/>
        <v>264750.28008466458</v>
      </c>
      <c r="AJ62" s="44">
        <f t="shared" si="65"/>
        <v>277154.33796489448</v>
      </c>
      <c r="AK62" s="44">
        <f t="shared" si="65"/>
        <v>288239.86177612765</v>
      </c>
      <c r="AL62" s="44">
        <f t="shared" si="65"/>
        <v>287273.74371640547</v>
      </c>
      <c r="AM62" s="44">
        <f t="shared" si="65"/>
        <v>273939.03666458308</v>
      </c>
      <c r="AN62" s="44">
        <f t="shared" si="65"/>
        <v>246744.72705380496</v>
      </c>
      <c r="AO62" s="44">
        <f t="shared" si="65"/>
        <v>227374.51908393315</v>
      </c>
      <c r="AP62" s="44">
        <f t="shared" si="65"/>
        <v>210570.84754355805</v>
      </c>
      <c r="AQ62" s="44">
        <f t="shared" si="65"/>
        <v>196296.3327532924</v>
      </c>
      <c r="AR62" s="44">
        <f t="shared" si="65"/>
        <v>185068.28162845637</v>
      </c>
      <c r="AS62" s="44">
        <f t="shared" si="65"/>
        <v>175198.02317876718</v>
      </c>
      <c r="AT62" s="44">
        <f t="shared" si="65"/>
        <v>167825.0585705816</v>
      </c>
      <c r="AU62" s="44">
        <f t="shared" si="65"/>
        <v>156812.44536478113</v>
      </c>
      <c r="AV62" s="44">
        <f t="shared" si="65"/>
        <v>153355.19403191755</v>
      </c>
      <c r="AW62" s="44">
        <f t="shared" si="65"/>
        <v>141982.51370372123</v>
      </c>
      <c r="AX62" s="44">
        <f t="shared" si="65"/>
        <v>139042.9212390774</v>
      </c>
      <c r="AY62" s="44">
        <f t="shared" si="65"/>
        <v>132344.10990966688</v>
      </c>
      <c r="AZ62" s="44">
        <f t="shared" si="65"/>
        <v>131051.72282390133</v>
      </c>
      <c r="BA62" s="44">
        <f t="shared" ref="BA62:BJ62" si="66">BA50-BA59</f>
        <v>131051.20218644716</v>
      </c>
      <c r="BB62" s="44">
        <f t="shared" si="66"/>
        <v>122965.65710874123</v>
      </c>
      <c r="BC62" s="44">
        <f t="shared" si="66"/>
        <v>114090.458289431</v>
      </c>
      <c r="BD62" s="44">
        <f t="shared" si="66"/>
        <v>103865.70854802208</v>
      </c>
      <c r="BE62" s="44">
        <f t="shared" si="66"/>
        <v>102132.10542463529</v>
      </c>
      <c r="BF62" s="44">
        <f t="shared" si="66"/>
        <v>106898.01281220064</v>
      </c>
      <c r="BG62" s="44">
        <f t="shared" si="66"/>
        <v>102969.49405129795</v>
      </c>
      <c r="BH62" s="44">
        <f t="shared" si="66"/>
        <v>94200.027307112003</v>
      </c>
      <c r="BI62" s="44">
        <f t="shared" si="66"/>
        <v>91568.459457364399</v>
      </c>
      <c r="BJ62" s="44">
        <f t="shared" si="66"/>
        <v>85409.374085932155</v>
      </c>
      <c r="BK62" s="389">
        <f t="shared" ref="BK62:BM62" si="67">BK50-BK59</f>
        <v>84209.749689574121</v>
      </c>
      <c r="BL62" s="389">
        <f t="shared" si="67"/>
        <v>82890.883886713709</v>
      </c>
      <c r="BM62" s="389">
        <f t="shared" si="67"/>
        <v>81447.192515000177</v>
      </c>
      <c r="BN62" s="389">
        <f t="shared" ref="BN62:BS62" si="68">BN50-BN59</f>
        <v>79872.870057689899</v>
      </c>
      <c r="BO62" s="389">
        <f t="shared" si="68"/>
        <v>78161.881397172285</v>
      </c>
      <c r="BP62" s="389">
        <f t="shared" si="68"/>
        <v>76307.953268959362</v>
      </c>
      <c r="BQ62" s="389">
        <f t="shared" si="68"/>
        <v>74304.565405361936</v>
      </c>
      <c r="BR62" s="389">
        <f t="shared" si="68"/>
        <v>72144.941357690434</v>
      </c>
      <c r="BS62" s="389">
        <f t="shared" si="68"/>
        <v>69822.038985415013</v>
      </c>
      <c r="BT62" s="389">
        <f>BT50-BT59</f>
        <v>67328.540600307926</v>
      </c>
      <c r="BU62" s="389">
        <f t="shared" ref="BU62:CI62" si="69">BU50-BU59</f>
        <v>64656.842753157543</v>
      </c>
      <c r="BV62" s="389">
        <f t="shared" si="69"/>
        <v>61799.045650201268</v>
      </c>
      <c r="BW62" s="389">
        <f t="shared" si="69"/>
        <v>58746.942185960885</v>
      </c>
      <c r="BX62" s="389">
        <f t="shared" si="69"/>
        <v>55492.006578688335</v>
      </c>
      <c r="BY62" s="389">
        <f t="shared" si="69"/>
        <v>52025.382594129944</v>
      </c>
      <c r="BZ62" s="389">
        <f t="shared" si="69"/>
        <v>48337.87134281313</v>
      </c>
      <c r="CA62" s="389">
        <f t="shared" si="69"/>
        <v>44419.918635515729</v>
      </c>
      <c r="CB62" s="389">
        <f t="shared" si="69"/>
        <v>40261.601881041774</v>
      </c>
      <c r="CC62" s="389">
        <f t="shared" si="69"/>
        <v>35852.616509845131</v>
      </c>
      <c r="CD62" s="389">
        <f t="shared" si="69"/>
        <v>31182.261906457599</v>
      </c>
      <c r="CE62" s="389">
        <f t="shared" si="69"/>
        <v>26239.42683306965</v>
      </c>
      <c r="CF62" s="389">
        <f t="shared" si="69"/>
        <v>21012.57432596595</v>
      </c>
      <c r="CG62" s="389">
        <f t="shared" si="69"/>
        <v>15489.726045877207</v>
      </c>
      <c r="CH62" s="389">
        <f t="shared" si="69"/>
        <v>9658.4460626145592</v>
      </c>
      <c r="CI62" s="389">
        <f t="shared" si="69"/>
        <v>3505.824053658871</v>
      </c>
      <c r="CJ62" s="389">
        <f t="shared" ref="CJ62:CN62" si="70">CJ50-CJ59</f>
        <v>-2981.5421043573879</v>
      </c>
      <c r="CK62" s="389">
        <f t="shared" si="70"/>
        <v>-9817.5643730979646</v>
      </c>
      <c r="CL62" s="389">
        <f t="shared" si="70"/>
        <v>-17016.683241496095</v>
      </c>
      <c r="CM62" s="389">
        <f t="shared" si="70"/>
        <v>-24593.887089672033</v>
      </c>
      <c r="CN62" s="389">
        <f t="shared" si="70"/>
        <v>-32564.732252046</v>
      </c>
      <c r="CO62" s="44"/>
      <c r="CP62" s="44"/>
      <c r="CQ62" s="44"/>
      <c r="CR62" s="44"/>
      <c r="CS62" s="44"/>
      <c r="CT62" s="44"/>
      <c r="CU62" s="44"/>
      <c r="CV62" s="44"/>
    </row>
    <row r="63" spans="1:100" s="2" customFormat="1">
      <c r="A63" s="2" t="s">
        <v>446</v>
      </c>
      <c r="I63" s="44">
        <f t="shared" ref="I63:AZ63" si="71">I62/I44</f>
        <v>542244.09646974062</v>
      </c>
      <c r="J63" s="44">
        <f t="shared" si="71"/>
        <v>767485.19393817778</v>
      </c>
      <c r="K63" s="44">
        <f>K62/K44</f>
        <v>418697.27334324777</v>
      </c>
      <c r="L63" s="44">
        <f>L62/L44</f>
        <v>478643.11800707836</v>
      </c>
      <c r="M63" s="44">
        <f>M62/M44</f>
        <v>584329.68466471252</v>
      </c>
      <c r="N63" s="44">
        <f>N62/N44</f>
        <v>579840.77051012067</v>
      </c>
      <c r="O63" s="44">
        <f t="shared" si="71"/>
        <v>464368.15596868499</v>
      </c>
      <c r="P63" s="44">
        <f t="shared" si="71"/>
        <v>401843.15279630775</v>
      </c>
      <c r="Q63" s="44">
        <f t="shared" si="71"/>
        <v>271026.09858046821</v>
      </c>
      <c r="R63" s="44">
        <f t="shared" si="71"/>
        <v>210970.04977488751</v>
      </c>
      <c r="S63" s="44">
        <f t="shared" si="71"/>
        <v>388762.64363515913</v>
      </c>
      <c r="T63" s="44">
        <f t="shared" si="71"/>
        <v>520978.62596481945</v>
      </c>
      <c r="U63" s="44">
        <f t="shared" si="71"/>
        <v>321697.92957562505</v>
      </c>
      <c r="V63" s="44">
        <f t="shared" si="71"/>
        <v>196343.78831830798</v>
      </c>
      <c r="W63" s="44">
        <f t="shared" si="71"/>
        <v>839878.55034251977</v>
      </c>
      <c r="X63" s="44">
        <f t="shared" si="71"/>
        <v>2087946.7118135472</v>
      </c>
      <c r="Y63" s="44">
        <f t="shared" si="71"/>
        <v>1001667.6381564736</v>
      </c>
      <c r="Z63" s="44">
        <f t="shared" si="71"/>
        <v>828071.86333930271</v>
      </c>
      <c r="AA63" s="44">
        <f t="shared" si="71"/>
        <v>741080.43770712812</v>
      </c>
      <c r="AB63" s="44">
        <f t="shared" si="71"/>
        <v>536892.10016831895</v>
      </c>
      <c r="AC63" s="44">
        <f t="shared" si="71"/>
        <v>442326.24756591412</v>
      </c>
      <c r="AD63" s="44">
        <f t="shared" si="71"/>
        <v>406553.58612679038</v>
      </c>
      <c r="AE63" s="44">
        <f t="shared" si="71"/>
        <v>355538.7254250776</v>
      </c>
      <c r="AF63" s="44">
        <f t="shared" si="71"/>
        <v>256440.84759754391</v>
      </c>
      <c r="AG63" s="44">
        <f t="shared" si="71"/>
        <v>251271.90337483113</v>
      </c>
      <c r="AH63" s="44">
        <f t="shared" si="71"/>
        <v>241021.20982855614</v>
      </c>
      <c r="AI63" s="44">
        <f t="shared" si="71"/>
        <v>229804.49269258408</v>
      </c>
      <c r="AJ63" s="44">
        <f t="shared" si="71"/>
        <v>235854.18968411611</v>
      </c>
      <c r="AK63" s="44">
        <f t="shared" si="71"/>
        <v>240478.23958847858</v>
      </c>
      <c r="AL63" s="44">
        <f t="shared" si="71"/>
        <v>234972.75315686569</v>
      </c>
      <c r="AM63" s="44">
        <f t="shared" si="71"/>
        <v>219672.31348098419</v>
      </c>
      <c r="AN63" s="44">
        <f t="shared" si="71"/>
        <v>193985.42847380924</v>
      </c>
      <c r="AO63" s="44">
        <f t="shared" si="71"/>
        <v>175251.94622042531</v>
      </c>
      <c r="AP63" s="44">
        <f t="shared" si="71"/>
        <v>159117.93337046259</v>
      </c>
      <c r="AQ63" s="44">
        <f t="shared" si="71"/>
        <v>145422.93270548256</v>
      </c>
      <c r="AR63" s="44">
        <f t="shared" si="71"/>
        <v>134416.48468407412</v>
      </c>
      <c r="AS63" s="44">
        <f t="shared" si="71"/>
        <v>124752.58994749942</v>
      </c>
      <c r="AT63" s="44">
        <f t="shared" si="71"/>
        <v>117159.36380803563</v>
      </c>
      <c r="AU63" s="44">
        <f t="shared" si="71"/>
        <v>107324.91492547828</v>
      </c>
      <c r="AV63" s="44">
        <f t="shared" si="71"/>
        <v>102900.70342718069</v>
      </c>
      <c r="AW63" s="44">
        <f t="shared" si="71"/>
        <v>93401.648802267679</v>
      </c>
      <c r="AX63" s="44">
        <f t="shared" si="71"/>
        <v>89674.382299692996</v>
      </c>
      <c r="AY63" s="44">
        <f t="shared" si="71"/>
        <v>83680.440158064375</v>
      </c>
      <c r="AZ63" s="44">
        <f t="shared" si="71"/>
        <v>81238.501015047819</v>
      </c>
      <c r="BA63" s="44">
        <f t="shared" ref="BA63:BJ63" si="72">BA62/BA44</f>
        <v>79645.272817377685</v>
      </c>
      <c r="BB63" s="44">
        <f t="shared" si="72"/>
        <v>73266.029778914017</v>
      </c>
      <c r="BC63" s="44">
        <f t="shared" si="72"/>
        <v>66645.061966537309</v>
      </c>
      <c r="BD63" s="44">
        <f t="shared" si="72"/>
        <v>59482.699218221329</v>
      </c>
      <c r="BE63" s="44">
        <f t="shared" si="72"/>
        <v>57343.024123557836</v>
      </c>
      <c r="BF63" s="44">
        <f t="shared" si="72"/>
        <v>58842.046394219455</v>
      </c>
      <c r="BG63" s="44">
        <f t="shared" si="72"/>
        <v>55568.227399157797</v>
      </c>
      <c r="BH63" s="44">
        <f t="shared" si="72"/>
        <v>49838.942797691525</v>
      </c>
      <c r="BI63" s="44">
        <f t="shared" si="72"/>
        <v>47496.710066508247</v>
      </c>
      <c r="BJ63" s="44">
        <f t="shared" si="72"/>
        <v>43433.316063936611</v>
      </c>
      <c r="BK63" s="389">
        <f t="shared" ref="BK63:BM63" si="73">BK62/BK44</f>
        <v>41983.597889066681</v>
      </c>
      <c r="BL63" s="389">
        <f t="shared" si="73"/>
        <v>40515.749400004686</v>
      </c>
      <c r="BM63" s="389">
        <f t="shared" si="73"/>
        <v>39029.505837606644</v>
      </c>
      <c r="BN63" s="389">
        <f t="shared" ref="BN63:BT63" si="74">BN62/BN44</f>
        <v>37524.598333211623</v>
      </c>
      <c r="BO63" s="389">
        <f t="shared" si="74"/>
        <v>36000.753843522645</v>
      </c>
      <c r="BP63" s="389">
        <f t="shared" si="74"/>
        <v>34457.695084448918</v>
      </c>
      <c r="BQ63" s="389">
        <f t="shared" si="74"/>
        <v>32895.14046389248</v>
      </c>
      <c r="BR63" s="389">
        <f t="shared" si="74"/>
        <v>31312.804013462985</v>
      </c>
      <c r="BS63" s="389">
        <f t="shared" si="74"/>
        <v>29710.395319102674</v>
      </c>
      <c r="BT63" s="389">
        <f t="shared" si="74"/>
        <v>28087.619450605092</v>
      </c>
      <c r="BU63" s="389">
        <f t="shared" ref="BU63:CI63" si="75">BU62/BU44</f>
        <v>26444.176890008905</v>
      </c>
      <c r="BV63" s="389">
        <f t="shared" si="75"/>
        <v>24779.763458849509</v>
      </c>
      <c r="BW63" s="389">
        <f t="shared" si="75"/>
        <v>23094.070244249848</v>
      </c>
      <c r="BX63" s="389">
        <f t="shared" si="75"/>
        <v>21386.783523832324</v>
      </c>
      <c r="BY63" s="389">
        <f t="shared" si="75"/>
        <v>19657.584689431751</v>
      </c>
      <c r="BZ63" s="389">
        <f t="shared" si="75"/>
        <v>17906.150169592325</v>
      </c>
      <c r="CA63" s="389">
        <f t="shared" si="75"/>
        <v>16132.15135082642</v>
      </c>
      <c r="CB63" s="389">
        <f t="shared" si="75"/>
        <v>14335.254497618198</v>
      </c>
      <c r="CC63" s="389">
        <f t="shared" si="75"/>
        <v>12515.120671149989</v>
      </c>
      <c r="CD63" s="389">
        <f t="shared" si="75"/>
        <v>10671.405646731357</v>
      </c>
      <c r="CE63" s="389">
        <f t="shared" si="75"/>
        <v>8803.7598299116817</v>
      </c>
      <c r="CF63" s="389">
        <f t="shared" si="75"/>
        <v>6911.8281712523649</v>
      </c>
      <c r="CG63" s="389">
        <f t="shared" si="75"/>
        <v>4995.2500797402336</v>
      </c>
      <c r="CH63" s="389">
        <f t="shared" si="75"/>
        <v>3053.6593348180222</v>
      </c>
      <c r="CI63" s="389">
        <f t="shared" si="75"/>
        <v>1086.6839970113128</v>
      </c>
      <c r="CJ63" s="389">
        <f t="shared" ref="CJ63:CN63" si="76">CJ62/CJ44</f>
        <v>-906.05368287070394</v>
      </c>
      <c r="CK63" s="389">
        <f t="shared" si="76"/>
        <v>-2924.9373559846817</v>
      </c>
      <c r="CL63" s="389">
        <f t="shared" si="76"/>
        <v>-4970.3566691740452</v>
      </c>
      <c r="CM63" s="389">
        <f t="shared" si="76"/>
        <v>-7042.7073601865623</v>
      </c>
      <c r="CN63" s="389">
        <f t="shared" si="76"/>
        <v>-9142.3913544114639</v>
      </c>
      <c r="CO63" s="44"/>
      <c r="CP63" s="44"/>
      <c r="CQ63" s="44"/>
      <c r="CR63" s="44"/>
      <c r="CS63" s="44"/>
      <c r="CT63" s="44"/>
      <c r="CU63" s="44"/>
      <c r="CV63" s="44"/>
    </row>
    <row r="65" spans="1:100"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  <c r="AA65" s="367"/>
      <c r="AB65" s="367"/>
      <c r="AC65" s="367"/>
      <c r="AD65" s="367"/>
      <c r="AE65" s="367"/>
      <c r="AF65" s="36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100"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91"/>
      <c r="BL66" s="391"/>
      <c r="BM66" s="391"/>
      <c r="BN66" s="391"/>
      <c r="BO66" s="391"/>
      <c r="BP66" s="391"/>
      <c r="BQ66" s="391"/>
      <c r="BR66" s="391"/>
      <c r="BS66" s="391"/>
      <c r="BT66" s="391"/>
    </row>
    <row r="67" spans="1:100" ht="15.75">
      <c r="A67" s="52" t="s">
        <v>132</v>
      </c>
      <c r="B67" s="52"/>
      <c r="C67" s="52"/>
      <c r="D67" s="52"/>
      <c r="E67" s="52"/>
      <c r="F67" s="52"/>
      <c r="G67" s="52"/>
      <c r="H67" s="52"/>
      <c r="AG67" s="34"/>
      <c r="AH67" s="34"/>
      <c r="AI67" s="34"/>
      <c r="AJ67" s="34"/>
      <c r="AK67" s="34"/>
    </row>
    <row r="68" spans="1:100" s="2" customFormat="1">
      <c r="A68" s="2" t="s">
        <v>129</v>
      </c>
      <c r="BK68" s="379"/>
      <c r="BL68" s="379"/>
      <c r="BM68" s="379"/>
      <c r="BN68" s="379"/>
      <c r="BO68" s="379"/>
      <c r="BP68" s="379"/>
      <c r="BQ68" s="379"/>
      <c r="BR68" s="379"/>
      <c r="BS68" s="379"/>
      <c r="BT68" s="379"/>
      <c r="BU68" s="379"/>
      <c r="BV68" s="379"/>
      <c r="BW68" s="379"/>
      <c r="BX68" s="379"/>
      <c r="BY68" s="379"/>
      <c r="BZ68" s="379"/>
      <c r="CA68" s="379"/>
      <c r="CB68" s="379"/>
      <c r="CC68" s="379"/>
      <c r="CD68" s="379"/>
      <c r="CE68" s="379"/>
      <c r="CF68" s="379"/>
      <c r="CG68" s="379"/>
      <c r="CH68" s="379"/>
      <c r="CI68" s="379"/>
      <c r="CJ68" s="379"/>
      <c r="CK68" s="379"/>
      <c r="CL68" s="379"/>
      <c r="CM68" s="379"/>
      <c r="CN68" s="379"/>
    </row>
    <row r="69" spans="1:100">
      <c r="A69" t="s">
        <v>26</v>
      </c>
      <c r="I69" s="42">
        <f>SNKS!B62</f>
        <v>0</v>
      </c>
      <c r="J69" s="42">
        <f>SNKS!C62</f>
        <v>0</v>
      </c>
      <c r="K69" s="42">
        <f>SNKS!D62</f>
        <v>0</v>
      </c>
      <c r="L69" s="42">
        <f>SNKS!E62</f>
        <v>0</v>
      </c>
      <c r="M69" s="42">
        <f>SNKS!F62</f>
        <v>0</v>
      </c>
      <c r="N69" s="42">
        <f>SNKS!G62</f>
        <v>0</v>
      </c>
      <c r="O69" s="42">
        <f>SNKS!H62</f>
        <v>0</v>
      </c>
      <c r="P69" s="42">
        <f>SNKS!I62</f>
        <v>154506</v>
      </c>
      <c r="Q69" s="42">
        <f>SNKS!J62</f>
        <v>90586</v>
      </c>
      <c r="R69" s="42">
        <f>SNKS!K62</f>
        <v>56573</v>
      </c>
      <c r="S69" s="42">
        <f>SNKS!L62</f>
        <v>97633.515696576505</v>
      </c>
      <c r="T69" s="42">
        <f>SNKS!M62</f>
        <v>158260.85311819703</v>
      </c>
      <c r="U69" s="42">
        <f>SNKS!N62</f>
        <v>124036.81919853961</v>
      </c>
      <c r="V69" s="42">
        <f>SNKS!O62</f>
        <v>-4503.7405317637149</v>
      </c>
      <c r="W69" s="42">
        <f>SNKS!P62</f>
        <v>296963.75261051324</v>
      </c>
      <c r="X69" s="42">
        <f>SNKS!Q62</f>
        <v>943816.15003734885</v>
      </c>
      <c r="Y69" s="42">
        <f>SNKS!R62</f>
        <v>474567.04584321048</v>
      </c>
      <c r="Z69" s="42">
        <f>SNKS!S62</f>
        <v>390036.65302243346</v>
      </c>
      <c r="AA69" s="42">
        <f>SNKS!T62</f>
        <v>337700</v>
      </c>
      <c r="AB69" s="42">
        <f>SNKS!U62</f>
        <v>266900</v>
      </c>
      <c r="AC69" s="42">
        <f>SNKS!V62</f>
        <v>233700</v>
      </c>
      <c r="AD69" s="42">
        <f>SNKS!W62</f>
        <v>220900</v>
      </c>
      <c r="AE69" s="42">
        <f>SNKS!X62</f>
        <v>201000</v>
      </c>
      <c r="AF69" s="42">
        <f>SNKS!Y62</f>
        <v>146400</v>
      </c>
      <c r="AG69" s="42">
        <f>SNKS!Z62</f>
        <v>150600</v>
      </c>
      <c r="AH69" s="42">
        <f>SNKS!AA62</f>
        <v>150400</v>
      </c>
      <c r="AI69" s="42">
        <f>SNKS!AB62</f>
        <v>146000</v>
      </c>
      <c r="AJ69" s="42">
        <f>SNKS!AC62</f>
        <v>155800</v>
      </c>
      <c r="AK69" s="42">
        <f>SNKS!AD62</f>
        <v>163800</v>
      </c>
      <c r="AL69" s="42">
        <f>SNKS!AE62</f>
        <v>166600</v>
      </c>
      <c r="AM69" s="42">
        <f>SNKS!AF62</f>
        <v>159000</v>
      </c>
      <c r="AN69" s="42">
        <f>SNKS!AG62</f>
        <v>144600</v>
      </c>
      <c r="AO69" s="42">
        <f>SNKS!AH62</f>
        <v>136100</v>
      </c>
      <c r="AP69" s="42">
        <f>SNKS!AI62</f>
        <v>128100</v>
      </c>
      <c r="AQ69" s="42">
        <f>SNKS!AJ62</f>
        <v>122300</v>
      </c>
      <c r="AR69" s="42">
        <f>SNKS!AK62</f>
        <v>111600</v>
      </c>
      <c r="AS69" s="42">
        <f>SNKS!AL62</f>
        <v>108600</v>
      </c>
      <c r="AT69" s="42">
        <f>SNKS!AM62</f>
        <v>102600</v>
      </c>
      <c r="AU69" s="42">
        <f>SNKS!AN62</f>
        <v>96700</v>
      </c>
      <c r="AV69" s="42">
        <f>SNKS!AO62</f>
        <v>94500</v>
      </c>
      <c r="AW69" s="42">
        <f>SNKS!AP62</f>
        <v>88800</v>
      </c>
      <c r="AX69" s="42">
        <f>SNKS!AQ62</f>
        <v>87900</v>
      </c>
      <c r="AY69" s="42">
        <f>SNKS!AR62</f>
        <v>86100</v>
      </c>
      <c r="AZ69" s="42">
        <f>SNKS!AS62</f>
        <v>87900</v>
      </c>
      <c r="BA69" s="42">
        <f>SNKS!AT62</f>
        <v>89900</v>
      </c>
      <c r="BB69" s="42">
        <f>SNKS!AU62</f>
        <v>84400</v>
      </c>
      <c r="BC69" s="42">
        <f>SNKS!AV62</f>
        <v>80500</v>
      </c>
      <c r="BD69" s="42">
        <f>SNKS!AW62</f>
        <v>74100</v>
      </c>
      <c r="BE69" s="42">
        <f>SNKS!AX62</f>
        <v>72100</v>
      </c>
      <c r="BF69" s="42">
        <f>SNKS!AY62</f>
        <v>75500</v>
      </c>
      <c r="BG69" s="42">
        <f>SNKS!AZ62</f>
        <v>73700</v>
      </c>
      <c r="BH69" s="42">
        <f>SNKS!BA62</f>
        <v>64400</v>
      </c>
      <c r="BI69" s="42">
        <f>SNKS!BB62</f>
        <v>62800</v>
      </c>
      <c r="BJ69" s="42">
        <f>SNKS!BC62</f>
        <v>58000</v>
      </c>
      <c r="BK69" s="384">
        <f t="shared" ref="BK69:BT69" si="77">(BJ69/BJ74)*BK74</f>
        <v>56697.113685158009</v>
      </c>
      <c r="BL69" s="384">
        <f t="shared" si="77"/>
        <v>55328.546026394957</v>
      </c>
      <c r="BM69" s="384">
        <f t="shared" si="77"/>
        <v>53892.676108606604</v>
      </c>
      <c r="BN69" s="384">
        <f t="shared" si="77"/>
        <v>52387.867338826349</v>
      </c>
      <c r="BO69" s="384">
        <f t="shared" si="77"/>
        <v>50812.468502242999</v>
      </c>
      <c r="BP69" s="384">
        <f t="shared" si="77"/>
        <v>49164.814912103931</v>
      </c>
      <c r="BQ69" s="384">
        <f t="shared" si="77"/>
        <v>47443.229658779295</v>
      </c>
      <c r="BR69" s="384">
        <f t="shared" si="77"/>
        <v>45646.024963519441</v>
      </c>
      <c r="BS69" s="384">
        <f t="shared" si="77"/>
        <v>43771.503642702351</v>
      </c>
      <c r="BT69" s="384">
        <f t="shared" si="77"/>
        <v>41817.960688648891</v>
      </c>
      <c r="BU69" s="384">
        <f t="shared" ref="BU69:CI69" si="78">(BT69/BT74)*BU74</f>
        <v>39783.684973372176</v>
      </c>
      <c r="BV69" s="384">
        <f t="shared" si="78"/>
        <v>37666.961081933674</v>
      </c>
      <c r="BW69" s="384">
        <f t="shared" si="78"/>
        <v>35466.071282394885</v>
      </c>
      <c r="BX69" s="384">
        <f t="shared" si="78"/>
        <v>33179.297639686592</v>
      </c>
      <c r="BY69" s="384">
        <f t="shared" si="78"/>
        <v>30804.924281061602</v>
      </c>
      <c r="BZ69" s="384">
        <f t="shared" si="78"/>
        <v>28341.239821164119</v>
      </c>
      <c r="CA69" s="384">
        <f t="shared" si="78"/>
        <v>25786.539955119522</v>
      </c>
      <c r="CB69" s="384">
        <f t="shared" si="78"/>
        <v>23139.130228451628</v>
      </c>
      <c r="CC69" s="384">
        <f t="shared" si="78"/>
        <v>20397.328993039457</v>
      </c>
      <c r="CD69" s="384">
        <f t="shared" si="78"/>
        <v>17559.470558759793</v>
      </c>
      <c r="CE69" s="384">
        <f t="shared" si="78"/>
        <v>14623.90855091302</v>
      </c>
      <c r="CF69" s="384">
        <f t="shared" si="78"/>
        <v>11589.019483992417</v>
      </c>
      <c r="CG69" s="384">
        <f t="shared" si="78"/>
        <v>8453.2065628560413</v>
      </c>
      <c r="CH69" s="384">
        <f t="shared" si="78"/>
        <v>5214.9037228633906</v>
      </c>
      <c r="CI69" s="384">
        <f t="shared" si="78"/>
        <v>1872.5799210791322</v>
      </c>
      <c r="CJ69" s="384">
        <f t="shared" ref="CJ69" si="79">(CI69/CI74)*CJ74</f>
        <v>-1575.2563087991512</v>
      </c>
      <c r="CK69" s="384">
        <f t="shared" ref="CK69" si="80">(CJ69/CJ74)*CK74</f>
        <v>-5130.0520245523821</v>
      </c>
      <c r="CL69" s="384">
        <f t="shared" ref="CL69" si="81">(CK69/CK74)*CL74</f>
        <v>-8793.2047527412742</v>
      </c>
      <c r="CM69" s="384">
        <f t="shared" ref="CM69" si="82">(CL69/CL74)*CM74</f>
        <v>-12566.057060720617</v>
      </c>
      <c r="CN69" s="384">
        <f t="shared" ref="CN69" si="83">(CM69/CM74)*CN74</f>
        <v>-16449.89080822395</v>
      </c>
      <c r="CO69" s="42"/>
      <c r="CP69" s="42"/>
      <c r="CQ69" s="42"/>
      <c r="CR69" s="42"/>
      <c r="CS69" s="42"/>
      <c r="CT69" s="42"/>
      <c r="CU69" s="42"/>
      <c r="CV69" s="42"/>
    </row>
    <row r="70" spans="1:100">
      <c r="A70" t="s">
        <v>27</v>
      </c>
      <c r="I70" s="42">
        <f>SNKS!B75</f>
        <v>0</v>
      </c>
      <c r="J70" s="42">
        <f>SNKS!C75</f>
        <v>0</v>
      </c>
      <c r="K70" s="42">
        <f>SNKS!D75</f>
        <v>0</v>
      </c>
      <c r="L70" s="42">
        <f>SNKS!E75</f>
        <v>0</v>
      </c>
      <c r="M70" s="42">
        <f>SNKS!F75</f>
        <v>0</v>
      </c>
      <c r="N70" s="42">
        <f>SNKS!G75</f>
        <v>0</v>
      </c>
      <c r="O70" s="42">
        <f>SNKS!H75</f>
        <v>0</v>
      </c>
      <c r="P70" s="42">
        <f>SNKS!I75</f>
        <v>176162.84310299999</v>
      </c>
      <c r="Q70" s="42">
        <f>SNKS!J75</f>
        <v>110157.15349475</v>
      </c>
      <c r="R70" s="42">
        <f>SNKS!K75</f>
        <v>47605.847314279999</v>
      </c>
      <c r="S70" s="42">
        <f>SNKS!L75</f>
        <v>71176.774652000007</v>
      </c>
      <c r="T70" s="42">
        <f>SNKS!M75</f>
        <v>117286.98838915001</v>
      </c>
      <c r="U70" s="42">
        <f>SNKS!N75</f>
        <v>140379.04115199999</v>
      </c>
      <c r="V70" s="42">
        <f>SNKS!O75</f>
        <v>35407.874437999999</v>
      </c>
      <c r="W70" s="42">
        <f>SNKS!P75</f>
        <v>91848.78084698999</v>
      </c>
      <c r="X70" s="42">
        <f>SNKS!Q75</f>
        <v>720930.96505800006</v>
      </c>
      <c r="Y70" s="42">
        <f>SNKS!R75</f>
        <v>623245.42463299993</v>
      </c>
      <c r="Z70" s="42">
        <f>SNKS!S75</f>
        <v>420339.40481100004</v>
      </c>
      <c r="AA70" s="42">
        <f>SNKS!T75</f>
        <v>383801</v>
      </c>
      <c r="AB70" s="42">
        <f>SNKS!U75</f>
        <v>302501</v>
      </c>
      <c r="AC70" s="42">
        <f>SNKS!V75</f>
        <v>247500</v>
      </c>
      <c r="AD70" s="42">
        <f>SNKS!W75</f>
        <v>229400</v>
      </c>
      <c r="AE70" s="42">
        <f>SNKS!X75</f>
        <v>211600</v>
      </c>
      <c r="AF70" s="42">
        <f>SNKS!Y75</f>
        <v>176800</v>
      </c>
      <c r="AG70" s="42">
        <f>SNKS!Z75</f>
        <v>144100</v>
      </c>
      <c r="AH70" s="42">
        <f>SNKS!AA75</f>
        <v>148400</v>
      </c>
      <c r="AI70" s="42">
        <f>SNKS!AB75</f>
        <v>147900</v>
      </c>
      <c r="AJ70" s="42">
        <f>SNKS!AC75</f>
        <v>150500</v>
      </c>
      <c r="AK70" s="42">
        <f>SNKS!AD75</f>
        <v>160200</v>
      </c>
      <c r="AL70" s="42">
        <f>SNKS!AE75</f>
        <v>165600</v>
      </c>
      <c r="AM70" s="42">
        <f>SNKS!AF75</f>
        <v>163000</v>
      </c>
      <c r="AN70" s="42">
        <f>SNKS!AG75</f>
        <v>152100</v>
      </c>
      <c r="AO70" s="42">
        <f>SNKS!AH75</f>
        <v>139800</v>
      </c>
      <c r="AP70" s="42">
        <f>SNKS!AI75</f>
        <v>131500</v>
      </c>
      <c r="AQ70" s="42">
        <f>SNKS!AJ75</f>
        <v>125600</v>
      </c>
      <c r="AR70" s="42">
        <f>SNKS!AK75</f>
        <v>117100</v>
      </c>
      <c r="AS70" s="42">
        <f>SNKS!AL75</f>
        <v>109700</v>
      </c>
      <c r="AT70" s="42">
        <f>SNKS!AM75</f>
        <v>105700</v>
      </c>
      <c r="AU70" s="42">
        <f>SNKS!AN75</f>
        <v>99700</v>
      </c>
      <c r="AV70" s="42">
        <f>SNKS!AO75</f>
        <v>95200</v>
      </c>
      <c r="AW70" s="42">
        <f>SNKS!AP75</f>
        <v>91900</v>
      </c>
      <c r="AX70" s="42">
        <f>SNKS!AQ75</f>
        <v>90000</v>
      </c>
      <c r="AY70" s="42">
        <f>SNKS!AR75</f>
        <v>87500</v>
      </c>
      <c r="AZ70" s="42">
        <f>SNKS!AS75</f>
        <v>84700</v>
      </c>
      <c r="BA70" s="42">
        <f>SNKS!AT75</f>
        <v>89100</v>
      </c>
      <c r="BB70" s="42">
        <f>SNKS!AU75</f>
        <v>87100</v>
      </c>
      <c r="BC70" s="42">
        <f>SNKS!AV75</f>
        <v>82500</v>
      </c>
      <c r="BD70" s="42">
        <f>SNKS!AW75</f>
        <v>77300</v>
      </c>
      <c r="BE70" s="42">
        <f>SNKS!AX75</f>
        <v>73100</v>
      </c>
      <c r="BF70" s="42">
        <f>SNKS!AY75</f>
        <v>73700</v>
      </c>
      <c r="BG70" s="42">
        <f>SNKS!AZ75</f>
        <v>74900</v>
      </c>
      <c r="BH70" s="42">
        <f>SNKS!BA75</f>
        <v>68700</v>
      </c>
      <c r="BI70" s="42">
        <f>SNKS!BB75</f>
        <v>63800</v>
      </c>
      <c r="BJ70" s="42">
        <f>SNKS!BC75</f>
        <v>60500</v>
      </c>
      <c r="BK70" s="384">
        <f t="shared" ref="BK70:BT70" si="84">(BJ70/BJ74)*BK74</f>
        <v>59140.954792276891</v>
      </c>
      <c r="BL70" s="384">
        <f t="shared" si="84"/>
        <v>57713.397148222328</v>
      </c>
      <c r="BM70" s="384">
        <f t="shared" si="84"/>
        <v>56215.636285701716</v>
      </c>
      <c r="BN70" s="384">
        <f t="shared" si="84"/>
        <v>54645.965068948171</v>
      </c>
      <c r="BO70" s="384">
        <f t="shared" si="84"/>
        <v>53002.661110098299</v>
      </c>
      <c r="BP70" s="384">
        <f t="shared" si="84"/>
        <v>51283.987968660134</v>
      </c>
      <c r="BQ70" s="384">
        <f t="shared" si="84"/>
        <v>49488.196454416335</v>
      </c>
      <c r="BR70" s="384">
        <f t="shared" si="84"/>
        <v>47613.526039533208</v>
      </c>
      <c r="BS70" s="384">
        <f t="shared" si="84"/>
        <v>45658.206385922276</v>
      </c>
      <c r="BT70" s="384">
        <f t="shared" si="84"/>
        <v>43620.458994194101</v>
      </c>
      <c r="BU70" s="384">
        <f t="shared" ref="BU70:CI70" si="85">(BT70/BT74)*BU74</f>
        <v>41498.498980845114</v>
      </c>
      <c r="BV70" s="384">
        <f t="shared" si="85"/>
        <v>39290.536990637716</v>
      </c>
      <c r="BW70" s="384">
        <f t="shared" si="85"/>
        <v>36994.781251463632</v>
      </c>
      <c r="BX70" s="384">
        <f t="shared" si="85"/>
        <v>34609.439779328255</v>
      </c>
      <c r="BY70" s="384">
        <f t="shared" si="85"/>
        <v>32132.722741452188</v>
      </c>
      <c r="BZ70" s="384">
        <f t="shared" si="85"/>
        <v>29562.844985869469</v>
      </c>
      <c r="CA70" s="384">
        <f t="shared" si="85"/>
        <v>26898.028746288466</v>
      </c>
      <c r="CB70" s="384">
        <f t="shared" si="85"/>
        <v>24136.506531402127</v>
      </c>
      <c r="CC70" s="384">
        <f t="shared" si="85"/>
        <v>21276.524208256673</v>
      </c>
      <c r="CD70" s="384">
        <f t="shared" si="85"/>
        <v>18316.344289740817</v>
      </c>
      <c r="CE70" s="384">
        <f t="shared" si="85"/>
        <v>15254.249436728236</v>
      </c>
      <c r="CF70" s="384">
        <f t="shared" si="85"/>
        <v>12088.546185888641</v>
      </c>
      <c r="CG70" s="384">
        <f t="shared" si="85"/>
        <v>8817.5689147032845</v>
      </c>
      <c r="CH70" s="384">
        <f t="shared" si="85"/>
        <v>5439.6840557454334</v>
      </c>
      <c r="CI70" s="384">
        <f t="shared" si="85"/>
        <v>1953.2945728497846</v>
      </c>
      <c r="CJ70" s="384">
        <f t="shared" ref="CJ70" si="86">(CI70/CI74)*CJ74</f>
        <v>-1643.1552876267008</v>
      </c>
      <c r="CK70" s="384">
        <f t="shared" ref="CK70" si="87">(CJ70/CJ74)*CK74</f>
        <v>-5351.1749566451572</v>
      </c>
      <c r="CL70" s="384">
        <f t="shared" ref="CL70" si="88">(CK70/CK74)*CL74</f>
        <v>-9172.2221989801219</v>
      </c>
      <c r="CM70" s="384">
        <f t="shared" ref="CM70" si="89">(CL70/CL74)*CM74</f>
        <v>-13107.697451268921</v>
      </c>
      <c r="CN70" s="384">
        <f t="shared" ref="CN70" si="90">(CM70/CM74)*CN74</f>
        <v>-17158.937825819812</v>
      </c>
      <c r="CO70" s="42"/>
      <c r="CP70" s="42"/>
      <c r="CQ70" s="42"/>
      <c r="CR70" s="42"/>
      <c r="CS70" s="42"/>
      <c r="CT70" s="42"/>
      <c r="CU70" s="42"/>
      <c r="CV70" s="42"/>
    </row>
    <row r="71" spans="1:100">
      <c r="A71" t="s">
        <v>130</v>
      </c>
      <c r="I71" s="42">
        <f>SNKS!B81</f>
        <v>0</v>
      </c>
      <c r="J71" s="42">
        <f>SNKS!C81</f>
        <v>0</v>
      </c>
      <c r="K71" s="42">
        <f>SNKS!D81</f>
        <v>0</v>
      </c>
      <c r="L71" s="42">
        <f>SNKS!E81</f>
        <v>0</v>
      </c>
      <c r="M71" s="42">
        <f>SNKS!F81</f>
        <v>0</v>
      </c>
      <c r="N71" s="42">
        <f>SNKS!G81</f>
        <v>0</v>
      </c>
      <c r="O71" s="42">
        <f>SNKS!H81</f>
        <v>0</v>
      </c>
      <c r="P71" s="42">
        <f>SNKS!I81</f>
        <v>112858.91510136001</v>
      </c>
      <c r="Q71" s="42">
        <f>SNKS!J81</f>
        <v>92716.477836900012</v>
      </c>
      <c r="R71" s="42">
        <f>SNKS!K81</f>
        <v>66455.30812957001</v>
      </c>
      <c r="S71" s="42">
        <f>SNKS!L81</f>
        <v>88272.033852060005</v>
      </c>
      <c r="T71" s="42">
        <f>SNKS!M81</f>
        <v>118687.68996439999</v>
      </c>
      <c r="U71" s="42">
        <f>SNKS!N81</f>
        <v>96487.643174239987</v>
      </c>
      <c r="V71" s="42">
        <f>SNKS!O81</f>
        <v>56386.695961829988</v>
      </c>
      <c r="W71" s="42">
        <f>SNKS!P81</f>
        <v>185170.06845045998</v>
      </c>
      <c r="X71" s="42">
        <f>SNKS!Q81</f>
        <v>529033.82500000007</v>
      </c>
      <c r="Y71" s="42">
        <f>SNKS!R81</f>
        <v>276510.44900000002</v>
      </c>
      <c r="Z71" s="42">
        <f>SNKS!S81</f>
        <v>219241.98699999996</v>
      </c>
      <c r="AA71" s="42">
        <f>SNKS!T81</f>
        <v>242046.44099999999</v>
      </c>
      <c r="AB71" s="42">
        <f>SNKS!U81</f>
        <v>193000</v>
      </c>
      <c r="AC71" s="42">
        <f>SNKS!V81</f>
        <v>146400</v>
      </c>
      <c r="AD71" s="42">
        <f>SNKS!W81</f>
        <v>136800</v>
      </c>
      <c r="AE71" s="42">
        <f>SNKS!X81</f>
        <v>114600</v>
      </c>
      <c r="AF71" s="42">
        <f>SNKS!Y81</f>
        <v>89203.674174580708</v>
      </c>
      <c r="AG71" s="42">
        <f>SNKS!Z81</f>
        <v>82769.622519453842</v>
      </c>
      <c r="AH71" s="42">
        <f>SNKS!AA81</f>
        <v>77230.2015437589</v>
      </c>
      <c r="AI71" s="42">
        <f>SNKS!AB81</f>
        <v>76357.54114660724</v>
      </c>
      <c r="AJ71" s="42">
        <f>SNKS!AC81</f>
        <v>75829.608035033569</v>
      </c>
      <c r="AK71" s="42">
        <f>SNKS!AD81</f>
        <v>75862.685560366008</v>
      </c>
      <c r="AL71" s="42">
        <f>SNKS!AE81</f>
        <v>71268.446885699115</v>
      </c>
      <c r="AM71" s="42">
        <f>SNKS!AF81</f>
        <v>68346.127704707193</v>
      </c>
      <c r="AN71" s="42">
        <f>SNKS!AG81</f>
        <v>59345.847222363111</v>
      </c>
      <c r="AO71" s="42">
        <f>SNKS!AH81</f>
        <v>50564.700486803427</v>
      </c>
      <c r="AP71" s="42">
        <f>SNKS!AI81</f>
        <v>45169.83563789411</v>
      </c>
      <c r="AQ71" s="42">
        <f>SNKS!AJ81</f>
        <v>38334.7559818187</v>
      </c>
      <c r="AR71" s="42">
        <f>SNKS!AK81</f>
        <v>41023.390788926539</v>
      </c>
      <c r="AS71" s="42">
        <f>SNKS!AL81</f>
        <v>34506.63675691704</v>
      </c>
      <c r="AT71" s="42">
        <f>SNKS!AM81</f>
        <v>35038.850461639347</v>
      </c>
      <c r="AU71" s="42">
        <f>SNKS!AN81</f>
        <v>31126.216873736324</v>
      </c>
      <c r="AV71" s="42">
        <f>SNKS!AO81</f>
        <v>30142.840962985472</v>
      </c>
      <c r="AW71" s="42">
        <f>SNKS!AP81</f>
        <v>26317.668382721575</v>
      </c>
      <c r="AX71" s="42">
        <f>SNKS!AQ81</f>
        <v>25257.342233725023</v>
      </c>
      <c r="AY71" s="42">
        <f>SNKS!AR81</f>
        <v>22859.914478191917</v>
      </c>
      <c r="AZ71" s="42">
        <f>SNKS!AS81</f>
        <v>18668.316467733326</v>
      </c>
      <c r="BA71" s="42">
        <f>SNKS!AT81</f>
        <v>16055.360757876144</v>
      </c>
      <c r="BB71" s="42">
        <f>SNKS!AU81</f>
        <v>14921.610863032663</v>
      </c>
      <c r="BC71" s="42">
        <f>SNKS!AV81</f>
        <v>11298.472827362741</v>
      </c>
      <c r="BD71" s="42">
        <f>SNKS!AW81</f>
        <v>9091.7347504193167</v>
      </c>
      <c r="BE71" s="42">
        <f>SNKS!AX81</f>
        <v>8725.3556189036608</v>
      </c>
      <c r="BF71" s="42">
        <f>SNKS!AY81</f>
        <v>9307.6190286682177</v>
      </c>
      <c r="BG71" s="42">
        <f>SNKS!AZ81</f>
        <v>8423.7907898821868</v>
      </c>
      <c r="BH71" s="42">
        <f>SNKS!BA81</f>
        <v>11661.905706648191</v>
      </c>
      <c r="BI71" s="42">
        <f>SNKS!BB81</f>
        <v>10939.587426344158</v>
      </c>
      <c r="BJ71" s="42">
        <f>SNKS!BC81</f>
        <v>10950.90837065161</v>
      </c>
      <c r="BK71" s="384">
        <f t="shared" ref="BK71:BT71" si="91">(BJ71/BJ74)*BK74</f>
        <v>10704.912014596255</v>
      </c>
      <c r="BL71" s="384">
        <f t="shared" si="91"/>
        <v>10446.514445110886</v>
      </c>
      <c r="BM71" s="384">
        <f t="shared" si="91"/>
        <v>10175.409619216483</v>
      </c>
      <c r="BN71" s="384">
        <f t="shared" si="91"/>
        <v>9891.2885338161996</v>
      </c>
      <c r="BO71" s="384">
        <f t="shared" si="91"/>
        <v>9593.8394250807614</v>
      </c>
      <c r="BP71" s="384">
        <f t="shared" si="91"/>
        <v>9282.747985560276</v>
      </c>
      <c r="BQ71" s="384">
        <f t="shared" si="91"/>
        <v>8957.6976000184986</v>
      </c>
      <c r="BR71" s="384">
        <f t="shared" si="91"/>
        <v>8618.3696010340918</v>
      </c>
      <c r="BS71" s="384">
        <f t="shared" si="91"/>
        <v>8264.4435454633895</v>
      </c>
      <c r="BT71" s="384">
        <f t="shared" si="91"/>
        <v>7895.5975129121571</v>
      </c>
      <c r="BU71" s="384">
        <f t="shared" ref="BU71:CI71" si="92">(BT71/BT74)*BU74</f>
        <v>7511.5084274184146</v>
      </c>
      <c r="BV71" s="384">
        <f t="shared" si="92"/>
        <v>7111.8524036061362</v>
      </c>
      <c r="BW71" s="384">
        <f t="shared" si="92"/>
        <v>6696.3051186293942</v>
      </c>
      <c r="BX71" s="384">
        <f t="shared" si="92"/>
        <v>6264.5422112893984</v>
      </c>
      <c r="BY71" s="384">
        <f t="shared" si="92"/>
        <v>5816.2397097718367</v>
      </c>
      <c r="BZ71" s="384">
        <f t="shared" si="92"/>
        <v>5351.0744895212229</v>
      </c>
      <c r="CA71" s="384">
        <f t="shared" si="92"/>
        <v>4868.7247628389759</v>
      </c>
      <c r="CB71" s="384">
        <f t="shared" si="92"/>
        <v>4368.8706018680805</v>
      </c>
      <c r="CC71" s="384">
        <f t="shared" si="92"/>
        <v>3851.1944967036311</v>
      </c>
      <c r="CD71" s="384">
        <f t="shared" si="92"/>
        <v>3315.3819504505718</v>
      </c>
      <c r="CE71" s="384">
        <f t="shared" si="92"/>
        <v>2761.1221131351222</v>
      </c>
      <c r="CF71" s="384">
        <f t="shared" si="92"/>
        <v>2188.1084564637445</v>
      </c>
      <c r="CG71" s="384">
        <f t="shared" si="92"/>
        <v>1596.0394915177133</v>
      </c>
      <c r="CH71" s="384">
        <f t="shared" si="92"/>
        <v>984.61953156632694</v>
      </c>
      <c r="CI71" s="384">
        <f t="shared" si="92"/>
        <v>353.55950228378629</v>
      </c>
      <c r="CJ71" s="384">
        <f t="shared" ref="CJ71" si="93">(CI71/CI74)*CJ74</f>
        <v>-297.42219824052387</v>
      </c>
      <c r="CK71" s="384">
        <f t="shared" ref="CK71" si="94">(CJ71/CJ74)*CK74</f>
        <v>-968.59878719911956</v>
      </c>
      <c r="CL71" s="384">
        <f t="shared" ref="CL71" si="95">(CK71/CK74)*CL74</f>
        <v>-1660.2341298559993</v>
      </c>
      <c r="CM71" s="384">
        <f t="shared" ref="CM71" si="96">(CL71/CL74)*CM74</f>
        <v>-2372.5817146953659</v>
      </c>
      <c r="CN71" s="384">
        <f t="shared" ref="CN71" si="97">(CM71/CM74)*CN74</f>
        <v>-3105.8835680704256</v>
      </c>
      <c r="CO71" s="42"/>
      <c r="CP71" s="42"/>
      <c r="CQ71" s="42"/>
      <c r="CR71" s="42"/>
      <c r="CS71" s="42"/>
      <c r="CT71" s="42"/>
      <c r="CU71" s="42"/>
      <c r="CV71" s="42"/>
    </row>
    <row r="72" spans="1:100">
      <c r="A72" t="s">
        <v>37</v>
      </c>
      <c r="I72" s="42">
        <f>SNKS!B86</f>
        <v>14005.699000000001</v>
      </c>
      <c r="J72" s="42">
        <f>SNKS!C86</f>
        <v>16940.157781499998</v>
      </c>
      <c r="K72" s="42">
        <f>SNKS!D86</f>
        <v>15489</v>
      </c>
      <c r="L72" s="42">
        <f>SNKS!E86</f>
        <v>12818</v>
      </c>
      <c r="M72" s="42">
        <f>SNKS!F86</f>
        <v>13352.46</v>
      </c>
      <c r="N72" s="42">
        <f>SNKS!G86</f>
        <v>13886.558134000001</v>
      </c>
      <c r="O72" s="42">
        <f>SNKS!H86</f>
        <v>14420.656523</v>
      </c>
      <c r="P72" s="42">
        <f>SNKS!I86</f>
        <v>22646</v>
      </c>
      <c r="Q72" s="42">
        <f>SNKS!J86</f>
        <v>15382</v>
      </c>
      <c r="R72" s="42">
        <f>SNKS!K86</f>
        <v>10717.497974</v>
      </c>
      <c r="S72" s="42">
        <f>SNKS!L86</f>
        <v>8397.82</v>
      </c>
      <c r="T72" s="42">
        <f>SNKS!M86</f>
        <v>14984.124</v>
      </c>
      <c r="U72" s="42">
        <f>SNKS!N86</f>
        <v>20056.967203</v>
      </c>
      <c r="V72" s="42">
        <f>SNKS!O86</f>
        <v>15029.919</v>
      </c>
      <c r="W72" s="42">
        <f>SNKS!P86</f>
        <v>10493.748337999999</v>
      </c>
      <c r="X72" s="42">
        <f>SNKS!Q86</f>
        <v>35258.259493999998</v>
      </c>
      <c r="Y72" s="42">
        <f>SNKS!R86</f>
        <v>78309</v>
      </c>
      <c r="Z72" s="42">
        <f>SNKS!S86</f>
        <v>62578</v>
      </c>
      <c r="AA72" s="42">
        <f>SNKS!T86</f>
        <v>37768.1</v>
      </c>
      <c r="AB72" s="42">
        <f>SNKS!U86</f>
        <v>25804.6</v>
      </c>
      <c r="AC72" s="42">
        <f>SNKS!V86</f>
        <v>13754.373600000003</v>
      </c>
      <c r="AD72" s="42">
        <f>SNKS!W86</f>
        <v>13831.600912755104</v>
      </c>
      <c r="AE72" s="42">
        <f>SNKS!X86</f>
        <v>13895.068347959188</v>
      </c>
      <c r="AF72" s="42">
        <f>SNKS!Y86</f>
        <v>13904.184266836739</v>
      </c>
      <c r="AG72" s="42">
        <f>SNKS!Z86</f>
        <v>14565.091117058424</v>
      </c>
      <c r="AH72" s="42">
        <f>SNKS!AA86</f>
        <v>15246.872567582244</v>
      </c>
      <c r="AI72" s="42">
        <f>SNKS!AB86</f>
        <v>15950.099239680194</v>
      </c>
      <c r="AJ72" s="42">
        <f>SNKS!AC86</f>
        <v>16675.356229635025</v>
      </c>
      <c r="AK72" s="42">
        <f>SNKS!AD86</f>
        <v>17423.276285741453</v>
      </c>
      <c r="AL72" s="42">
        <f>SNKS!AE86</f>
        <v>17771.741811456279</v>
      </c>
      <c r="AM72" s="42">
        <f>SNKS!AF86</f>
        <v>18127.176647685406</v>
      </c>
      <c r="AN72" s="42">
        <f>SNKS!AG86</f>
        <v>18489.720180639113</v>
      </c>
      <c r="AO72" s="42">
        <f>SNKS!AH86</f>
        <v>18859.514584251898</v>
      </c>
      <c r="AP72" s="42">
        <f>SNKS!AI86</f>
        <v>19236.704875936935</v>
      </c>
      <c r="AQ72" s="42">
        <f>SNKS!AJ86</f>
        <v>19621.438973455675</v>
      </c>
      <c r="AR72" s="42">
        <f>SNKS!AK86</f>
        <v>20013.867752924791</v>
      </c>
      <c r="AS72" s="42">
        <f>SNKS!AL86</f>
        <v>20414.145107983288</v>
      </c>
      <c r="AT72" s="42">
        <f>SNKS!AM86</f>
        <v>20822.42801014295</v>
      </c>
      <c r="AU72" s="42">
        <f>SNKS!AN86</f>
        <v>21238.876570345808</v>
      </c>
      <c r="AV72" s="42">
        <f>SNKS!AO86</f>
        <v>21663.654101752727</v>
      </c>
      <c r="AW72" s="42">
        <f>SNKS!AP86</f>
        <v>22096.927183787782</v>
      </c>
      <c r="AX72" s="42">
        <f>SNKS!AQ86</f>
        <v>22538.865727463537</v>
      </c>
      <c r="AY72" s="42">
        <f>SNKS!AR86</f>
        <v>22989.643042012813</v>
      </c>
      <c r="AZ72" s="42">
        <f>SNKS!AS86</f>
        <v>23449.435902853067</v>
      </c>
      <c r="BA72" s="42">
        <f>SNKS!AT86</f>
        <v>23918.424620910126</v>
      </c>
      <c r="BB72" s="42">
        <f>SNKS!AU86</f>
        <v>24396.793113328327</v>
      </c>
      <c r="BC72" s="42">
        <f>SNKS!AV86</f>
        <v>24884.728975594895</v>
      </c>
      <c r="BD72" s="42">
        <f>SNKS!AW86</f>
        <v>25382.423555106798</v>
      </c>
      <c r="BE72" s="42">
        <f>SNKS!AX86</f>
        <v>25890.072026208934</v>
      </c>
      <c r="BF72" s="42">
        <f>SNKS!AY86</f>
        <v>26407.873466733115</v>
      </c>
      <c r="BG72" s="42">
        <f>SNKS!AZ86</f>
        <v>26936.030936067778</v>
      </c>
      <c r="BH72" s="42">
        <f>SNKS!BA86</f>
        <v>27474.751554789134</v>
      </c>
      <c r="BI72" s="42">
        <f>SNKS!BB86</f>
        <v>28024.246585884917</v>
      </c>
      <c r="BJ72" s="42">
        <f>SNKS!BC86</f>
        <v>28584.73151760261</v>
      </c>
      <c r="BK72" s="384">
        <f t="shared" ref="BK72:BT72" si="98">(BJ72/BJ74)*BK74</f>
        <v>27942.616767469561</v>
      </c>
      <c r="BL72" s="384">
        <f t="shared" si="98"/>
        <v>27268.131610755492</v>
      </c>
      <c r="BM72" s="384">
        <f t="shared" si="98"/>
        <v>26560.477195338557</v>
      </c>
      <c r="BN72" s="384">
        <f t="shared" si="98"/>
        <v>25818.846942416105</v>
      </c>
      <c r="BO72" s="384">
        <f t="shared" si="98"/>
        <v>25042.427066952681</v>
      </c>
      <c r="BP72" s="384">
        <f t="shared" si="98"/>
        <v>24230.397144398554</v>
      </c>
      <c r="BQ72" s="384">
        <f t="shared" si="98"/>
        <v>23381.930726278752</v>
      </c>
      <c r="BR72" s="384">
        <f t="shared" si="98"/>
        <v>22496.196007379131</v>
      </c>
      <c r="BS72" s="384">
        <f t="shared" si="98"/>
        <v>21572.356547386404</v>
      </c>
      <c r="BT72" s="384">
        <f t="shared" si="98"/>
        <v>20609.572049977396</v>
      </c>
      <c r="BU72" s="384">
        <f t="shared" ref="BU72:CI72" si="99">(BT72/BT74)*BU74</f>
        <v>19606.999202495259</v>
      </c>
      <c r="BV72" s="384">
        <f t="shared" si="99"/>
        <v>18563.792579501041</v>
      </c>
      <c r="BW72" s="384">
        <f t="shared" si="99"/>
        <v>17479.105613645068</v>
      </c>
      <c r="BX72" s="384">
        <f t="shared" si="99"/>
        <v>16352.091637466678</v>
      </c>
      <c r="BY72" s="384">
        <f t="shared" si="99"/>
        <v>15181.904999900406</v>
      </c>
      <c r="BZ72" s="384">
        <f t="shared" si="99"/>
        <v>13967.702261447659</v>
      </c>
      <c r="CA72" s="384">
        <f t="shared" si="99"/>
        <v>12708.643472155587</v>
      </c>
      <c r="CB72" s="384">
        <f t="shared" si="99"/>
        <v>11403.893536743664</v>
      </c>
      <c r="CC72" s="384">
        <f t="shared" si="99"/>
        <v>10052.623671418009</v>
      </c>
      <c r="CD72" s="384">
        <f t="shared" si="99"/>
        <v>8654.0129571275211</v>
      </c>
      <c r="CE72" s="384">
        <f t="shared" si="99"/>
        <v>7207.2499942383056</v>
      </c>
      <c r="CF72" s="384">
        <f t="shared" si="99"/>
        <v>5711.5346638308411</v>
      </c>
      <c r="CG72" s="384">
        <f t="shared" si="99"/>
        <v>4166.0800010702815</v>
      </c>
      <c r="CH72" s="384">
        <f t="shared" si="99"/>
        <v>2570.114186348213</v>
      </c>
      <c r="CI72" s="384">
        <f t="shared" si="99"/>
        <v>922.88266016035311</v>
      </c>
      <c r="CJ72" s="384">
        <f t="shared" ref="CJ72" si="100">(CI72/CI74)*CJ74</f>
        <v>-776.34963204195594</v>
      </c>
      <c r="CK72" s="384">
        <f t="shared" ref="CK72" si="101">(CJ72/CJ74)*CK74</f>
        <v>-2528.29585850282</v>
      </c>
      <c r="CL72" s="384">
        <f t="shared" ref="CL72" si="102">(CK72/CK74)*CL74</f>
        <v>-4333.6447764899413</v>
      </c>
      <c r="CM72" s="384">
        <f t="shared" ref="CM72" si="103">(CL72/CL74)*CM74</f>
        <v>-6193.0580571650598</v>
      </c>
      <c r="CN72" s="384">
        <f t="shared" ref="CN72" si="104">(CM72/CM74)*CN74</f>
        <v>-8107.1674525338049</v>
      </c>
      <c r="CO72" s="42"/>
      <c r="CP72" s="42"/>
      <c r="CQ72" s="42"/>
      <c r="CR72" s="42"/>
      <c r="CS72" s="42"/>
      <c r="CT72" s="42"/>
      <c r="CU72" s="42"/>
      <c r="CV72" s="42"/>
    </row>
    <row r="73" spans="1:100">
      <c r="A73" t="s">
        <v>38</v>
      </c>
      <c r="I73" s="42">
        <f>SNKS!B96</f>
        <v>-4.58</v>
      </c>
      <c r="J73" s="42">
        <f>SNKS!C96</f>
        <v>0</v>
      </c>
      <c r="K73" s="42">
        <f>SNKS!D96</f>
        <v>0</v>
      </c>
      <c r="L73" s="42">
        <f>SNKS!E96</f>
        <v>-81.5</v>
      </c>
      <c r="M73" s="42">
        <f>SNKS!F96</f>
        <v>-2</v>
      </c>
      <c r="N73" s="42">
        <f>SNKS!G96</f>
        <v>-2.7192999999999998E-2</v>
      </c>
      <c r="O73" s="42">
        <f>SNKS!H96</f>
        <v>-1</v>
      </c>
      <c r="P73" s="42">
        <f>SNKS!I96</f>
        <v>-2</v>
      </c>
      <c r="Q73" s="42">
        <f>SNKS!J96</f>
        <v>0</v>
      </c>
      <c r="R73" s="42">
        <f>SNKS!K96</f>
        <v>0</v>
      </c>
      <c r="S73" s="42">
        <f>SNKS!L96</f>
        <v>0</v>
      </c>
      <c r="T73" s="42">
        <f>SNKS!M96</f>
        <v>0</v>
      </c>
      <c r="U73" s="42">
        <f>SNKS!N96</f>
        <v>0</v>
      </c>
      <c r="V73" s="42">
        <f>SNKS!O96</f>
        <v>0</v>
      </c>
      <c r="W73" s="42">
        <f>SNKS!P96</f>
        <v>0</v>
      </c>
      <c r="X73" s="42">
        <f>SNKS!Q96</f>
        <v>0</v>
      </c>
      <c r="Y73" s="42">
        <f>SNKS!R96</f>
        <v>0</v>
      </c>
      <c r="Z73" s="42">
        <f>SNKS!S96</f>
        <v>0</v>
      </c>
      <c r="AA73" s="42">
        <f>SNKS!T96</f>
        <v>0</v>
      </c>
      <c r="AB73" s="42">
        <f>SNKS!U96</f>
        <v>0</v>
      </c>
      <c r="AC73" s="42">
        <f>SNKS!V96</f>
        <v>0</v>
      </c>
      <c r="AD73" s="42">
        <f>SNKS!W96</f>
        <v>0</v>
      </c>
      <c r="AE73" s="42">
        <f>SNKS!X96</f>
        <v>0</v>
      </c>
      <c r="AF73" s="42">
        <f>SNKS!Y96</f>
        <v>0</v>
      </c>
      <c r="AG73" s="42">
        <f>SNKS!Z96</f>
        <v>0</v>
      </c>
      <c r="AH73" s="42">
        <f>SNKS!AA96</f>
        <v>0</v>
      </c>
      <c r="AI73" s="42">
        <f>SNKS!AB96</f>
        <v>0</v>
      </c>
      <c r="AJ73" s="42">
        <f>SNKS!AC96</f>
        <v>0</v>
      </c>
      <c r="AK73" s="42">
        <f>SNKS!AD96</f>
        <v>0</v>
      </c>
      <c r="AL73" s="42">
        <f>SNKS!AE96</f>
        <v>0</v>
      </c>
      <c r="AM73" s="42">
        <f>SNKS!AF96</f>
        <v>0</v>
      </c>
      <c r="AN73" s="42">
        <f>SNKS!AG96</f>
        <v>0</v>
      </c>
      <c r="AO73" s="42">
        <f>SNKS!AH96</f>
        <v>0</v>
      </c>
      <c r="AP73" s="42">
        <f>SNKS!AI96</f>
        <v>0</v>
      </c>
      <c r="AQ73" s="42">
        <f>SNKS!AJ96</f>
        <v>0</v>
      </c>
      <c r="AR73" s="42">
        <f>SNKS!AK96</f>
        <v>0</v>
      </c>
      <c r="AS73" s="42">
        <f>SNKS!AL96</f>
        <v>0</v>
      </c>
      <c r="AT73" s="42">
        <f>SNKS!AM96</f>
        <v>0</v>
      </c>
      <c r="AU73" s="42">
        <f>SNKS!AN96</f>
        <v>0</v>
      </c>
      <c r="AV73" s="42">
        <f>SNKS!AO96</f>
        <v>0</v>
      </c>
      <c r="AW73" s="42">
        <f>SNKS!AP96</f>
        <v>0</v>
      </c>
      <c r="AX73" s="42">
        <f>SNKS!AQ96</f>
        <v>0</v>
      </c>
      <c r="AY73" s="42">
        <f>SNKS!AR96</f>
        <v>0</v>
      </c>
      <c r="AZ73" s="42">
        <f>SNKS!AS96</f>
        <v>0</v>
      </c>
      <c r="BA73" s="42">
        <f>SNKS!AT96</f>
        <v>0</v>
      </c>
      <c r="BB73" s="42">
        <f>SNKS!AU96</f>
        <v>0</v>
      </c>
      <c r="BC73" s="42">
        <f>SNKS!AV96</f>
        <v>0</v>
      </c>
      <c r="BD73" s="42">
        <f>SNKS!AW96</f>
        <v>0</v>
      </c>
      <c r="BE73" s="42">
        <f>SNKS!AX96</f>
        <v>0</v>
      </c>
      <c r="BF73" s="42">
        <f>SNKS!AY96</f>
        <v>0</v>
      </c>
      <c r="BG73" s="42">
        <f>SNKS!AZ96</f>
        <v>0</v>
      </c>
      <c r="BH73" s="42">
        <f>SNKS!BA96</f>
        <v>0</v>
      </c>
      <c r="BI73" s="42">
        <f>SNKS!BB96</f>
        <v>0</v>
      </c>
      <c r="BJ73" s="42">
        <f>SNKS!BC96</f>
        <v>0</v>
      </c>
      <c r="BK73" s="384"/>
      <c r="BL73" s="384"/>
      <c r="BM73" s="384"/>
      <c r="BN73" s="384"/>
      <c r="BO73" s="384"/>
      <c r="BP73" s="384"/>
      <c r="BQ73" s="384"/>
      <c r="BR73" s="384"/>
      <c r="BS73" s="384"/>
      <c r="BT73" s="384"/>
    </row>
    <row r="74" spans="1:100">
      <c r="A74" t="s">
        <v>131</v>
      </c>
      <c r="B74" s="656">
        <v>161374.69559700001</v>
      </c>
      <c r="C74" s="656">
        <v>243292.092</v>
      </c>
      <c r="D74" s="656">
        <v>169531.318</v>
      </c>
      <c r="E74" s="656">
        <v>173996.92300000001</v>
      </c>
      <c r="F74" s="656">
        <v>203530.10808999999</v>
      </c>
      <c r="G74" s="656">
        <v>275558.76099236996</v>
      </c>
      <c r="H74" s="656">
        <v>355377.37409837102</v>
      </c>
      <c r="I74" s="311">
        <v>316389.39300000004</v>
      </c>
      <c r="J74" s="311">
        <v>415866.28285070998</v>
      </c>
      <c r="K74" s="311">
        <v>279793.89899999998</v>
      </c>
      <c r="L74" s="311">
        <v>275957.5</v>
      </c>
      <c r="M74" s="311">
        <v>350801.03689237998</v>
      </c>
      <c r="N74" s="311">
        <v>395483</v>
      </c>
      <c r="O74" s="311">
        <v>345152</v>
      </c>
      <c r="P74" s="42">
        <f t="shared" ref="P74:AF74" si="105">SUM(P70:P73)</f>
        <v>311665.75820436003</v>
      </c>
      <c r="Q74" s="42">
        <f t="shared" si="105"/>
        <v>218255.63133165002</v>
      </c>
      <c r="R74" s="42">
        <f t="shared" si="105"/>
        <v>124778.65341785</v>
      </c>
      <c r="S74" s="42">
        <f t="shared" si="105"/>
        <v>167846.62850406003</v>
      </c>
      <c r="T74" s="42">
        <f t="shared" si="105"/>
        <v>250958.80235355001</v>
      </c>
      <c r="U74" s="42">
        <f t="shared" si="105"/>
        <v>256923.65152923999</v>
      </c>
      <c r="V74" s="42">
        <f t="shared" si="105"/>
        <v>106824.48939982998</v>
      </c>
      <c r="W74" s="42">
        <f t="shared" si="105"/>
        <v>287512.59763544996</v>
      </c>
      <c r="X74" s="42">
        <f t="shared" si="105"/>
        <v>1285223.0495520001</v>
      </c>
      <c r="Y74" s="42">
        <f t="shared" si="105"/>
        <v>978064.87363299995</v>
      </c>
      <c r="Z74" s="42">
        <f t="shared" si="105"/>
        <v>702159.39181099995</v>
      </c>
      <c r="AA74" s="42">
        <f t="shared" si="105"/>
        <v>663615.54099999997</v>
      </c>
      <c r="AB74" s="42">
        <f t="shared" si="105"/>
        <v>521305.59999999998</v>
      </c>
      <c r="AC74" s="42">
        <f t="shared" si="105"/>
        <v>407654.37359999999</v>
      </c>
      <c r="AD74" s="42">
        <f t="shared" si="105"/>
        <v>380031.60091275512</v>
      </c>
      <c r="AE74" s="42">
        <f t="shared" si="105"/>
        <v>340095.0683479592</v>
      </c>
      <c r="AF74" s="42">
        <f t="shared" si="105"/>
        <v>279907.85844141745</v>
      </c>
      <c r="AG74" s="42">
        <f t="shared" ref="AG74:AY74" si="106">SUM(AG70:AG73)</f>
        <v>241434.71363651226</v>
      </c>
      <c r="AH74" s="42">
        <f t="shared" si="106"/>
        <v>240877.07411134115</v>
      </c>
      <c r="AI74" s="42">
        <f t="shared" si="106"/>
        <v>240207.64038628744</v>
      </c>
      <c r="AJ74" s="42">
        <f t="shared" si="106"/>
        <v>243004.96426466858</v>
      </c>
      <c r="AK74" s="42">
        <f t="shared" si="106"/>
        <v>253485.96184610747</v>
      </c>
      <c r="AL74" s="42">
        <f t="shared" si="106"/>
        <v>254640.18869715539</v>
      </c>
      <c r="AM74" s="42">
        <f t="shared" si="106"/>
        <v>249473.30435239262</v>
      </c>
      <c r="AN74" s="42">
        <f t="shared" si="106"/>
        <v>229935.56740300223</v>
      </c>
      <c r="AO74" s="42">
        <f t="shared" si="106"/>
        <v>209224.21507105534</v>
      </c>
      <c r="AP74" s="42">
        <f t="shared" si="106"/>
        <v>195906.54051383105</v>
      </c>
      <c r="AQ74" s="42">
        <f t="shared" si="106"/>
        <v>183556.1949552744</v>
      </c>
      <c r="AR74" s="42">
        <f t="shared" si="106"/>
        <v>178137.25854185133</v>
      </c>
      <c r="AS74" s="42">
        <f t="shared" si="106"/>
        <v>164620.78186490035</v>
      </c>
      <c r="AT74" s="42">
        <f t="shared" si="106"/>
        <v>161561.27847178231</v>
      </c>
      <c r="AU74" s="42">
        <f t="shared" si="106"/>
        <v>152065.09344408213</v>
      </c>
      <c r="AV74" s="42">
        <f t="shared" si="106"/>
        <v>147006.49506473821</v>
      </c>
      <c r="AW74" s="42">
        <f t="shared" si="106"/>
        <v>140314.59556650935</v>
      </c>
      <c r="AX74" s="42">
        <f t="shared" si="106"/>
        <v>137796.20796118857</v>
      </c>
      <c r="AY74" s="42">
        <f t="shared" si="106"/>
        <v>133349.55752020472</v>
      </c>
      <c r="AZ74" s="42">
        <f>SUM(AZ70:AZ73)</f>
        <v>126817.75237058639</v>
      </c>
      <c r="BA74" s="42">
        <f t="shared" ref="BA74:BJ74" si="107">SUM(BA70:BA73)</f>
        <v>129073.78537878627</v>
      </c>
      <c r="BB74" s="42">
        <f t="shared" si="107"/>
        <v>126418.40397636099</v>
      </c>
      <c r="BC74" s="42">
        <f t="shared" si="107"/>
        <v>118683.20180295763</v>
      </c>
      <c r="BD74" s="42">
        <f t="shared" si="107"/>
        <v>111774.15830552611</v>
      </c>
      <c r="BE74" s="42">
        <f t="shared" si="107"/>
        <v>107715.42764511259</v>
      </c>
      <c r="BF74" s="42">
        <f t="shared" si="107"/>
        <v>109415.49249540133</v>
      </c>
      <c r="BG74" s="42">
        <f t="shared" si="107"/>
        <v>110259.82172594997</v>
      </c>
      <c r="BH74" s="42">
        <f t="shared" si="107"/>
        <v>107836.65726143733</v>
      </c>
      <c r="BI74" s="42">
        <f t="shared" si="107"/>
        <v>102763.83401222908</v>
      </c>
      <c r="BJ74" s="42">
        <f t="shared" si="107"/>
        <v>100035.63988825423</v>
      </c>
      <c r="BK74" s="384">
        <f t="shared" ref="BK74:CI74" si="108">(BK62*BK86)</f>
        <v>97788.48357434271</v>
      </c>
      <c r="BL74" s="384">
        <f t="shared" si="108"/>
        <v>95428.04320408871</v>
      </c>
      <c r="BM74" s="384">
        <f t="shared" si="108"/>
        <v>92951.52310025676</v>
      </c>
      <c r="BN74" s="384">
        <f t="shared" si="108"/>
        <v>90356.100545180481</v>
      </c>
      <c r="BO74" s="384">
        <f t="shared" si="108"/>
        <v>87638.927602131749</v>
      </c>
      <c r="BP74" s="384">
        <f t="shared" si="108"/>
        <v>84797.133098618971</v>
      </c>
      <c r="BQ74" s="384">
        <f t="shared" si="108"/>
        <v>81827.824780713592</v>
      </c>
      <c r="BR74" s="384">
        <f t="shared" si="108"/>
        <v>78728.091647946436</v>
      </c>
      <c r="BS74" s="384">
        <f t="shared" si="108"/>
        <v>75495.006478772077</v>
      </c>
      <c r="BT74" s="384">
        <f t="shared" si="108"/>
        <v>72125.628557083663</v>
      </c>
      <c r="BU74" s="384">
        <f t="shared" si="108"/>
        <v>68617.006610758792</v>
      </c>
      <c r="BV74" s="384">
        <f t="shared" si="108"/>
        <v>64966.181973744897</v>
      </c>
      <c r="BW74" s="384">
        <f>(BW62*BW86)</f>
        <v>61170.191983738099</v>
      </c>
      <c r="BX74" s="384">
        <f t="shared" si="108"/>
        <v>57226.073628084334</v>
      </c>
      <c r="BY74" s="384">
        <f t="shared" si="108"/>
        <v>53130.867451124432</v>
      </c>
      <c r="BZ74" s="384">
        <f t="shared" si="108"/>
        <v>48881.621736838351</v>
      </c>
      <c r="CA74" s="384">
        <f t="shared" si="108"/>
        <v>44475.396981283033</v>
      </c>
      <c r="CB74" s="384">
        <f t="shared" si="108"/>
        <v>39909.270670013873</v>
      </c>
      <c r="CC74" s="384">
        <f t="shared" si="108"/>
        <v>35180.342376378314</v>
      </c>
      <c r="CD74" s="384">
        <f t="shared" si="108"/>
        <v>30285.739197318911</v>
      </c>
      <c r="CE74" s="384">
        <f t="shared" si="108"/>
        <v>25222.621544101665</v>
      </c>
      <c r="CF74" s="384">
        <f t="shared" si="108"/>
        <v>19988.189306183227</v>
      </c>
      <c r="CG74" s="384">
        <f t="shared" si="108"/>
        <v>14579.68840729128</v>
      </c>
      <c r="CH74" s="384">
        <f t="shared" si="108"/>
        <v>8994.417773659974</v>
      </c>
      <c r="CI74" s="384">
        <f t="shared" si="108"/>
        <v>3229.7367352939241</v>
      </c>
      <c r="CJ74" s="384">
        <f t="shared" ref="CJ74:CN74" si="109">(CJ62*CJ86)</f>
        <v>-2716.9271179091807</v>
      </c>
      <c r="CK74" s="384">
        <f t="shared" si="109"/>
        <v>-8848.0696023470973</v>
      </c>
      <c r="CL74" s="384">
        <f t="shared" si="109"/>
        <v>-15166.101105326063</v>
      </c>
      <c r="CM74" s="384">
        <f t="shared" si="109"/>
        <v>-21673.337223129347</v>
      </c>
      <c r="CN74" s="384">
        <f t="shared" si="109"/>
        <v>-28371.988846424043</v>
      </c>
      <c r="CO74" s="42"/>
      <c r="CP74" s="42"/>
      <c r="CQ74" s="42"/>
      <c r="CR74" s="42"/>
      <c r="CS74" s="42"/>
      <c r="CT74" s="42"/>
      <c r="CU74" s="42"/>
      <c r="CV74" s="42"/>
    </row>
    <row r="75" spans="1:100"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384"/>
      <c r="BL75" s="384"/>
      <c r="BM75" s="384"/>
      <c r="BN75" s="384"/>
      <c r="BO75" s="384"/>
      <c r="BP75" s="384"/>
      <c r="BQ75" s="384"/>
      <c r="BR75" s="384"/>
      <c r="BS75" s="384"/>
      <c r="BT75" s="384"/>
    </row>
    <row r="76" spans="1:100" s="32" customFormat="1">
      <c r="A76" s="32" t="s">
        <v>112</v>
      </c>
      <c r="I76" s="45">
        <f>SNKS!B99-I74</f>
        <v>-2.2000000055413693E-2</v>
      </c>
      <c r="J76" s="45">
        <f>SNKS!C99-J74</f>
        <v>-0.15666281001176685</v>
      </c>
      <c r="K76" s="45">
        <f>SNKS!D99-K74</f>
        <v>0</v>
      </c>
      <c r="L76" s="45">
        <f>SNKS!E99-L74</f>
        <v>-0.14100000006146729</v>
      </c>
      <c r="M76" s="45">
        <f>SNKS!F99-M74</f>
        <v>2.462000000057742</v>
      </c>
      <c r="N76" s="45">
        <f>SNKS!G99-N74</f>
        <v>-0.23672833002638072</v>
      </c>
      <c r="O76" s="45">
        <f>SNKS!H99-O74</f>
        <v>-0.67017209000186995</v>
      </c>
      <c r="P76" s="45">
        <f>SNKS!I99-P74</f>
        <v>0</v>
      </c>
      <c r="Q76" s="45">
        <f>SNKS!J99-Q74</f>
        <v>0</v>
      </c>
      <c r="R76" s="45">
        <f>SNKS!K99-R74</f>
        <v>0</v>
      </c>
      <c r="S76" s="45">
        <f>SNKS!L99-S74</f>
        <v>0</v>
      </c>
      <c r="T76" s="45">
        <f>SNKS!M99-T74</f>
        <v>0</v>
      </c>
      <c r="U76" s="45">
        <f>SNKS!N99-U74</f>
        <v>0</v>
      </c>
      <c r="V76" s="45">
        <f>SNKS!O99-V74</f>
        <v>0</v>
      </c>
      <c r="W76" s="45">
        <f>SNKS!P99-W74</f>
        <v>0</v>
      </c>
      <c r="X76" s="45">
        <f>SNKS!Q99-X74</f>
        <v>0</v>
      </c>
      <c r="Y76" s="45">
        <f>SNKS!R99-Y74</f>
        <v>0</v>
      </c>
      <c r="Z76" s="45">
        <f>SNKS!S99-Z74</f>
        <v>0</v>
      </c>
      <c r="AA76" s="45">
        <f>SNKS!T99-AA74</f>
        <v>0</v>
      </c>
      <c r="AB76" s="45">
        <f>SNKS!U99-AB74</f>
        <v>0</v>
      </c>
      <c r="AC76" s="45">
        <f>SNKS!V99-AC74</f>
        <v>0</v>
      </c>
      <c r="AD76" s="45">
        <f>SNKS!W99-AD74</f>
        <v>0</v>
      </c>
      <c r="AE76" s="45">
        <f>SNKS!X99-AE74</f>
        <v>0</v>
      </c>
      <c r="AF76" s="45">
        <f>SNKS!Y99-AF74</f>
        <v>0</v>
      </c>
      <c r="AG76" s="45">
        <f>SNKS!Z99-AG74</f>
        <v>0</v>
      </c>
      <c r="AH76" s="45">
        <f>SNKS!AA99-AH74</f>
        <v>0</v>
      </c>
      <c r="AI76" s="45">
        <f>SNKS!AB99-AI74</f>
        <v>0</v>
      </c>
      <c r="AJ76" s="45">
        <f>SNKS!AC99-AJ74</f>
        <v>0</v>
      </c>
      <c r="AK76" s="45">
        <f>SNKS!AD99-AK74</f>
        <v>0</v>
      </c>
      <c r="AL76" s="45">
        <f>SNKS!AE99-AL74</f>
        <v>0</v>
      </c>
      <c r="AM76" s="45">
        <f>SNKS!AF99-AM74</f>
        <v>0</v>
      </c>
      <c r="AN76" s="45">
        <f>SNKS!AG99-AN74</f>
        <v>0</v>
      </c>
      <c r="AO76" s="45">
        <f>SNKS!AH99-AO74</f>
        <v>0</v>
      </c>
      <c r="AP76" s="45">
        <f>SNKS!AI99-AP74</f>
        <v>0</v>
      </c>
      <c r="AQ76" s="45">
        <f>SNKS!AJ99-AQ74</f>
        <v>0</v>
      </c>
      <c r="AR76" s="45">
        <f>SNKS!AK99-AR74</f>
        <v>0</v>
      </c>
      <c r="AS76" s="45">
        <f>SNKS!AL99-AS74</f>
        <v>0</v>
      </c>
      <c r="AT76" s="45">
        <f>SNKS!AM99-AT74</f>
        <v>0</v>
      </c>
      <c r="AU76" s="45">
        <f>SNKS!AN99-AU74</f>
        <v>0</v>
      </c>
      <c r="AV76" s="45">
        <f>SNKS!AO99-AV74</f>
        <v>0</v>
      </c>
      <c r="AW76" s="45">
        <f>SNKS!AP99-AW74</f>
        <v>0</v>
      </c>
      <c r="AX76" s="45">
        <f>SNKS!AQ99-AX74</f>
        <v>0</v>
      </c>
      <c r="AY76" s="45">
        <f>SNKS!AR99-AY74</f>
        <v>0</v>
      </c>
      <c r="AZ76" s="45">
        <f>SNKS!AS99-AZ74</f>
        <v>0</v>
      </c>
      <c r="BA76" s="45">
        <f>SNKS!AT99-BA74</f>
        <v>0</v>
      </c>
      <c r="BB76" s="45">
        <f>SNKS!AU99-BB74</f>
        <v>0</v>
      </c>
      <c r="BC76" s="45">
        <f>SNKS!AV99-BC74</f>
        <v>0</v>
      </c>
      <c r="BD76" s="45">
        <f>SNKS!AW99-BD74</f>
        <v>0</v>
      </c>
      <c r="BE76" s="45">
        <f>SNKS!AX99-BE74</f>
        <v>0</v>
      </c>
      <c r="BF76" s="45">
        <f>SNKS!AY99-BF74</f>
        <v>0</v>
      </c>
      <c r="BG76" s="45">
        <f>SNKS!AZ99-BG74</f>
        <v>0</v>
      </c>
      <c r="BH76" s="45">
        <f>SNKS!BA99-BH74</f>
        <v>0</v>
      </c>
      <c r="BI76" s="45">
        <f>SNKS!BB99-BI74</f>
        <v>0</v>
      </c>
      <c r="BJ76" s="45">
        <f>SNKS!BC99-BJ74</f>
        <v>0</v>
      </c>
      <c r="BK76" s="392">
        <f>Skiftberegning!BJ76</f>
        <v>0</v>
      </c>
      <c r="BL76" s="392">
        <f>Skiftberegning!BK76</f>
        <v>0</v>
      </c>
      <c r="BM76" s="392">
        <f>Skiftberegning!BL76</f>
        <v>0</v>
      </c>
      <c r="BN76" s="392">
        <f>Skiftberegning!BM76</f>
        <v>0</v>
      </c>
      <c r="BO76" s="392">
        <f>Skiftberegning!BN76</f>
        <v>0</v>
      </c>
      <c r="BP76" s="392">
        <f>Skiftberegning!BO76</f>
        <v>0</v>
      </c>
      <c r="BQ76" s="392">
        <f>Skiftberegning!BP76</f>
        <v>0</v>
      </c>
      <c r="BR76" s="392">
        <f>Skiftberegning!BQ76</f>
        <v>0</v>
      </c>
      <c r="BS76" s="392">
        <f>Skiftberegning!BR76</f>
        <v>0</v>
      </c>
      <c r="BT76" s="392">
        <f>Skiftberegning!BS76</f>
        <v>0</v>
      </c>
      <c r="BU76" s="392">
        <f>Skiftberegning!BT76</f>
        <v>0</v>
      </c>
      <c r="BV76" s="392">
        <f>Skiftberegning!BU76</f>
        <v>0</v>
      </c>
      <c r="BW76" s="392">
        <f>Skiftberegning!BV76</f>
        <v>0</v>
      </c>
      <c r="BX76" s="392">
        <f>Skiftberegning!BW76</f>
        <v>0</v>
      </c>
      <c r="BY76" s="392">
        <f>Skiftberegning!BX76</f>
        <v>0</v>
      </c>
      <c r="BZ76" s="392">
        <f>Skiftberegning!BY76</f>
        <v>0</v>
      </c>
      <c r="CA76" s="392">
        <f>Skiftberegning!BZ76</f>
        <v>0</v>
      </c>
      <c r="CB76" s="392">
        <f>Skiftberegning!CA76</f>
        <v>0</v>
      </c>
      <c r="CC76" s="392">
        <f>Skiftberegning!CB76</f>
        <v>0</v>
      </c>
      <c r="CD76" s="392">
        <f>Skiftberegning!CC76</f>
        <v>0</v>
      </c>
      <c r="CE76" s="392">
        <f>Skiftberegning!CD76</f>
        <v>0</v>
      </c>
      <c r="CF76" s="392">
        <f>Skiftberegning!CE76</f>
        <v>0</v>
      </c>
      <c r="CG76" s="392">
        <f>Skiftberegning!CF76</f>
        <v>0</v>
      </c>
      <c r="CH76" s="392">
        <f>Skiftberegning!CG76</f>
        <v>0</v>
      </c>
      <c r="CI76" s="392">
        <f>Skiftberegning!CH76</f>
        <v>0</v>
      </c>
      <c r="CJ76" s="392">
        <f>Skiftberegning!CI76</f>
        <v>0</v>
      </c>
      <c r="CK76" s="392">
        <f>Skiftberegning!CJ76</f>
        <v>0</v>
      </c>
      <c r="CL76" s="392">
        <f>Skiftberegning!CK76</f>
        <v>0</v>
      </c>
      <c r="CM76" s="392">
        <f>Skiftberegning!CL76</f>
        <v>0</v>
      </c>
      <c r="CN76" s="392">
        <f>Skiftberegning!CM76</f>
        <v>0</v>
      </c>
      <c r="CO76" s="45"/>
      <c r="CP76" s="45"/>
      <c r="CQ76" s="45"/>
      <c r="CR76" s="45"/>
      <c r="CS76" s="45"/>
      <c r="CT76" s="45"/>
      <c r="CU76" s="45"/>
      <c r="CV76" s="45"/>
    </row>
    <row r="77" spans="1:100">
      <c r="I77" s="77"/>
      <c r="J77" s="77"/>
      <c r="K77" s="77"/>
      <c r="L77" s="77"/>
      <c r="M77" s="77"/>
      <c r="N77" s="77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393"/>
      <c r="BL77" s="393"/>
      <c r="BM77" s="393"/>
      <c r="BN77" s="393"/>
      <c r="BO77" s="393"/>
      <c r="BP77" s="393"/>
      <c r="BQ77" s="393"/>
      <c r="BR77" s="393"/>
      <c r="BS77" s="393"/>
      <c r="BT77" s="393"/>
    </row>
    <row r="78" spans="1:100">
      <c r="A78" s="2" t="s">
        <v>447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379"/>
      <c r="BL78" s="379"/>
      <c r="BM78" s="379"/>
      <c r="BN78" s="379"/>
      <c r="BO78" s="379"/>
      <c r="BP78" s="379"/>
      <c r="BQ78" s="379"/>
      <c r="BR78" s="379"/>
      <c r="BS78" s="379"/>
      <c r="BT78" s="379"/>
    </row>
    <row r="79" spans="1:100">
      <c r="A79" t="s">
        <v>26</v>
      </c>
      <c r="I79" s="42">
        <f t="shared" ref="I79:AF79" si="110">I69/I$44</f>
        <v>0</v>
      </c>
      <c r="J79" s="42">
        <f t="shared" si="110"/>
        <v>0</v>
      </c>
      <c r="K79" s="42">
        <f t="shared" si="110"/>
        <v>0</v>
      </c>
      <c r="L79" s="42">
        <f t="shared" si="110"/>
        <v>0</v>
      </c>
      <c r="M79" s="42">
        <f t="shared" si="110"/>
        <v>0</v>
      </c>
      <c r="N79" s="42">
        <f t="shared" si="110"/>
        <v>0</v>
      </c>
      <c r="O79" s="42">
        <f t="shared" si="110"/>
        <v>0</v>
      </c>
      <c r="P79" s="42">
        <f t="shared" si="110"/>
        <v>218674.53811370503</v>
      </c>
      <c r="Q79" s="42">
        <f t="shared" si="110"/>
        <v>128055.74462463084</v>
      </c>
      <c r="R79" s="42">
        <f t="shared" si="110"/>
        <v>78977.335774554129</v>
      </c>
      <c r="S79" s="42">
        <f t="shared" si="110"/>
        <v>133456.09042879703</v>
      </c>
      <c r="T79" s="42">
        <f t="shared" si="110"/>
        <v>211170.11232054344</v>
      </c>
      <c r="U79" s="42">
        <f t="shared" si="110"/>
        <v>162558.50784110051</v>
      </c>
      <c r="V79" s="42">
        <f t="shared" si="110"/>
        <v>-5830.5272753423687</v>
      </c>
      <c r="W79" s="42">
        <f t="shared" si="110"/>
        <v>367197.83473288157</v>
      </c>
      <c r="X79" s="42">
        <f t="shared" si="110"/>
        <v>1080560.4293117854</v>
      </c>
      <c r="Y79" s="42">
        <f t="shared" si="110"/>
        <v>521843.58135090373</v>
      </c>
      <c r="Z79" s="42">
        <f t="shared" si="110"/>
        <v>416604.38967970951</v>
      </c>
      <c r="AA79" s="42">
        <f t="shared" si="110"/>
        <v>348168.69999999995</v>
      </c>
      <c r="AB79" s="42">
        <f t="shared" si="110"/>
        <v>266900</v>
      </c>
      <c r="AC79" s="42">
        <f t="shared" si="110"/>
        <v>228893.24191968661</v>
      </c>
      <c r="AD79" s="42">
        <f t="shared" si="110"/>
        <v>211906.47720110783</v>
      </c>
      <c r="AE79" s="42">
        <f t="shared" si="110"/>
        <v>188850.80098121733</v>
      </c>
      <c r="AF79" s="42">
        <f t="shared" si="110"/>
        <v>134853.95212003813</v>
      </c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384"/>
      <c r="BL79" s="384"/>
      <c r="BM79" s="384"/>
      <c r="BN79" s="384"/>
      <c r="BO79" s="384"/>
      <c r="BP79" s="384"/>
      <c r="BQ79" s="384"/>
      <c r="BR79" s="384"/>
      <c r="BS79" s="384"/>
      <c r="BT79" s="384"/>
    </row>
    <row r="80" spans="1:100">
      <c r="A80" t="s">
        <v>27</v>
      </c>
      <c r="I80" s="42">
        <f t="shared" ref="I80:AF80" si="111">I70/I$44</f>
        <v>0</v>
      </c>
      <c r="J80" s="42">
        <f t="shared" si="111"/>
        <v>0</v>
      </c>
      <c r="K80" s="42">
        <f t="shared" si="111"/>
        <v>0</v>
      </c>
      <c r="L80" s="42">
        <f t="shared" si="111"/>
        <v>0</v>
      </c>
      <c r="M80" s="42">
        <f t="shared" si="111"/>
        <v>0</v>
      </c>
      <c r="N80" s="42">
        <f t="shared" si="111"/>
        <v>0</v>
      </c>
      <c r="O80" s="42">
        <f t="shared" si="111"/>
        <v>0</v>
      </c>
      <c r="P80" s="42">
        <f t="shared" si="111"/>
        <v>249325.77601093557</v>
      </c>
      <c r="Q80" s="42">
        <f t="shared" si="111"/>
        <v>155722.25638067655</v>
      </c>
      <c r="R80" s="42">
        <f t="shared" si="111"/>
        <v>66458.964314638564</v>
      </c>
      <c r="S80" s="42">
        <f t="shared" si="111"/>
        <v>97292.144061555096</v>
      </c>
      <c r="T80" s="42">
        <f t="shared" si="111"/>
        <v>156497.99697071948</v>
      </c>
      <c r="U80" s="42">
        <f t="shared" si="111"/>
        <v>183976.0775008832</v>
      </c>
      <c r="V80" s="42">
        <f t="shared" si="111"/>
        <v>45838.914612563181</v>
      </c>
      <c r="W80" s="42">
        <f t="shared" si="111"/>
        <v>113571.68392906306</v>
      </c>
      <c r="X80" s="42">
        <f t="shared" si="111"/>
        <v>825382.64796211128</v>
      </c>
      <c r="Y80" s="42">
        <f t="shared" si="111"/>
        <v>685333.35236788134</v>
      </c>
      <c r="Z80" s="42">
        <f t="shared" si="111"/>
        <v>448971.24370910606</v>
      </c>
      <c r="AA80" s="42">
        <f t="shared" si="111"/>
        <v>395698.83099999995</v>
      </c>
      <c r="AB80" s="42">
        <f t="shared" si="111"/>
        <v>302501</v>
      </c>
      <c r="AC80" s="42">
        <f t="shared" si="111"/>
        <v>242409.40254652305</v>
      </c>
      <c r="AD80" s="42">
        <f t="shared" si="111"/>
        <v>220060.41588924461</v>
      </c>
      <c r="AE80" s="42">
        <f t="shared" si="111"/>
        <v>198810.09695336112</v>
      </c>
      <c r="AF80" s="42">
        <f t="shared" si="111"/>
        <v>162856.41212310616</v>
      </c>
      <c r="AG80" s="42">
        <f t="shared" ref="AG80:AZ80" si="112">AG70/AG$44</f>
        <v>130132.6911262288</v>
      </c>
      <c r="AH80" s="42">
        <f t="shared" si="112"/>
        <v>131388.1384328173</v>
      </c>
      <c r="AI80" s="42">
        <f t="shared" si="112"/>
        <v>128377.89806441044</v>
      </c>
      <c r="AJ80" s="42">
        <f t="shared" si="112"/>
        <v>128073.24542744683</v>
      </c>
      <c r="AK80" s="42">
        <f t="shared" si="112"/>
        <v>133654.7059962021</v>
      </c>
      <c r="AL80" s="42">
        <f t="shared" si="112"/>
        <v>135450.90275006162</v>
      </c>
      <c r="AM80" s="42">
        <f t="shared" si="112"/>
        <v>130710.05700163422</v>
      </c>
      <c r="AN80" s="42">
        <f t="shared" si="112"/>
        <v>119577.76777305765</v>
      </c>
      <c r="AO80" s="42">
        <f t="shared" si="112"/>
        <v>107752.71644476325</v>
      </c>
      <c r="AP80" s="42">
        <f t="shared" si="112"/>
        <v>99368.020228382054</v>
      </c>
      <c r="AQ80" s="42">
        <f t="shared" si="112"/>
        <v>93048.709018748865</v>
      </c>
      <c r="AR80" s="42">
        <f t="shared" si="112"/>
        <v>85050.610607089824</v>
      </c>
      <c r="AS80" s="42">
        <f t="shared" si="112"/>
        <v>78113.661723662983</v>
      </c>
      <c r="AT80" s="42">
        <f t="shared" si="112"/>
        <v>73789.604842003842</v>
      </c>
      <c r="AU80" s="42">
        <f t="shared" si="112"/>
        <v>68236.255057300368</v>
      </c>
      <c r="AV80" s="42">
        <f t="shared" si="112"/>
        <v>63878.807810244412</v>
      </c>
      <c r="AW80" s="42">
        <f t="shared" si="112"/>
        <v>60455.413142213103</v>
      </c>
      <c r="AX80" s="42">
        <f t="shared" si="112"/>
        <v>58044.626328694649</v>
      </c>
      <c r="AY80" s="42">
        <f t="shared" si="112"/>
        <v>55325.760389551004</v>
      </c>
      <c r="AZ80" s="42">
        <f t="shared" si="112"/>
        <v>52505.231428515071</v>
      </c>
      <c r="BA80" s="42">
        <f t="shared" ref="BA80:BJ80" si="113">BA70/BA$44</f>
        <v>54149.780312066723</v>
      </c>
      <c r="BB80" s="42">
        <f t="shared" si="113"/>
        <v>51896.369635142401</v>
      </c>
      <c r="BC80" s="42">
        <f t="shared" si="113"/>
        <v>48191.73921004984</v>
      </c>
      <c r="BD80" s="42">
        <f t="shared" si="113"/>
        <v>44268.822827532415</v>
      </c>
      <c r="BE80" s="42">
        <f t="shared" si="113"/>
        <v>41042.677481325867</v>
      </c>
      <c r="BF80" s="42">
        <f t="shared" si="113"/>
        <v>40568.189297144876</v>
      </c>
      <c r="BG80" s="42">
        <f t="shared" si="113"/>
        <v>40420.32322819261</v>
      </c>
      <c r="BH80" s="42">
        <f t="shared" si="113"/>
        <v>36347.498701233439</v>
      </c>
      <c r="BI80" s="42">
        <f t="shared" si="113"/>
        <v>33093.16461367545</v>
      </c>
      <c r="BJ80" s="42">
        <f t="shared" si="113"/>
        <v>30766.1266692385</v>
      </c>
      <c r="BK80" s="384">
        <f t="shared" ref="BK80:BT80" si="114">BK70/BK$44</f>
        <v>29485.303945533928</v>
      </c>
      <c r="BL80" s="384">
        <f t="shared" si="114"/>
        <v>28209.39319546958</v>
      </c>
      <c r="BM80" s="384">
        <f t="shared" si="114"/>
        <v>26938.540627701612</v>
      </c>
      <c r="BN80" s="384">
        <f t="shared" si="114"/>
        <v>25672.896044200319</v>
      </c>
      <c r="BO80" s="384">
        <f t="shared" si="114"/>
        <v>24412.612920360581</v>
      </c>
      <c r="BP80" s="384">
        <f t="shared" si="114"/>
        <v>23157.848486777224</v>
      </c>
      <c r="BQ80" s="384">
        <f t="shared" si="114"/>
        <v>21908.763812717996</v>
      </c>
      <c r="BR80" s="384">
        <f t="shared" si="114"/>
        <v>20665.523891328146</v>
      </c>
      <c r="BS80" s="384">
        <f t="shared" si="114"/>
        <v>19428.297726600202</v>
      </c>
      <c r="BT80" s="384">
        <f t="shared" si="114"/>
        <v>18197.258422144452</v>
      </c>
      <c r="BU80" s="384">
        <f t="shared" ref="BU80:CI80" si="115">BU70/BU$44</f>
        <v>16972.583271795014</v>
      </c>
      <c r="BV80" s="384">
        <f t="shared" si="115"/>
        <v>15754.453852088063</v>
      </c>
      <c r="BW80" s="384">
        <f t="shared" si="115"/>
        <v>14543.056116648911</v>
      </c>
      <c r="BX80" s="384">
        <f t="shared" si="115"/>
        <v>13338.580492525782</v>
      </c>
      <c r="BY80" s="384">
        <f t="shared" si="115"/>
        <v>12141.221978507769</v>
      </c>
      <c r="BZ80" s="384">
        <f t="shared" si="115"/>
        <v>10951.180245467365</v>
      </c>
      <c r="CA80" s="384">
        <f t="shared" si="115"/>
        <v>9768.6597387655784</v>
      </c>
      <c r="CB80" s="384">
        <f t="shared" si="115"/>
        <v>8593.8697827618707</v>
      </c>
      <c r="CC80" s="384">
        <f t="shared" si="115"/>
        <v>7427.0246874689383</v>
      </c>
      <c r="CD80" s="384">
        <f t="shared" si="115"/>
        <v>6268.343857394686</v>
      </c>
      <c r="CE80" s="384">
        <f t="shared" si="115"/>
        <v>5118.051902615066</v>
      </c>
      <c r="CF80" s="384">
        <f t="shared" si="115"/>
        <v>3976.3787521198669</v>
      </c>
      <c r="CG80" s="384">
        <f t="shared" si="115"/>
        <v>2843.5597694776529</v>
      </c>
      <c r="CH80" s="384">
        <f t="shared" si="115"/>
        <v>1719.8358708638052</v>
      </c>
      <c r="CI80" s="384">
        <f t="shared" si="115"/>
        <v>605.45364549873295</v>
      </c>
      <c r="CJ80" s="384">
        <f t="shared" ref="CJ80:CN80" si="116">CJ70/CJ$44</f>
        <v>-499.33452145681554</v>
      </c>
      <c r="CK80" s="384">
        <f t="shared" si="116"/>
        <v>-1594.2703235020538</v>
      </c>
      <c r="CL80" s="384">
        <f t="shared" si="116"/>
        <v>-2679.0894048421451</v>
      </c>
      <c r="CM80" s="384">
        <f t="shared" si="116"/>
        <v>-3753.5212298309898</v>
      </c>
      <c r="CN80" s="384">
        <f t="shared" si="116"/>
        <v>-4817.2889497595279</v>
      </c>
      <c r="CO80" s="42"/>
      <c r="CP80" s="42"/>
      <c r="CQ80" s="42"/>
      <c r="CR80" s="42"/>
      <c r="CS80" s="42"/>
      <c r="CT80" s="42"/>
      <c r="CU80" s="42"/>
      <c r="CV80" s="42"/>
    </row>
    <row r="81" spans="1:100">
      <c r="A81" t="s">
        <v>130</v>
      </c>
      <c r="I81" s="42">
        <f t="shared" ref="I81:AF81" si="117">I71/I$44</f>
        <v>0</v>
      </c>
      <c r="J81" s="42">
        <f t="shared" si="117"/>
        <v>0</v>
      </c>
      <c r="K81" s="42">
        <f t="shared" si="117"/>
        <v>0</v>
      </c>
      <c r="L81" s="42">
        <f t="shared" si="117"/>
        <v>0</v>
      </c>
      <c r="M81" s="42">
        <f t="shared" si="117"/>
        <v>0</v>
      </c>
      <c r="N81" s="42">
        <f t="shared" si="117"/>
        <v>0</v>
      </c>
      <c r="O81" s="42">
        <f t="shared" si="117"/>
        <v>0</v>
      </c>
      <c r="P81" s="42">
        <f t="shared" si="117"/>
        <v>159730.82684040588</v>
      </c>
      <c r="Q81" s="42">
        <f t="shared" si="117"/>
        <v>131067.46747154431</v>
      </c>
      <c r="R81" s="42">
        <f t="shared" si="117"/>
        <v>92773.287330537671</v>
      </c>
      <c r="S81" s="42">
        <f t="shared" si="117"/>
        <v>120659.80056178015</v>
      </c>
      <c r="T81" s="42">
        <f t="shared" si="117"/>
        <v>158366.97658978039</v>
      </c>
      <c r="U81" s="42">
        <f t="shared" si="117"/>
        <v>126453.47890131699</v>
      </c>
      <c r="V81" s="42">
        <f t="shared" si="117"/>
        <v>72998.026074814625</v>
      </c>
      <c r="W81" s="42">
        <f t="shared" si="117"/>
        <v>228964.13314633339</v>
      </c>
      <c r="X81" s="42">
        <f t="shared" si="117"/>
        <v>605682.59723022801</v>
      </c>
      <c r="Y81" s="42">
        <f t="shared" si="117"/>
        <v>304056.51688419026</v>
      </c>
      <c r="Z81" s="42">
        <f t="shared" si="117"/>
        <v>234175.87418649194</v>
      </c>
      <c r="AA81" s="42">
        <f t="shared" si="117"/>
        <v>249549.88067099996</v>
      </c>
      <c r="AB81" s="42">
        <f t="shared" si="117"/>
        <v>193000</v>
      </c>
      <c r="AC81" s="42">
        <f t="shared" si="117"/>
        <v>143388.83447600392</v>
      </c>
      <c r="AD81" s="42">
        <f t="shared" si="117"/>
        <v>131230.44853377796</v>
      </c>
      <c r="AE81" s="42">
        <f t="shared" si="117"/>
        <v>107673.1432460075</v>
      </c>
      <c r="AF81" s="42">
        <f t="shared" si="117"/>
        <v>82168.497309223967</v>
      </c>
      <c r="AG81" s="42">
        <f t="shared" ref="AG81:AZ81" si="118">AG71/AG$44</f>
        <v>74746.937695757384</v>
      </c>
      <c r="AH81" s="42">
        <f t="shared" si="118"/>
        <v>68376.903043300365</v>
      </c>
      <c r="AI81" s="42">
        <f t="shared" si="118"/>
        <v>66278.706110670522</v>
      </c>
      <c r="AJ81" s="42">
        <f t="shared" si="118"/>
        <v>64529.860468690684</v>
      </c>
      <c r="AK81" s="42">
        <f t="shared" si="118"/>
        <v>63292.165634538353</v>
      </c>
      <c r="AL81" s="42">
        <f t="shared" si="118"/>
        <v>58293.330122359672</v>
      </c>
      <c r="AM81" s="42">
        <f t="shared" si="118"/>
        <v>54806.909497688648</v>
      </c>
      <c r="AN81" s="42">
        <f t="shared" si="118"/>
        <v>46656.436143662686</v>
      </c>
      <c r="AO81" s="42">
        <f t="shared" si="118"/>
        <v>38973.417980464321</v>
      </c>
      <c r="AP81" s="42">
        <f t="shared" si="118"/>
        <v>34132.601835581401</v>
      </c>
      <c r="AQ81" s="42">
        <f t="shared" si="118"/>
        <v>28399.677982937825</v>
      </c>
      <c r="AR81" s="42">
        <f t="shared" si="118"/>
        <v>29795.597231182466</v>
      </c>
      <c r="AS81" s="42">
        <f t="shared" si="118"/>
        <v>24571.009579317528</v>
      </c>
      <c r="AT81" s="42">
        <f t="shared" si="118"/>
        <v>24460.76565451685</v>
      </c>
      <c r="AU81" s="42">
        <f t="shared" si="118"/>
        <v>21303.274559329173</v>
      </c>
      <c r="AV81" s="42">
        <f t="shared" si="118"/>
        <v>20225.72210850117</v>
      </c>
      <c r="AW81" s="42">
        <f t="shared" si="118"/>
        <v>17312.791240665854</v>
      </c>
      <c r="AX81" s="42">
        <f t="shared" si="118"/>
        <v>16289.477689028075</v>
      </c>
      <c r="AY81" s="42">
        <f t="shared" si="118"/>
        <v>14454.196010812273</v>
      </c>
      <c r="AZ81" s="42">
        <f t="shared" si="118"/>
        <v>11572.423571654041</v>
      </c>
      <c r="BA81" s="42">
        <f t="shared" ref="BA81:BJ81" si="119">BA71/BA$44</f>
        <v>9757.5113116719458</v>
      </c>
      <c r="BB81" s="42">
        <f t="shared" si="119"/>
        <v>8890.6708714087181</v>
      </c>
      <c r="BC81" s="42">
        <f t="shared" si="119"/>
        <v>6599.9158299163601</v>
      </c>
      <c r="BD81" s="42">
        <f t="shared" si="119"/>
        <v>5206.7321456821783</v>
      </c>
      <c r="BE81" s="42">
        <f t="shared" si="119"/>
        <v>4898.9323745080355</v>
      </c>
      <c r="BF81" s="42">
        <f t="shared" si="119"/>
        <v>5123.3819628320207</v>
      </c>
      <c r="BG81" s="42">
        <f t="shared" si="119"/>
        <v>4545.959232759812</v>
      </c>
      <c r="BH81" s="42">
        <f t="shared" si="119"/>
        <v>6170.0306044585432</v>
      </c>
      <c r="BI81" s="42">
        <f t="shared" si="119"/>
        <v>5674.3819358260398</v>
      </c>
      <c r="BJ81" s="42">
        <f t="shared" si="119"/>
        <v>5568.8765962758944</v>
      </c>
      <c r="BK81" s="384">
        <f t="shared" ref="BK81:BT81" si="120">BK71/BK$44</f>
        <v>5337.03903782404</v>
      </c>
      <c r="BL81" s="384">
        <f t="shared" si="120"/>
        <v>5106.0905797565356</v>
      </c>
      <c r="BM81" s="384">
        <f t="shared" si="120"/>
        <v>4876.0576868270418</v>
      </c>
      <c r="BN81" s="384">
        <f t="shared" si="120"/>
        <v>4646.9674742033376</v>
      </c>
      <c r="BO81" s="384">
        <f t="shared" si="120"/>
        <v>4418.8477219678407</v>
      </c>
      <c r="BP81" s="384">
        <f t="shared" si="120"/>
        <v>4191.7268899195105</v>
      </c>
      <c r="BQ81" s="384">
        <f t="shared" si="120"/>
        <v>3965.6341326830179</v>
      </c>
      <c r="BR81" s="384">
        <f t="shared" si="120"/>
        <v>3740.5993151313423</v>
      </c>
      <c r="BS81" s="384">
        <f t="shared" si="120"/>
        <v>3516.6530281278974</v>
      </c>
      <c r="BT81" s="384">
        <f t="shared" si="120"/>
        <v>3293.826604594582</v>
      </c>
      <c r="BU81" s="384">
        <f t="shared" ref="BU81:CI81" si="121">BU71/BU$44</f>
        <v>3072.1521359120911</v>
      </c>
      <c r="BV81" s="384">
        <f t="shared" si="121"/>
        <v>2851.6624886591017</v>
      </c>
      <c r="BW81" s="384">
        <f t="shared" si="121"/>
        <v>2632.39132169697</v>
      </c>
      <c r="BX81" s="384">
        <f t="shared" si="121"/>
        <v>2414.3731036067911</v>
      </c>
      <c r="BY81" s="384">
        <f t="shared" si="121"/>
        <v>2197.6431304856201</v>
      </c>
      <c r="BZ81" s="384">
        <f t="shared" si="121"/>
        <v>1982.2375441091426</v>
      </c>
      <c r="CA81" s="384">
        <f t="shared" si="121"/>
        <v>1768.193350467692</v>
      </c>
      <c r="CB81" s="384">
        <f t="shared" si="121"/>
        <v>1555.548438683255</v>
      </c>
      <c r="CC81" s="384">
        <f t="shared" si="121"/>
        <v>1344.341600314707</v>
      </c>
      <c r="CD81" s="384">
        <f t="shared" si="121"/>
        <v>1134.6125490589436</v>
      </c>
      <c r="CE81" s="384">
        <f t="shared" si="121"/>
        <v>926.4019408558139</v>
      </c>
      <c r="CF81" s="384">
        <f t="shared" si="121"/>
        <v>719.75139440447379</v>
      </c>
      <c r="CG81" s="384">
        <f t="shared" si="121"/>
        <v>514.70351209952059</v>
      </c>
      <c r="CH81" s="384">
        <f t="shared" si="121"/>
        <v>311.3019013948653</v>
      </c>
      <c r="CI81" s="384">
        <f t="shared" si="121"/>
        <v>109.59119660386129</v>
      </c>
      <c r="CJ81" s="384">
        <f t="shared" ref="CJ81:CN81" si="122">CJ71/CJ$44</f>
        <v>-90.382918855814182</v>
      </c>
      <c r="CK81" s="384">
        <f t="shared" si="122"/>
        <v>-288.57368976396856</v>
      </c>
      <c r="CL81" s="384">
        <f t="shared" si="122"/>
        <v>-484.93326593735355</v>
      </c>
      <c r="CM81" s="384">
        <f t="shared" si="122"/>
        <v>-679.41267859792936</v>
      </c>
      <c r="CN81" s="384">
        <f t="shared" si="122"/>
        <v>-871.96181626064663</v>
      </c>
      <c r="CO81" s="42"/>
      <c r="CP81" s="42"/>
      <c r="CQ81" s="42"/>
      <c r="CR81" s="42"/>
      <c r="CS81" s="42"/>
      <c r="CT81" s="42"/>
      <c r="CU81" s="42"/>
      <c r="CV81" s="42"/>
    </row>
    <row r="82" spans="1:100">
      <c r="A82" t="s">
        <v>37</v>
      </c>
      <c r="I82" s="42">
        <f t="shared" ref="I82:AF82" si="123">I72/I$44</f>
        <v>22632.582500985907</v>
      </c>
      <c r="J82" s="42">
        <f t="shared" si="123"/>
        <v>26362.455402575837</v>
      </c>
      <c r="K82" s="42">
        <f t="shared" si="123"/>
        <v>24190.155277837308</v>
      </c>
      <c r="L82" s="42">
        <f t="shared" si="123"/>
        <v>19695.667394282729</v>
      </c>
      <c r="M82" s="42">
        <f t="shared" si="123"/>
        <v>19889.033691359156</v>
      </c>
      <c r="N82" s="42">
        <f t="shared" si="123"/>
        <v>20265.238510405903</v>
      </c>
      <c r="O82" s="42">
        <f t="shared" si="123"/>
        <v>20740.851986726695</v>
      </c>
      <c r="P82" s="42">
        <f t="shared" si="123"/>
        <v>32051.205714489821</v>
      </c>
      <c r="Q82" s="42">
        <f t="shared" si="123"/>
        <v>21744.568297706839</v>
      </c>
      <c r="R82" s="42">
        <f t="shared" si="123"/>
        <v>14961.89765711031</v>
      </c>
      <c r="S82" s="42">
        <f t="shared" si="123"/>
        <v>11479.052222269394</v>
      </c>
      <c r="T82" s="42">
        <f t="shared" si="123"/>
        <v>19993.568123519279</v>
      </c>
      <c r="U82" s="42">
        <f t="shared" si="123"/>
        <v>26285.990574450003</v>
      </c>
      <c r="V82" s="42">
        <f t="shared" si="123"/>
        <v>19457.682354842207</v>
      </c>
      <c r="W82" s="42">
        <f t="shared" si="123"/>
        <v>12975.595957662877</v>
      </c>
      <c r="X82" s="42">
        <f t="shared" si="123"/>
        <v>40366.632859710364</v>
      </c>
      <c r="Y82" s="42">
        <f t="shared" si="123"/>
        <v>86110.170038037351</v>
      </c>
      <c r="Z82" s="42">
        <f t="shared" si="123"/>
        <v>66840.563047999996</v>
      </c>
      <c r="AA82" s="42">
        <f t="shared" si="123"/>
        <v>38938.91109999999</v>
      </c>
      <c r="AB82" s="42">
        <f t="shared" si="123"/>
        <v>25804.6</v>
      </c>
      <c r="AC82" s="42">
        <f t="shared" si="123"/>
        <v>13471.472673849172</v>
      </c>
      <c r="AD82" s="42">
        <f t="shared" si="123"/>
        <v>13268.473623691996</v>
      </c>
      <c r="AE82" s="42">
        <f t="shared" si="123"/>
        <v>13055.1979462729</v>
      </c>
      <c r="AF82" s="42">
        <f t="shared" si="123"/>
        <v>12807.610651558669</v>
      </c>
      <c r="AG82" s="42">
        <f t="shared" ref="AG82:AZ82" si="124">AG72/AG$44</f>
        <v>13153.327575028055</v>
      </c>
      <c r="AH82" s="42">
        <f t="shared" si="124"/>
        <v>13499.044498497444</v>
      </c>
      <c r="AI82" s="42">
        <f t="shared" si="124"/>
        <v>13844.761421966832</v>
      </c>
      <c r="AJ82" s="42">
        <f t="shared" si="124"/>
        <v>14190.478345436219</v>
      </c>
      <c r="AK82" s="42">
        <f t="shared" si="124"/>
        <v>14536.222655813819</v>
      </c>
      <c r="AL82" s="42">
        <f t="shared" si="124"/>
        <v>14536.222655813817</v>
      </c>
      <c r="AM82" s="42">
        <f t="shared" si="124"/>
        <v>14536.222655813819</v>
      </c>
      <c r="AN82" s="42">
        <f t="shared" si="124"/>
        <v>14536.222655813817</v>
      </c>
      <c r="AO82" s="42">
        <f t="shared" si="124"/>
        <v>14536.222655813817</v>
      </c>
      <c r="AP82" s="42">
        <f t="shared" si="124"/>
        <v>14536.222655813819</v>
      </c>
      <c r="AQ82" s="42">
        <f t="shared" si="124"/>
        <v>14536.222655813819</v>
      </c>
      <c r="AR82" s="42">
        <f t="shared" si="124"/>
        <v>14536.222655813819</v>
      </c>
      <c r="AS82" s="42">
        <f t="shared" si="124"/>
        <v>14536.222655813821</v>
      </c>
      <c r="AT82" s="42">
        <f t="shared" si="124"/>
        <v>14536.222655813817</v>
      </c>
      <c r="AU82" s="42">
        <f t="shared" si="124"/>
        <v>14536.222655813817</v>
      </c>
      <c r="AV82" s="42">
        <f t="shared" si="124"/>
        <v>14536.222655813817</v>
      </c>
      <c r="AW82" s="42">
        <f t="shared" si="124"/>
        <v>14536.222655813817</v>
      </c>
      <c r="AX82" s="42">
        <f t="shared" si="124"/>
        <v>14536.222655813817</v>
      </c>
      <c r="AY82" s="42">
        <f t="shared" si="124"/>
        <v>14536.222655813821</v>
      </c>
      <c r="AZ82" s="42">
        <f t="shared" si="124"/>
        <v>14536.222655813819</v>
      </c>
      <c r="BA82" s="42">
        <f t="shared" ref="BA82:BJ82" si="125">BA72/BA$44</f>
        <v>14536.222655813817</v>
      </c>
      <c r="BB82" s="42">
        <f t="shared" si="125"/>
        <v>14536.222655813817</v>
      </c>
      <c r="BC82" s="42">
        <f t="shared" si="125"/>
        <v>14536.222655813817</v>
      </c>
      <c r="BD82" s="42">
        <f t="shared" si="125"/>
        <v>14536.222655813819</v>
      </c>
      <c r="BE82" s="42">
        <f t="shared" si="125"/>
        <v>14536.222655813819</v>
      </c>
      <c r="BF82" s="42">
        <f t="shared" si="125"/>
        <v>14536.222655813819</v>
      </c>
      <c r="BG82" s="42">
        <f t="shared" si="125"/>
        <v>14536.222655813819</v>
      </c>
      <c r="BH82" s="42">
        <f t="shared" si="125"/>
        <v>14536.222655813819</v>
      </c>
      <c r="BI82" s="42">
        <f t="shared" si="125"/>
        <v>14536.222655813819</v>
      </c>
      <c r="BJ82" s="42">
        <f t="shared" si="125"/>
        <v>14536.222655813817</v>
      </c>
      <c r="BK82" s="384">
        <f t="shared" ref="BK82:BT82" si="126">BK72/BK$44</f>
        <v>13931.066066082583</v>
      </c>
      <c r="BL82" s="384">
        <f t="shared" si="126"/>
        <v>13328.230260611304</v>
      </c>
      <c r="BM82" s="384">
        <f t="shared" si="126"/>
        <v>12727.784319320341</v>
      </c>
      <c r="BN82" s="384">
        <f t="shared" si="126"/>
        <v>12129.799019880798</v>
      </c>
      <c r="BO82" s="384">
        <f t="shared" si="126"/>
        <v>11534.346875564692</v>
      </c>
      <c r="BP82" s="384">
        <f t="shared" si="126"/>
        <v>10941.502173881767</v>
      </c>
      <c r="BQ82" s="384">
        <f t="shared" si="126"/>
        <v>10351.341016018376</v>
      </c>
      <c r="BR82" s="384">
        <f t="shared" si="126"/>
        <v>9763.9413570945017</v>
      </c>
      <c r="BS82" s="384">
        <f t="shared" si="126"/>
        <v>9179.3830472548088</v>
      </c>
      <c r="BT82" s="384">
        <f t="shared" si="126"/>
        <v>8597.7478736104476</v>
      </c>
      <c r="BU82" s="384">
        <f t="shared" ref="BU82:CI82" si="127">BU72/BU$44</f>
        <v>8019.1196030481615</v>
      </c>
      <c r="BV82" s="384">
        <f t="shared" si="127"/>
        <v>7443.5840259239249</v>
      </c>
      <c r="BW82" s="384">
        <f t="shared" si="127"/>
        <v>6871.2290006584726</v>
      </c>
      <c r="BX82" s="384">
        <f t="shared" si="127"/>
        <v>6302.1444992525803</v>
      </c>
      <c r="BY82" s="384">
        <f t="shared" si="127"/>
        <v>5736.4226537398436</v>
      </c>
      <c r="BZ82" s="384">
        <f t="shared" si="127"/>
        <v>5174.1578035960019</v>
      </c>
      <c r="CA82" s="384">
        <f t="shared" si="127"/>
        <v>4615.4465441227794</v>
      </c>
      <c r="CB82" s="384">
        <f t="shared" si="127"/>
        <v>4060.3877758262142</v>
      </c>
      <c r="CC82" s="384">
        <f t="shared" si="127"/>
        <v>3509.0827548083648</v>
      </c>
      <c r="CD82" s="384">
        <f t="shared" si="127"/>
        <v>2961.6351441924076</v>
      </c>
      <c r="CE82" s="384">
        <f t="shared" si="127"/>
        <v>2418.1510666017666</v>
      </c>
      <c r="CF82" s="384">
        <f t="shared" si="127"/>
        <v>1878.7391577131589</v>
      </c>
      <c r="CG82" s="384">
        <f t="shared" si="127"/>
        <v>1343.5106209053665</v>
      </c>
      <c r="CH82" s="384">
        <f t="shared" si="127"/>
        <v>812.57928302453138</v>
      </c>
      <c r="CI82" s="384">
        <f t="shared" si="127"/>
        <v>286.0616512881823</v>
      </c>
      <c r="CJ82" s="384">
        <f t="shared" ref="CJ82:CN82" si="128">CJ72/CJ$44</f>
        <v>-235.92302864981244</v>
      </c>
      <c r="CK82" s="384">
        <f t="shared" si="128"/>
        <v>-753.2527134510359</v>
      </c>
      <c r="CL82" s="384">
        <f t="shared" si="128"/>
        <v>-1265.8025016374627</v>
      </c>
      <c r="CM82" s="384">
        <f t="shared" si="128"/>
        <v>-1773.4445719064529</v>
      </c>
      <c r="CN82" s="384">
        <f t="shared" si="128"/>
        <v>-2276.0481201915695</v>
      </c>
      <c r="CO82" s="42"/>
      <c r="CP82" s="42"/>
      <c r="CQ82" s="42"/>
      <c r="CR82" s="42"/>
      <c r="CS82" s="42"/>
      <c r="CT82" s="42"/>
      <c r="CU82" s="42"/>
      <c r="CV82" s="42"/>
    </row>
    <row r="83" spans="1:100">
      <c r="A83" t="s">
        <v>38</v>
      </c>
      <c r="I83" s="42">
        <f t="shared" ref="I83:AF83" si="129">I73/I$44</f>
        <v>-7.4010749377460892</v>
      </c>
      <c r="J83" s="42">
        <f t="shared" si="129"/>
        <v>0</v>
      </c>
      <c r="K83" s="42">
        <f t="shared" si="129"/>
        <v>0</v>
      </c>
      <c r="L83" s="42">
        <f t="shared" si="129"/>
        <v>-125.22990268638183</v>
      </c>
      <c r="M83" s="42">
        <f t="shared" si="129"/>
        <v>-2.9790815612043264</v>
      </c>
      <c r="N83" s="42">
        <f t="shared" si="129"/>
        <v>-3.9683888944677767E-2</v>
      </c>
      <c r="O83" s="42">
        <f t="shared" si="129"/>
        <v>-1.4382737674700454</v>
      </c>
      <c r="P83" s="42">
        <f t="shared" si="129"/>
        <v>-2.8306284301412896</v>
      </c>
      <c r="Q83" s="42">
        <f t="shared" si="129"/>
        <v>0</v>
      </c>
      <c r="R83" s="42">
        <f t="shared" si="129"/>
        <v>0</v>
      </c>
      <c r="S83" s="42">
        <f t="shared" si="129"/>
        <v>0</v>
      </c>
      <c r="T83" s="42">
        <f t="shared" si="129"/>
        <v>0</v>
      </c>
      <c r="U83" s="42">
        <f t="shared" si="129"/>
        <v>0</v>
      </c>
      <c r="V83" s="42">
        <f t="shared" si="129"/>
        <v>0</v>
      </c>
      <c r="W83" s="42">
        <f t="shared" si="129"/>
        <v>0</v>
      </c>
      <c r="X83" s="42">
        <f t="shared" si="129"/>
        <v>0</v>
      </c>
      <c r="Y83" s="42">
        <f t="shared" si="129"/>
        <v>0</v>
      </c>
      <c r="Z83" s="42">
        <f t="shared" si="129"/>
        <v>0</v>
      </c>
      <c r="AA83" s="42">
        <f t="shared" si="129"/>
        <v>0</v>
      </c>
      <c r="AB83" s="42">
        <f t="shared" si="129"/>
        <v>0</v>
      </c>
      <c r="AC83" s="42">
        <f t="shared" si="129"/>
        <v>0</v>
      </c>
      <c r="AD83" s="42">
        <f t="shared" si="129"/>
        <v>0</v>
      </c>
      <c r="AE83" s="42">
        <f t="shared" si="129"/>
        <v>0</v>
      </c>
      <c r="AF83" s="42">
        <f t="shared" si="129"/>
        <v>0</v>
      </c>
      <c r="AG83" s="42">
        <f t="shared" ref="AG83:AZ83" si="130">AG73/AG$44</f>
        <v>0</v>
      </c>
      <c r="AH83" s="42">
        <f t="shared" si="130"/>
        <v>0</v>
      </c>
      <c r="AI83" s="42">
        <f t="shared" si="130"/>
        <v>0</v>
      </c>
      <c r="AJ83" s="42">
        <f t="shared" si="130"/>
        <v>0</v>
      </c>
      <c r="AK83" s="42">
        <f t="shared" si="130"/>
        <v>0</v>
      </c>
      <c r="AL83" s="42">
        <f t="shared" si="130"/>
        <v>0</v>
      </c>
      <c r="AM83" s="42">
        <f t="shared" si="130"/>
        <v>0</v>
      </c>
      <c r="AN83" s="42">
        <f t="shared" si="130"/>
        <v>0</v>
      </c>
      <c r="AO83" s="42">
        <f t="shared" si="130"/>
        <v>0</v>
      </c>
      <c r="AP83" s="42">
        <f t="shared" si="130"/>
        <v>0</v>
      </c>
      <c r="AQ83" s="42">
        <f t="shared" si="130"/>
        <v>0</v>
      </c>
      <c r="AR83" s="42">
        <f t="shared" si="130"/>
        <v>0</v>
      </c>
      <c r="AS83" s="42">
        <f t="shared" si="130"/>
        <v>0</v>
      </c>
      <c r="AT83" s="42">
        <f t="shared" si="130"/>
        <v>0</v>
      </c>
      <c r="AU83" s="42">
        <f t="shared" si="130"/>
        <v>0</v>
      </c>
      <c r="AV83" s="42">
        <f t="shared" si="130"/>
        <v>0</v>
      </c>
      <c r="AW83" s="42">
        <f t="shared" si="130"/>
        <v>0</v>
      </c>
      <c r="AX83" s="42">
        <f t="shared" si="130"/>
        <v>0</v>
      </c>
      <c r="AY83" s="42">
        <f t="shared" si="130"/>
        <v>0</v>
      </c>
      <c r="AZ83" s="42">
        <f t="shared" si="130"/>
        <v>0</v>
      </c>
      <c r="BA83" s="42">
        <f t="shared" ref="BA83:BJ83" si="131">BA73/BA$44</f>
        <v>0</v>
      </c>
      <c r="BB83" s="42">
        <f t="shared" si="131"/>
        <v>0</v>
      </c>
      <c r="BC83" s="42">
        <f t="shared" si="131"/>
        <v>0</v>
      </c>
      <c r="BD83" s="42">
        <f t="shared" si="131"/>
        <v>0</v>
      </c>
      <c r="BE83" s="42">
        <f t="shared" si="131"/>
        <v>0</v>
      </c>
      <c r="BF83" s="42">
        <f t="shared" si="131"/>
        <v>0</v>
      </c>
      <c r="BG83" s="42">
        <f t="shared" si="131"/>
        <v>0</v>
      </c>
      <c r="BH83" s="42">
        <f t="shared" si="131"/>
        <v>0</v>
      </c>
      <c r="BI83" s="42">
        <f t="shared" si="131"/>
        <v>0</v>
      </c>
      <c r="BJ83" s="42">
        <f t="shared" si="131"/>
        <v>0</v>
      </c>
      <c r="BK83" s="384">
        <f t="shared" ref="BK83:BT83" si="132">BK73/BK$44</f>
        <v>0</v>
      </c>
      <c r="BL83" s="384">
        <f t="shared" si="132"/>
        <v>0</v>
      </c>
      <c r="BM83" s="384">
        <f t="shared" si="132"/>
        <v>0</v>
      </c>
      <c r="BN83" s="384">
        <f t="shared" si="132"/>
        <v>0</v>
      </c>
      <c r="BO83" s="384">
        <f t="shared" si="132"/>
        <v>0</v>
      </c>
      <c r="BP83" s="384">
        <f t="shared" si="132"/>
        <v>0</v>
      </c>
      <c r="BQ83" s="384">
        <f t="shared" si="132"/>
        <v>0</v>
      </c>
      <c r="BR83" s="384">
        <f t="shared" si="132"/>
        <v>0</v>
      </c>
      <c r="BS83" s="384">
        <f t="shared" si="132"/>
        <v>0</v>
      </c>
      <c r="BT83" s="384">
        <f t="shared" si="132"/>
        <v>0</v>
      </c>
      <c r="BU83" s="384">
        <f t="shared" ref="BU83:CI83" si="133">BU73/BU$44</f>
        <v>0</v>
      </c>
      <c r="BV83" s="384">
        <f t="shared" si="133"/>
        <v>0</v>
      </c>
      <c r="BW83" s="384">
        <f t="shared" si="133"/>
        <v>0</v>
      </c>
      <c r="BX83" s="384">
        <f t="shared" si="133"/>
        <v>0</v>
      </c>
      <c r="BY83" s="384">
        <f t="shared" si="133"/>
        <v>0</v>
      </c>
      <c r="BZ83" s="384">
        <f t="shared" si="133"/>
        <v>0</v>
      </c>
      <c r="CA83" s="384">
        <f t="shared" si="133"/>
        <v>0</v>
      </c>
      <c r="CB83" s="384">
        <f t="shared" si="133"/>
        <v>0</v>
      </c>
      <c r="CC83" s="384">
        <f t="shared" si="133"/>
        <v>0</v>
      </c>
      <c r="CD83" s="384">
        <f t="shared" si="133"/>
        <v>0</v>
      </c>
      <c r="CE83" s="384">
        <f t="shared" si="133"/>
        <v>0</v>
      </c>
      <c r="CF83" s="384">
        <f t="shared" si="133"/>
        <v>0</v>
      </c>
      <c r="CG83" s="384">
        <f t="shared" si="133"/>
        <v>0</v>
      </c>
      <c r="CH83" s="384">
        <f t="shared" si="133"/>
        <v>0</v>
      </c>
      <c r="CI83" s="384">
        <f t="shared" si="133"/>
        <v>0</v>
      </c>
      <c r="CJ83" s="384">
        <f t="shared" ref="CJ83:CN83" si="134">CJ73/CJ$44</f>
        <v>0</v>
      </c>
      <c r="CK83" s="384">
        <f t="shared" si="134"/>
        <v>0</v>
      </c>
      <c r="CL83" s="384">
        <f t="shared" si="134"/>
        <v>0</v>
      </c>
      <c r="CM83" s="384">
        <f t="shared" si="134"/>
        <v>0</v>
      </c>
      <c r="CN83" s="384">
        <f t="shared" si="134"/>
        <v>0</v>
      </c>
      <c r="CO83" s="42"/>
      <c r="CP83" s="42"/>
      <c r="CQ83" s="42"/>
      <c r="CR83" s="42"/>
      <c r="CS83" s="42"/>
      <c r="CT83" s="42"/>
      <c r="CU83" s="42"/>
      <c r="CV83" s="42"/>
    </row>
    <row r="84" spans="1:100">
      <c r="A84" t="s">
        <v>131</v>
      </c>
      <c r="B84" s="42">
        <f t="shared" ref="B84:O84" si="135">B74/B$44</f>
        <v>313992.85713005334</v>
      </c>
      <c r="C84" s="42">
        <f t="shared" si="135"/>
        <v>460371.7445674013</v>
      </c>
      <c r="D84" s="42">
        <f t="shared" si="135"/>
        <v>315788.71871348284</v>
      </c>
      <c r="E84" s="42">
        <f t="shared" si="135"/>
        <v>316912.65487968939</v>
      </c>
      <c r="F84" s="42">
        <f t="shared" si="135"/>
        <v>361037.65902585309</v>
      </c>
      <c r="G84" s="42">
        <f t="shared" si="135"/>
        <v>472767.91097810672</v>
      </c>
      <c r="H84" s="42">
        <f t="shared" si="135"/>
        <v>590656.07931257924</v>
      </c>
      <c r="I84" s="42">
        <f t="shared" si="135"/>
        <v>511271.09325349302</v>
      </c>
      <c r="J84" s="42">
        <f t="shared" si="135"/>
        <v>647175.57395242096</v>
      </c>
      <c r="K84" s="42">
        <f t="shared" si="135"/>
        <v>436971.90668226022</v>
      </c>
      <c r="L84" s="42">
        <f t="shared" si="135"/>
        <v>424026.14565125422</v>
      </c>
      <c r="M84" s="42">
        <f t="shared" si="135"/>
        <v>522532.45032872393</v>
      </c>
      <c r="N84" s="42">
        <f t="shared" si="135"/>
        <v>577144.98038127448</v>
      </c>
      <c r="O84" s="42">
        <f t="shared" si="135"/>
        <v>496423.06738982111</v>
      </c>
      <c r="P84" s="42">
        <f t="shared" ref="P84:AE84" si="136">P74/P$44</f>
        <v>441104.97793740116</v>
      </c>
      <c r="Q84" s="42">
        <f t="shared" si="136"/>
        <v>308534.2921499277</v>
      </c>
      <c r="R84" s="42">
        <f t="shared" si="136"/>
        <v>174194.14930228653</v>
      </c>
      <c r="S84" s="42">
        <f t="shared" si="136"/>
        <v>229430.99684560468</v>
      </c>
      <c r="T84" s="42">
        <f t="shared" si="136"/>
        <v>334858.54168401915</v>
      </c>
      <c r="U84" s="42">
        <f t="shared" si="136"/>
        <v>336715.54697665019</v>
      </c>
      <c r="V84" s="42">
        <f t="shared" si="136"/>
        <v>138294.62304221999</v>
      </c>
      <c r="W84" s="42">
        <f t="shared" si="136"/>
        <v>355511.41303305933</v>
      </c>
      <c r="X84" s="42">
        <f t="shared" si="136"/>
        <v>1471431.8780520495</v>
      </c>
      <c r="Y84" s="42">
        <f t="shared" si="136"/>
        <v>1075500.039290109</v>
      </c>
      <c r="Z84" s="42">
        <f t="shared" si="136"/>
        <v>749987.68094359792</v>
      </c>
      <c r="AA84" s="42">
        <f t="shared" si="136"/>
        <v>684187.62277099991</v>
      </c>
      <c r="AB84" s="42">
        <f t="shared" si="136"/>
        <v>521305.59999999998</v>
      </c>
      <c r="AC84" s="42">
        <f>AC74/AC$44</f>
        <v>399269.70969637611</v>
      </c>
      <c r="AD84" s="42">
        <f t="shared" si="136"/>
        <v>364559.33804671461</v>
      </c>
      <c r="AE84" s="42">
        <f t="shared" si="136"/>
        <v>319538.43814564153</v>
      </c>
      <c r="AF84" s="42">
        <f>AF74/AF$44</f>
        <v>257832.52008388878</v>
      </c>
      <c r="AG84" s="42">
        <f t="shared" ref="AG84:AZ84" si="137">AG74/AG$44</f>
        <v>218032.95639701423</v>
      </c>
      <c r="AH84" s="42">
        <f t="shared" si="137"/>
        <v>213264.08597461513</v>
      </c>
      <c r="AI84" s="42">
        <f t="shared" si="137"/>
        <v>208501.36559704781</v>
      </c>
      <c r="AJ84" s="42">
        <f t="shared" si="137"/>
        <v>206793.58424157373</v>
      </c>
      <c r="AK84" s="42">
        <f t="shared" si="137"/>
        <v>211483.09428655426</v>
      </c>
      <c r="AL84" s="42">
        <f t="shared" si="137"/>
        <v>208280.45552823509</v>
      </c>
      <c r="AM84" s="42">
        <f t="shared" si="137"/>
        <v>200053.1891551367</v>
      </c>
      <c r="AN84" s="42">
        <f t="shared" si="137"/>
        <v>180770.42657253417</v>
      </c>
      <c r="AO84" s="42">
        <f t="shared" si="137"/>
        <v>161262.35708104138</v>
      </c>
      <c r="AP84" s="42">
        <f t="shared" si="137"/>
        <v>148036.84471977729</v>
      </c>
      <c r="AQ84" s="42">
        <f t="shared" si="137"/>
        <v>135984.60965750052</v>
      </c>
      <c r="AR84" s="42">
        <f t="shared" si="137"/>
        <v>129382.43049408612</v>
      </c>
      <c r="AS84" s="42">
        <f t="shared" si="137"/>
        <v>117220.89395879435</v>
      </c>
      <c r="AT84" s="42">
        <f t="shared" si="137"/>
        <v>112786.59315233451</v>
      </c>
      <c r="AU84" s="42">
        <f t="shared" si="137"/>
        <v>104075.75227244337</v>
      </c>
      <c r="AV84" s="42">
        <f t="shared" si="137"/>
        <v>98640.752574559403</v>
      </c>
      <c r="AW84" s="42">
        <f t="shared" si="137"/>
        <v>92304.427038692767</v>
      </c>
      <c r="AX84" s="42">
        <f t="shared" si="137"/>
        <v>88870.326673536547</v>
      </c>
      <c r="AY84" s="42">
        <f t="shared" si="137"/>
        <v>84316.17905617709</v>
      </c>
      <c r="AZ84" s="42">
        <f t="shared" si="137"/>
        <v>78613.877655982928</v>
      </c>
      <c r="BA84" s="42">
        <f t="shared" ref="BA84:BJ84" si="138">BA74/BA$44</f>
        <v>78443.514279552488</v>
      </c>
      <c r="BB84" s="42">
        <f t="shared" si="138"/>
        <v>75323.263162364936</v>
      </c>
      <c r="BC84" s="42">
        <f t="shared" si="138"/>
        <v>69327.877695780015</v>
      </c>
      <c r="BD84" s="42">
        <f t="shared" si="138"/>
        <v>64011.777629028409</v>
      </c>
      <c r="BE84" s="42">
        <f t="shared" si="138"/>
        <v>60477.832511647714</v>
      </c>
      <c r="BF84" s="42">
        <f t="shared" si="138"/>
        <v>60227.793915790709</v>
      </c>
      <c r="BG84" s="42">
        <f t="shared" si="138"/>
        <v>59502.505116766239</v>
      </c>
      <c r="BH84" s="42">
        <f t="shared" si="138"/>
        <v>57053.751961505805</v>
      </c>
      <c r="BI84" s="42">
        <f t="shared" si="138"/>
        <v>53303.769205315308</v>
      </c>
      <c r="BJ84" s="42">
        <f t="shared" si="138"/>
        <v>50871.225921328216</v>
      </c>
      <c r="BK84" s="384">
        <f t="shared" ref="BK84:BT84" si="139">BK74/BK$44</f>
        <v>48753.409049440554</v>
      </c>
      <c r="BL84" s="384">
        <f t="shared" si="139"/>
        <v>46643.714035837424</v>
      </c>
      <c r="BM84" s="384">
        <f t="shared" si="139"/>
        <v>44542.382633848996</v>
      </c>
      <c r="BN84" s="384">
        <f t="shared" si="139"/>
        <v>42449.662538284458</v>
      </c>
      <c r="BO84" s="384">
        <f t="shared" si="139"/>
        <v>40365.807517893118</v>
      </c>
      <c r="BP84" s="384">
        <f t="shared" si="139"/>
        <v>38291.077550578506</v>
      </c>
      <c r="BQ84" s="384">
        <f t="shared" si="139"/>
        <v>36225.738961419396</v>
      </c>
      <c r="BR84" s="384">
        <f t="shared" si="139"/>
        <v>34170.064563553991</v>
      </c>
      <c r="BS84" s="384">
        <f t="shared" si="139"/>
        <v>32124.33380198291</v>
      </c>
      <c r="BT84" s="384">
        <f t="shared" si="139"/>
        <v>30088.832900349487</v>
      </c>
      <c r="BU84" s="384">
        <f t="shared" ref="BU84:CI84" si="140">BU74/BU$44</f>
        <v>28063.855010755269</v>
      </c>
      <c r="BV84" s="384">
        <f t="shared" si="140"/>
        <v>26049.700366671092</v>
      </c>
      <c r="BW84" s="384">
        <f t="shared" si="140"/>
        <v>24046.676439004357</v>
      </c>
      <c r="BX84" s="384">
        <f t="shared" si="140"/>
        <v>22055.098095385154</v>
      </c>
      <c r="BY84" s="384">
        <f t="shared" si="140"/>
        <v>20075.287762733235</v>
      </c>
      <c r="BZ84" s="384">
        <f t="shared" si="140"/>
        <v>18107.575593172511</v>
      </c>
      <c r="CA84" s="384">
        <f t="shared" si="140"/>
        <v>16152.299633356051</v>
      </c>
      <c r="CB84" s="384">
        <f t="shared" si="140"/>
        <v>14209.80599727134</v>
      </c>
      <c r="CC84" s="384">
        <f t="shared" si="140"/>
        <v>12280.44904259201</v>
      </c>
      <c r="CD84" s="384">
        <f t="shared" si="140"/>
        <v>10364.591550646039</v>
      </c>
      <c r="CE84" s="384">
        <f t="shared" si="140"/>
        <v>8462.6049100726468</v>
      </c>
      <c r="CF84" s="384">
        <f t="shared" si="140"/>
        <v>6574.8693042374998</v>
      </c>
      <c r="CG84" s="384">
        <f t="shared" si="140"/>
        <v>4701.7739024825405</v>
      </c>
      <c r="CH84" s="384">
        <f t="shared" si="140"/>
        <v>2843.7170552832022</v>
      </c>
      <c r="CI84" s="384">
        <f t="shared" si="140"/>
        <v>1001.1064933907766</v>
      </c>
      <c r="CJ84" s="384">
        <f t="shared" ref="CJ84:CN84" si="141">CJ74/CJ$44</f>
        <v>-825.64046896244224</v>
      </c>
      <c r="CK84" s="384">
        <f t="shared" si="141"/>
        <v>-2636.0967267170586</v>
      </c>
      <c r="CL84" s="384">
        <f t="shared" si="141"/>
        <v>-4429.8251724169613</v>
      </c>
      <c r="CM84" s="384">
        <f t="shared" si="141"/>
        <v>-6206.3784803353719</v>
      </c>
      <c r="CN84" s="384">
        <f t="shared" si="141"/>
        <v>-7965.2988862117436</v>
      </c>
      <c r="CO84" s="42"/>
      <c r="CP84" s="42"/>
      <c r="CQ84" s="42"/>
      <c r="CR84" s="42"/>
      <c r="CS84" s="42"/>
      <c r="CT84" s="42"/>
      <c r="CU84" s="42"/>
      <c r="CV84" s="42"/>
    </row>
    <row r="85" spans="1:100">
      <c r="I85" s="33"/>
      <c r="J85" s="33"/>
      <c r="K85" s="33"/>
      <c r="L85" s="33"/>
      <c r="M85" s="33"/>
      <c r="N85" s="33"/>
      <c r="O85" s="33"/>
      <c r="P85" s="33">
        <f>AVERAGE(P86:V86)</f>
        <v>0.86367390815999756</v>
      </c>
      <c r="Q85" s="3"/>
      <c r="R85" s="3"/>
      <c r="S85" s="3"/>
      <c r="T85" s="3"/>
      <c r="U85" s="3"/>
      <c r="V85" s="33">
        <f>AVERAGE(V86:AZ86)</f>
        <v>0.90606236104192861</v>
      </c>
      <c r="W85" s="3"/>
      <c r="X85" s="3"/>
      <c r="Y85" s="3"/>
      <c r="Z85" s="3"/>
      <c r="AA85" s="3"/>
      <c r="AB85" s="3"/>
      <c r="AC85" s="3"/>
      <c r="AD85" s="3"/>
      <c r="AE85" s="3"/>
      <c r="AF85" s="33"/>
      <c r="AG85" s="34"/>
    </row>
    <row r="86" spans="1:100" s="2" customFormat="1">
      <c r="A86" s="368" t="s">
        <v>384</v>
      </c>
      <c r="B86" s="368"/>
      <c r="C86" s="368"/>
      <c r="D86" s="368"/>
      <c r="E86" s="368"/>
      <c r="F86" s="368"/>
      <c r="G86" s="368"/>
      <c r="H86" s="368"/>
      <c r="I86" s="74">
        <f t="shared" ref="I86:AE86" si="142">I74/I62</f>
        <v>0.94287996233080984</v>
      </c>
      <c r="J86" s="74">
        <f>J74/J62</f>
        <v>0.84324177073903528</v>
      </c>
      <c r="K86" s="74">
        <f>K74/K62</f>
        <v>1.0436464111483021</v>
      </c>
      <c r="L86" s="74">
        <f>L74/L62</f>
        <v>0.88589207636948319</v>
      </c>
      <c r="M86" s="74">
        <f t="shared" si="142"/>
        <v>0.89424252103254376</v>
      </c>
      <c r="N86" s="74">
        <f t="shared" si="142"/>
        <v>0.99535080962576239</v>
      </c>
      <c r="O86" s="74">
        <f t="shared" si="142"/>
        <v>1.0690290904083823</v>
      </c>
      <c r="P86" s="74">
        <f t="shared" si="142"/>
        <v>1.0977043527253905</v>
      </c>
      <c r="Q86" s="74">
        <f t="shared" si="142"/>
        <v>1.1383932904097176</v>
      </c>
      <c r="R86" s="74">
        <f t="shared" si="142"/>
        <v>0.82568188938741705</v>
      </c>
      <c r="S86" s="74">
        <f t="shared" si="142"/>
        <v>0.59015700351322353</v>
      </c>
      <c r="T86" s="74">
        <f t="shared" si="142"/>
        <v>0.64274909755440035</v>
      </c>
      <c r="U86" s="74">
        <f t="shared" si="142"/>
        <v>1.0466823563982397</v>
      </c>
      <c r="V86" s="74">
        <f t="shared" si="142"/>
        <v>0.70434936713159457</v>
      </c>
      <c r="W86" s="74">
        <f t="shared" si="142"/>
        <v>0.42328907303094532</v>
      </c>
      <c r="X86" s="74">
        <f>X74/X62</f>
        <v>0.7047267393016915</v>
      </c>
      <c r="Y86" s="74">
        <f t="shared" si="142"/>
        <v>1.0737094803916403</v>
      </c>
      <c r="Z86" s="74">
        <f t="shared" si="142"/>
        <v>0.90570361601127158</v>
      </c>
      <c r="AA86" s="74">
        <f t="shared" si="142"/>
        <v>0.92322990590312681</v>
      </c>
      <c r="AB86" s="74">
        <f>AB74/AB62</f>
        <v>0.97096902680551178</v>
      </c>
      <c r="AC86" s="74">
        <f t="shared" si="142"/>
        <v>0.90265886750679014</v>
      </c>
      <c r="AD86" s="74">
        <f>AD74/AD62</f>
        <v>0.89670673310214222</v>
      </c>
      <c r="AE86" s="74">
        <f t="shared" si="142"/>
        <v>0.89874439911884541</v>
      </c>
      <c r="AF86" s="74">
        <f t="shared" ref="AF86:AY86" si="143">AF74/AF62</f>
        <v>1.0054268752399733</v>
      </c>
      <c r="AG86" s="74">
        <f t="shared" si="143"/>
        <v>0.86771721576752181</v>
      </c>
      <c r="AH86" s="74">
        <f t="shared" si="143"/>
        <v>0.88483534758752025</v>
      </c>
      <c r="AI86" s="74">
        <f t="shared" si="143"/>
        <v>0.90729890940803293</v>
      </c>
      <c r="AJ86" s="74">
        <f t="shared" si="143"/>
        <v>0.87678571459144394</v>
      </c>
      <c r="AK86" s="74">
        <f t="shared" si="143"/>
        <v>0.87942715585600328</v>
      </c>
      <c r="AL86" s="74">
        <f t="shared" si="143"/>
        <v>0.88640258383144932</v>
      </c>
      <c r="AM86" s="74">
        <f t="shared" si="143"/>
        <v>0.91068913503500837</v>
      </c>
      <c r="AN86" s="74">
        <f t="shared" si="143"/>
        <v>0.93187631666334525</v>
      </c>
      <c r="AO86" s="74">
        <f t="shared" si="143"/>
        <v>0.92017441494322505</v>
      </c>
      <c r="AP86" s="74">
        <f t="shared" si="143"/>
        <v>0.93035927242163197</v>
      </c>
      <c r="AQ86" s="74">
        <f t="shared" si="143"/>
        <v>0.93509742327163103</v>
      </c>
      <c r="AR86" s="74">
        <f t="shared" si="143"/>
        <v>0.96254883318947226</v>
      </c>
      <c r="AS86" s="74">
        <f t="shared" si="143"/>
        <v>0.93962693686860776</v>
      </c>
      <c r="AT86" s="74">
        <f t="shared" si="143"/>
        <v>0.96267672925515491</v>
      </c>
      <c r="AU86" s="74">
        <f t="shared" si="143"/>
        <v>0.96972592379606359</v>
      </c>
      <c r="AV86" s="74">
        <f t="shared" si="143"/>
        <v>0.95860134371544015</v>
      </c>
      <c r="AW86" s="74">
        <f t="shared" si="143"/>
        <v>0.98825265102227755</v>
      </c>
      <c r="AX86" s="74">
        <f t="shared" si="143"/>
        <v>0.99103360842264543</v>
      </c>
      <c r="AY86" s="74">
        <f t="shared" si="143"/>
        <v>1.0075972222052354</v>
      </c>
      <c r="AZ86" s="74">
        <f>AZ74/AZ62</f>
        <v>0.96769237090454518</v>
      </c>
      <c r="BA86" s="74">
        <f t="shared" ref="BA86:BJ86" si="144">BA74/BA62</f>
        <v>0.98491111279660293</v>
      </c>
      <c r="BB86" s="74">
        <f t="shared" si="144"/>
        <v>1.0280789526832392</v>
      </c>
      <c r="BC86" s="74">
        <f t="shared" si="144"/>
        <v>1.0402552814879182</v>
      </c>
      <c r="BD86" s="74">
        <f t="shared" si="144"/>
        <v>1.076141104393926</v>
      </c>
      <c r="BE86" s="74">
        <f t="shared" si="144"/>
        <v>1.0546676502678907</v>
      </c>
      <c r="BF86" s="74">
        <f t="shared" si="144"/>
        <v>1.0235502945000803</v>
      </c>
      <c r="BG86" s="74">
        <f t="shared" si="144"/>
        <v>1.0708008497256485</v>
      </c>
      <c r="BH86" s="74">
        <f t="shared" si="144"/>
        <v>1.1447624840900208</v>
      </c>
      <c r="BI86" s="74">
        <f t="shared" si="144"/>
        <v>1.1222623447113622</v>
      </c>
      <c r="BJ86" s="74">
        <f t="shared" si="144"/>
        <v>1.1712489519898164</v>
      </c>
      <c r="BK86" s="394">
        <f t="shared" ref="BK86:CI86" si="145">IF(BJ86-0.01&gt;0.8,BJ86-0.01,0.8)</f>
        <v>1.1612489519898164</v>
      </c>
      <c r="BL86" s="394">
        <f t="shared" si="145"/>
        <v>1.1512489519898164</v>
      </c>
      <c r="BM86" s="394">
        <f t="shared" si="145"/>
        <v>1.1412489519898164</v>
      </c>
      <c r="BN86" s="394">
        <f t="shared" si="145"/>
        <v>1.1312489519898163</v>
      </c>
      <c r="BO86" s="394">
        <f t="shared" si="145"/>
        <v>1.1212489519898163</v>
      </c>
      <c r="BP86" s="394">
        <f t="shared" si="145"/>
        <v>1.1112489519898163</v>
      </c>
      <c r="BQ86" s="394">
        <f t="shared" si="145"/>
        <v>1.1012489519898163</v>
      </c>
      <c r="BR86" s="394">
        <f t="shared" si="145"/>
        <v>1.0912489519898163</v>
      </c>
      <c r="BS86" s="394">
        <f t="shared" si="145"/>
        <v>1.0812489519898163</v>
      </c>
      <c r="BT86" s="394">
        <f t="shared" si="145"/>
        <v>1.0712489519898163</v>
      </c>
      <c r="BU86" s="394">
        <f t="shared" si="145"/>
        <v>1.0612489519898163</v>
      </c>
      <c r="BV86" s="394">
        <f t="shared" si="145"/>
        <v>1.0512489519898163</v>
      </c>
      <c r="BW86" s="394">
        <f t="shared" si="145"/>
        <v>1.0412489519898163</v>
      </c>
      <c r="BX86" s="394">
        <f t="shared" si="145"/>
        <v>1.0312489519898163</v>
      </c>
      <c r="BY86" s="394">
        <f t="shared" si="145"/>
        <v>1.0212489519898162</v>
      </c>
      <c r="BZ86" s="394">
        <f t="shared" si="145"/>
        <v>1.0112489519898162</v>
      </c>
      <c r="CA86" s="394">
        <f t="shared" si="145"/>
        <v>1.0012489519898162</v>
      </c>
      <c r="CB86" s="394">
        <f t="shared" si="145"/>
        <v>0.99124895198981622</v>
      </c>
      <c r="CC86" s="394">
        <f t="shared" si="145"/>
        <v>0.98124895198981621</v>
      </c>
      <c r="CD86" s="394">
        <f t="shared" si="145"/>
        <v>0.9712489519898162</v>
      </c>
      <c r="CE86" s="394">
        <f t="shared" si="145"/>
        <v>0.96124895198981619</v>
      </c>
      <c r="CF86" s="394">
        <f t="shared" si="145"/>
        <v>0.95124895198981618</v>
      </c>
      <c r="CG86" s="394">
        <f t="shared" si="145"/>
        <v>0.94124895198981617</v>
      </c>
      <c r="CH86" s="394">
        <f t="shared" si="145"/>
        <v>0.93124895198981616</v>
      </c>
      <c r="CI86" s="394">
        <f t="shared" si="145"/>
        <v>0.92124895198981616</v>
      </c>
      <c r="CJ86" s="394">
        <f t="shared" ref="CJ86" si="146">IF(CI86-0.01&gt;0.8,CI86-0.01,0.8)</f>
        <v>0.91124895198981615</v>
      </c>
      <c r="CK86" s="394">
        <f t="shared" ref="CK86" si="147">IF(CJ86-0.01&gt;0.8,CJ86-0.01,0.8)</f>
        <v>0.90124895198981614</v>
      </c>
      <c r="CL86" s="394">
        <f t="shared" ref="CL86" si="148">IF(CK86-0.01&gt;0.8,CK86-0.01,0.8)</f>
        <v>0.89124895198981613</v>
      </c>
      <c r="CM86" s="394">
        <f t="shared" ref="CM86" si="149">IF(CL86-0.01&gt;0.8,CL86-0.01,0.8)</f>
        <v>0.88124895198981612</v>
      </c>
      <c r="CN86" s="394">
        <f t="shared" ref="CN86" si="150">IF(CM86-0.01&gt;0.8,CM86-0.01,0.8)</f>
        <v>0.87124895198981611</v>
      </c>
      <c r="CO86" s="369"/>
      <c r="CP86" s="369"/>
      <c r="CQ86" s="369"/>
      <c r="CR86" s="369"/>
      <c r="CS86" s="369"/>
      <c r="CT86" s="369"/>
      <c r="CU86" s="369"/>
      <c r="CV86" s="369"/>
    </row>
    <row r="87" spans="1:100">
      <c r="I87" s="75">
        <f>SUM(I86:I86)/5</f>
        <v>0.18857599246616197</v>
      </c>
      <c r="J87" s="75">
        <f>J70/J62</f>
        <v>0</v>
      </c>
      <c r="K87" s="75">
        <f>K70/K62</f>
        <v>0</v>
      </c>
      <c r="L87" s="75">
        <f t="shared" ref="L87:U87" si="151">L70/L62</f>
        <v>0</v>
      </c>
      <c r="M87" s="75">
        <f t="shared" si="151"/>
        <v>0</v>
      </c>
      <c r="N87" s="75">
        <f t="shared" si="151"/>
        <v>0</v>
      </c>
      <c r="O87" s="75">
        <f t="shared" si="151"/>
        <v>0</v>
      </c>
      <c r="P87" s="75">
        <f t="shared" si="151"/>
        <v>0.62045545451241657</v>
      </c>
      <c r="Q87" s="75">
        <f t="shared" si="151"/>
        <v>0.5745655388772174</v>
      </c>
      <c r="R87" s="75">
        <f t="shared" si="151"/>
        <v>0.3150161095641425</v>
      </c>
      <c r="S87" s="75">
        <f t="shared" si="151"/>
        <v>0.25026104142058603</v>
      </c>
      <c r="T87" s="75">
        <f t="shared" si="151"/>
        <v>0.30039235617563986</v>
      </c>
      <c r="U87" s="75">
        <f t="shared" si="151"/>
        <v>0.57189077263748422</v>
      </c>
      <c r="V87" s="75">
        <f>V70/V62</f>
        <v>0.23346251493451983</v>
      </c>
      <c r="W87" s="75">
        <f>W70/W62</f>
        <v>0.13522393670221272</v>
      </c>
      <c r="X87" s="75">
        <f>X70/X62</f>
        <v>0.39530829177397969</v>
      </c>
      <c r="Y87" s="75">
        <f t="shared" ref="Y87:AF87" si="152">Y70/Y62</f>
        <v>0.68419236707018705</v>
      </c>
      <c r="Z87" s="75">
        <f t="shared" si="152"/>
        <v>0.54218874422151442</v>
      </c>
      <c r="AA87" s="75">
        <f t="shared" si="152"/>
        <v>0.53394855789781148</v>
      </c>
      <c r="AB87" s="75">
        <f t="shared" si="152"/>
        <v>0.56342978394572041</v>
      </c>
      <c r="AC87" s="75">
        <f t="shared" si="152"/>
        <v>0.54803304999529767</v>
      </c>
      <c r="AD87" s="75">
        <f t="shared" si="152"/>
        <v>0.54128268301786708</v>
      </c>
      <c r="AE87" s="75">
        <f t="shared" si="152"/>
        <v>0.55917986631601457</v>
      </c>
      <c r="AF87" s="75">
        <f t="shared" si="152"/>
        <v>0.63506424054053834</v>
      </c>
      <c r="AG87" s="75">
        <f t="shared" ref="AG87:AZ87" si="153">AG70/AG62</f>
        <v>0.51789591028052706</v>
      </c>
      <c r="AH87" s="75">
        <f t="shared" si="153"/>
        <v>0.5451310219804999</v>
      </c>
      <c r="AI87" s="75">
        <f t="shared" si="153"/>
        <v>0.55863963563212471</v>
      </c>
      <c r="AJ87" s="75">
        <f t="shared" si="153"/>
        <v>0.54301874221092994</v>
      </c>
      <c r="AK87" s="75">
        <f t="shared" si="153"/>
        <v>0.55578711082100563</v>
      </c>
      <c r="AL87" s="75">
        <f t="shared" si="153"/>
        <v>0.57645365656347314</v>
      </c>
      <c r="AM87" s="75">
        <f t="shared" si="153"/>
        <v>0.59502289992930346</v>
      </c>
      <c r="AN87" s="75">
        <f t="shared" si="153"/>
        <v>0.61642654664240581</v>
      </c>
      <c r="AO87" s="75">
        <f t="shared" si="153"/>
        <v>0.61484462095066228</v>
      </c>
      <c r="AP87" s="75">
        <f t="shared" si="153"/>
        <v>0.62449290361904586</v>
      </c>
      <c r="AQ87" s="75">
        <f t="shared" si="153"/>
        <v>0.6398489377682649</v>
      </c>
      <c r="AR87" s="75">
        <f t="shared" si="153"/>
        <v>0.63273943524850085</v>
      </c>
      <c r="AS87" s="75">
        <f t="shared" si="153"/>
        <v>0.62614861748791073</v>
      </c>
      <c r="AT87" s="75">
        <f t="shared" si="153"/>
        <v>0.62982251220574503</v>
      </c>
      <c r="AU87" s="75">
        <f t="shared" si="153"/>
        <v>0.63579137337011293</v>
      </c>
      <c r="AV87" s="75">
        <f t="shared" si="153"/>
        <v>0.62078106060226557</v>
      </c>
      <c r="AW87" s="75">
        <f t="shared" si="153"/>
        <v>0.64726280443076412</v>
      </c>
      <c r="AX87" s="75">
        <f t="shared" si="153"/>
        <v>0.64728214279423446</v>
      </c>
      <c r="AY87" s="75">
        <f t="shared" si="153"/>
        <v>0.661155226777559</v>
      </c>
      <c r="AZ87" s="75">
        <f t="shared" si="153"/>
        <v>0.64630970257303888</v>
      </c>
      <c r="BA87" s="75">
        <f t="shared" ref="BA87:BJ87" si="154">BA70/BA62</f>
        <v>0.67988693360658392</v>
      </c>
      <c r="BB87" s="75">
        <f t="shared" si="154"/>
        <v>0.70832785387366781</v>
      </c>
      <c r="BC87" s="75">
        <f t="shared" si="154"/>
        <v>0.72311042690975458</v>
      </c>
      <c r="BD87" s="75">
        <f t="shared" si="154"/>
        <v>0.74423022844214759</v>
      </c>
      <c r="BE87" s="75">
        <f t="shared" si="154"/>
        <v>0.71573967555130369</v>
      </c>
      <c r="BF87" s="75">
        <f t="shared" si="154"/>
        <v>0.68944218943973079</v>
      </c>
      <c r="BG87" s="75">
        <f t="shared" si="154"/>
        <v>0.72739990314690561</v>
      </c>
      <c r="BH87" s="75">
        <f t="shared" si="154"/>
        <v>0.72929915164486603</v>
      </c>
      <c r="BI87" s="75">
        <f t="shared" si="154"/>
        <v>0.69674646027769205</v>
      </c>
      <c r="BJ87" s="75">
        <f t="shared" si="154"/>
        <v>0.70835315967928403</v>
      </c>
    </row>
    <row r="88" spans="1:100">
      <c r="A88" s="2" t="s">
        <v>408</v>
      </c>
      <c r="B88" s="2"/>
      <c r="C88" s="2"/>
      <c r="D88" s="2"/>
      <c r="E88" s="2"/>
      <c r="F88" s="2"/>
      <c r="G88" s="2"/>
      <c r="H88" s="2"/>
      <c r="I88" s="66"/>
      <c r="J88" s="66">
        <f>J71/J62</f>
        <v>0</v>
      </c>
      <c r="K88" s="66">
        <f>K71/K62</f>
        <v>0</v>
      </c>
      <c r="L88" s="66">
        <f t="shared" ref="L88:U88" si="155">L71/L62</f>
        <v>0</v>
      </c>
      <c r="M88" s="66">
        <f t="shared" si="155"/>
        <v>0</v>
      </c>
      <c r="N88" s="66">
        <f t="shared" si="155"/>
        <v>0</v>
      </c>
      <c r="O88" s="66">
        <f t="shared" si="155"/>
        <v>0</v>
      </c>
      <c r="P88" s="66">
        <f t="shared" si="155"/>
        <v>0.39749545495272531</v>
      </c>
      <c r="Q88" s="66">
        <f t="shared" si="155"/>
        <v>0.483597218710766</v>
      </c>
      <c r="R88" s="66">
        <f t="shared" si="155"/>
        <v>0.43974624563785258</v>
      </c>
      <c r="S88" s="66">
        <f t="shared" si="155"/>
        <v>0.31036881381796388</v>
      </c>
      <c r="T88" s="66">
        <f t="shared" si="155"/>
        <v>0.30397979628529825</v>
      </c>
      <c r="U88" s="66">
        <f t="shared" si="155"/>
        <v>0.39308141979070521</v>
      </c>
      <c r="V88" s="66">
        <f>V71/V62</f>
        <v>0.37178678633047413</v>
      </c>
      <c r="W88" s="66">
        <f t="shared" ref="W88:AF88" si="156">W71/W62</f>
        <v>0.27261576456852854</v>
      </c>
      <c r="X88" s="66">
        <f>X71/X62</f>
        <v>0.29008527555003771</v>
      </c>
      <c r="Y88" s="66">
        <f t="shared" si="156"/>
        <v>0.30355030481347411</v>
      </c>
      <c r="Z88" s="66">
        <f t="shared" si="156"/>
        <v>0.28279655976010176</v>
      </c>
      <c r="AA88" s="66">
        <f t="shared" si="156"/>
        <v>0.33673791396126562</v>
      </c>
      <c r="AB88" s="66">
        <f t="shared" si="156"/>
        <v>0.35947632669486723</v>
      </c>
      <c r="AC88" s="66">
        <f t="shared" si="156"/>
        <v>0.32416985260327913</v>
      </c>
      <c r="AD88" s="66">
        <f t="shared" si="156"/>
        <v>0.32278758080577252</v>
      </c>
      <c r="AE88" s="66">
        <f t="shared" si="156"/>
        <v>0.30284505047171678</v>
      </c>
      <c r="AF88" s="66">
        <f t="shared" si="156"/>
        <v>0.32041891172571113</v>
      </c>
      <c r="AG88" s="66">
        <f t="shared" ref="AG88:AZ88" si="157">AG71/AG62</f>
        <v>0.2974743164350323</v>
      </c>
      <c r="AH88" s="66">
        <f t="shared" si="157"/>
        <v>0.28369662193604628</v>
      </c>
      <c r="AI88" s="66">
        <f t="shared" si="157"/>
        <v>0.2884134480318164</v>
      </c>
      <c r="AJ88" s="66">
        <f t="shared" si="157"/>
        <v>0.27360065367130737</v>
      </c>
      <c r="AK88" s="66">
        <f t="shared" si="157"/>
        <v>0.26319290154006397</v>
      </c>
      <c r="AL88" s="66">
        <f t="shared" si="157"/>
        <v>0.24808548795205873</v>
      </c>
      <c r="AM88" s="66">
        <f t="shared" si="157"/>
        <v>0.24949393316437657</v>
      </c>
      <c r="AN88" s="66">
        <f t="shared" si="157"/>
        <v>0.24051515884844907</v>
      </c>
      <c r="AO88" s="66">
        <f t="shared" si="157"/>
        <v>0.22238507942984564</v>
      </c>
      <c r="AP88" s="66">
        <f t="shared" si="157"/>
        <v>0.21451134458938062</v>
      </c>
      <c r="AQ88" s="66">
        <f t="shared" si="157"/>
        <v>0.19529023005232748</v>
      </c>
      <c r="AR88" s="66">
        <f t="shared" si="157"/>
        <v>0.22166624355050327</v>
      </c>
      <c r="AS88" s="66">
        <f t="shared" si="157"/>
        <v>0.19695791157248063</v>
      </c>
      <c r="AT88" s="66">
        <f t="shared" si="157"/>
        <v>0.20878199453690749</v>
      </c>
      <c r="AU88" s="66">
        <f t="shared" si="157"/>
        <v>0.19849328158444135</v>
      </c>
      <c r="AV88" s="66">
        <f t="shared" si="157"/>
        <v>0.19655572250596151</v>
      </c>
      <c r="AW88" s="66">
        <f t="shared" si="157"/>
        <v>0.18535851842741261</v>
      </c>
      <c r="AX88" s="66">
        <f t="shared" si="157"/>
        <v>0.18165140669258723</v>
      </c>
      <c r="AY88" s="66">
        <f t="shared" si="157"/>
        <v>0.17273087932508094</v>
      </c>
      <c r="AZ88" s="66">
        <f t="shared" si="157"/>
        <v>0.14244998894687236</v>
      </c>
      <c r="BA88" s="66">
        <f t="shared" ref="BA88:BJ88" si="158">BA71/BA62</f>
        <v>0.12251212114051505</v>
      </c>
      <c r="BB88" s="66">
        <f t="shared" si="158"/>
        <v>0.12134779103272027</v>
      </c>
      <c r="BC88" s="66">
        <f t="shared" si="158"/>
        <v>9.9030830419667065E-2</v>
      </c>
      <c r="BD88" s="66">
        <f t="shared" si="158"/>
        <v>8.7533555371797925E-2</v>
      </c>
      <c r="BE88" s="66">
        <f t="shared" si="158"/>
        <v>8.5432054716058151E-2</v>
      </c>
      <c r="BF88" s="66">
        <f t="shared" si="158"/>
        <v>8.707008468922546E-2</v>
      </c>
      <c r="BG88" s="66">
        <f t="shared" si="158"/>
        <v>8.1808606204140155E-2</v>
      </c>
      <c r="BH88" s="66">
        <f t="shared" si="158"/>
        <v>0.12379938774994102</v>
      </c>
      <c r="BI88" s="66">
        <f t="shared" si="158"/>
        <v>0.1194689469624395</v>
      </c>
      <c r="BJ88" s="66">
        <f t="shared" si="158"/>
        <v>0.12821670323486592</v>
      </c>
    </row>
    <row r="89" spans="1:100">
      <c r="A89" s="2" t="s">
        <v>407</v>
      </c>
      <c r="B89" s="2"/>
      <c r="C89" s="2"/>
      <c r="D89" s="2"/>
      <c r="E89" s="2"/>
      <c r="F89" s="2"/>
      <c r="G89" s="2"/>
      <c r="H89" s="2"/>
      <c r="I89" s="66"/>
      <c r="J89" s="66"/>
      <c r="K89" s="66">
        <f>AVERAGE(I86:K86)</f>
        <v>0.94325604807271579</v>
      </c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</row>
    <row r="90" spans="1:100">
      <c r="A90" s="370" t="str">
        <f>IF(Skiftberegning!BT25=0,"Skiftberegning ikke i bruk","SKIFTBEREGNING I BRUK!")</f>
        <v>Skiftberegning ikke i bruk</v>
      </c>
      <c r="B90" s="370"/>
      <c r="C90" s="370"/>
      <c r="D90" s="370"/>
      <c r="E90" s="370"/>
      <c r="F90" s="370"/>
      <c r="G90" s="370"/>
      <c r="H90" s="37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100">
      <c r="A91" s="370" t="s">
        <v>322</v>
      </c>
      <c r="B91" s="370"/>
      <c r="C91" s="370"/>
      <c r="D91" s="370"/>
      <c r="E91" s="370"/>
      <c r="F91" s="370"/>
      <c r="G91" s="370"/>
      <c r="H91" s="370"/>
      <c r="I91" s="3"/>
      <c r="J91" s="3"/>
      <c r="K91" s="3"/>
      <c r="L91" s="3"/>
      <c r="M91" s="3">
        <f t="shared" ref="M91:AB91" si="159">M62*0.85</f>
        <v>333445.20568561892</v>
      </c>
      <c r="N91" s="3">
        <f t="shared" si="159"/>
        <v>337730.72443311877</v>
      </c>
      <c r="O91" s="3">
        <f t="shared" si="159"/>
        <v>274435.18855780206</v>
      </c>
      <c r="P91" s="3">
        <f t="shared" si="159"/>
        <v>241336.28860628128</v>
      </c>
      <c r="Q91" s="3">
        <f t="shared" si="159"/>
        <v>162964.14270426106</v>
      </c>
      <c r="R91" s="3">
        <f t="shared" si="159"/>
        <v>128453.65360243159</v>
      </c>
      <c r="S91" s="3">
        <f t="shared" si="159"/>
        <v>241748.60821634604</v>
      </c>
      <c r="T91" s="3">
        <f t="shared" si="159"/>
        <v>331879.08440814755</v>
      </c>
      <c r="U91" s="3">
        <f t="shared" si="159"/>
        <v>208645.06071483184</v>
      </c>
      <c r="V91" s="3">
        <f t="shared" si="159"/>
        <v>128914.45669871815</v>
      </c>
      <c r="W91" s="3">
        <f t="shared" si="159"/>
        <v>577349.43697038502</v>
      </c>
      <c r="X91" s="3">
        <f t="shared" si="159"/>
        <v>1550160.5532971409</v>
      </c>
      <c r="Y91" s="3">
        <f t="shared" si="159"/>
        <v>774283.13502904843</v>
      </c>
      <c r="Z91" s="3">
        <f t="shared" si="159"/>
        <v>658974.38465335919</v>
      </c>
      <c r="AA91" s="3">
        <f t="shared" si="159"/>
        <v>610978.0524258574</v>
      </c>
      <c r="AB91" s="3">
        <f t="shared" si="159"/>
        <v>456358.28514307109</v>
      </c>
      <c r="AC91" s="3">
        <f>AC62*0.85</f>
        <v>383872.83395007852</v>
      </c>
      <c r="AD91" s="3">
        <f>AD62*0.85</f>
        <v>360236.90784425777</v>
      </c>
      <c r="AE91" s="3">
        <f>AE62*0.85</f>
        <v>321649.63517902128</v>
      </c>
      <c r="AF91" s="3">
        <f>AF62*0.85</f>
        <v>236637.47760712897</v>
      </c>
      <c r="AG91" s="3">
        <f t="shared" ref="AG91:BJ91" si="160">AG62*0.85</f>
        <v>236505.05356115659</v>
      </c>
      <c r="AH91" s="3">
        <f t="shared" si="160"/>
        <v>231393.91249781454</v>
      </c>
      <c r="AI91" s="3">
        <f t="shared" si="160"/>
        <v>225037.73807196488</v>
      </c>
      <c r="AJ91" s="3">
        <f t="shared" si="160"/>
        <v>235581.1872701603</v>
      </c>
      <c r="AK91" s="3">
        <f t="shared" si="160"/>
        <v>245003.88250970849</v>
      </c>
      <c r="AL91" s="3">
        <f t="shared" si="160"/>
        <v>244182.68215894463</v>
      </c>
      <c r="AM91" s="3">
        <f t="shared" si="160"/>
        <v>232848.18116489562</v>
      </c>
      <c r="AN91" s="3">
        <f t="shared" si="160"/>
        <v>209733.0179957342</v>
      </c>
      <c r="AO91" s="3">
        <f t="shared" si="160"/>
        <v>193268.34122134317</v>
      </c>
      <c r="AP91" s="3">
        <f t="shared" si="160"/>
        <v>178985.22041202433</v>
      </c>
      <c r="AQ91" s="3">
        <f t="shared" si="160"/>
        <v>166851.88284029852</v>
      </c>
      <c r="AR91" s="3">
        <f t="shared" si="160"/>
        <v>157308.03938418793</v>
      </c>
      <c r="AS91" s="3">
        <f t="shared" si="160"/>
        <v>148918.3197019521</v>
      </c>
      <c r="AT91" s="3">
        <f t="shared" si="160"/>
        <v>142651.29978499436</v>
      </c>
      <c r="AU91" s="3">
        <f t="shared" si="160"/>
        <v>133290.57856006396</v>
      </c>
      <c r="AV91" s="3">
        <f t="shared" si="160"/>
        <v>130351.91492712991</v>
      </c>
      <c r="AW91" s="3">
        <f t="shared" si="160"/>
        <v>120685.13664816304</v>
      </c>
      <c r="AX91" s="3">
        <f t="shared" si="160"/>
        <v>118186.48305321579</v>
      </c>
      <c r="AY91" s="3">
        <f t="shared" si="160"/>
        <v>112492.49342321685</v>
      </c>
      <c r="AZ91" s="3">
        <f t="shared" si="160"/>
        <v>111393.96440031614</v>
      </c>
      <c r="BA91" s="3">
        <f t="shared" si="160"/>
        <v>111393.52185848009</v>
      </c>
      <c r="BB91" s="3">
        <f t="shared" si="160"/>
        <v>104520.80854243004</v>
      </c>
      <c r="BC91" s="3">
        <f t="shared" si="160"/>
        <v>96976.889546016348</v>
      </c>
      <c r="BD91" s="3">
        <f t="shared" si="160"/>
        <v>88285.852265818772</v>
      </c>
      <c r="BE91" s="3">
        <f t="shared" si="160"/>
        <v>86812.289610939988</v>
      </c>
      <c r="BF91" s="3">
        <f t="shared" si="160"/>
        <v>90863.310890370543</v>
      </c>
      <c r="BG91" s="3">
        <f t="shared" si="160"/>
        <v>87524.069943603259</v>
      </c>
      <c r="BH91" s="3">
        <f t="shared" si="160"/>
        <v>80070.023211045205</v>
      </c>
      <c r="BI91" s="3">
        <f t="shared" si="160"/>
        <v>77833.190538759736</v>
      </c>
      <c r="BJ91" s="3">
        <f t="shared" si="160"/>
        <v>72597.967973042323</v>
      </c>
    </row>
    <row r="92" spans="1:100" ht="13.5" thickBot="1">
      <c r="A92" s="50" t="s">
        <v>317</v>
      </c>
      <c r="B92" s="370"/>
      <c r="C92" s="370"/>
      <c r="D92" s="370"/>
      <c r="E92" s="370"/>
      <c r="F92" s="370"/>
      <c r="G92" s="370"/>
      <c r="H92" s="37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91"/>
      <c r="BL92" s="391"/>
      <c r="BM92" s="391"/>
      <c r="BN92" s="391"/>
      <c r="BO92" s="391"/>
      <c r="BP92" s="391"/>
      <c r="BQ92" s="391"/>
      <c r="BR92" s="391"/>
      <c r="BS92" s="391"/>
      <c r="BT92" s="391"/>
    </row>
    <row r="93" spans="1:100">
      <c r="A93" s="373" t="s">
        <v>661</v>
      </c>
      <c r="B93" s="689"/>
      <c r="C93" s="2"/>
      <c r="D93" s="2"/>
      <c r="E93" s="2"/>
      <c r="F93" s="2"/>
      <c r="G93" s="2"/>
      <c r="H93" s="2"/>
      <c r="AC93" s="1"/>
      <c r="AD93" s="1"/>
      <c r="AE93" s="1"/>
      <c r="AF93" s="1"/>
    </row>
    <row r="94" spans="1:100">
      <c r="A94" s="374" t="s">
        <v>128</v>
      </c>
      <c r="B94" s="690">
        <v>0.03</v>
      </c>
      <c r="C94" s="2"/>
      <c r="D94" s="2"/>
      <c r="E94" s="2"/>
      <c r="F94" s="2"/>
      <c r="G94" s="2"/>
      <c r="H94" s="2"/>
      <c r="T94" s="371"/>
      <c r="AC94" s="1"/>
      <c r="AD94" s="1"/>
      <c r="AE94" s="1"/>
      <c r="AF94" s="1"/>
      <c r="AG94" s="1"/>
    </row>
    <row r="95" spans="1:100">
      <c r="A95" s="375" t="s">
        <v>424</v>
      </c>
      <c r="B95" s="693">
        <f>NPV($B$94,AA63:CN63)/1000</f>
        <v>5055.3749883884984</v>
      </c>
      <c r="C95" s="2"/>
      <c r="D95" s="2"/>
      <c r="E95" s="2"/>
      <c r="F95" s="2"/>
      <c r="G95" s="2"/>
      <c r="H95" s="2"/>
    </row>
    <row r="96" spans="1:100">
      <c r="A96" s="376" t="s">
        <v>27</v>
      </c>
      <c r="B96" s="691">
        <f>NPV($B$94,AA80:CN80)/1000</f>
        <v>2926.4931133033829</v>
      </c>
      <c r="K96" s="372"/>
    </row>
    <row r="97" spans="1:100">
      <c r="A97" s="377" t="s">
        <v>130</v>
      </c>
      <c r="B97" s="692">
        <f>NPV($B$94,AA81:CN81)/1000</f>
        <v>1404.3852791388833</v>
      </c>
    </row>
    <row r="98" spans="1:100">
      <c r="A98" s="377" t="s">
        <v>37</v>
      </c>
      <c r="B98" s="692">
        <f>NPV($B$94,AA82:CN82)/1000</f>
        <v>390.20257810831504</v>
      </c>
      <c r="AC98" s="34"/>
      <c r="AD98" s="34"/>
      <c r="AE98" s="34"/>
      <c r="AF98" s="34"/>
    </row>
    <row r="99" spans="1:100">
      <c r="A99" s="377" t="s">
        <v>38</v>
      </c>
      <c r="B99" s="692">
        <f>NPV($B$94,AA83:CN83)/1000</f>
        <v>0</v>
      </c>
      <c r="K99" s="397"/>
    </row>
    <row r="100" spans="1:100">
      <c r="A100" s="375" t="s">
        <v>664</v>
      </c>
      <c r="B100" s="693">
        <f>NPV($B$94,AA84:CN84)/1000</f>
        <v>4721.0809705505817</v>
      </c>
      <c r="C100" s="2"/>
      <c r="D100" s="2"/>
      <c r="E100" s="2"/>
      <c r="F100" s="2"/>
      <c r="G100" s="2"/>
      <c r="H100" s="2"/>
      <c r="M100" s="49"/>
      <c r="P100" s="49"/>
    </row>
    <row r="101" spans="1:100">
      <c r="A101" s="374" t="s">
        <v>133</v>
      </c>
      <c r="B101" s="694">
        <v>0.03</v>
      </c>
      <c r="C101" s="2"/>
      <c r="D101" s="2"/>
      <c r="E101" s="2"/>
      <c r="F101" s="2"/>
      <c r="G101" s="2"/>
      <c r="H101" s="2"/>
    </row>
    <row r="102" spans="1:100">
      <c r="A102" s="377" t="s">
        <v>665</v>
      </c>
      <c r="B102" s="695">
        <f>B95*B101</f>
        <v>151.66124965165494</v>
      </c>
    </row>
    <row r="103" spans="1:100" ht="13.5" thickBot="1">
      <c r="A103" s="378" t="s">
        <v>666</v>
      </c>
      <c r="B103" s="696">
        <f>B100*B101</f>
        <v>141.63242911651744</v>
      </c>
    </row>
    <row r="104" spans="1:100" s="76" customFormat="1" ht="13.5" thickBot="1">
      <c r="A104" s="39"/>
      <c r="B104" s="688"/>
      <c r="C104" s="688"/>
      <c r="D104" s="688"/>
      <c r="E104" s="688"/>
      <c r="F104" s="688"/>
      <c r="G104" s="688"/>
      <c r="H104" s="688"/>
      <c r="BK104" s="395"/>
      <c r="BL104" s="395"/>
      <c r="BM104" s="395"/>
      <c r="BN104" s="395"/>
      <c r="BO104" s="395"/>
      <c r="BP104" s="395"/>
      <c r="BQ104" s="395"/>
      <c r="BR104" s="395"/>
      <c r="BS104" s="395"/>
      <c r="BT104" s="395"/>
      <c r="BU104" s="395"/>
      <c r="BV104" s="395"/>
      <c r="BW104" s="395"/>
      <c r="BX104" s="395"/>
      <c r="BY104" s="395"/>
      <c r="BZ104" s="395"/>
      <c r="CA104" s="395"/>
      <c r="CB104" s="395"/>
      <c r="CC104" s="395"/>
      <c r="CD104" s="395"/>
      <c r="CE104" s="395"/>
      <c r="CF104" s="395"/>
      <c r="CG104" s="395"/>
      <c r="CH104" s="395"/>
      <c r="CI104" s="395"/>
      <c r="CJ104" s="395"/>
      <c r="CK104" s="395"/>
      <c r="CL104" s="395"/>
      <c r="CM104" s="395"/>
      <c r="CN104" s="395"/>
    </row>
    <row r="105" spans="1:100" ht="13.5" thickTop="1">
      <c r="A105" s="51"/>
      <c r="B105" s="51"/>
      <c r="C105" s="51"/>
      <c r="D105" s="51"/>
      <c r="E105" s="51"/>
      <c r="F105" s="51"/>
      <c r="G105" s="51"/>
      <c r="H105" s="51"/>
    </row>
    <row r="106" spans="1:100">
      <c r="A106" s="51"/>
      <c r="B106" s="51"/>
      <c r="C106" s="51"/>
      <c r="D106" s="51"/>
      <c r="E106" s="51"/>
      <c r="F106" s="51"/>
      <c r="G106" s="51"/>
      <c r="H106" s="51"/>
    </row>
    <row r="107" spans="1:100">
      <c r="A107" t="s">
        <v>450</v>
      </c>
      <c r="I107" s="33"/>
      <c r="J107" s="33"/>
      <c r="K107" s="33"/>
      <c r="L107" s="33"/>
      <c r="M107" s="33"/>
      <c r="N107" s="33"/>
      <c r="O107" s="33"/>
      <c r="P107" s="33">
        <f>P84/1000</f>
        <v>441.10497793740115</v>
      </c>
      <c r="Q107" s="33">
        <f t="shared" ref="Q107:CB107" si="161">Q84/1000</f>
        <v>308.53429214992769</v>
      </c>
      <c r="R107" s="33">
        <f t="shared" si="161"/>
        <v>174.19414930228652</v>
      </c>
      <c r="S107" s="33">
        <f t="shared" si="161"/>
        <v>229.43099684560468</v>
      </c>
      <c r="T107" s="33">
        <f t="shared" si="161"/>
        <v>334.85854168401914</v>
      </c>
      <c r="U107" s="33">
        <f t="shared" si="161"/>
        <v>336.71554697665022</v>
      </c>
      <c r="V107" s="33">
        <f t="shared" si="161"/>
        <v>138.29462304222</v>
      </c>
      <c r="W107" s="33">
        <f t="shared" si="161"/>
        <v>355.51141303305934</v>
      </c>
      <c r="X107" s="33">
        <f t="shared" si="161"/>
        <v>1471.4318780520496</v>
      </c>
      <c r="Y107" s="33">
        <f t="shared" si="161"/>
        <v>1075.500039290109</v>
      </c>
      <c r="Z107" s="33">
        <f t="shared" si="161"/>
        <v>749.98768094359798</v>
      </c>
      <c r="AA107" s="33">
        <f t="shared" si="161"/>
        <v>684.18762277099995</v>
      </c>
      <c r="AB107" s="33">
        <f t="shared" si="161"/>
        <v>521.30560000000003</v>
      </c>
      <c r="AC107" s="33">
        <f t="shared" si="161"/>
        <v>399.26970969637614</v>
      </c>
      <c r="AD107" s="33">
        <f t="shared" si="161"/>
        <v>364.55933804671463</v>
      </c>
      <c r="AE107" s="33">
        <f t="shared" si="161"/>
        <v>319.53843814564152</v>
      </c>
      <c r="AF107" s="33">
        <f t="shared" si="161"/>
        <v>257.83252008388877</v>
      </c>
      <c r="AG107" s="33">
        <f t="shared" si="161"/>
        <v>218.03295639701423</v>
      </c>
      <c r="AH107" s="33">
        <f t="shared" si="161"/>
        <v>213.26408597461511</v>
      </c>
      <c r="AI107" s="33">
        <f t="shared" si="161"/>
        <v>208.50136559704782</v>
      </c>
      <c r="AJ107" s="33">
        <f t="shared" si="161"/>
        <v>206.79358424157374</v>
      </c>
      <c r="AK107" s="33">
        <f t="shared" si="161"/>
        <v>211.48309428655426</v>
      </c>
      <c r="AL107" s="33">
        <f t="shared" si="161"/>
        <v>208.28045552823508</v>
      </c>
      <c r="AM107" s="33">
        <f t="shared" si="161"/>
        <v>200.05318915513669</v>
      </c>
      <c r="AN107" s="33">
        <f t="shared" si="161"/>
        <v>180.77042657253418</v>
      </c>
      <c r="AO107" s="33">
        <f t="shared" si="161"/>
        <v>161.26235708104139</v>
      </c>
      <c r="AP107" s="33">
        <f t="shared" si="161"/>
        <v>148.03684471977729</v>
      </c>
      <c r="AQ107" s="33">
        <f t="shared" si="161"/>
        <v>135.98460965750053</v>
      </c>
      <c r="AR107" s="33">
        <f t="shared" si="161"/>
        <v>129.38243049408612</v>
      </c>
      <c r="AS107" s="33">
        <f t="shared" si="161"/>
        <v>117.22089395879435</v>
      </c>
      <c r="AT107" s="33">
        <f t="shared" si="161"/>
        <v>112.7865931523345</v>
      </c>
      <c r="AU107" s="33">
        <f t="shared" si="161"/>
        <v>104.07575227244337</v>
      </c>
      <c r="AV107" s="33">
        <f t="shared" si="161"/>
        <v>98.6407525745594</v>
      </c>
      <c r="AW107" s="33">
        <f t="shared" si="161"/>
        <v>92.304427038692765</v>
      </c>
      <c r="AX107" s="33">
        <f t="shared" si="161"/>
        <v>88.870326673536553</v>
      </c>
      <c r="AY107" s="33">
        <f t="shared" si="161"/>
        <v>84.316179056177091</v>
      </c>
      <c r="AZ107" s="33">
        <f t="shared" si="161"/>
        <v>78.613877655982932</v>
      </c>
      <c r="BA107" s="33">
        <f t="shared" si="161"/>
        <v>78.443514279552488</v>
      </c>
      <c r="BB107" s="33">
        <f t="shared" si="161"/>
        <v>75.323263162364938</v>
      </c>
      <c r="BC107" s="33">
        <f t="shared" si="161"/>
        <v>69.327877695780018</v>
      </c>
      <c r="BD107" s="33">
        <f t="shared" si="161"/>
        <v>64.011777629028416</v>
      </c>
      <c r="BE107" s="33">
        <f t="shared" si="161"/>
        <v>60.477832511647712</v>
      </c>
      <c r="BF107" s="33">
        <f t="shared" si="161"/>
        <v>60.227793915790713</v>
      </c>
      <c r="BG107" s="33">
        <f t="shared" si="161"/>
        <v>59.502505116766237</v>
      </c>
      <c r="BH107" s="33">
        <f t="shared" si="161"/>
        <v>57.053751961505803</v>
      </c>
      <c r="BI107" s="33">
        <f t="shared" si="161"/>
        <v>53.303769205315305</v>
      </c>
      <c r="BJ107" s="33">
        <f t="shared" si="161"/>
        <v>50.871225921328218</v>
      </c>
      <c r="BK107" s="387">
        <f t="shared" si="161"/>
        <v>48.753409049440556</v>
      </c>
      <c r="BL107" s="387">
        <f t="shared" si="161"/>
        <v>46.643714035837426</v>
      </c>
      <c r="BM107" s="387">
        <f t="shared" si="161"/>
        <v>44.542382633848995</v>
      </c>
      <c r="BN107" s="387">
        <f t="shared" si="161"/>
        <v>42.449662538284457</v>
      </c>
      <c r="BO107" s="387">
        <f t="shared" si="161"/>
        <v>40.365807517893117</v>
      </c>
      <c r="BP107" s="387">
        <f t="shared" si="161"/>
        <v>38.291077550578507</v>
      </c>
      <c r="BQ107" s="387">
        <f t="shared" si="161"/>
        <v>36.225738961419395</v>
      </c>
      <c r="BR107" s="387">
        <f t="shared" si="161"/>
        <v>34.170064563553993</v>
      </c>
      <c r="BS107" s="387">
        <f t="shared" si="161"/>
        <v>32.124333801982907</v>
      </c>
      <c r="BT107" s="387">
        <f t="shared" si="161"/>
        <v>30.088832900349487</v>
      </c>
      <c r="BU107" s="387">
        <f t="shared" si="161"/>
        <v>28.063855010755269</v>
      </c>
      <c r="BV107" s="387">
        <f t="shared" si="161"/>
        <v>26.049700366671093</v>
      </c>
      <c r="BW107" s="387">
        <f t="shared" si="161"/>
        <v>24.046676439004358</v>
      </c>
      <c r="BX107" s="387">
        <f t="shared" si="161"/>
        <v>22.055098095385155</v>
      </c>
      <c r="BY107" s="387">
        <f t="shared" si="161"/>
        <v>20.075287762733236</v>
      </c>
      <c r="BZ107" s="387">
        <f t="shared" si="161"/>
        <v>18.107575593172509</v>
      </c>
      <c r="CA107" s="387">
        <f t="shared" si="161"/>
        <v>16.152299633356051</v>
      </c>
      <c r="CB107" s="387">
        <f t="shared" si="161"/>
        <v>14.20980599727134</v>
      </c>
      <c r="CC107" s="387">
        <f t="shared" ref="CC107:CH107" si="162">CC84/1000</f>
        <v>12.280449042592011</v>
      </c>
      <c r="CD107" s="387">
        <f t="shared" si="162"/>
        <v>10.364591550646038</v>
      </c>
      <c r="CE107" s="387">
        <f t="shared" si="162"/>
        <v>8.4626049100726473</v>
      </c>
      <c r="CF107" s="387">
        <f t="shared" si="162"/>
        <v>6.5748693042374997</v>
      </c>
      <c r="CG107" s="387">
        <f t="shared" si="162"/>
        <v>4.7017739024825405</v>
      </c>
      <c r="CH107" s="387">
        <f t="shared" si="162"/>
        <v>2.8437170552832023</v>
      </c>
      <c r="CI107" s="387">
        <f>CI84/1000</f>
        <v>1.0011064933907765</v>
      </c>
      <c r="CJ107" s="387">
        <f t="shared" ref="CJ107:CN107" si="163">CJ84/1000</f>
        <v>-0.82564046896244225</v>
      </c>
      <c r="CK107" s="387">
        <f t="shared" si="163"/>
        <v>-2.6360967267170587</v>
      </c>
      <c r="CL107" s="387">
        <f t="shared" si="163"/>
        <v>-4.4298251724169617</v>
      </c>
      <c r="CM107" s="387">
        <f t="shared" si="163"/>
        <v>-6.2063784803353723</v>
      </c>
      <c r="CN107" s="387">
        <f t="shared" si="163"/>
        <v>-7.9652988862117438</v>
      </c>
      <c r="CO107" s="33"/>
      <c r="CP107" s="33"/>
      <c r="CQ107" s="33"/>
      <c r="CR107" s="33"/>
      <c r="CS107" s="33"/>
      <c r="CT107" s="33"/>
      <c r="CU107" s="33"/>
      <c r="CV107" s="33"/>
    </row>
    <row r="108" spans="1:100"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379"/>
      <c r="BL108" s="379"/>
      <c r="BM108" s="379"/>
      <c r="BN108" s="379"/>
      <c r="BO108" s="379"/>
      <c r="BP108" s="379"/>
      <c r="BQ108" s="379"/>
      <c r="BR108" s="379"/>
      <c r="BS108" s="379"/>
      <c r="BT108" s="379"/>
    </row>
    <row r="109" spans="1:100"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96"/>
      <c r="BL109" s="396"/>
      <c r="BM109" s="396"/>
      <c r="BN109" s="396"/>
      <c r="BO109" s="396"/>
      <c r="BP109" s="396"/>
      <c r="BQ109" s="396"/>
      <c r="BR109" s="396"/>
      <c r="BS109" s="396"/>
      <c r="BT109" s="396"/>
    </row>
    <row r="110" spans="1:100">
      <c r="A110" s="2" t="s">
        <v>679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96"/>
      <c r="BL110" s="396"/>
      <c r="BM110" s="396"/>
      <c r="BN110" s="396"/>
      <c r="BO110" s="396"/>
      <c r="BP110" s="396"/>
      <c r="BQ110" s="396"/>
      <c r="BR110" s="396"/>
      <c r="BS110" s="396"/>
      <c r="BT110" s="396"/>
    </row>
    <row r="111" spans="1:100">
      <c r="A111" s="32" t="s">
        <v>680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726">
        <f>(Y54/Y34)</f>
        <v>428.31035019270718</v>
      </c>
      <c r="Z111" s="726">
        <f t="shared" ref="Z111:CK111" si="164">(Z54/Z34)</f>
        <v>394.93490478607896</v>
      </c>
      <c r="AA111" s="726">
        <f t="shared" si="164"/>
        <v>411.90839663222658</v>
      </c>
      <c r="AB111" s="726">
        <f t="shared" si="164"/>
        <v>437.43237413198176</v>
      </c>
      <c r="AC111" s="726">
        <f t="shared" si="164"/>
        <v>448.22894231015704</v>
      </c>
      <c r="AD111" s="726">
        <f t="shared" si="164"/>
        <v>469.55210010645487</v>
      </c>
      <c r="AE111" s="726">
        <f t="shared" si="164"/>
        <v>492.90096361652502</v>
      </c>
      <c r="AF111" s="726">
        <f t="shared" si="164"/>
        <v>482.89257523091879</v>
      </c>
      <c r="AG111" s="726">
        <f t="shared" si="164"/>
        <v>501.53659587689634</v>
      </c>
      <c r="AH111" s="726">
        <f t="shared" si="164"/>
        <v>531.06394908583729</v>
      </c>
      <c r="AI111" s="726">
        <f t="shared" si="164"/>
        <v>550.46343795210942</v>
      </c>
      <c r="AJ111" s="726">
        <f t="shared" si="164"/>
        <v>559.5467186471144</v>
      </c>
      <c r="AK111" s="726">
        <f t="shared" si="164"/>
        <v>567.4931433977905</v>
      </c>
      <c r="AL111" s="726">
        <f t="shared" si="164"/>
        <v>560.48536950530593</v>
      </c>
      <c r="AM111" s="726">
        <f t="shared" si="164"/>
        <v>570.87814760333629</v>
      </c>
      <c r="AN111" s="726">
        <f t="shared" si="164"/>
        <v>593.18594517441613</v>
      </c>
      <c r="AO111" s="726">
        <f t="shared" si="164"/>
        <v>605.92826132974187</v>
      </c>
      <c r="AP111" s="726">
        <f t="shared" si="164"/>
        <v>626.23699514485281</v>
      </c>
      <c r="AQ111" s="726">
        <f t="shared" si="164"/>
        <v>648.17065465827886</v>
      </c>
      <c r="AR111" s="726">
        <f t="shared" si="164"/>
        <v>668.45293260613971</v>
      </c>
      <c r="AS111" s="726">
        <f t="shared" si="164"/>
        <v>683.86089473417007</v>
      </c>
      <c r="AT111" s="726">
        <f t="shared" si="164"/>
        <v>703.43530925825655</v>
      </c>
      <c r="AU111" s="726">
        <f t="shared" si="164"/>
        <v>730.39935405969402</v>
      </c>
      <c r="AV111" s="726">
        <f t="shared" si="164"/>
        <v>730.46629943036987</v>
      </c>
      <c r="AW111" s="726">
        <f t="shared" si="164"/>
        <v>765.88037076928958</v>
      </c>
      <c r="AX111" s="726">
        <f t="shared" si="164"/>
        <v>765.96114121439689</v>
      </c>
      <c r="AY111" s="726">
        <f t="shared" si="164"/>
        <v>765.88902902486905</v>
      </c>
      <c r="AZ111" s="726">
        <f t="shared" si="164"/>
        <v>755.48894764731995</v>
      </c>
      <c r="BA111" s="726">
        <f t="shared" si="164"/>
        <v>759.31837476656995</v>
      </c>
      <c r="BB111" s="726">
        <f t="shared" si="164"/>
        <v>768.1720431416386</v>
      </c>
      <c r="BC111" s="726">
        <f t="shared" si="164"/>
        <v>791.84994740258185</v>
      </c>
      <c r="BD111" s="726">
        <f t="shared" si="164"/>
        <v>820.95309928176925</v>
      </c>
      <c r="BE111" s="726">
        <f t="shared" si="164"/>
        <v>809.7760445458299</v>
      </c>
      <c r="BF111" s="726">
        <f t="shared" si="164"/>
        <v>763.17103104028297</v>
      </c>
      <c r="BG111" s="726">
        <f t="shared" si="164"/>
        <v>775.12885778514192</v>
      </c>
      <c r="BH111" s="726">
        <f t="shared" si="164"/>
        <v>792.0540260903316</v>
      </c>
      <c r="BI111" s="726">
        <f t="shared" si="164"/>
        <v>789.26361484057145</v>
      </c>
      <c r="BJ111" s="726">
        <f t="shared" si="164"/>
        <v>799.27524713514504</v>
      </c>
      <c r="BK111" s="784">
        <f t="shared" si="164"/>
        <v>812.06365108930731</v>
      </c>
      <c r="BL111" s="784">
        <f t="shared" si="164"/>
        <v>825.05666950673628</v>
      </c>
      <c r="BM111" s="784">
        <f t="shared" si="164"/>
        <v>838.25757621884406</v>
      </c>
      <c r="BN111" s="784">
        <f t="shared" si="164"/>
        <v>851.66969743834557</v>
      </c>
      <c r="BO111" s="784">
        <f t="shared" si="164"/>
        <v>865.29641259735911</v>
      </c>
      <c r="BP111" s="784">
        <f t="shared" si="164"/>
        <v>879.14115519891675</v>
      </c>
      <c r="BQ111" s="784">
        <f t="shared" si="164"/>
        <v>893.20741368209951</v>
      </c>
      <c r="BR111" s="784">
        <f t="shared" si="164"/>
        <v>907.49873230101309</v>
      </c>
      <c r="BS111" s="784">
        <f t="shared" si="164"/>
        <v>922.01871201782933</v>
      </c>
      <c r="BT111" s="784">
        <f t="shared" si="164"/>
        <v>936.77101141011462</v>
      </c>
      <c r="BU111" s="784">
        <f t="shared" si="164"/>
        <v>951.75934759267636</v>
      </c>
      <c r="BV111" s="784">
        <f t="shared" si="164"/>
        <v>966.9874971541592</v>
      </c>
      <c r="BW111" s="784">
        <f t="shared" si="164"/>
        <v>982.45929710862572</v>
      </c>
      <c r="BX111" s="784">
        <f t="shared" si="164"/>
        <v>998.17864586236374</v>
      </c>
      <c r="BY111" s="784">
        <f t="shared" si="164"/>
        <v>1014.1495041961616</v>
      </c>
      <c r="BZ111" s="784">
        <f t="shared" si="164"/>
        <v>1030.3758962633003</v>
      </c>
      <c r="CA111" s="784">
        <f t="shared" si="164"/>
        <v>1046.8619106035133</v>
      </c>
      <c r="CB111" s="784">
        <f t="shared" si="164"/>
        <v>1063.6117011731694</v>
      </c>
      <c r="CC111" s="784">
        <f t="shared" si="164"/>
        <v>1080.62948839194</v>
      </c>
      <c r="CD111" s="784">
        <f t="shared" si="164"/>
        <v>1097.9195602062111</v>
      </c>
      <c r="CE111" s="784">
        <f t="shared" si="164"/>
        <v>1115.4862731695102</v>
      </c>
      <c r="CF111" s="784">
        <f t="shared" si="164"/>
        <v>1133.3340535402226</v>
      </c>
      <c r="CG111" s="784">
        <f t="shared" si="164"/>
        <v>1151.467398396866</v>
      </c>
      <c r="CH111" s="784">
        <f t="shared" si="164"/>
        <v>1169.890876771216</v>
      </c>
      <c r="CI111" s="784">
        <f t="shared" si="164"/>
        <v>1188.6091307995555</v>
      </c>
      <c r="CJ111" s="784">
        <f t="shared" si="164"/>
        <v>1207.6268768923485</v>
      </c>
      <c r="CK111" s="784">
        <f t="shared" si="164"/>
        <v>1226.9489069226261</v>
      </c>
      <c r="CL111" s="784">
        <f t="shared" ref="CL111:CN111" si="165">(CL54/CL34)</f>
        <v>1246.5800894333881</v>
      </c>
      <c r="CM111" s="784">
        <f t="shared" si="165"/>
        <v>1266.5253708643224</v>
      </c>
      <c r="CN111" s="784">
        <f t="shared" si="165"/>
        <v>1286.7897767981515</v>
      </c>
    </row>
    <row r="112" spans="1:100">
      <c r="A112" s="32" t="s">
        <v>681</v>
      </c>
      <c r="I112" s="40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726">
        <f>Y57/Y34</f>
        <v>880.88801138782958</v>
      </c>
      <c r="Z112" s="726">
        <f t="shared" ref="Z112:CK112" si="166">Z57/Z34</f>
        <v>926.593952448148</v>
      </c>
      <c r="AA112" s="726">
        <f t="shared" si="166"/>
        <v>1012.0384792886902</v>
      </c>
      <c r="AB112" s="726">
        <f t="shared" si="166"/>
        <v>963.55697545440626</v>
      </c>
      <c r="AC112" s="726">
        <f t="shared" si="166"/>
        <v>859.84492948115735</v>
      </c>
      <c r="AD112" s="726">
        <f t="shared" si="166"/>
        <v>828.37509652648009</v>
      </c>
      <c r="AE112" s="726">
        <f t="shared" si="166"/>
        <v>870.63438987322115</v>
      </c>
      <c r="AF112" s="726">
        <f t="shared" si="166"/>
        <v>896.06279658079859</v>
      </c>
      <c r="AG112" s="726">
        <f t="shared" si="166"/>
        <v>877.77644414252302</v>
      </c>
      <c r="AH112" s="726">
        <f t="shared" si="166"/>
        <v>878.84680116666664</v>
      </c>
      <c r="AI112" s="726">
        <f t="shared" si="166"/>
        <v>900.20010574212949</v>
      </c>
      <c r="AJ112" s="726">
        <f t="shared" si="166"/>
        <v>873.954327738806</v>
      </c>
      <c r="AK112" s="726">
        <f t="shared" si="166"/>
        <v>849.67481185611064</v>
      </c>
      <c r="AL112" s="726">
        <f t="shared" si="166"/>
        <v>844.63221970186953</v>
      </c>
      <c r="AM112" s="726">
        <f t="shared" si="166"/>
        <v>864.51129445979223</v>
      </c>
      <c r="AN112" s="726">
        <f t="shared" si="166"/>
        <v>913.97999804197934</v>
      </c>
      <c r="AO112" s="726">
        <f t="shared" si="166"/>
        <v>950.63580964314053</v>
      </c>
      <c r="AP112" s="726">
        <f t="shared" si="166"/>
        <v>977.07106826416259</v>
      </c>
      <c r="AQ112" s="726">
        <f t="shared" si="166"/>
        <v>1010.3282357322739</v>
      </c>
      <c r="AR112" s="726">
        <f t="shared" si="166"/>
        <v>1031.0784642081951</v>
      </c>
      <c r="AS112" s="726">
        <f t="shared" si="166"/>
        <v>1053.3894792763099</v>
      </c>
      <c r="AT112" s="726">
        <f t="shared" si="166"/>
        <v>1065.9929378142022</v>
      </c>
      <c r="AU112" s="726">
        <f t="shared" si="166"/>
        <v>1082.8810925292889</v>
      </c>
      <c r="AV112" s="726">
        <f t="shared" si="166"/>
        <v>1091.4411045973156</v>
      </c>
      <c r="AW112" s="726">
        <f t="shared" si="166"/>
        <v>1103.9364727526272</v>
      </c>
      <c r="AX112" s="726">
        <f t="shared" si="166"/>
        <v>1113.8917778587161</v>
      </c>
      <c r="AY112" s="726">
        <f t="shared" si="166"/>
        <v>1135.1738434763411</v>
      </c>
      <c r="AZ112" s="726">
        <f t="shared" si="166"/>
        <v>1138.3002382338041</v>
      </c>
      <c r="BA112" s="726">
        <f t="shared" si="166"/>
        <v>1125.1354886725007</v>
      </c>
      <c r="BB112" s="726">
        <f t="shared" si="166"/>
        <v>1149.9616139766676</v>
      </c>
      <c r="BC112" s="726">
        <f t="shared" si="166"/>
        <v>1168.2809268928422</v>
      </c>
      <c r="BD112" s="726">
        <f t="shared" si="166"/>
        <v>1186.3561412810611</v>
      </c>
      <c r="BE112" s="726">
        <f t="shared" si="166"/>
        <v>1189.1067842626826</v>
      </c>
      <c r="BF112" s="726">
        <f t="shared" si="166"/>
        <v>1189.7717026399687</v>
      </c>
      <c r="BG112" s="726">
        <f t="shared" si="166"/>
        <v>1182.7411783515636</v>
      </c>
      <c r="BH112" s="726">
        <f t="shared" si="166"/>
        <v>1194.0041777999415</v>
      </c>
      <c r="BI112" s="726">
        <f t="shared" si="166"/>
        <v>1188.3972622235212</v>
      </c>
      <c r="BJ112" s="726">
        <f t="shared" si="166"/>
        <v>1190.537980874074</v>
      </c>
      <c r="BK112" s="784">
        <f t="shared" si="166"/>
        <v>1196.4906707784444</v>
      </c>
      <c r="BL112" s="784">
        <f t="shared" si="166"/>
        <v>1202.4731241323364</v>
      </c>
      <c r="BM112" s="784">
        <f t="shared" si="166"/>
        <v>1208.4854897529981</v>
      </c>
      <c r="BN112" s="784">
        <f t="shared" si="166"/>
        <v>1214.5279172017629</v>
      </c>
      <c r="BO112" s="784">
        <f t="shared" si="166"/>
        <v>1220.6005567877717</v>
      </c>
      <c r="BP112" s="784">
        <f t="shared" si="166"/>
        <v>1226.7035595717102</v>
      </c>
      <c r="BQ112" s="784">
        <f t="shared" si="166"/>
        <v>1232.8370773695688</v>
      </c>
      <c r="BR112" s="784">
        <f t="shared" si="166"/>
        <v>1239.0012627564165</v>
      </c>
      <c r="BS112" s="784">
        <f t="shared" si="166"/>
        <v>1245.1962690701985</v>
      </c>
      <c r="BT112" s="784">
        <f t="shared" si="166"/>
        <v>1251.4222504155493</v>
      </c>
      <c r="BU112" s="784">
        <f t="shared" si="166"/>
        <v>1257.6793616676271</v>
      </c>
      <c r="BV112" s="784">
        <f t="shared" si="166"/>
        <v>1263.967758475965</v>
      </c>
      <c r="BW112" s="784">
        <f t="shared" si="166"/>
        <v>1270.2875972683446</v>
      </c>
      <c r="BX112" s="784">
        <f t="shared" si="166"/>
        <v>1276.6390352546862</v>
      </c>
      <c r="BY112" s="784">
        <f t="shared" si="166"/>
        <v>1283.0222304309596</v>
      </c>
      <c r="BZ112" s="784">
        <f t="shared" si="166"/>
        <v>1289.4373415831142</v>
      </c>
      <c r="CA112" s="784">
        <f t="shared" si="166"/>
        <v>1295.8845282910297</v>
      </c>
      <c r="CB112" s="784">
        <f t="shared" si="166"/>
        <v>1302.3639509324846</v>
      </c>
      <c r="CC112" s="784">
        <f t="shared" si="166"/>
        <v>1308.875770687147</v>
      </c>
      <c r="CD112" s="784">
        <f t="shared" si="166"/>
        <v>1315.4201495405825</v>
      </c>
      <c r="CE112" s="784">
        <f t="shared" si="166"/>
        <v>1321.9972502882854</v>
      </c>
      <c r="CF112" s="784">
        <f t="shared" si="166"/>
        <v>1328.607236539727</v>
      </c>
      <c r="CG112" s="784">
        <f t="shared" si="166"/>
        <v>1335.2502727224253</v>
      </c>
      <c r="CH112" s="784">
        <f t="shared" si="166"/>
        <v>1341.926524086037</v>
      </c>
      <c r="CI112" s="784">
        <f t="shared" si="166"/>
        <v>1348.6361567064671</v>
      </c>
      <c r="CJ112" s="784">
        <f t="shared" si="166"/>
        <v>1355.3793374899992</v>
      </c>
      <c r="CK112" s="784">
        <f t="shared" si="166"/>
        <v>1362.1562341774491</v>
      </c>
      <c r="CL112" s="784">
        <f t="shared" ref="CL112:CN112" si="167">CL57/CL34</f>
        <v>1368.9670153483362</v>
      </c>
      <c r="CM112" s="784">
        <f t="shared" si="167"/>
        <v>1375.8118504250779</v>
      </c>
      <c r="CN112" s="784">
        <f t="shared" si="167"/>
        <v>1382.6909096772031</v>
      </c>
    </row>
    <row r="113" spans="1:100"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96"/>
      <c r="BL113" s="396"/>
      <c r="BM113" s="396"/>
      <c r="BN113" s="396"/>
      <c r="BO113" s="396"/>
      <c r="BP113" s="396"/>
      <c r="BQ113" s="396"/>
      <c r="BR113" s="396"/>
      <c r="BS113" s="396"/>
      <c r="BT113" s="396"/>
    </row>
    <row r="114" spans="1:100" s="2" customFormat="1">
      <c r="A114"/>
      <c r="B114"/>
      <c r="C114"/>
      <c r="D114"/>
      <c r="E114"/>
      <c r="F114"/>
      <c r="G114"/>
      <c r="H11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82"/>
      <c r="BV114" s="382"/>
      <c r="BW114" s="382"/>
      <c r="BX114" s="382"/>
      <c r="BY114" s="382"/>
      <c r="BZ114" s="382"/>
      <c r="CA114" s="382"/>
      <c r="CB114" s="382"/>
      <c r="CC114" s="382"/>
      <c r="CD114" s="382"/>
      <c r="CE114" s="382"/>
      <c r="CF114" s="382"/>
      <c r="CG114" s="382"/>
      <c r="CH114" s="382"/>
      <c r="CI114" s="382"/>
      <c r="CJ114" s="382"/>
      <c r="CK114" s="382"/>
      <c r="CL114" s="382"/>
      <c r="CM114" s="382"/>
      <c r="CN114" s="382"/>
      <c r="CO114"/>
      <c r="CP114"/>
      <c r="CQ114"/>
      <c r="CR114"/>
      <c r="CS114"/>
      <c r="CT114"/>
      <c r="CU114"/>
      <c r="CV114"/>
    </row>
    <row r="115" spans="1:100">
      <c r="A115" s="32"/>
      <c r="B115" s="32"/>
      <c r="C115" s="32"/>
      <c r="D115" s="32"/>
      <c r="E115" s="32"/>
      <c r="F115" s="32"/>
      <c r="G115" s="32"/>
      <c r="H115" s="32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96"/>
      <c r="BL115" s="396"/>
      <c r="BM115" s="396"/>
      <c r="BN115" s="396"/>
      <c r="BO115" s="396"/>
      <c r="BP115" s="396"/>
      <c r="BQ115" s="396"/>
      <c r="BR115" s="396"/>
      <c r="BS115" s="396"/>
      <c r="BT115" s="396"/>
    </row>
    <row r="116" spans="1:100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390"/>
      <c r="BL116" s="390"/>
      <c r="BM116" s="390"/>
      <c r="BN116" s="390"/>
      <c r="BO116" s="390"/>
      <c r="BP116" s="390"/>
      <c r="BQ116" s="390"/>
      <c r="BR116" s="390"/>
      <c r="BS116" s="390"/>
      <c r="BT116" s="390"/>
      <c r="BU116" s="390"/>
    </row>
    <row r="117" spans="1:100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390"/>
      <c r="BL117" s="390"/>
      <c r="BM117" s="390"/>
      <c r="BN117" s="390"/>
      <c r="BO117" s="390"/>
      <c r="BP117" s="390"/>
      <c r="BQ117" s="390"/>
      <c r="BR117" s="390"/>
      <c r="BS117" s="390"/>
      <c r="BT117" s="390"/>
      <c r="BU117" s="390"/>
    </row>
    <row r="118" spans="1:100">
      <c r="J118" s="1"/>
      <c r="K118" s="1"/>
      <c r="L118" s="1"/>
      <c r="M118" s="1"/>
      <c r="N118" s="1"/>
      <c r="O118" s="1"/>
    </row>
    <row r="119" spans="1:100">
      <c r="A119" s="2"/>
      <c r="B119" s="2"/>
      <c r="C119" s="2"/>
      <c r="D119" s="2"/>
      <c r="E119" s="2"/>
      <c r="F119" s="2"/>
      <c r="G119" s="2"/>
      <c r="H119" s="2"/>
    </row>
    <row r="120" spans="1:100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390"/>
      <c r="BL120" s="390"/>
      <c r="BM120" s="390"/>
      <c r="BN120" s="390"/>
      <c r="BO120" s="390"/>
      <c r="BP120" s="390"/>
      <c r="BQ120" s="390"/>
      <c r="BR120" s="390"/>
      <c r="BS120" s="390"/>
      <c r="BT120" s="390"/>
      <c r="BU120" s="390"/>
    </row>
    <row r="121" spans="1:100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390"/>
      <c r="BL121" s="390"/>
      <c r="BM121" s="390"/>
      <c r="BN121" s="390"/>
      <c r="BO121" s="390"/>
      <c r="BP121" s="390"/>
      <c r="BQ121" s="390"/>
      <c r="BR121" s="390"/>
      <c r="BS121" s="390"/>
      <c r="BT121" s="390"/>
      <c r="BU121" s="390"/>
    </row>
    <row r="124" spans="1:100">
      <c r="A124" s="2"/>
      <c r="B124" s="2"/>
      <c r="C124" s="2"/>
      <c r="D124" s="2"/>
      <c r="E124" s="2"/>
      <c r="F124" s="2"/>
      <c r="G124" s="2"/>
      <c r="H124" s="2"/>
    </row>
  </sheetData>
  <phoneticPr fontId="54" type="noConversion"/>
  <pageMargins left="0.78740157499999996" right="0.78740157499999996" top="0.984251969" bottom="0.984251969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9.140625" defaultRowHeight="12.75"/>
  <sheetData>
    <row r="1" spans="1:14">
      <c r="A1">
        <v>27</v>
      </c>
      <c r="B1" t="s">
        <v>131</v>
      </c>
    </row>
    <row r="2" spans="1:14">
      <c r="A2" s="320" t="s">
        <v>551</v>
      </c>
      <c r="B2" t="s">
        <v>562</v>
      </c>
      <c r="C2" t="s">
        <v>668</v>
      </c>
      <c r="D2">
        <v>506539.09375</v>
      </c>
      <c r="E2">
        <v>45737.456574074073</v>
      </c>
      <c r="F2" t="b">
        <v>1</v>
      </c>
      <c r="G2" s="320" t="s">
        <v>675</v>
      </c>
      <c r="H2" s="320" t="s">
        <v>609</v>
      </c>
      <c r="I2" s="320" t="s">
        <v>669</v>
      </c>
      <c r="J2">
        <v>0</v>
      </c>
      <c r="K2" s="320" t="s">
        <v>606</v>
      </c>
      <c r="L2" t="b">
        <v>1</v>
      </c>
      <c r="M2" t="b">
        <v>0</v>
      </c>
      <c r="N2" t="b">
        <v>0</v>
      </c>
    </row>
    <row r="3" spans="1:14">
      <c r="A3" s="320" t="s">
        <v>551</v>
      </c>
      <c r="B3" t="s">
        <v>649</v>
      </c>
      <c r="C3" t="s">
        <v>668</v>
      </c>
      <c r="D3">
        <v>0.95781249999999996</v>
      </c>
      <c r="E3">
        <v>45737.456574074073</v>
      </c>
      <c r="F3" t="b">
        <v>1</v>
      </c>
      <c r="G3" s="320" t="s">
        <v>677</v>
      </c>
      <c r="H3" s="320" t="s">
        <v>609</v>
      </c>
      <c r="I3" s="320" t="s">
        <v>669</v>
      </c>
      <c r="J3">
        <v>0</v>
      </c>
      <c r="K3" s="320" t="s">
        <v>606</v>
      </c>
      <c r="L3" t="b">
        <v>1</v>
      </c>
      <c r="M3" t="b">
        <v>0</v>
      </c>
      <c r="N3" t="b">
        <v>0</v>
      </c>
    </row>
    <row r="4" spans="1:14">
      <c r="A4" s="320" t="s">
        <v>551</v>
      </c>
      <c r="B4" t="s">
        <v>604</v>
      </c>
      <c r="C4" t="s">
        <v>668</v>
      </c>
      <c r="D4">
        <v>13625.810925925925</v>
      </c>
      <c r="E4">
        <v>45737.456574074073</v>
      </c>
      <c r="F4" t="b">
        <v>1</v>
      </c>
      <c r="G4" s="320" t="s">
        <v>676</v>
      </c>
      <c r="H4" s="320" t="s">
        <v>609</v>
      </c>
      <c r="I4" s="320" t="s">
        <v>669</v>
      </c>
      <c r="J4">
        <v>0</v>
      </c>
      <c r="K4" s="320" t="s">
        <v>606</v>
      </c>
      <c r="L4" t="b">
        <v>1</v>
      </c>
      <c r="M4" t="b">
        <v>0</v>
      </c>
      <c r="N4" t="b">
        <v>0</v>
      </c>
    </row>
    <row r="5" spans="1:14">
      <c r="A5" s="320" t="s">
        <v>551</v>
      </c>
      <c r="B5" t="s">
        <v>650</v>
      </c>
      <c r="C5" t="s">
        <v>668</v>
      </c>
      <c r="D5">
        <v>32911</v>
      </c>
      <c r="E5">
        <v>45737.456574074073</v>
      </c>
      <c r="F5" t="b">
        <v>1</v>
      </c>
      <c r="G5" s="320" t="s">
        <v>678</v>
      </c>
      <c r="H5" s="320" t="s">
        <v>609</v>
      </c>
      <c r="I5" s="320" t="s">
        <v>669</v>
      </c>
      <c r="J5">
        <v>0</v>
      </c>
      <c r="K5" s="320" t="s">
        <v>606</v>
      </c>
      <c r="L5" t="b">
        <v>1</v>
      </c>
      <c r="M5" t="b">
        <v>0</v>
      </c>
      <c r="N5" t="b">
        <v>0</v>
      </c>
    </row>
    <row r="6" spans="1:14">
      <c r="A6" s="320" t="s">
        <v>551</v>
      </c>
      <c r="B6" t="s">
        <v>651</v>
      </c>
      <c r="C6" t="s">
        <v>668</v>
      </c>
      <c r="D6">
        <v>37762.196076388886</v>
      </c>
      <c r="E6">
        <v>45737.456574074073</v>
      </c>
      <c r="F6" t="b">
        <v>1</v>
      </c>
      <c r="G6" s="320" t="s">
        <v>673</v>
      </c>
      <c r="H6" s="320" t="s">
        <v>609</v>
      </c>
      <c r="I6" s="320" t="s">
        <v>669</v>
      </c>
      <c r="J6">
        <v>0</v>
      </c>
      <c r="K6" s="320" t="s">
        <v>606</v>
      </c>
      <c r="L6" t="b">
        <v>1</v>
      </c>
      <c r="M6" t="b">
        <v>0</v>
      </c>
      <c r="N6" t="b">
        <v>0</v>
      </c>
    </row>
    <row r="7" spans="1:14">
      <c r="A7" s="320" t="s">
        <v>551</v>
      </c>
      <c r="B7" t="s">
        <v>555</v>
      </c>
      <c r="C7" t="s">
        <v>668</v>
      </c>
      <c r="D7">
        <v>978645.625</v>
      </c>
      <c r="E7">
        <v>45737.456574074073</v>
      </c>
      <c r="F7" t="b">
        <v>1</v>
      </c>
      <c r="G7" s="320" t="s">
        <v>674</v>
      </c>
      <c r="H7" s="320" t="s">
        <v>609</v>
      </c>
      <c r="I7" s="320" t="s">
        <v>669</v>
      </c>
      <c r="J7">
        <v>0</v>
      </c>
      <c r="K7" s="320" t="s">
        <v>606</v>
      </c>
      <c r="L7" t="b">
        <v>1</v>
      </c>
      <c r="M7" t="b">
        <v>0</v>
      </c>
      <c r="N7" t="b">
        <v>0</v>
      </c>
    </row>
    <row r="8" spans="1:14">
      <c r="A8" s="320" t="s">
        <v>587</v>
      </c>
      <c r="B8" t="s">
        <v>591</v>
      </c>
      <c r="C8" t="s">
        <v>670</v>
      </c>
      <c r="D8">
        <v>785.67907407407404</v>
      </c>
      <c r="E8">
        <v>45867.52685185185</v>
      </c>
      <c r="F8" t="b">
        <v>1</v>
      </c>
      <c r="G8" s="320" t="s">
        <v>703</v>
      </c>
      <c r="H8" s="320" t="s">
        <v>608</v>
      </c>
      <c r="I8" s="320" t="s">
        <v>669</v>
      </c>
      <c r="J8">
        <v>0</v>
      </c>
      <c r="K8" s="320" t="s">
        <v>606</v>
      </c>
      <c r="L8" t="b">
        <v>1</v>
      </c>
      <c r="M8" t="b">
        <v>0</v>
      </c>
      <c r="N8" t="b">
        <v>0</v>
      </c>
    </row>
    <row r="9" spans="1:14">
      <c r="A9" s="320" t="s">
        <v>587</v>
      </c>
      <c r="B9" t="s">
        <v>597</v>
      </c>
      <c r="C9" t="s">
        <v>670</v>
      </c>
      <c r="D9">
        <v>7317.7961226851849</v>
      </c>
      <c r="E9">
        <v>45867.52685185185</v>
      </c>
      <c r="F9" t="b">
        <v>1</v>
      </c>
      <c r="G9" s="320" t="s">
        <v>697</v>
      </c>
      <c r="H9" s="320" t="s">
        <v>608</v>
      </c>
      <c r="I9" s="320" t="s">
        <v>669</v>
      </c>
      <c r="J9">
        <v>0</v>
      </c>
      <c r="K9" s="320" t="s">
        <v>606</v>
      </c>
      <c r="L9" t="b">
        <v>1</v>
      </c>
      <c r="M9" t="b">
        <v>0</v>
      </c>
      <c r="N9" t="b">
        <v>0</v>
      </c>
    </row>
    <row r="10" spans="1:14">
      <c r="A10" s="320" t="s">
        <v>587</v>
      </c>
      <c r="B10" t="s">
        <v>592</v>
      </c>
      <c r="C10" t="s">
        <v>670</v>
      </c>
      <c r="D10">
        <v>20722.593263888888</v>
      </c>
      <c r="E10">
        <v>45867.52685185185</v>
      </c>
      <c r="F10" t="b">
        <v>1</v>
      </c>
      <c r="G10" s="320" t="s">
        <v>692</v>
      </c>
      <c r="H10" s="320" t="s">
        <v>608</v>
      </c>
      <c r="I10" s="320" t="s">
        <v>669</v>
      </c>
      <c r="J10">
        <v>0</v>
      </c>
      <c r="K10" s="320" t="s">
        <v>606</v>
      </c>
      <c r="L10" t="b">
        <v>1</v>
      </c>
      <c r="M10" t="b">
        <v>0</v>
      </c>
      <c r="N10" t="b">
        <v>0</v>
      </c>
    </row>
    <row r="11" spans="1:14">
      <c r="A11" s="320" t="s">
        <v>587</v>
      </c>
      <c r="B11" t="s">
        <v>589</v>
      </c>
      <c r="C11" t="s">
        <v>670</v>
      </c>
      <c r="D11">
        <v>14658.743807870371</v>
      </c>
      <c r="E11">
        <v>45867.52685185185</v>
      </c>
      <c r="F11" t="b">
        <v>1</v>
      </c>
      <c r="G11" s="320" t="s">
        <v>696</v>
      </c>
      <c r="H11" s="320" t="s">
        <v>608</v>
      </c>
      <c r="I11" s="320" t="s">
        <v>669</v>
      </c>
      <c r="J11">
        <v>0</v>
      </c>
      <c r="K11" s="320" t="s">
        <v>606</v>
      </c>
      <c r="L11" t="b">
        <v>1</v>
      </c>
      <c r="M11" t="b">
        <v>0</v>
      </c>
      <c r="N11" t="b">
        <v>0</v>
      </c>
    </row>
    <row r="12" spans="1:14">
      <c r="A12" s="320" t="s">
        <v>587</v>
      </c>
      <c r="B12" t="s">
        <v>600</v>
      </c>
      <c r="C12" t="s">
        <v>670</v>
      </c>
      <c r="D12">
        <v>2.908449074074074</v>
      </c>
      <c r="E12">
        <v>45867.52685185185</v>
      </c>
      <c r="F12" t="b">
        <v>1</v>
      </c>
      <c r="G12" s="320" t="s">
        <v>702</v>
      </c>
      <c r="H12" s="320" t="s">
        <v>608</v>
      </c>
      <c r="I12" s="320" t="s">
        <v>669</v>
      </c>
      <c r="J12">
        <v>0</v>
      </c>
      <c r="K12" s="320" t="s">
        <v>606</v>
      </c>
      <c r="L12" t="b">
        <v>1</v>
      </c>
      <c r="M12" t="b">
        <v>0</v>
      </c>
      <c r="N12" t="b">
        <v>0</v>
      </c>
    </row>
    <row r="13" spans="1:14">
      <c r="A13" s="320" t="s">
        <v>587</v>
      </c>
      <c r="B13" t="s">
        <v>620</v>
      </c>
      <c r="C13" t="s">
        <v>670</v>
      </c>
      <c r="D13">
        <v>52.005162037037039</v>
      </c>
      <c r="E13">
        <v>45867.52685185185</v>
      </c>
      <c r="F13" t="b">
        <v>1</v>
      </c>
      <c r="G13" s="320" t="s">
        <v>706</v>
      </c>
      <c r="H13" s="320" t="s">
        <v>608</v>
      </c>
      <c r="I13" s="320" t="s">
        <v>669</v>
      </c>
      <c r="J13">
        <v>0</v>
      </c>
      <c r="K13" s="320" t="s">
        <v>606</v>
      </c>
      <c r="L13" t="b">
        <v>1</v>
      </c>
      <c r="M13" t="b">
        <v>0</v>
      </c>
      <c r="N13" t="b">
        <v>0</v>
      </c>
    </row>
    <row r="14" spans="1:14">
      <c r="A14" s="320" t="s">
        <v>587</v>
      </c>
      <c r="B14" t="s">
        <v>617</v>
      </c>
      <c r="C14" t="s">
        <v>670</v>
      </c>
      <c r="D14">
        <v>1751.1159953703705</v>
      </c>
      <c r="E14">
        <v>45867.52685185185</v>
      </c>
      <c r="F14" t="b">
        <v>1</v>
      </c>
      <c r="G14" s="320" t="s">
        <v>700</v>
      </c>
      <c r="H14" s="320" t="s">
        <v>608</v>
      </c>
      <c r="I14" s="320" t="s">
        <v>669</v>
      </c>
      <c r="J14">
        <v>0</v>
      </c>
      <c r="K14" s="320" t="s">
        <v>606</v>
      </c>
      <c r="L14" t="b">
        <v>1</v>
      </c>
      <c r="M14" t="b">
        <v>0</v>
      </c>
      <c r="N14" t="b">
        <v>0</v>
      </c>
    </row>
    <row r="15" spans="1:14">
      <c r="A15" s="320" t="s">
        <v>587</v>
      </c>
      <c r="B15" t="s">
        <v>595</v>
      </c>
      <c r="C15" t="s">
        <v>670</v>
      </c>
      <c r="D15">
        <v>10995.10988425926</v>
      </c>
      <c r="E15">
        <v>45867.52685185185</v>
      </c>
      <c r="F15" t="b">
        <v>1</v>
      </c>
      <c r="G15" s="320" t="s">
        <v>693</v>
      </c>
      <c r="H15" s="320" t="s">
        <v>608</v>
      </c>
      <c r="I15" s="320" t="s">
        <v>669</v>
      </c>
      <c r="J15">
        <v>0</v>
      </c>
      <c r="K15" s="320" t="s">
        <v>606</v>
      </c>
      <c r="L15" t="b">
        <v>1</v>
      </c>
      <c r="M15" t="b">
        <v>0</v>
      </c>
      <c r="N15" t="b">
        <v>0</v>
      </c>
    </row>
    <row r="16" spans="1:14">
      <c r="A16" s="320" t="s">
        <v>587</v>
      </c>
      <c r="B16" t="s">
        <v>596</v>
      </c>
      <c r="C16" t="s">
        <v>670</v>
      </c>
      <c r="D16">
        <v>12300.220046296296</v>
      </c>
      <c r="E16">
        <v>45867.52685185185</v>
      </c>
      <c r="F16" t="b">
        <v>1</v>
      </c>
      <c r="G16" s="320" t="s">
        <v>691</v>
      </c>
      <c r="H16" s="320" t="s">
        <v>608</v>
      </c>
      <c r="I16" s="320" t="s">
        <v>669</v>
      </c>
      <c r="J16">
        <v>0</v>
      </c>
      <c r="K16" s="320" t="s">
        <v>606</v>
      </c>
      <c r="L16" t="b">
        <v>1</v>
      </c>
      <c r="M16" t="b">
        <v>0</v>
      </c>
      <c r="N16" t="b">
        <v>0</v>
      </c>
    </row>
    <row r="17" spans="1:14">
      <c r="A17" s="320" t="s">
        <v>587</v>
      </c>
      <c r="B17" t="s">
        <v>598</v>
      </c>
      <c r="C17" t="s">
        <v>670</v>
      </c>
      <c r="D17">
        <v>643.78186342592596</v>
      </c>
      <c r="E17">
        <v>45867.52685185185</v>
      </c>
      <c r="F17" t="b">
        <v>1</v>
      </c>
      <c r="G17" s="320" t="s">
        <v>695</v>
      </c>
      <c r="H17" s="320" t="s">
        <v>608</v>
      </c>
      <c r="I17" s="320" t="s">
        <v>669</v>
      </c>
      <c r="J17">
        <v>0</v>
      </c>
      <c r="K17" s="320" t="s">
        <v>606</v>
      </c>
      <c r="L17" t="b">
        <v>1</v>
      </c>
      <c r="M17" t="b">
        <v>0</v>
      </c>
      <c r="N17" t="b">
        <v>0</v>
      </c>
    </row>
    <row r="18" spans="1:14">
      <c r="A18" s="320" t="s">
        <v>587</v>
      </c>
      <c r="B18" t="s">
        <v>590</v>
      </c>
      <c r="C18" t="s">
        <v>670</v>
      </c>
      <c r="D18">
        <v>214.47590277777778</v>
      </c>
      <c r="E18">
        <v>45867.52685185185</v>
      </c>
      <c r="F18" t="b">
        <v>1</v>
      </c>
      <c r="G18" s="320" t="s">
        <v>701</v>
      </c>
      <c r="H18" s="320" t="s">
        <v>608</v>
      </c>
      <c r="I18" s="320" t="s">
        <v>669</v>
      </c>
      <c r="J18">
        <v>0</v>
      </c>
      <c r="K18" s="320" t="s">
        <v>606</v>
      </c>
      <c r="L18" t="b">
        <v>1</v>
      </c>
      <c r="M18" t="b">
        <v>0</v>
      </c>
      <c r="N18" t="b">
        <v>0</v>
      </c>
    </row>
    <row r="19" spans="1:14">
      <c r="A19" s="320" t="s">
        <v>587</v>
      </c>
      <c r="B19" t="s">
        <v>619</v>
      </c>
      <c r="C19" t="s">
        <v>670</v>
      </c>
      <c r="D19">
        <v>0</v>
      </c>
      <c r="E19">
        <v>45867.52685185185</v>
      </c>
      <c r="F19" t="b">
        <v>1</v>
      </c>
      <c r="G19" s="320" t="s">
        <v>705</v>
      </c>
      <c r="H19" s="320" t="s">
        <v>608</v>
      </c>
      <c r="I19" s="320" t="s">
        <v>669</v>
      </c>
      <c r="J19">
        <v>0</v>
      </c>
      <c r="K19" s="320" t="s">
        <v>606</v>
      </c>
      <c r="L19" t="b">
        <v>1</v>
      </c>
      <c r="M19" t="b">
        <v>0</v>
      </c>
      <c r="N19" t="b">
        <v>0</v>
      </c>
    </row>
    <row r="20" spans="1:14">
      <c r="A20" s="320" t="s">
        <v>587</v>
      </c>
      <c r="B20" t="s">
        <v>594</v>
      </c>
      <c r="C20" t="s">
        <v>670</v>
      </c>
      <c r="D20">
        <v>4187.2850694444442</v>
      </c>
      <c r="E20">
        <v>45867.52685185185</v>
      </c>
      <c r="F20" t="b">
        <v>1</v>
      </c>
      <c r="G20" s="320" t="s">
        <v>690</v>
      </c>
      <c r="H20" s="320" t="s">
        <v>608</v>
      </c>
      <c r="I20" s="320" t="s">
        <v>669</v>
      </c>
      <c r="J20">
        <v>0</v>
      </c>
      <c r="K20" s="320" t="s">
        <v>606</v>
      </c>
      <c r="L20" t="b">
        <v>1</v>
      </c>
      <c r="M20" t="b">
        <v>0</v>
      </c>
      <c r="N20" t="b">
        <v>0</v>
      </c>
    </row>
    <row r="21" spans="1:14">
      <c r="A21" s="320" t="s">
        <v>587</v>
      </c>
      <c r="B21" t="s">
        <v>593</v>
      </c>
      <c r="C21" t="s">
        <v>670</v>
      </c>
      <c r="D21">
        <v>36.986817129629628</v>
      </c>
      <c r="E21">
        <v>45867.52685185185</v>
      </c>
      <c r="F21" t="b">
        <v>1</v>
      </c>
      <c r="G21" s="320" t="s">
        <v>694</v>
      </c>
      <c r="H21" s="320" t="s">
        <v>608</v>
      </c>
      <c r="I21" s="320" t="s">
        <v>669</v>
      </c>
      <c r="J21">
        <v>0</v>
      </c>
      <c r="K21" s="320" t="s">
        <v>606</v>
      </c>
      <c r="L21" t="b">
        <v>1</v>
      </c>
      <c r="M21" t="b">
        <v>0</v>
      </c>
      <c r="N21" t="b">
        <v>0</v>
      </c>
    </row>
    <row r="22" spans="1:14">
      <c r="A22" s="320" t="s">
        <v>587</v>
      </c>
      <c r="B22" t="s">
        <v>615</v>
      </c>
      <c r="C22" t="s">
        <v>607</v>
      </c>
      <c r="D22">
        <v>127129.56542824073</v>
      </c>
      <c r="E22">
        <v>45867.52685185185</v>
      </c>
      <c r="F22" t="b">
        <v>1</v>
      </c>
      <c r="G22" s="320" t="s">
        <v>689</v>
      </c>
      <c r="H22" s="320" t="s">
        <v>605</v>
      </c>
      <c r="I22" s="320" t="s">
        <v>612</v>
      </c>
      <c r="J22">
        <v>0</v>
      </c>
      <c r="K22" s="320" t="s">
        <v>606</v>
      </c>
      <c r="L22" t="b">
        <v>1</v>
      </c>
      <c r="M22" t="b">
        <v>0</v>
      </c>
      <c r="N22" t="b">
        <v>0</v>
      </c>
    </row>
    <row r="23" spans="1:14">
      <c r="A23" s="320" t="s">
        <v>587</v>
      </c>
      <c r="B23" t="s">
        <v>588</v>
      </c>
      <c r="C23" t="s">
        <v>670</v>
      </c>
      <c r="D23">
        <v>15278.243032407407</v>
      </c>
      <c r="E23">
        <v>45867.52685185185</v>
      </c>
      <c r="F23" t="b">
        <v>1</v>
      </c>
      <c r="G23" s="320" t="s">
        <v>698</v>
      </c>
      <c r="H23" s="320" t="s">
        <v>608</v>
      </c>
      <c r="I23" s="320" t="s">
        <v>669</v>
      </c>
      <c r="J23">
        <v>0</v>
      </c>
      <c r="K23" s="320" t="s">
        <v>606</v>
      </c>
      <c r="L23" t="b">
        <v>1</v>
      </c>
      <c r="M23" t="b">
        <v>0</v>
      </c>
      <c r="N23" t="b">
        <v>0</v>
      </c>
    </row>
    <row r="24" spans="1:14">
      <c r="A24" s="320" t="s">
        <v>587</v>
      </c>
      <c r="B24" t="s">
        <v>618</v>
      </c>
      <c r="C24" t="s">
        <v>670</v>
      </c>
      <c r="D24">
        <v>102461.36815972222</v>
      </c>
      <c r="E24">
        <v>45867.52685185185</v>
      </c>
      <c r="F24" t="b">
        <v>1</v>
      </c>
      <c r="G24" s="320" t="s">
        <v>689</v>
      </c>
      <c r="H24" s="320" t="s">
        <v>608</v>
      </c>
      <c r="I24" s="320" t="s">
        <v>669</v>
      </c>
      <c r="J24">
        <v>0</v>
      </c>
      <c r="K24" s="320" t="s">
        <v>606</v>
      </c>
      <c r="L24" t="b">
        <v>1</v>
      </c>
      <c r="M24" t="b">
        <v>0</v>
      </c>
      <c r="N24" t="b">
        <v>0</v>
      </c>
    </row>
    <row r="25" spans="1:14">
      <c r="A25" s="320" t="s">
        <v>587</v>
      </c>
      <c r="B25" t="s">
        <v>621</v>
      </c>
      <c r="C25" t="s">
        <v>670</v>
      </c>
      <c r="D25">
        <v>9324.8369097222221</v>
      </c>
      <c r="E25">
        <v>45867.52685185185</v>
      </c>
      <c r="F25" t="b">
        <v>1</v>
      </c>
      <c r="G25" s="320" t="s">
        <v>707</v>
      </c>
      <c r="H25" s="320" t="s">
        <v>608</v>
      </c>
      <c r="I25" s="320" t="s">
        <v>669</v>
      </c>
      <c r="J25">
        <v>0</v>
      </c>
      <c r="K25" s="320" t="s">
        <v>606</v>
      </c>
      <c r="L25" t="b">
        <v>1</v>
      </c>
      <c r="M25" t="b">
        <v>0</v>
      </c>
      <c r="N25" t="b">
        <v>0</v>
      </c>
    </row>
    <row r="26" spans="1:14">
      <c r="A26" s="320" t="s">
        <v>587</v>
      </c>
      <c r="B26" t="s">
        <v>614</v>
      </c>
      <c r="C26" t="s">
        <v>607</v>
      </c>
      <c r="D26">
        <v>62744.000011574077</v>
      </c>
      <c r="E26">
        <v>45867.52685185185</v>
      </c>
      <c r="F26" t="b">
        <v>1</v>
      </c>
      <c r="G26" s="320" t="s">
        <v>688</v>
      </c>
      <c r="H26" s="320" t="s">
        <v>605</v>
      </c>
      <c r="I26" s="320" t="s">
        <v>612</v>
      </c>
      <c r="J26">
        <v>0</v>
      </c>
      <c r="K26" s="320" t="s">
        <v>606</v>
      </c>
      <c r="L26" t="b">
        <v>1</v>
      </c>
      <c r="M26" t="b">
        <v>0</v>
      </c>
      <c r="N26" t="b">
        <v>0</v>
      </c>
    </row>
    <row r="27" spans="1:14">
      <c r="A27" s="320" t="s">
        <v>587</v>
      </c>
      <c r="B27" t="s">
        <v>599</v>
      </c>
      <c r="C27" t="s">
        <v>670</v>
      </c>
      <c r="D27">
        <v>4326.2334027777779</v>
      </c>
      <c r="E27">
        <v>45867.52685185185</v>
      </c>
      <c r="F27" t="b">
        <v>1</v>
      </c>
      <c r="G27" s="320" t="s">
        <v>704</v>
      </c>
      <c r="H27" s="320" t="s">
        <v>608</v>
      </c>
      <c r="I27" s="320" t="s">
        <v>669</v>
      </c>
      <c r="J27">
        <v>0</v>
      </c>
      <c r="K27" s="320" t="s">
        <v>606</v>
      </c>
      <c r="L27" t="b">
        <v>1</v>
      </c>
      <c r="M27" t="b">
        <v>0</v>
      </c>
      <c r="N27" t="b">
        <v>0</v>
      </c>
    </row>
    <row r="28" spans="1:14">
      <c r="A28" s="320" t="s">
        <v>587</v>
      </c>
      <c r="B28" t="s">
        <v>616</v>
      </c>
      <c r="C28" t="s">
        <v>670</v>
      </c>
      <c r="D28">
        <v>16321.268078703704</v>
      </c>
      <c r="E28">
        <v>45867.52685185185</v>
      </c>
      <c r="F28" t="b">
        <v>1</v>
      </c>
      <c r="G28" s="320" t="s">
        <v>699</v>
      </c>
      <c r="H28" s="320" t="s">
        <v>608</v>
      </c>
      <c r="I28" s="320" t="s">
        <v>669</v>
      </c>
      <c r="J28">
        <v>0</v>
      </c>
      <c r="K28" s="320" t="s">
        <v>606</v>
      </c>
      <c r="L28" t="b">
        <v>1</v>
      </c>
      <c r="M28" t="b">
        <v>0</v>
      </c>
      <c r="N28" t="b">
        <v>0</v>
      </c>
    </row>
    <row r="29" spans="1:14">
      <c r="A29" s="320"/>
      <c r="G29" s="320"/>
      <c r="H29" s="320"/>
      <c r="I29" s="320"/>
      <c r="K29" s="320"/>
    </row>
    <row r="30" spans="1:14">
      <c r="A30" s="320"/>
      <c r="G30" s="320"/>
      <c r="H30" s="320"/>
      <c r="I30" s="320"/>
      <c r="K30" s="320"/>
    </row>
    <row r="31" spans="1:14">
      <c r="A31" s="320"/>
      <c r="G31" s="320"/>
      <c r="H31" s="320"/>
      <c r="I31" s="320"/>
      <c r="K31" s="3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M626"/>
  <sheetViews>
    <sheetView zoomScaleNormal="100" workbookViewId="0">
      <pane xSplit="1" ySplit="2" topLeftCell="B526" activePane="bottomRight" state="frozen"/>
      <selection pane="topRight" activeCell="B1" sqref="B1"/>
      <selection pane="bottomLeft" activeCell="A3" sqref="A3"/>
      <selection pane="bottomRight" activeCell="B601" sqref="B601"/>
    </sheetView>
  </sheetViews>
  <sheetFormatPr baseColWidth="10" defaultColWidth="11.42578125" defaultRowHeight="12.75"/>
  <cols>
    <col min="1" max="1" width="38.85546875" style="2" customWidth="1"/>
    <col min="2" max="70" width="8.28515625" style="32" customWidth="1"/>
    <col min="71" max="71" width="6.28515625" style="32" customWidth="1"/>
    <col min="72" max="73" width="11.42578125" style="32" customWidth="1"/>
    <col min="74" max="16384" width="11.42578125" style="32"/>
  </cols>
  <sheetData>
    <row r="1" spans="1:86" ht="18">
      <c r="A1" s="473" t="s">
        <v>574</v>
      </c>
    </row>
    <row r="4" spans="1:86">
      <c r="A4" s="263" t="s">
        <v>683</v>
      </c>
      <c r="B4" s="660" t="s">
        <v>642</v>
      </c>
    </row>
    <row r="5" spans="1:86">
      <c r="B5" s="53">
        <v>2023</v>
      </c>
      <c r="C5" s="53">
        <v>2024</v>
      </c>
      <c r="D5" s="53">
        <v>2025</v>
      </c>
      <c r="E5" s="53">
        <v>2026</v>
      </c>
      <c r="F5" s="53">
        <v>2027</v>
      </c>
      <c r="G5" s="53">
        <v>2028</v>
      </c>
      <c r="H5" s="53">
        <v>2029</v>
      </c>
      <c r="I5" s="53">
        <v>2030</v>
      </c>
      <c r="J5" s="53">
        <v>2031</v>
      </c>
      <c r="K5" s="53">
        <v>2032</v>
      </c>
      <c r="L5" s="53">
        <v>2033</v>
      </c>
      <c r="M5" s="53">
        <v>2034</v>
      </c>
      <c r="N5" s="53">
        <v>2035</v>
      </c>
      <c r="O5" s="53">
        <v>2036</v>
      </c>
      <c r="P5" s="53">
        <v>2037</v>
      </c>
      <c r="Q5" s="53">
        <v>2038</v>
      </c>
      <c r="R5" s="53">
        <v>2039</v>
      </c>
      <c r="S5" s="53">
        <v>2040</v>
      </c>
      <c r="T5" s="53">
        <v>2041</v>
      </c>
      <c r="U5" s="53">
        <v>2042</v>
      </c>
      <c r="V5" s="53">
        <v>2043</v>
      </c>
      <c r="W5" s="53">
        <v>2044</v>
      </c>
      <c r="X5" s="53">
        <v>2045</v>
      </c>
      <c r="Y5" s="53">
        <v>2046</v>
      </c>
      <c r="Z5" s="53">
        <v>2047</v>
      </c>
      <c r="AA5" s="53">
        <v>2048</v>
      </c>
      <c r="AB5" s="53">
        <v>2049</v>
      </c>
      <c r="AC5" s="53">
        <v>2050</v>
      </c>
      <c r="AD5" s="53">
        <v>2051</v>
      </c>
      <c r="AE5" s="53">
        <v>2052</v>
      </c>
      <c r="AF5" s="53">
        <v>2053</v>
      </c>
      <c r="AG5" s="53">
        <v>2054</v>
      </c>
      <c r="AH5" s="53">
        <v>2055</v>
      </c>
      <c r="AI5" s="53">
        <v>2056</v>
      </c>
      <c r="AJ5" s="53">
        <v>2057</v>
      </c>
      <c r="AK5" s="53">
        <v>2058</v>
      </c>
      <c r="AL5" s="53">
        <v>2059</v>
      </c>
      <c r="AM5" s="53">
        <v>2060</v>
      </c>
      <c r="AN5" s="53">
        <v>2061</v>
      </c>
      <c r="AO5" s="53">
        <v>2062</v>
      </c>
      <c r="AP5" s="53">
        <v>2063</v>
      </c>
      <c r="AQ5" s="53">
        <v>2064</v>
      </c>
      <c r="AR5" s="53">
        <v>2065</v>
      </c>
      <c r="AS5" s="53">
        <v>2066</v>
      </c>
      <c r="AT5" s="53">
        <v>2067</v>
      </c>
      <c r="AU5" s="53">
        <v>2068</v>
      </c>
      <c r="AV5" s="53">
        <v>2069</v>
      </c>
      <c r="AW5" s="53">
        <v>2070</v>
      </c>
      <c r="AX5" s="53">
        <v>2071</v>
      </c>
      <c r="AY5" s="53">
        <v>2072</v>
      </c>
      <c r="AZ5" s="53">
        <v>2073</v>
      </c>
      <c r="BA5" s="53">
        <v>2074</v>
      </c>
      <c r="BB5" s="53">
        <v>2075</v>
      </c>
      <c r="BC5" s="53">
        <v>2076</v>
      </c>
      <c r="BD5" s="53">
        <v>2077</v>
      </c>
      <c r="BE5" s="53">
        <v>2078</v>
      </c>
      <c r="BF5" s="53">
        <v>2079</v>
      </c>
      <c r="BG5" s="53">
        <v>2080</v>
      </c>
      <c r="BH5" s="53">
        <v>2081</v>
      </c>
      <c r="BI5" s="53">
        <v>2082</v>
      </c>
      <c r="BJ5" s="53">
        <v>2083</v>
      </c>
      <c r="BK5" s="53">
        <v>2084</v>
      </c>
      <c r="BL5" s="53">
        <v>2085</v>
      </c>
      <c r="BM5" s="53">
        <v>2086</v>
      </c>
      <c r="BN5" s="53">
        <v>2087</v>
      </c>
      <c r="BO5" s="53">
        <v>2088</v>
      </c>
      <c r="BP5" s="53">
        <v>2089</v>
      </c>
      <c r="BQ5" s="53">
        <v>2090</v>
      </c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G5" s="335"/>
      <c r="CH5" s="335"/>
    </row>
    <row r="6" spans="1:86">
      <c r="A6" s="2" t="s">
        <v>682</v>
      </c>
      <c r="B6" s="3">
        <f>KVARTS!AB31</f>
        <v>90.251068730598831</v>
      </c>
      <c r="C6" s="3">
        <f>KVARTS!AC31</f>
        <v>85.047828402487227</v>
      </c>
      <c r="D6" s="3">
        <f>KVARTS!AD31</f>
        <v>71.749300139516265</v>
      </c>
      <c r="E6" s="3">
        <f>KVARTS!AE31</f>
        <v>66.692499999999981</v>
      </c>
      <c r="F6" s="3">
        <f>KVARTS!AF31</f>
        <v>65.269343780607258</v>
      </c>
      <c r="G6" s="3">
        <f>KVARTS!AG31</f>
        <v>64.285812498421194</v>
      </c>
      <c r="H6" s="3">
        <f>KVARTS!AH31</f>
        <v>63.252490912390648</v>
      </c>
      <c r="I6" s="3">
        <f>KVARTS!AI31</f>
        <v>62.052929391118873</v>
      </c>
      <c r="J6" s="3">
        <f>KVARTS!AJ31</f>
        <v>63.72792939111887</v>
      </c>
      <c r="K6" s="3">
        <f>KVARTS!AK31</f>
        <v>65.402929391118874</v>
      </c>
      <c r="L6" s="3">
        <f>KVARTS!AL31</f>
        <v>67.077929391118872</v>
      </c>
      <c r="M6" s="3">
        <f>KVARTS!AM31</f>
        <v>68.752929391118869</v>
      </c>
      <c r="N6" s="3">
        <f>KVARTS!AN31</f>
        <v>70.428062080808445</v>
      </c>
      <c r="O6" s="3">
        <f>KVARTS!AO31</f>
        <v>70.428062080808445</v>
      </c>
      <c r="P6" s="3">
        <f>KVARTS!AP31</f>
        <v>70.428062080808445</v>
      </c>
      <c r="Q6" s="3">
        <f>KVARTS!AQ31</f>
        <v>70.428062080808445</v>
      </c>
      <c r="R6" s="3">
        <f>KVARTS!AR31</f>
        <v>70.428062080808445</v>
      </c>
      <c r="S6" s="3">
        <f>KVARTS!AS31</f>
        <v>70.428062080808445</v>
      </c>
      <c r="T6" s="3">
        <f>KVARTS!AT31</f>
        <v>70.428062080808445</v>
      </c>
      <c r="U6" s="3">
        <f>KVARTS!AU31</f>
        <v>70.428062080808445</v>
      </c>
      <c r="V6" s="3">
        <f>KVARTS!AV31</f>
        <v>70.428062080808445</v>
      </c>
      <c r="W6" s="3">
        <f>KVARTS!AW31</f>
        <v>70.428062080808445</v>
      </c>
      <c r="X6" s="3">
        <f>KVARTS!AX31</f>
        <v>70.428062080808445</v>
      </c>
      <c r="Y6" s="3">
        <f>KVARTS!AY31</f>
        <v>70.428062080808445</v>
      </c>
      <c r="Z6" s="3">
        <f>KVARTS!AZ31</f>
        <v>70.428062080808445</v>
      </c>
      <c r="AA6" s="3">
        <f>KVARTS!BA31</f>
        <v>70.428062080808445</v>
      </c>
      <c r="AB6" s="3">
        <f>KVARTS!BB31</f>
        <v>70.428062080808445</v>
      </c>
      <c r="AC6" s="3">
        <f>KVARTS!BC31</f>
        <v>70.428062080808445</v>
      </c>
      <c r="AD6" s="3">
        <f>KVARTS!BD31</f>
        <v>70.428062080808445</v>
      </c>
      <c r="AE6" s="3">
        <f>KVARTS!BE31</f>
        <v>70.428062080808445</v>
      </c>
      <c r="AF6" s="3">
        <f>KVARTS!BF31</f>
        <v>70.428062080808445</v>
      </c>
      <c r="AG6" s="3">
        <f>KVARTS!BG31</f>
        <v>70.428062080808445</v>
      </c>
      <c r="AH6" s="3">
        <f>KVARTS!BH31</f>
        <v>70.428062080808445</v>
      </c>
      <c r="AI6" s="3">
        <f>KVARTS!BI31</f>
        <v>70.428062080808445</v>
      </c>
      <c r="AJ6" s="3">
        <f>KVARTS!BJ31</f>
        <v>70.428062080808445</v>
      </c>
      <c r="AK6" s="3">
        <f>KVARTS!BK31</f>
        <v>70.428062080808445</v>
      </c>
      <c r="AL6" s="3">
        <f>KVARTS!BL31</f>
        <v>70.428062080808445</v>
      </c>
      <c r="AM6" s="3">
        <f>KVARTS!BM31</f>
        <v>70.428062080808445</v>
      </c>
      <c r="AN6" s="3">
        <f>KVARTS!BN31</f>
        <v>70.428062080808445</v>
      </c>
      <c r="AO6" s="3">
        <f>KVARTS!BO31</f>
        <v>70.428062080808445</v>
      </c>
      <c r="AP6" s="3">
        <f>KVARTS!BP31</f>
        <v>70.428062080808445</v>
      </c>
      <c r="AQ6" s="3">
        <f>KVARTS!BQ31</f>
        <v>70.428062080808445</v>
      </c>
      <c r="AR6" s="3">
        <f>KVARTS!BR31</f>
        <v>70.428062080808445</v>
      </c>
      <c r="AS6" s="3">
        <f>KVARTS!BS31</f>
        <v>70.428062080808445</v>
      </c>
      <c r="AT6" s="3">
        <f>KVARTS!BT31</f>
        <v>70.428062080808445</v>
      </c>
      <c r="AU6" s="3">
        <f>KVARTS!BU31</f>
        <v>70.428062080808445</v>
      </c>
      <c r="AV6" s="3">
        <f>KVARTS!BV31</f>
        <v>70.428062080808445</v>
      </c>
      <c r="AW6" s="3">
        <f>KVARTS!BW31</f>
        <v>70.428062080808445</v>
      </c>
      <c r="AX6" s="3">
        <f>KVARTS!BX31</f>
        <v>70.428062080808445</v>
      </c>
      <c r="AY6" s="3">
        <f>KVARTS!BY31</f>
        <v>70.428062080808445</v>
      </c>
      <c r="AZ6" s="3">
        <f>KVARTS!BZ31</f>
        <v>70.428062080808445</v>
      </c>
      <c r="BA6" s="3">
        <f>KVARTS!CA31</f>
        <v>70.428062080808445</v>
      </c>
      <c r="BB6" s="3">
        <f>KVARTS!CB31</f>
        <v>70.428062080808445</v>
      </c>
      <c r="BC6" s="3">
        <f>KVARTS!CC31</f>
        <v>70.428062080808445</v>
      </c>
      <c r="BD6" s="3">
        <f>KVARTS!CD31</f>
        <v>70.428062080808445</v>
      </c>
      <c r="BE6" s="3">
        <f>KVARTS!CE31</f>
        <v>70.428062080808445</v>
      </c>
      <c r="BF6" s="3">
        <f>KVARTS!CF31</f>
        <v>70.428062080808445</v>
      </c>
      <c r="BG6" s="3">
        <f>KVARTS!CG31</f>
        <v>70.428062080808445</v>
      </c>
      <c r="BH6" s="3">
        <f>KVARTS!CH31</f>
        <v>70.428062080808445</v>
      </c>
      <c r="BI6" s="3">
        <f>KVARTS!CI31</f>
        <v>70.428062080808445</v>
      </c>
      <c r="BJ6" s="3">
        <f>KVARTS!CJ31</f>
        <v>70.428062080808445</v>
      </c>
      <c r="BK6" s="3">
        <f>KVARTS!CK31</f>
        <v>70.428062080808445</v>
      </c>
      <c r="BL6" s="3">
        <f>KVARTS!CL31</f>
        <v>70.428062080808445</v>
      </c>
      <c r="BM6" s="3">
        <f>KVARTS!CM31</f>
        <v>70.428062080808445</v>
      </c>
      <c r="BN6" s="3">
        <f>KVARTS!CN31</f>
        <v>70.428062080808445</v>
      </c>
      <c r="BO6" s="3">
        <f>KVARTS!CO31</f>
        <v>70.428062080808445</v>
      </c>
      <c r="BP6" s="3">
        <f>KVARTS!CP31</f>
        <v>70.428062080808445</v>
      </c>
      <c r="BQ6" s="3">
        <f>KVARTS!CQ31</f>
        <v>70.428062080808445</v>
      </c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G6" s="3"/>
      <c r="CH6" s="3"/>
    </row>
    <row r="7" spans="1:86">
      <c r="A7" s="2" t="s">
        <v>671</v>
      </c>
      <c r="B7" s="264">
        <v>88.513501858296536</v>
      </c>
      <c r="C7" s="264">
        <v>83.449414225616678</v>
      </c>
      <c r="D7" s="264">
        <v>72.094609184782598</v>
      </c>
      <c r="E7" s="264">
        <v>66.927499999999995</v>
      </c>
      <c r="F7" s="264">
        <v>65.004897159647427</v>
      </c>
      <c r="G7" s="264">
        <v>63.804570234670365</v>
      </c>
      <c r="H7" s="264">
        <v>62.713812010752655</v>
      </c>
      <c r="I7" s="264">
        <v>61.755096209068697</v>
      </c>
      <c r="J7" s="264">
        <v>63.217986209068698</v>
      </c>
      <c r="K7" s="264">
        <v>64.6808762090687</v>
      </c>
      <c r="L7" s="264">
        <v>66.143766209068701</v>
      </c>
      <c r="M7" s="264">
        <v>67.606656209068703</v>
      </c>
      <c r="N7" s="264">
        <v>69.072152241223634</v>
      </c>
      <c r="O7" s="264">
        <v>69.072152241223634</v>
      </c>
      <c r="P7" s="264">
        <v>69.072152241223634</v>
      </c>
      <c r="Q7" s="264">
        <v>69.072152241223634</v>
      </c>
      <c r="R7" s="264">
        <v>69.072152241223634</v>
      </c>
      <c r="S7" s="264">
        <v>69.072152241223634</v>
      </c>
      <c r="T7" s="264">
        <v>69.072152241223634</v>
      </c>
      <c r="U7" s="264">
        <v>69.072152241223634</v>
      </c>
      <c r="V7" s="264">
        <v>69.072152241223634</v>
      </c>
      <c r="W7" s="264">
        <v>69.072152241223634</v>
      </c>
      <c r="X7" s="264">
        <v>69.072152241223634</v>
      </c>
      <c r="Y7" s="264">
        <v>69.072152241223634</v>
      </c>
      <c r="Z7" s="264">
        <v>69.072152241223634</v>
      </c>
      <c r="AA7" s="264">
        <v>69.072152241223634</v>
      </c>
      <c r="AB7" s="264">
        <v>69.072152241223634</v>
      </c>
      <c r="AC7" s="264">
        <v>69.072152241223634</v>
      </c>
      <c r="AD7" s="264">
        <v>69.072152241223634</v>
      </c>
      <c r="AE7" s="264">
        <v>69.072152241223634</v>
      </c>
      <c r="AF7" s="264">
        <v>69.072152241223634</v>
      </c>
      <c r="AG7" s="264">
        <v>69.072152241223634</v>
      </c>
      <c r="AH7" s="264">
        <v>69.072152241223634</v>
      </c>
      <c r="AI7" s="264">
        <v>69.072152241223634</v>
      </c>
      <c r="AJ7" s="264">
        <v>69.072152241223634</v>
      </c>
      <c r="AK7" s="264">
        <v>69.072152241223634</v>
      </c>
      <c r="AL7" s="264">
        <v>69.072152241223634</v>
      </c>
      <c r="AM7" s="264">
        <v>69.072152241223634</v>
      </c>
      <c r="AN7" s="264">
        <v>69.072152241223634</v>
      </c>
      <c r="AO7" s="264">
        <v>69.072152241223634</v>
      </c>
      <c r="AP7" s="264">
        <v>69.072152241223634</v>
      </c>
      <c r="AQ7" s="264">
        <v>69.072152241223634</v>
      </c>
      <c r="AR7" s="264">
        <v>69.072152241223634</v>
      </c>
      <c r="AS7" s="264">
        <v>69.072152241223634</v>
      </c>
      <c r="AT7" s="264">
        <v>69.072152241223634</v>
      </c>
      <c r="AU7" s="264">
        <v>69.072152241223634</v>
      </c>
      <c r="AV7" s="264">
        <v>69.072152241223634</v>
      </c>
      <c r="AW7" s="264">
        <v>69.072152241223634</v>
      </c>
      <c r="AX7" s="264">
        <v>69.072152241223634</v>
      </c>
      <c r="AY7" s="264">
        <v>69.072152241223634</v>
      </c>
      <c r="AZ7" s="264">
        <v>69.072152241223634</v>
      </c>
      <c r="BA7" s="264">
        <v>69.072152241223634</v>
      </c>
      <c r="BB7" s="264">
        <v>69.072152241223634</v>
      </c>
      <c r="BC7" s="264">
        <v>69.072152241223634</v>
      </c>
      <c r="BD7" s="264">
        <v>69.072152241223634</v>
      </c>
      <c r="BE7" s="264">
        <v>69.072152241223634</v>
      </c>
      <c r="BF7" s="264">
        <v>69.072152241223634</v>
      </c>
      <c r="BG7" s="264">
        <v>69.072152241223634</v>
      </c>
      <c r="BH7" s="264">
        <v>69.072152241223634</v>
      </c>
      <c r="BI7" s="264">
        <v>69.072152241223634</v>
      </c>
      <c r="BJ7" s="264">
        <v>69.072152241223634</v>
      </c>
      <c r="BK7" s="264">
        <v>69.072152241223634</v>
      </c>
      <c r="BL7" s="264">
        <v>69.072152241223634</v>
      </c>
      <c r="BM7" s="264">
        <v>69.072152241223634</v>
      </c>
      <c r="BN7" s="264">
        <v>69.072152241223634</v>
      </c>
      <c r="BO7" s="264">
        <v>69.072152241223634</v>
      </c>
      <c r="BP7" s="264">
        <v>69.072152241223634</v>
      </c>
      <c r="BQ7" s="264">
        <v>69.072152241223634</v>
      </c>
      <c r="BR7" s="264"/>
      <c r="BS7" s="264"/>
      <c r="BT7" s="264"/>
      <c r="BU7" s="264"/>
      <c r="BV7" s="264"/>
      <c r="BW7" s="264"/>
      <c r="BX7" s="264"/>
      <c r="BY7" s="264"/>
      <c r="BZ7" s="264"/>
      <c r="CA7" s="264"/>
      <c r="CB7" s="264"/>
    </row>
    <row r="8" spans="1:86"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4"/>
      <c r="AZ8" s="264"/>
      <c r="BA8" s="264"/>
      <c r="BB8" s="264"/>
      <c r="BC8" s="264"/>
      <c r="BD8" s="264"/>
      <c r="BE8" s="264"/>
      <c r="BF8" s="264"/>
      <c r="BG8" s="264"/>
      <c r="BH8" s="264"/>
      <c r="BI8" s="264"/>
      <c r="BJ8" s="264"/>
      <c r="BK8" s="264"/>
      <c r="BL8" s="264"/>
      <c r="BM8" s="264"/>
      <c r="BN8" s="264"/>
      <c r="BO8" s="264"/>
      <c r="BP8" s="264"/>
      <c r="BQ8" s="264"/>
      <c r="BR8" s="264"/>
      <c r="BS8" s="264"/>
      <c r="BT8" s="264"/>
      <c r="BU8" s="264"/>
      <c r="BV8" s="264"/>
      <c r="BW8" s="264"/>
      <c r="BX8" s="264"/>
      <c r="BY8" s="264"/>
      <c r="BZ8" s="264"/>
      <c r="CA8" s="264"/>
      <c r="CB8" s="264"/>
    </row>
    <row r="9" spans="1:86">
      <c r="A9" s="263" t="s">
        <v>629</v>
      </c>
      <c r="B9" s="722">
        <f t="shared" ref="B9:AC9" si="0">B6-B7</f>
        <v>1.7375668723022955</v>
      </c>
      <c r="C9" s="722">
        <f t="shared" si="0"/>
        <v>1.5984141768705484</v>
      </c>
      <c r="D9" s="722">
        <f t="shared" si="0"/>
        <v>-0.34530904526633321</v>
      </c>
      <c r="E9" s="722">
        <f t="shared" si="0"/>
        <v>-0.23500000000001364</v>
      </c>
      <c r="F9" s="722">
        <f t="shared" si="0"/>
        <v>0.26444662095983062</v>
      </c>
      <c r="G9" s="722">
        <f t="shared" si="0"/>
        <v>0.48124226375082912</v>
      </c>
      <c r="H9" s="722">
        <f t="shared" si="0"/>
        <v>0.53867890163799359</v>
      </c>
      <c r="I9" s="722">
        <f t="shared" si="0"/>
        <v>0.2978331820501765</v>
      </c>
      <c r="J9" s="722">
        <f t="shared" si="0"/>
        <v>0.50994318205017208</v>
      </c>
      <c r="K9" s="722">
        <f t="shared" si="0"/>
        <v>0.72205318205017477</v>
      </c>
      <c r="L9" s="722">
        <f t="shared" si="0"/>
        <v>0.93416318205017035</v>
      </c>
      <c r="M9" s="722">
        <f t="shared" si="0"/>
        <v>1.1462731820501659</v>
      </c>
      <c r="N9" s="722">
        <f t="shared" si="0"/>
        <v>1.355909839584811</v>
      </c>
      <c r="O9" s="722">
        <f t="shared" si="0"/>
        <v>1.355909839584811</v>
      </c>
      <c r="P9" s="722">
        <f t="shared" si="0"/>
        <v>1.355909839584811</v>
      </c>
      <c r="Q9" s="722">
        <f t="shared" si="0"/>
        <v>1.355909839584811</v>
      </c>
      <c r="R9" s="722">
        <f t="shared" si="0"/>
        <v>1.355909839584811</v>
      </c>
      <c r="S9" s="722">
        <f t="shared" si="0"/>
        <v>1.355909839584811</v>
      </c>
      <c r="T9" s="722">
        <f t="shared" si="0"/>
        <v>1.355909839584811</v>
      </c>
      <c r="U9" s="722">
        <f t="shared" si="0"/>
        <v>1.355909839584811</v>
      </c>
      <c r="V9" s="722">
        <f t="shared" si="0"/>
        <v>1.355909839584811</v>
      </c>
      <c r="W9" s="722">
        <f t="shared" si="0"/>
        <v>1.355909839584811</v>
      </c>
      <c r="X9" s="722">
        <f t="shared" si="0"/>
        <v>1.355909839584811</v>
      </c>
      <c r="Y9" s="722">
        <f t="shared" si="0"/>
        <v>1.355909839584811</v>
      </c>
      <c r="Z9" s="722">
        <f t="shared" si="0"/>
        <v>1.355909839584811</v>
      </c>
      <c r="AA9" s="722">
        <f t="shared" si="0"/>
        <v>1.355909839584811</v>
      </c>
      <c r="AB9" s="722">
        <f t="shared" si="0"/>
        <v>1.355909839584811</v>
      </c>
      <c r="AC9" s="722">
        <f t="shared" si="0"/>
        <v>1.355909839584811</v>
      </c>
      <c r="AD9" s="722">
        <f t="shared" ref="AD9:BQ9" si="1">AD6-AD7</f>
        <v>1.355909839584811</v>
      </c>
      <c r="AE9" s="722">
        <f t="shared" si="1"/>
        <v>1.355909839584811</v>
      </c>
      <c r="AF9" s="722">
        <f t="shared" si="1"/>
        <v>1.355909839584811</v>
      </c>
      <c r="AG9" s="722">
        <f t="shared" si="1"/>
        <v>1.355909839584811</v>
      </c>
      <c r="AH9" s="722">
        <f t="shared" si="1"/>
        <v>1.355909839584811</v>
      </c>
      <c r="AI9" s="722">
        <f t="shared" si="1"/>
        <v>1.355909839584811</v>
      </c>
      <c r="AJ9" s="722">
        <f t="shared" si="1"/>
        <v>1.355909839584811</v>
      </c>
      <c r="AK9" s="722">
        <f t="shared" si="1"/>
        <v>1.355909839584811</v>
      </c>
      <c r="AL9" s="722">
        <f t="shared" si="1"/>
        <v>1.355909839584811</v>
      </c>
      <c r="AM9" s="722">
        <f t="shared" si="1"/>
        <v>1.355909839584811</v>
      </c>
      <c r="AN9" s="722">
        <f t="shared" si="1"/>
        <v>1.355909839584811</v>
      </c>
      <c r="AO9" s="722">
        <f t="shared" si="1"/>
        <v>1.355909839584811</v>
      </c>
      <c r="AP9" s="722">
        <f t="shared" si="1"/>
        <v>1.355909839584811</v>
      </c>
      <c r="AQ9" s="722">
        <f t="shared" si="1"/>
        <v>1.355909839584811</v>
      </c>
      <c r="AR9" s="722">
        <f t="shared" si="1"/>
        <v>1.355909839584811</v>
      </c>
      <c r="AS9" s="722">
        <f t="shared" si="1"/>
        <v>1.355909839584811</v>
      </c>
      <c r="AT9" s="722">
        <f t="shared" si="1"/>
        <v>1.355909839584811</v>
      </c>
      <c r="AU9" s="722">
        <f t="shared" si="1"/>
        <v>1.355909839584811</v>
      </c>
      <c r="AV9" s="722">
        <f t="shared" si="1"/>
        <v>1.355909839584811</v>
      </c>
      <c r="AW9" s="722">
        <f t="shared" si="1"/>
        <v>1.355909839584811</v>
      </c>
      <c r="AX9" s="722">
        <f t="shared" si="1"/>
        <v>1.355909839584811</v>
      </c>
      <c r="AY9" s="722">
        <f t="shared" si="1"/>
        <v>1.355909839584811</v>
      </c>
      <c r="AZ9" s="722">
        <f t="shared" si="1"/>
        <v>1.355909839584811</v>
      </c>
      <c r="BA9" s="722">
        <f t="shared" si="1"/>
        <v>1.355909839584811</v>
      </c>
      <c r="BB9" s="722">
        <f t="shared" si="1"/>
        <v>1.355909839584811</v>
      </c>
      <c r="BC9" s="722">
        <f t="shared" si="1"/>
        <v>1.355909839584811</v>
      </c>
      <c r="BD9" s="722">
        <f t="shared" si="1"/>
        <v>1.355909839584811</v>
      </c>
      <c r="BE9" s="722">
        <f t="shared" si="1"/>
        <v>1.355909839584811</v>
      </c>
      <c r="BF9" s="722">
        <f t="shared" si="1"/>
        <v>1.355909839584811</v>
      </c>
      <c r="BG9" s="722">
        <f t="shared" si="1"/>
        <v>1.355909839584811</v>
      </c>
      <c r="BH9" s="722">
        <f t="shared" si="1"/>
        <v>1.355909839584811</v>
      </c>
      <c r="BI9" s="722">
        <f t="shared" si="1"/>
        <v>1.355909839584811</v>
      </c>
      <c r="BJ9" s="722">
        <f t="shared" si="1"/>
        <v>1.355909839584811</v>
      </c>
      <c r="BK9" s="722">
        <f t="shared" si="1"/>
        <v>1.355909839584811</v>
      </c>
      <c r="BL9" s="722">
        <f t="shared" si="1"/>
        <v>1.355909839584811</v>
      </c>
      <c r="BM9" s="722">
        <f t="shared" si="1"/>
        <v>1.355909839584811</v>
      </c>
      <c r="BN9" s="722">
        <f t="shared" si="1"/>
        <v>1.355909839584811</v>
      </c>
      <c r="BO9" s="722">
        <f t="shared" si="1"/>
        <v>1.355909839584811</v>
      </c>
      <c r="BP9" s="722">
        <f t="shared" si="1"/>
        <v>1.355909839584811</v>
      </c>
      <c r="BQ9" s="722">
        <f t="shared" si="1"/>
        <v>1.355909839584811</v>
      </c>
      <c r="BR9" s="464"/>
      <c r="BS9" s="464"/>
      <c r="BT9" s="464"/>
      <c r="BU9" s="464"/>
      <c r="BV9" s="464"/>
      <c r="BW9" s="464"/>
      <c r="BX9" s="464"/>
      <c r="BY9" s="464"/>
      <c r="BZ9" s="464"/>
      <c r="CA9" s="464"/>
      <c r="CB9" s="464"/>
    </row>
    <row r="39" spans="1:9">
      <c r="I39" s="474"/>
    </row>
    <row r="48" spans="1:9">
      <c r="A48" s="263" t="s">
        <v>684</v>
      </c>
      <c r="B48" s="660" t="s">
        <v>642</v>
      </c>
    </row>
    <row r="49" spans="1:86">
      <c r="B49" s="53">
        <v>2023</v>
      </c>
      <c r="C49" s="53">
        <v>2024</v>
      </c>
      <c r="D49" s="53">
        <v>2025</v>
      </c>
      <c r="E49" s="53">
        <v>2026</v>
      </c>
      <c r="F49" s="53">
        <v>2027</v>
      </c>
      <c r="G49" s="53">
        <v>2028</v>
      </c>
      <c r="H49" s="53">
        <v>2029</v>
      </c>
      <c r="I49" s="53">
        <v>2030</v>
      </c>
      <c r="J49" s="53">
        <v>2031</v>
      </c>
      <c r="K49" s="53">
        <v>2032</v>
      </c>
      <c r="L49" s="53">
        <v>2033</v>
      </c>
      <c r="M49" s="53">
        <v>2034</v>
      </c>
      <c r="N49" s="53">
        <v>2035</v>
      </c>
      <c r="O49" s="53">
        <v>2036</v>
      </c>
      <c r="P49" s="53">
        <v>2037</v>
      </c>
      <c r="Q49" s="53">
        <v>2038</v>
      </c>
      <c r="R49" s="53">
        <v>2039</v>
      </c>
      <c r="S49" s="53">
        <v>2040</v>
      </c>
      <c r="T49" s="53">
        <v>2041</v>
      </c>
      <c r="U49" s="53">
        <v>2042</v>
      </c>
      <c r="V49" s="53">
        <v>2043</v>
      </c>
      <c r="W49" s="53">
        <v>2044</v>
      </c>
      <c r="X49" s="53">
        <v>2045</v>
      </c>
      <c r="Y49" s="53">
        <v>2046</v>
      </c>
      <c r="Z49" s="53">
        <v>2047</v>
      </c>
      <c r="AA49" s="53">
        <v>2048</v>
      </c>
      <c r="AB49" s="53">
        <v>2049</v>
      </c>
      <c r="AC49" s="53">
        <v>2050</v>
      </c>
      <c r="AD49" s="53">
        <v>2051</v>
      </c>
      <c r="AE49" s="53">
        <v>2052</v>
      </c>
      <c r="AF49" s="53">
        <v>2053</v>
      </c>
      <c r="AG49" s="53">
        <v>2054</v>
      </c>
      <c r="AH49" s="53">
        <v>2055</v>
      </c>
      <c r="AI49" s="53">
        <v>2056</v>
      </c>
      <c r="AJ49" s="53">
        <v>2057</v>
      </c>
      <c r="AK49" s="53">
        <v>2058</v>
      </c>
      <c r="AL49" s="53">
        <v>2059</v>
      </c>
      <c r="AM49" s="53">
        <v>2060</v>
      </c>
      <c r="AN49" s="53">
        <v>2061</v>
      </c>
      <c r="AO49" s="53">
        <v>2062</v>
      </c>
      <c r="AP49" s="53">
        <v>2063</v>
      </c>
      <c r="AQ49" s="53">
        <v>2064</v>
      </c>
      <c r="AR49" s="53">
        <v>2065</v>
      </c>
      <c r="AS49" s="53">
        <v>2066</v>
      </c>
      <c r="AT49" s="53">
        <v>2067</v>
      </c>
      <c r="AU49" s="53">
        <v>2068</v>
      </c>
      <c r="AV49" s="53">
        <v>2069</v>
      </c>
      <c r="AW49" s="53">
        <v>2070</v>
      </c>
      <c r="AX49" s="53">
        <v>2071</v>
      </c>
      <c r="AY49" s="53">
        <v>2072</v>
      </c>
      <c r="AZ49" s="53">
        <v>2073</v>
      </c>
      <c r="BA49" s="53">
        <v>2074</v>
      </c>
      <c r="BB49" s="53">
        <v>2075</v>
      </c>
      <c r="BC49" s="53">
        <v>2076</v>
      </c>
      <c r="BD49" s="53">
        <v>2077</v>
      </c>
      <c r="BE49" s="53">
        <v>2078</v>
      </c>
      <c r="BF49" s="53">
        <v>2079</v>
      </c>
      <c r="BG49" s="53">
        <v>2080</v>
      </c>
      <c r="BH49" s="53">
        <v>2081</v>
      </c>
      <c r="BI49" s="53">
        <v>2082</v>
      </c>
      <c r="BJ49" s="53">
        <v>2083</v>
      </c>
      <c r="BK49" s="53">
        <v>2084</v>
      </c>
      <c r="BL49" s="53">
        <v>2085</v>
      </c>
      <c r="BM49" s="53">
        <v>2086</v>
      </c>
      <c r="BN49" s="53">
        <v>2087</v>
      </c>
      <c r="BO49" s="53">
        <v>2088</v>
      </c>
      <c r="BP49" s="53">
        <v>2089</v>
      </c>
      <c r="BQ49" s="53">
        <v>2090</v>
      </c>
      <c r="BR49" s="335"/>
      <c r="BS49" s="335"/>
      <c r="BT49" s="335"/>
      <c r="BU49" s="335"/>
      <c r="BV49" s="335"/>
      <c r="BW49" s="335"/>
      <c r="BX49" s="335"/>
      <c r="BY49" s="335"/>
      <c r="BZ49" s="335"/>
      <c r="CA49" s="335"/>
      <c r="CG49" s="335"/>
      <c r="CH49" s="335"/>
    </row>
    <row r="50" spans="1:86">
      <c r="A50" s="2" t="s">
        <v>682</v>
      </c>
      <c r="B50" s="3">
        <f>KVARTS!AB24</f>
        <v>953.37084400232902</v>
      </c>
      <c r="C50" s="3">
        <f>KVARTS!AC24</f>
        <v>914.30729599999984</v>
      </c>
      <c r="D50" s="3">
        <f>KVARTS!AD24</f>
        <v>746.45804266564221</v>
      </c>
      <c r="E50" s="3">
        <f>KVARTS!AE24</f>
        <v>674.49526567499993</v>
      </c>
      <c r="F50" s="3">
        <f>KVARTS!AF24</f>
        <v>660.10216101860942</v>
      </c>
      <c r="G50" s="3">
        <f>KVARTS!AG24</f>
        <v>650.1552075609078</v>
      </c>
      <c r="H50" s="3">
        <f>KVARTS!AH24</f>
        <v>639.70469936737209</v>
      </c>
      <c r="I50" s="3">
        <f>KVARTS!AI24</f>
        <v>627.57292192637476</v>
      </c>
      <c r="J50" s="3">
        <f>KVARTS!AJ24</f>
        <v>644.51305117637469</v>
      </c>
      <c r="K50" s="3">
        <f>KVARTS!AK24</f>
        <v>661.45318042637473</v>
      </c>
      <c r="L50" s="3">
        <f>KVARTS!AL24</f>
        <v>678.39330967637477</v>
      </c>
      <c r="M50" s="3">
        <f>KVARTS!AM24</f>
        <v>695.3334389263747</v>
      </c>
      <c r="N50" s="3">
        <f>KVARTS!AN24</f>
        <v>712.27491013487713</v>
      </c>
      <c r="O50" s="3">
        <f>KVARTS!AO24</f>
        <v>712.27491013487713</v>
      </c>
      <c r="P50" s="3">
        <f>KVARTS!AP24</f>
        <v>712.27491013487713</v>
      </c>
      <c r="Q50" s="3">
        <f>KVARTS!AQ24</f>
        <v>712.27491013487713</v>
      </c>
      <c r="R50" s="3">
        <f>KVARTS!AR24</f>
        <v>712.27491013487713</v>
      </c>
      <c r="S50" s="3">
        <f>KVARTS!AS24</f>
        <v>712.27491013487713</v>
      </c>
      <c r="T50" s="3">
        <f>KVARTS!AT24</f>
        <v>712.27491013487713</v>
      </c>
      <c r="U50" s="3">
        <f>KVARTS!AU24</f>
        <v>712.27491013487713</v>
      </c>
      <c r="V50" s="3">
        <f>KVARTS!AV24</f>
        <v>712.27491013487713</v>
      </c>
      <c r="W50" s="3">
        <f>KVARTS!AW24</f>
        <v>712.27491013487713</v>
      </c>
      <c r="X50" s="3">
        <f>KVARTS!AX24</f>
        <v>712.27491013487713</v>
      </c>
      <c r="Y50" s="3">
        <f>KVARTS!AY24</f>
        <v>712.27491013487713</v>
      </c>
      <c r="Z50" s="3">
        <f>KVARTS!AZ24</f>
        <v>712.27491013487713</v>
      </c>
      <c r="AA50" s="3">
        <f>KVARTS!BA24</f>
        <v>712.27491013487713</v>
      </c>
      <c r="AB50" s="3">
        <f>KVARTS!BB24</f>
        <v>712.27491013487713</v>
      </c>
      <c r="AC50" s="3">
        <f>KVARTS!BC24</f>
        <v>712.27491013487713</v>
      </c>
      <c r="AD50" s="3">
        <f>KVARTS!BD24</f>
        <v>712.27491013487713</v>
      </c>
      <c r="AE50" s="3">
        <f>KVARTS!BE24</f>
        <v>712.27491013487713</v>
      </c>
      <c r="AF50" s="3">
        <f>KVARTS!BF24</f>
        <v>712.27491013487713</v>
      </c>
      <c r="AG50" s="3">
        <f>KVARTS!BG24</f>
        <v>712.27491013487713</v>
      </c>
      <c r="AH50" s="3">
        <f>KVARTS!BH24</f>
        <v>712.27491013487713</v>
      </c>
      <c r="AI50" s="3">
        <f>KVARTS!BI24</f>
        <v>712.27491013487713</v>
      </c>
      <c r="AJ50" s="3">
        <f>KVARTS!BJ24</f>
        <v>712.27491013487713</v>
      </c>
      <c r="AK50" s="3">
        <f>KVARTS!BK24</f>
        <v>712.27491013487713</v>
      </c>
      <c r="AL50" s="3">
        <f>KVARTS!BL24</f>
        <v>712.27491013487713</v>
      </c>
      <c r="AM50" s="3">
        <f>KVARTS!BM24</f>
        <v>712.27491013487713</v>
      </c>
      <c r="AN50" s="3">
        <f>KVARTS!BN24</f>
        <v>712.27491013487713</v>
      </c>
      <c r="AO50" s="3">
        <f>KVARTS!BO24</f>
        <v>712.27491013487713</v>
      </c>
      <c r="AP50" s="3">
        <f>KVARTS!BP24</f>
        <v>712.27491013487713</v>
      </c>
      <c r="AQ50" s="3">
        <f>KVARTS!BQ24</f>
        <v>712.27491013487713</v>
      </c>
      <c r="AR50" s="3">
        <f>KVARTS!BR24</f>
        <v>712.27491013487713</v>
      </c>
      <c r="AS50" s="3">
        <f>KVARTS!BS24</f>
        <v>712.27491013487713</v>
      </c>
      <c r="AT50" s="3">
        <f>KVARTS!BT24</f>
        <v>712.27491013487713</v>
      </c>
      <c r="AU50" s="3">
        <f>KVARTS!BU24</f>
        <v>712.27491013487713</v>
      </c>
      <c r="AV50" s="3">
        <f>KVARTS!BV24</f>
        <v>712.27491013487713</v>
      </c>
      <c r="AW50" s="3">
        <f>KVARTS!BW24</f>
        <v>712.27491013487713</v>
      </c>
      <c r="AX50" s="3">
        <f>KVARTS!BX24</f>
        <v>712.27491013487713</v>
      </c>
      <c r="AY50" s="3">
        <f>KVARTS!BY24</f>
        <v>712.27491013487713</v>
      </c>
      <c r="AZ50" s="3">
        <f>KVARTS!BZ24</f>
        <v>712.27491013487713</v>
      </c>
      <c r="BA50" s="3">
        <f>KVARTS!CA24</f>
        <v>712.27491013487713</v>
      </c>
      <c r="BB50" s="3">
        <f>KVARTS!CB24</f>
        <v>712.27491013487713</v>
      </c>
      <c r="BC50" s="3">
        <f>KVARTS!CC24</f>
        <v>712.27491013487713</v>
      </c>
      <c r="BD50" s="3">
        <f>KVARTS!CD24</f>
        <v>712.27491013487713</v>
      </c>
      <c r="BE50" s="3">
        <f>KVARTS!CE24</f>
        <v>712.27491013487713</v>
      </c>
      <c r="BF50" s="3">
        <f>KVARTS!CF24</f>
        <v>712.27491013487713</v>
      </c>
      <c r="BG50" s="3">
        <f>KVARTS!CG24</f>
        <v>712.27491013487713</v>
      </c>
      <c r="BH50" s="3">
        <f>KVARTS!CH24</f>
        <v>712.27491013487713</v>
      </c>
      <c r="BI50" s="3">
        <f>KVARTS!CI24</f>
        <v>712.27491013487713</v>
      </c>
      <c r="BJ50" s="3">
        <f>KVARTS!CJ24</f>
        <v>712.27491013487713</v>
      </c>
      <c r="BK50" s="3">
        <f>KVARTS!CK24</f>
        <v>712.27491013487713</v>
      </c>
      <c r="BL50" s="3">
        <f>KVARTS!CL24</f>
        <v>712.27491013487713</v>
      </c>
      <c r="BM50" s="3">
        <f>KVARTS!CM24</f>
        <v>712.27491013487713</v>
      </c>
      <c r="BN50" s="3">
        <f>KVARTS!CN24</f>
        <v>712.27491013487713</v>
      </c>
      <c r="BO50" s="3">
        <f>KVARTS!CO24</f>
        <v>712.27491013487713</v>
      </c>
      <c r="BP50" s="3">
        <f>KVARTS!CP24</f>
        <v>712.27491013487713</v>
      </c>
      <c r="BQ50" s="3">
        <f>KVARTS!CQ24</f>
        <v>712.27491013487713</v>
      </c>
      <c r="BR50" s="3"/>
      <c r="BS50" s="3"/>
      <c r="BT50" s="3"/>
      <c r="BU50" s="3"/>
      <c r="BV50" s="3"/>
      <c r="BW50" s="3"/>
      <c r="BX50" s="3"/>
      <c r="BY50" s="3"/>
      <c r="BZ50" s="3"/>
      <c r="CA50" s="3"/>
      <c r="CG50" s="3"/>
      <c r="CH50" s="3"/>
    </row>
    <row r="51" spans="1:86">
      <c r="A51" s="2" t="s">
        <v>671</v>
      </c>
      <c r="B51" s="264">
        <v>941.41394435261395</v>
      </c>
      <c r="C51" s="264">
        <v>903.26220799999999</v>
      </c>
      <c r="D51" s="264">
        <v>793.05190640710077</v>
      </c>
      <c r="E51" s="264">
        <v>731.55541553372439</v>
      </c>
      <c r="F51" s="264">
        <v>710.54027945691837</v>
      </c>
      <c r="G51" s="264">
        <v>697.42002750700374</v>
      </c>
      <c r="H51" s="264">
        <v>685.49742340936155</v>
      </c>
      <c r="I51" s="264">
        <v>675.0181176429777</v>
      </c>
      <c r="J51" s="264">
        <v>691.00833245497768</v>
      </c>
      <c r="K51" s="264">
        <v>706.99854726697765</v>
      </c>
      <c r="L51" s="264">
        <v>722.98876207897763</v>
      </c>
      <c r="M51" s="264">
        <v>738.97897689097772</v>
      </c>
      <c r="N51" s="264">
        <v>754.99767710787103</v>
      </c>
      <c r="O51" s="264">
        <v>754.99767710787103</v>
      </c>
      <c r="P51" s="264">
        <v>754.99767710787103</v>
      </c>
      <c r="Q51" s="264">
        <v>754.99767710787103</v>
      </c>
      <c r="R51" s="264">
        <v>754.99767710787103</v>
      </c>
      <c r="S51" s="264">
        <v>754.99767710787103</v>
      </c>
      <c r="T51" s="264">
        <v>754.99767710787103</v>
      </c>
      <c r="U51" s="264">
        <v>754.99767710787103</v>
      </c>
      <c r="V51" s="264">
        <v>754.99767710787103</v>
      </c>
      <c r="W51" s="264">
        <v>754.99767710787103</v>
      </c>
      <c r="X51" s="264">
        <v>754.99767710787103</v>
      </c>
      <c r="Y51" s="264">
        <v>754.99767710787103</v>
      </c>
      <c r="Z51" s="264">
        <v>754.99767710787103</v>
      </c>
      <c r="AA51" s="264">
        <v>754.99767710787103</v>
      </c>
      <c r="AB51" s="264">
        <v>754.99767710787103</v>
      </c>
      <c r="AC51" s="264">
        <v>754.99767710787103</v>
      </c>
      <c r="AD51" s="264">
        <v>754.99767710787103</v>
      </c>
      <c r="AE51" s="264">
        <v>754.99767710787103</v>
      </c>
      <c r="AF51" s="264">
        <v>754.99767710787103</v>
      </c>
      <c r="AG51" s="264">
        <v>754.99767710787103</v>
      </c>
      <c r="AH51" s="264">
        <v>754.99767710787103</v>
      </c>
      <c r="AI51" s="264">
        <v>754.99767710787103</v>
      </c>
      <c r="AJ51" s="264">
        <v>754.99767710787103</v>
      </c>
      <c r="AK51" s="264">
        <v>754.99767710787103</v>
      </c>
      <c r="AL51" s="264">
        <v>754.99767710787103</v>
      </c>
      <c r="AM51" s="264">
        <v>754.99767710787103</v>
      </c>
      <c r="AN51" s="264">
        <v>754.99767710787103</v>
      </c>
      <c r="AO51" s="264">
        <v>754.99767710787103</v>
      </c>
      <c r="AP51" s="264">
        <v>754.99767710787103</v>
      </c>
      <c r="AQ51" s="264">
        <v>754.99767710787103</v>
      </c>
      <c r="AR51" s="264">
        <v>754.99767710787103</v>
      </c>
      <c r="AS51" s="264">
        <v>754.99767710787103</v>
      </c>
      <c r="AT51" s="264">
        <v>754.99767710787103</v>
      </c>
      <c r="AU51" s="264">
        <v>754.99767710787103</v>
      </c>
      <c r="AV51" s="264">
        <v>754.99767710787103</v>
      </c>
      <c r="AW51" s="264">
        <v>754.99767710787103</v>
      </c>
      <c r="AX51" s="264">
        <v>754.99767710787103</v>
      </c>
      <c r="AY51" s="264">
        <v>754.99767710787103</v>
      </c>
      <c r="AZ51" s="264">
        <v>754.99767710787103</v>
      </c>
      <c r="BA51" s="264">
        <v>754.99767710787103</v>
      </c>
      <c r="BB51" s="264">
        <v>754.99767710787103</v>
      </c>
      <c r="BC51" s="264">
        <v>754.99767710787103</v>
      </c>
      <c r="BD51" s="264">
        <v>754.99767710787103</v>
      </c>
      <c r="BE51" s="264">
        <v>754.99767710787103</v>
      </c>
      <c r="BF51" s="264">
        <v>754.99767710787103</v>
      </c>
      <c r="BG51" s="264">
        <v>754.99767710787103</v>
      </c>
      <c r="BH51" s="264">
        <v>754.99767710787103</v>
      </c>
      <c r="BI51" s="264">
        <v>754.99767710787103</v>
      </c>
      <c r="BJ51" s="264">
        <v>754.99767710787103</v>
      </c>
      <c r="BK51" s="264">
        <v>754.99767710787103</v>
      </c>
      <c r="BL51" s="264">
        <v>754.99767710787103</v>
      </c>
      <c r="BM51" s="264">
        <v>754.99767710787103</v>
      </c>
      <c r="BN51" s="264">
        <v>754.99767710787103</v>
      </c>
      <c r="BO51" s="264">
        <v>754.99767710787103</v>
      </c>
      <c r="BP51" s="264">
        <v>754.99767710787103</v>
      </c>
      <c r="BQ51" s="264">
        <v>754.99767710787103</v>
      </c>
      <c r="BR51" s="264"/>
      <c r="BS51" s="264"/>
      <c r="BT51" s="264"/>
      <c r="BU51" s="264"/>
      <c r="BV51" s="264"/>
      <c r="BW51" s="264"/>
      <c r="BX51" s="264"/>
      <c r="BY51" s="264"/>
      <c r="BZ51" s="264"/>
      <c r="CA51" s="264"/>
    </row>
    <row r="52" spans="1:86"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  <c r="AM52" s="264"/>
      <c r="AN52" s="264"/>
      <c r="AO52" s="264"/>
      <c r="AP52" s="264"/>
      <c r="AQ52" s="264"/>
      <c r="AR52" s="264"/>
      <c r="AS52" s="264"/>
      <c r="AT52" s="264"/>
      <c r="AU52" s="264"/>
      <c r="AV52" s="264"/>
      <c r="AW52" s="264"/>
      <c r="AX52" s="264"/>
      <c r="AY52" s="264"/>
      <c r="AZ52" s="264"/>
      <c r="BA52" s="264"/>
      <c r="BB52" s="264"/>
      <c r="BC52" s="264"/>
      <c r="BD52" s="264"/>
      <c r="BE52" s="264"/>
      <c r="BF52" s="264"/>
      <c r="BG52" s="264"/>
      <c r="BH52" s="264"/>
      <c r="BI52" s="264"/>
      <c r="BJ52" s="264"/>
      <c r="BK52" s="264"/>
      <c r="BL52" s="264"/>
      <c r="BM52" s="264"/>
      <c r="BN52" s="264"/>
      <c r="BO52" s="264"/>
      <c r="BP52" s="264"/>
      <c r="BQ52" s="264"/>
      <c r="BR52" s="264"/>
      <c r="BS52" s="264"/>
      <c r="BT52" s="264"/>
      <c r="BU52" s="264"/>
      <c r="BV52" s="264"/>
      <c r="BW52" s="264"/>
      <c r="BX52" s="264"/>
      <c r="BY52" s="264"/>
      <c r="BZ52" s="264"/>
      <c r="CA52" s="264"/>
    </row>
    <row r="53" spans="1:86">
      <c r="A53" s="263" t="s">
        <v>629</v>
      </c>
      <c r="B53" s="464">
        <f t="shared" ref="B53" si="2">B50-B51</f>
        <v>11.956899649715069</v>
      </c>
      <c r="C53" s="464">
        <f t="shared" ref="C53" si="3">C50-C51</f>
        <v>11.045087999999851</v>
      </c>
      <c r="D53" s="464">
        <f t="shared" ref="D53" si="4">D50-D51</f>
        <v>-46.593863741458563</v>
      </c>
      <c r="E53" s="464">
        <f t="shared" ref="E53" si="5">E50-E51</f>
        <v>-57.060149858724458</v>
      </c>
      <c r="F53" s="464">
        <f t="shared" ref="F53" si="6">F50-F51</f>
        <v>-50.438118438308948</v>
      </c>
      <c r="G53" s="464">
        <f t="shared" ref="G53" si="7">G50-G51</f>
        <v>-47.26481994609594</v>
      </c>
      <c r="H53" s="464">
        <f t="shared" ref="H53" si="8">H50-H51</f>
        <v>-45.792724041989459</v>
      </c>
      <c r="I53" s="464">
        <f t="shared" ref="I53" si="9">I50-I51</f>
        <v>-47.445195716602939</v>
      </c>
      <c r="J53" s="464">
        <f t="shared" ref="J53" si="10">J50-J51</f>
        <v>-46.495281278602988</v>
      </c>
      <c r="K53" s="464">
        <f t="shared" ref="K53" si="11">K50-K51</f>
        <v>-45.545366840602924</v>
      </c>
      <c r="L53" s="464">
        <f t="shared" ref="L53" si="12">L50-L51</f>
        <v>-44.595452402602859</v>
      </c>
      <c r="M53" s="464">
        <f t="shared" ref="M53" si="13">M50-M51</f>
        <v>-43.645537964603022</v>
      </c>
      <c r="N53" s="464">
        <f t="shared" ref="N53" si="14">N50-N51</f>
        <v>-42.722766972993895</v>
      </c>
      <c r="O53" s="464">
        <f t="shared" ref="O53" si="15">O50-O51</f>
        <v>-42.722766972993895</v>
      </c>
      <c r="P53" s="464">
        <f t="shared" ref="P53" si="16">P50-P51</f>
        <v>-42.722766972993895</v>
      </c>
      <c r="Q53" s="464">
        <f t="shared" ref="Q53" si="17">Q50-Q51</f>
        <v>-42.722766972993895</v>
      </c>
      <c r="R53" s="464">
        <f t="shared" ref="R53" si="18">R50-R51</f>
        <v>-42.722766972993895</v>
      </c>
      <c r="S53" s="464">
        <f t="shared" ref="S53" si="19">S50-S51</f>
        <v>-42.722766972993895</v>
      </c>
      <c r="T53" s="464">
        <f t="shared" ref="T53" si="20">T50-T51</f>
        <v>-42.722766972993895</v>
      </c>
      <c r="U53" s="464">
        <f t="shared" ref="U53" si="21">U50-U51</f>
        <v>-42.722766972993895</v>
      </c>
      <c r="V53" s="464">
        <f t="shared" ref="V53" si="22">V50-V51</f>
        <v>-42.722766972993895</v>
      </c>
      <c r="W53" s="464">
        <f t="shared" ref="W53" si="23">W50-W51</f>
        <v>-42.722766972993895</v>
      </c>
      <c r="X53" s="464">
        <f t="shared" ref="X53" si="24">X50-X51</f>
        <v>-42.722766972993895</v>
      </c>
      <c r="Y53" s="464">
        <f t="shared" ref="Y53" si="25">Y50-Y51</f>
        <v>-42.722766972993895</v>
      </c>
      <c r="Z53" s="464">
        <f t="shared" ref="Z53" si="26">Z50-Z51</f>
        <v>-42.722766972993895</v>
      </c>
      <c r="AA53" s="464">
        <f t="shared" ref="AA53" si="27">AA50-AA51</f>
        <v>-42.722766972993895</v>
      </c>
      <c r="AB53" s="464">
        <f t="shared" ref="AB53" si="28">AB50-AB51</f>
        <v>-42.722766972993895</v>
      </c>
      <c r="AC53" s="464">
        <f t="shared" ref="AC53:BQ53" si="29">AC50-AC51</f>
        <v>-42.722766972993895</v>
      </c>
      <c r="AD53" s="464">
        <f t="shared" si="29"/>
        <v>-42.722766972993895</v>
      </c>
      <c r="AE53" s="464">
        <f t="shared" si="29"/>
        <v>-42.722766972993895</v>
      </c>
      <c r="AF53" s="464">
        <f t="shared" ref="AF53" si="30">AF50-AF51</f>
        <v>-42.722766972993895</v>
      </c>
      <c r="AG53" s="464">
        <f t="shared" si="29"/>
        <v>-42.722766972993895</v>
      </c>
      <c r="AH53" s="464">
        <f t="shared" si="29"/>
        <v>-42.722766972993895</v>
      </c>
      <c r="AI53" s="464">
        <f t="shared" ref="AI53" si="31">AI50-AI51</f>
        <v>-42.722766972993895</v>
      </c>
      <c r="AJ53" s="464">
        <f t="shared" si="29"/>
        <v>-42.722766972993895</v>
      </c>
      <c r="AK53" s="464">
        <f t="shared" si="29"/>
        <v>-42.722766972993895</v>
      </c>
      <c r="AL53" s="464">
        <f t="shared" ref="AL53" si="32">AL50-AL51</f>
        <v>-42.722766972993895</v>
      </c>
      <c r="AM53" s="464">
        <f t="shared" si="29"/>
        <v>-42.722766972993895</v>
      </c>
      <c r="AN53" s="464">
        <f t="shared" si="29"/>
        <v>-42.722766972993895</v>
      </c>
      <c r="AO53" s="464">
        <f t="shared" ref="AO53" si="33">AO50-AO51</f>
        <v>-42.722766972993895</v>
      </c>
      <c r="AP53" s="464">
        <f t="shared" si="29"/>
        <v>-42.722766972993895</v>
      </c>
      <c r="AQ53" s="464">
        <f t="shared" si="29"/>
        <v>-42.722766972993895</v>
      </c>
      <c r="AR53" s="464">
        <f t="shared" ref="AR53" si="34">AR50-AR51</f>
        <v>-42.722766972993895</v>
      </c>
      <c r="AS53" s="464">
        <f t="shared" si="29"/>
        <v>-42.722766972993895</v>
      </c>
      <c r="AT53" s="464">
        <f t="shared" si="29"/>
        <v>-42.722766972993895</v>
      </c>
      <c r="AU53" s="464">
        <f t="shared" ref="AU53" si="35">AU50-AU51</f>
        <v>-42.722766972993895</v>
      </c>
      <c r="AV53" s="464">
        <f t="shared" si="29"/>
        <v>-42.722766972993895</v>
      </c>
      <c r="AW53" s="464">
        <f t="shared" si="29"/>
        <v>-42.722766972993895</v>
      </c>
      <c r="AX53" s="464">
        <f t="shared" ref="AX53" si="36">AX50-AX51</f>
        <v>-42.722766972993895</v>
      </c>
      <c r="AY53" s="464">
        <f t="shared" si="29"/>
        <v>-42.722766972993895</v>
      </c>
      <c r="AZ53" s="464">
        <f t="shared" si="29"/>
        <v>-42.722766972993895</v>
      </c>
      <c r="BA53" s="464">
        <f t="shared" ref="BA53" si="37">BA50-BA51</f>
        <v>-42.722766972993895</v>
      </c>
      <c r="BB53" s="464">
        <f t="shared" si="29"/>
        <v>-42.722766972993895</v>
      </c>
      <c r="BC53" s="464">
        <f t="shared" si="29"/>
        <v>-42.722766972993895</v>
      </c>
      <c r="BD53" s="464">
        <f t="shared" ref="BD53" si="38">BD50-BD51</f>
        <v>-42.722766972993895</v>
      </c>
      <c r="BE53" s="464">
        <f t="shared" si="29"/>
        <v>-42.722766972993895</v>
      </c>
      <c r="BF53" s="464">
        <f t="shared" si="29"/>
        <v>-42.722766972993895</v>
      </c>
      <c r="BG53" s="464">
        <f t="shared" ref="BG53" si="39">BG50-BG51</f>
        <v>-42.722766972993895</v>
      </c>
      <c r="BH53" s="464">
        <f t="shared" si="29"/>
        <v>-42.722766972993895</v>
      </c>
      <c r="BI53" s="464">
        <f t="shared" si="29"/>
        <v>-42.722766972993895</v>
      </c>
      <c r="BJ53" s="464">
        <f t="shared" ref="BJ53" si="40">BJ50-BJ51</f>
        <v>-42.722766972993895</v>
      </c>
      <c r="BK53" s="464">
        <f t="shared" si="29"/>
        <v>-42.722766972993895</v>
      </c>
      <c r="BL53" s="464">
        <f t="shared" si="29"/>
        <v>-42.722766972993895</v>
      </c>
      <c r="BM53" s="464">
        <f t="shared" ref="BM53" si="41">BM50-BM51</f>
        <v>-42.722766972993895</v>
      </c>
      <c r="BN53" s="464">
        <f t="shared" si="29"/>
        <v>-42.722766972993895</v>
      </c>
      <c r="BO53" s="464">
        <f t="shared" si="29"/>
        <v>-42.722766972993895</v>
      </c>
      <c r="BP53" s="464">
        <f t="shared" ref="BP53" si="42">BP50-BP51</f>
        <v>-42.722766972993895</v>
      </c>
      <c r="BQ53" s="464">
        <f t="shared" si="29"/>
        <v>-42.722766972993895</v>
      </c>
      <c r="BR53" s="464"/>
      <c r="BS53" s="464"/>
      <c r="BT53" s="464"/>
      <c r="BU53" s="464"/>
      <c r="BV53" s="464"/>
      <c r="BW53" s="464"/>
      <c r="BX53" s="464"/>
      <c r="BY53" s="464"/>
      <c r="BZ53" s="464"/>
      <c r="CA53" s="464"/>
    </row>
    <row r="54" spans="1:8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</row>
    <row r="55" spans="1:86">
      <c r="B55"/>
      <c r="C55" s="403"/>
      <c r="D55" s="403"/>
      <c r="E55" s="403"/>
      <c r="F55" s="403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</row>
    <row r="90" spans="1:86">
      <c r="A90" s="2" t="s">
        <v>685</v>
      </c>
      <c r="B90" s="660" t="s">
        <v>642</v>
      </c>
      <c r="C90" s="660"/>
      <c r="D90" s="660"/>
      <c r="E90" s="660"/>
    </row>
    <row r="91" spans="1:86" s="365" customFormat="1">
      <c r="A91" s="53"/>
      <c r="B91" s="53">
        <v>2023</v>
      </c>
      <c r="C91" s="53">
        <v>2024</v>
      </c>
      <c r="D91" s="53">
        <v>2025</v>
      </c>
      <c r="E91" s="53">
        <v>2026</v>
      </c>
      <c r="F91" s="53">
        <v>2027</v>
      </c>
      <c r="G91" s="53">
        <v>2028</v>
      </c>
      <c r="H91" s="53">
        <v>2029</v>
      </c>
      <c r="I91" s="53">
        <v>2030</v>
      </c>
      <c r="J91" s="53">
        <v>2031</v>
      </c>
      <c r="K91" s="53">
        <v>2032</v>
      </c>
      <c r="L91" s="53">
        <v>2033</v>
      </c>
      <c r="M91" s="53">
        <v>2034</v>
      </c>
      <c r="N91" s="53">
        <v>2035</v>
      </c>
      <c r="O91" s="53">
        <v>2036</v>
      </c>
      <c r="P91" s="53">
        <v>2037</v>
      </c>
      <c r="Q91" s="53">
        <v>2038</v>
      </c>
      <c r="R91" s="53">
        <v>2039</v>
      </c>
      <c r="S91" s="53">
        <v>2040</v>
      </c>
      <c r="T91" s="53">
        <v>2041</v>
      </c>
      <c r="U91" s="53">
        <v>2042</v>
      </c>
      <c r="V91" s="53">
        <v>2043</v>
      </c>
      <c r="W91" s="53">
        <v>2044</v>
      </c>
      <c r="X91" s="53">
        <v>2045</v>
      </c>
      <c r="Y91" s="53">
        <v>2046</v>
      </c>
      <c r="Z91" s="53">
        <v>2047</v>
      </c>
      <c r="AA91" s="53">
        <v>2048</v>
      </c>
      <c r="AB91" s="53">
        <v>2049</v>
      </c>
      <c r="AC91" s="53">
        <v>2050</v>
      </c>
      <c r="AD91" s="53">
        <v>2051</v>
      </c>
      <c r="AE91" s="53">
        <v>2052</v>
      </c>
      <c r="AF91" s="53">
        <v>2053</v>
      </c>
      <c r="AG91" s="53">
        <v>2054</v>
      </c>
      <c r="AH91" s="53">
        <v>2055</v>
      </c>
      <c r="AI91" s="53">
        <v>2056</v>
      </c>
      <c r="AJ91" s="53">
        <v>2057</v>
      </c>
      <c r="AK91" s="53">
        <v>2058</v>
      </c>
      <c r="AL91" s="53">
        <v>2059</v>
      </c>
      <c r="AM91" s="53">
        <v>2060</v>
      </c>
      <c r="AN91" s="53">
        <v>2061</v>
      </c>
      <c r="AO91" s="53">
        <v>2062</v>
      </c>
      <c r="AP91" s="53">
        <v>2063</v>
      </c>
      <c r="AQ91" s="53">
        <v>2064</v>
      </c>
      <c r="AR91" s="53">
        <v>2065</v>
      </c>
      <c r="AS91" s="53">
        <v>2066</v>
      </c>
      <c r="AT91" s="53">
        <v>2067</v>
      </c>
      <c r="AU91" s="53">
        <v>2068</v>
      </c>
      <c r="AV91" s="53">
        <v>2069</v>
      </c>
      <c r="AW91" s="53">
        <v>2070</v>
      </c>
      <c r="AX91" s="53">
        <v>2071</v>
      </c>
      <c r="AY91" s="53">
        <v>2072</v>
      </c>
      <c r="AZ91" s="53">
        <v>2073</v>
      </c>
      <c r="BA91" s="53">
        <v>2074</v>
      </c>
      <c r="BB91" s="53">
        <v>2075</v>
      </c>
      <c r="BC91" s="53">
        <v>2076</v>
      </c>
      <c r="BD91" s="53">
        <v>2077</v>
      </c>
      <c r="BE91" s="53">
        <v>2078</v>
      </c>
      <c r="BF91" s="53">
        <v>2079</v>
      </c>
      <c r="BG91" s="53">
        <v>2080</v>
      </c>
      <c r="BH91" s="53">
        <v>2081</v>
      </c>
      <c r="BI91" s="53">
        <v>2082</v>
      </c>
      <c r="BJ91" s="53">
        <v>2083</v>
      </c>
      <c r="BK91" s="53">
        <v>2084</v>
      </c>
      <c r="BL91" s="53">
        <v>2085</v>
      </c>
      <c r="BM91" s="53">
        <v>2086</v>
      </c>
      <c r="BN91" s="53">
        <v>2087</v>
      </c>
      <c r="BO91" s="53">
        <v>2088</v>
      </c>
      <c r="BP91" s="53">
        <v>2089</v>
      </c>
      <c r="BQ91" s="53">
        <v>2090</v>
      </c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G91" s="53"/>
      <c r="CH91" s="53"/>
    </row>
    <row r="92" spans="1:86">
      <c r="A92" s="2" t="s">
        <v>682</v>
      </c>
      <c r="B92" s="33">
        <f>KVARTS!AB25</f>
        <v>5.9850571433501996</v>
      </c>
      <c r="C92" s="33">
        <f>KVARTS!AC25</f>
        <v>4.72728901145328</v>
      </c>
      <c r="D92" s="33">
        <f>KVARTS!AD25</f>
        <v>5.3241061998379102</v>
      </c>
      <c r="E92" s="33">
        <f>KVARTS!AE25</f>
        <v>3.98713055344958</v>
      </c>
      <c r="F92" s="33">
        <f>KVARTS!AF25</f>
        <v>3.18203688400303</v>
      </c>
      <c r="G92" s="33">
        <f>KVARTS!AG25</f>
        <v>3.18203688400303</v>
      </c>
      <c r="H92" s="33">
        <f>KVARTS!AH25</f>
        <v>3.18203688400303</v>
      </c>
      <c r="I92" s="33">
        <f>KVARTS!AI25</f>
        <v>2.52942109454998</v>
      </c>
      <c r="J92" s="33">
        <f>KVARTS!AJ25</f>
        <v>2.4956953373589199</v>
      </c>
      <c r="K92" s="33">
        <f>KVARTS!AK25</f>
        <v>2.46196958016787</v>
      </c>
      <c r="L92" s="33">
        <f>KVARTS!AL25</f>
        <v>2.42824382297681</v>
      </c>
      <c r="M92" s="33">
        <f>KVARTS!AM25</f>
        <v>2.3945180657857601</v>
      </c>
      <c r="N92" s="33">
        <f>KVARTS!AN25</f>
        <v>2.3607923085947098</v>
      </c>
      <c r="O92" s="33">
        <f>KVARTS!AO25</f>
        <v>2.3270665514036502</v>
      </c>
      <c r="P92" s="33">
        <f>KVARTS!AP25</f>
        <v>2.2933407942125998</v>
      </c>
      <c r="Q92" s="33">
        <f>KVARTS!AQ25</f>
        <v>2.2596150370215402</v>
      </c>
      <c r="R92" s="33">
        <f>KVARTS!AR25</f>
        <v>2.2258892798304899</v>
      </c>
      <c r="S92" s="33">
        <f>KVARTS!AS25</f>
        <v>2.1921649486099799</v>
      </c>
      <c r="T92" s="33">
        <f>KVARTS!AT25</f>
        <v>2.1921649486099799</v>
      </c>
      <c r="U92" s="33">
        <f>KVARTS!AU25</f>
        <v>2.1921649486099799</v>
      </c>
      <c r="V92" s="33">
        <f>KVARTS!AV25</f>
        <v>2.1921649486099799</v>
      </c>
      <c r="W92" s="33">
        <f>KVARTS!AW25</f>
        <v>2.1921649486099799</v>
      </c>
      <c r="X92" s="33">
        <f>KVARTS!AX25</f>
        <v>2.1921649486099799</v>
      </c>
      <c r="Y92" s="33">
        <f>KVARTS!AY25</f>
        <v>2.1921649486099799</v>
      </c>
      <c r="Z92" s="33">
        <f>KVARTS!AZ25</f>
        <v>2.1921649486099799</v>
      </c>
      <c r="AA92" s="33">
        <f>KVARTS!BA25</f>
        <v>2.1921649486099799</v>
      </c>
      <c r="AB92" s="33">
        <f>KVARTS!BB25</f>
        <v>2.1921649486099799</v>
      </c>
      <c r="AC92" s="33">
        <f>KVARTS!BC25</f>
        <v>2.1921649486099799</v>
      </c>
      <c r="AD92" s="33">
        <f>KVARTS!BD25</f>
        <v>2.1921649486099799</v>
      </c>
      <c r="AE92" s="33">
        <f>KVARTS!BE25</f>
        <v>2.1921649486099799</v>
      </c>
      <c r="AF92" s="33">
        <f>KVARTS!BF25</f>
        <v>2.1921649486099799</v>
      </c>
      <c r="AG92" s="33">
        <f>KVARTS!BG25</f>
        <v>2.1921649486099799</v>
      </c>
      <c r="AH92" s="33">
        <f>KVARTS!BH25</f>
        <v>2.1921649486099799</v>
      </c>
      <c r="AI92" s="33">
        <f>KVARTS!BI25</f>
        <v>2.1921649486099799</v>
      </c>
      <c r="AJ92" s="33">
        <f>KVARTS!BJ25</f>
        <v>2.1921649486099799</v>
      </c>
      <c r="AK92" s="33">
        <f>KVARTS!BK25</f>
        <v>2.1921649486099799</v>
      </c>
      <c r="AL92" s="33">
        <f>KVARTS!BL25</f>
        <v>2.1921649486099799</v>
      </c>
      <c r="AM92" s="33">
        <f>KVARTS!BM25</f>
        <v>2.1921649486099799</v>
      </c>
      <c r="AN92" s="33">
        <f>KVARTS!BN25</f>
        <v>2.1921649486099799</v>
      </c>
      <c r="AO92" s="33">
        <f>KVARTS!BO25</f>
        <v>2.1921649486099799</v>
      </c>
      <c r="AP92" s="33">
        <f>KVARTS!BP25</f>
        <v>2.1921649486099799</v>
      </c>
      <c r="AQ92" s="33">
        <f>KVARTS!BQ25</f>
        <v>2.1921649486099799</v>
      </c>
      <c r="AR92" s="33">
        <f>KVARTS!BR25</f>
        <v>2.1921649486099799</v>
      </c>
      <c r="AS92" s="33">
        <f>KVARTS!BS25</f>
        <v>2.1921649486099799</v>
      </c>
      <c r="AT92" s="33">
        <f>KVARTS!BT25</f>
        <v>2.1921649486099799</v>
      </c>
      <c r="AU92" s="33">
        <f>KVARTS!BU25</f>
        <v>2.1921649486099799</v>
      </c>
      <c r="AV92" s="33">
        <f>KVARTS!BV25</f>
        <v>2.1921649486099799</v>
      </c>
      <c r="AW92" s="33">
        <f>KVARTS!BW25</f>
        <v>2.1921649486099799</v>
      </c>
      <c r="AX92" s="33">
        <f>KVARTS!BX25</f>
        <v>2.1921649486099799</v>
      </c>
      <c r="AY92" s="33">
        <f>KVARTS!BY25</f>
        <v>2.1921649486099799</v>
      </c>
      <c r="AZ92" s="33">
        <f>KVARTS!BZ25</f>
        <v>2.1921649486099799</v>
      </c>
      <c r="BA92" s="33">
        <f>KVARTS!CA25</f>
        <v>2.1921649486099799</v>
      </c>
      <c r="BB92" s="33">
        <f>KVARTS!CB25</f>
        <v>2.1921649486099799</v>
      </c>
      <c r="BC92" s="33">
        <f>KVARTS!CC25</f>
        <v>2.1921649486099799</v>
      </c>
      <c r="BD92" s="33">
        <f>KVARTS!CD25</f>
        <v>2.1921649486099799</v>
      </c>
      <c r="BE92" s="33">
        <f>KVARTS!CE25</f>
        <v>2.1921649486099799</v>
      </c>
      <c r="BF92" s="33">
        <f>KVARTS!CF25</f>
        <v>2.1921649486099799</v>
      </c>
      <c r="BG92" s="33">
        <f>KVARTS!CG25</f>
        <v>2.1921649486099799</v>
      </c>
      <c r="BH92" s="33">
        <f>KVARTS!CH25</f>
        <v>2.1921649486099799</v>
      </c>
      <c r="BI92" s="33">
        <f>KVARTS!CI25</f>
        <v>2.1921649486099799</v>
      </c>
      <c r="BJ92" s="33">
        <f>KVARTS!CJ25</f>
        <v>2.1921649486099799</v>
      </c>
      <c r="BK92" s="33">
        <f>KVARTS!CK25</f>
        <v>2.1921649486099799</v>
      </c>
      <c r="BL92" s="33">
        <f>KVARTS!CL25</f>
        <v>2.1921649486099799</v>
      </c>
      <c r="BM92" s="33">
        <f>KVARTS!CM25</f>
        <v>2.1921649486099799</v>
      </c>
      <c r="BN92" s="33">
        <f>KVARTS!CN25</f>
        <v>2.1921649486099799</v>
      </c>
      <c r="BO92" s="33">
        <f>KVARTS!CO25</f>
        <v>2.1921649486099799</v>
      </c>
      <c r="BP92" s="33">
        <f>KVARTS!CP25</f>
        <v>2.1921649486099799</v>
      </c>
      <c r="BQ92" s="33">
        <f>KVARTS!CQ25</f>
        <v>2.1921649486099799</v>
      </c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G92" s="33"/>
      <c r="CH92" s="33"/>
    </row>
    <row r="93" spans="1:86">
      <c r="A93" s="2" t="s">
        <v>671</v>
      </c>
      <c r="B93" s="482">
        <v>5.8698292887952137</v>
      </c>
      <c r="C93" s="482">
        <v>4.6275676648064996</v>
      </c>
      <c r="D93" s="482">
        <v>5.5078413902555949</v>
      </c>
      <c r="E93" s="482">
        <v>4.2099978923426793</v>
      </c>
      <c r="F93" s="482">
        <v>3.3679983138741516</v>
      </c>
      <c r="G93" s="482">
        <v>3.3679983138741516</v>
      </c>
      <c r="H93" s="482">
        <v>3.3679983138741516</v>
      </c>
      <c r="I93" s="482">
        <v>2.6629157936953773</v>
      </c>
      <c r="J93" s="482">
        <v>2.627408671471366</v>
      </c>
      <c r="K93" s="482">
        <v>2.5919015492473445</v>
      </c>
      <c r="L93" s="482">
        <v>2.556394427023323</v>
      </c>
      <c r="M93" s="482">
        <v>2.5208873047993015</v>
      </c>
      <c r="N93" s="482">
        <v>2.4853801825752906</v>
      </c>
      <c r="O93" s="482">
        <v>2.4498730603512695</v>
      </c>
      <c r="P93" s="482">
        <v>2.414365938127248</v>
      </c>
      <c r="Q93" s="482">
        <v>2.3788588159032371</v>
      </c>
      <c r="R93" s="482">
        <v>2.3433516936792156</v>
      </c>
      <c r="S93" s="482">
        <v>2.3078603545359981</v>
      </c>
      <c r="T93" s="482">
        <v>2.3078603545359981</v>
      </c>
      <c r="U93" s="482">
        <v>2.3078603545359981</v>
      </c>
      <c r="V93" s="482">
        <v>2.3078603545359981</v>
      </c>
      <c r="W93" s="482">
        <v>2.3078603545359981</v>
      </c>
      <c r="X93" s="482">
        <v>2.3078603545359981</v>
      </c>
      <c r="Y93" s="482">
        <v>2.3078603545359981</v>
      </c>
      <c r="Z93" s="482">
        <v>2.3078603545359981</v>
      </c>
      <c r="AA93" s="482">
        <v>2.3078603545359981</v>
      </c>
      <c r="AB93" s="482">
        <v>2.3078603545359981</v>
      </c>
      <c r="AC93" s="482">
        <v>2.3078603545359981</v>
      </c>
      <c r="AD93" s="482">
        <v>2.3078603545359981</v>
      </c>
      <c r="AE93" s="482">
        <v>2.3078603545359981</v>
      </c>
      <c r="AF93" s="482">
        <v>2.3078603545359981</v>
      </c>
      <c r="AG93" s="482">
        <v>2.3078603545359981</v>
      </c>
      <c r="AH93" s="482">
        <v>2.3078603545359981</v>
      </c>
      <c r="AI93" s="482">
        <v>2.3078603545359981</v>
      </c>
      <c r="AJ93" s="482">
        <v>2.3078603545359981</v>
      </c>
      <c r="AK93" s="482">
        <v>2.3078603545359981</v>
      </c>
      <c r="AL93" s="482">
        <v>2.3078603545359981</v>
      </c>
      <c r="AM93" s="482">
        <v>2.3078603545359981</v>
      </c>
      <c r="AN93" s="482">
        <v>2.3078603545359981</v>
      </c>
      <c r="AO93" s="482">
        <v>2.3078603545359981</v>
      </c>
      <c r="AP93" s="482">
        <v>2.3078603545359981</v>
      </c>
      <c r="AQ93" s="482">
        <v>2.3078603545359981</v>
      </c>
      <c r="AR93" s="482">
        <v>2.3078603545359981</v>
      </c>
      <c r="AS93" s="482">
        <v>2.3078603545359981</v>
      </c>
      <c r="AT93" s="482">
        <v>2.3078603545359981</v>
      </c>
      <c r="AU93" s="482">
        <v>2.3078603545359981</v>
      </c>
      <c r="AV93" s="482">
        <v>2.3078603545359981</v>
      </c>
      <c r="AW93" s="482">
        <v>2.3078603545359981</v>
      </c>
      <c r="AX93" s="482">
        <v>2.3078603545359981</v>
      </c>
      <c r="AY93" s="482">
        <v>2.3078603545359981</v>
      </c>
      <c r="AZ93" s="482">
        <v>2.3078603545359981</v>
      </c>
      <c r="BA93" s="482">
        <v>2.3078603545359981</v>
      </c>
      <c r="BB93" s="482">
        <v>2.3078603545359981</v>
      </c>
      <c r="BC93" s="482">
        <v>2.3078603545359981</v>
      </c>
      <c r="BD93" s="482">
        <v>2.3078603545359981</v>
      </c>
      <c r="BE93" s="482">
        <v>2.3078603545359981</v>
      </c>
      <c r="BF93" s="482">
        <v>2.3078603545359981</v>
      </c>
      <c r="BG93" s="482">
        <v>2.3078603545359981</v>
      </c>
      <c r="BH93" s="482">
        <v>2.3078603545359981</v>
      </c>
      <c r="BI93" s="482">
        <v>2.3078603545359981</v>
      </c>
      <c r="BJ93" s="482">
        <v>2.3078603545359981</v>
      </c>
      <c r="BK93" s="482">
        <v>2.3078603545359981</v>
      </c>
      <c r="BL93" s="482">
        <v>2.3078603545359981</v>
      </c>
      <c r="BM93" s="482">
        <v>2.3078603545359981</v>
      </c>
      <c r="BN93" s="482">
        <v>2.3078603545359981</v>
      </c>
      <c r="BO93" s="482">
        <v>2.3078603545359981</v>
      </c>
      <c r="BP93" s="482">
        <v>2.3078603545359981</v>
      </c>
      <c r="BQ93" s="482">
        <v>2.3078603545359981</v>
      </c>
      <c r="BR93" s="482"/>
      <c r="BS93" s="482"/>
      <c r="BT93" s="482"/>
      <c r="BU93" s="482"/>
      <c r="BV93" s="482"/>
      <c r="BW93" s="482"/>
      <c r="BX93" s="482"/>
      <c r="BY93" s="482"/>
      <c r="BZ93" s="482"/>
      <c r="CA93" s="482"/>
    </row>
    <row r="94" spans="1:86">
      <c r="B94" s="482"/>
      <c r="C94" s="482"/>
      <c r="D94" s="482"/>
      <c r="E94" s="482"/>
      <c r="F94" s="482"/>
      <c r="G94" s="482"/>
      <c r="H94" s="482"/>
      <c r="I94" s="482"/>
      <c r="J94" s="482"/>
      <c r="K94" s="482"/>
      <c r="L94" s="482"/>
      <c r="M94" s="482"/>
      <c r="N94" s="482"/>
      <c r="O94" s="482"/>
      <c r="P94" s="482"/>
      <c r="Q94" s="482"/>
      <c r="R94" s="482"/>
      <c r="S94" s="482"/>
      <c r="T94" s="482"/>
      <c r="U94" s="482"/>
      <c r="V94" s="482"/>
      <c r="W94" s="482"/>
      <c r="X94" s="482"/>
      <c r="Y94" s="482"/>
      <c r="Z94" s="482"/>
      <c r="AA94" s="482"/>
      <c r="AB94" s="482"/>
      <c r="AC94" s="482"/>
      <c r="AD94" s="482"/>
      <c r="AE94" s="482"/>
      <c r="AF94" s="482"/>
      <c r="AG94" s="482"/>
      <c r="AH94" s="482"/>
      <c r="AI94" s="482"/>
      <c r="AJ94" s="482"/>
      <c r="AK94" s="482"/>
      <c r="AL94" s="482"/>
      <c r="AM94" s="482"/>
      <c r="AN94" s="482"/>
      <c r="AO94" s="482"/>
      <c r="AP94" s="482"/>
      <c r="AQ94" s="482"/>
      <c r="AR94" s="482"/>
      <c r="AS94" s="482"/>
      <c r="AT94" s="482"/>
      <c r="AU94" s="482"/>
      <c r="AV94" s="482"/>
      <c r="AW94" s="482"/>
      <c r="AX94" s="482"/>
      <c r="AY94" s="482"/>
      <c r="AZ94" s="482"/>
      <c r="BA94" s="482"/>
      <c r="BB94" s="482"/>
      <c r="BC94" s="482"/>
      <c r="BD94" s="482"/>
      <c r="BE94" s="482"/>
      <c r="BF94" s="482"/>
      <c r="BG94" s="482"/>
      <c r="BH94" s="482"/>
      <c r="BI94" s="482"/>
      <c r="BJ94" s="482"/>
      <c r="BK94" s="482"/>
      <c r="BL94" s="482"/>
      <c r="BM94" s="482"/>
      <c r="BN94" s="482"/>
      <c r="BO94" s="482"/>
      <c r="BP94" s="482"/>
      <c r="BQ94" s="482"/>
      <c r="BR94" s="482"/>
      <c r="BS94" s="482"/>
      <c r="BT94" s="482"/>
      <c r="BU94" s="482"/>
      <c r="BV94" s="482"/>
      <c r="BW94" s="482"/>
      <c r="BX94" s="482"/>
      <c r="BY94" s="482"/>
      <c r="BZ94" s="482"/>
      <c r="CA94" s="482"/>
    </row>
    <row r="95" spans="1:86">
      <c r="A95" s="263" t="s">
        <v>629</v>
      </c>
      <c r="B95" s="439">
        <f t="shared" ref="B95" si="43">B92-B93</f>
        <v>0.11522785455498585</v>
      </c>
      <c r="C95" s="439">
        <f t="shared" ref="C95" si="44">C92-C93</f>
        <v>9.972134664678034E-2</v>
      </c>
      <c r="D95" s="439">
        <f t="shared" ref="D95" si="45">D92-D93</f>
        <v>-0.18373519041768471</v>
      </c>
      <c r="E95" s="439">
        <f t="shared" ref="E95" si="46">E92-E93</f>
        <v>-0.22286733889309929</v>
      </c>
      <c r="F95" s="439">
        <f t="shared" ref="F95" si="47">F92-F93</f>
        <v>-0.18596142987112163</v>
      </c>
      <c r="G95" s="439">
        <f t="shared" ref="G95" si="48">G92-G93</f>
        <v>-0.18596142987112163</v>
      </c>
      <c r="H95" s="439">
        <f t="shared" ref="H95" si="49">H92-H93</f>
        <v>-0.18596142987112163</v>
      </c>
      <c r="I95" s="439">
        <f t="shared" ref="I95" si="50">I92-I93</f>
        <v>-0.13349469914539736</v>
      </c>
      <c r="J95" s="439">
        <f t="shared" ref="J95" si="51">J92-J93</f>
        <v>-0.13171333411244612</v>
      </c>
      <c r="K95" s="439">
        <f t="shared" ref="K95" si="52">K92-K93</f>
        <v>-0.12993196907947446</v>
      </c>
      <c r="L95" s="439">
        <f t="shared" ref="L95" si="53">L92-L93</f>
        <v>-0.12815060404651302</v>
      </c>
      <c r="M95" s="439">
        <f t="shared" ref="M95" si="54">M92-M93</f>
        <v>-0.12636923901354136</v>
      </c>
      <c r="N95" s="439">
        <f t="shared" ref="N95" si="55">N92-N93</f>
        <v>-0.1245878739805808</v>
      </c>
      <c r="O95" s="439">
        <f t="shared" ref="O95" si="56">O92-O93</f>
        <v>-0.12280650894761935</v>
      </c>
      <c r="P95" s="439">
        <f t="shared" ref="P95" si="57">P92-P93</f>
        <v>-0.12102514391464814</v>
      </c>
      <c r="Q95" s="439">
        <f t="shared" ref="Q95" si="58">Q92-Q93</f>
        <v>-0.1192437788816969</v>
      </c>
      <c r="R95" s="439">
        <f t="shared" ref="R95" si="59">R92-R93</f>
        <v>-0.11746241384872569</v>
      </c>
      <c r="S95" s="439">
        <f t="shared" ref="S95" si="60">S92-S93</f>
        <v>-0.11569540592601824</v>
      </c>
      <c r="T95" s="439">
        <f t="shared" ref="T95" si="61">T92-T93</f>
        <v>-0.11569540592601824</v>
      </c>
      <c r="U95" s="439">
        <f t="shared" ref="U95" si="62">U92-U93</f>
        <v>-0.11569540592601824</v>
      </c>
      <c r="V95" s="439">
        <f t="shared" ref="V95" si="63">V92-V93</f>
        <v>-0.11569540592601824</v>
      </c>
      <c r="W95" s="439">
        <f t="shared" ref="W95" si="64">W92-W93</f>
        <v>-0.11569540592601824</v>
      </c>
      <c r="X95" s="439">
        <f t="shared" ref="X95" si="65">X92-X93</f>
        <v>-0.11569540592601824</v>
      </c>
      <c r="Y95" s="439">
        <f t="shared" ref="Y95" si="66">Y92-Y93</f>
        <v>-0.11569540592601824</v>
      </c>
      <c r="Z95" s="439">
        <f t="shared" ref="Z95" si="67">Z92-Z93</f>
        <v>-0.11569540592601824</v>
      </c>
      <c r="AA95" s="439">
        <f t="shared" ref="AA95" si="68">AA92-AA93</f>
        <v>-0.11569540592601824</v>
      </c>
      <c r="AB95" s="439">
        <f t="shared" ref="AB95" si="69">AB92-AB93</f>
        <v>-0.11569540592601824</v>
      </c>
      <c r="AC95" s="439">
        <f t="shared" ref="AC95:BQ95" si="70">AC92-AC93</f>
        <v>-0.11569540592601824</v>
      </c>
      <c r="AD95" s="439">
        <f t="shared" si="70"/>
        <v>-0.11569540592601824</v>
      </c>
      <c r="AE95" s="439">
        <f t="shared" si="70"/>
        <v>-0.11569540592601824</v>
      </c>
      <c r="AF95" s="439">
        <f t="shared" ref="AF95" si="71">AF92-AF93</f>
        <v>-0.11569540592601824</v>
      </c>
      <c r="AG95" s="439">
        <f t="shared" si="70"/>
        <v>-0.11569540592601824</v>
      </c>
      <c r="AH95" s="439">
        <f t="shared" si="70"/>
        <v>-0.11569540592601824</v>
      </c>
      <c r="AI95" s="439">
        <f t="shared" ref="AI95" si="72">AI92-AI93</f>
        <v>-0.11569540592601824</v>
      </c>
      <c r="AJ95" s="439">
        <f t="shared" si="70"/>
        <v>-0.11569540592601824</v>
      </c>
      <c r="AK95" s="439">
        <f t="shared" si="70"/>
        <v>-0.11569540592601824</v>
      </c>
      <c r="AL95" s="439">
        <f t="shared" ref="AL95" si="73">AL92-AL93</f>
        <v>-0.11569540592601824</v>
      </c>
      <c r="AM95" s="439">
        <f t="shared" si="70"/>
        <v>-0.11569540592601824</v>
      </c>
      <c r="AN95" s="439">
        <f t="shared" si="70"/>
        <v>-0.11569540592601824</v>
      </c>
      <c r="AO95" s="439">
        <f t="shared" ref="AO95" si="74">AO92-AO93</f>
        <v>-0.11569540592601824</v>
      </c>
      <c r="AP95" s="439">
        <f t="shared" si="70"/>
        <v>-0.11569540592601824</v>
      </c>
      <c r="AQ95" s="439">
        <f t="shared" si="70"/>
        <v>-0.11569540592601824</v>
      </c>
      <c r="AR95" s="439">
        <f t="shared" ref="AR95" si="75">AR92-AR93</f>
        <v>-0.11569540592601824</v>
      </c>
      <c r="AS95" s="439">
        <f t="shared" si="70"/>
        <v>-0.11569540592601824</v>
      </c>
      <c r="AT95" s="439">
        <f t="shared" si="70"/>
        <v>-0.11569540592601824</v>
      </c>
      <c r="AU95" s="439">
        <f t="shared" ref="AU95" si="76">AU92-AU93</f>
        <v>-0.11569540592601824</v>
      </c>
      <c r="AV95" s="439">
        <f t="shared" si="70"/>
        <v>-0.11569540592601824</v>
      </c>
      <c r="AW95" s="439">
        <f t="shared" si="70"/>
        <v>-0.11569540592601824</v>
      </c>
      <c r="AX95" s="439">
        <f t="shared" ref="AX95" si="77">AX92-AX93</f>
        <v>-0.11569540592601824</v>
      </c>
      <c r="AY95" s="439">
        <f t="shared" si="70"/>
        <v>-0.11569540592601824</v>
      </c>
      <c r="AZ95" s="439">
        <f t="shared" si="70"/>
        <v>-0.11569540592601824</v>
      </c>
      <c r="BA95" s="439">
        <f t="shared" ref="BA95" si="78">BA92-BA93</f>
        <v>-0.11569540592601824</v>
      </c>
      <c r="BB95" s="439">
        <f t="shared" si="70"/>
        <v>-0.11569540592601824</v>
      </c>
      <c r="BC95" s="439">
        <f t="shared" si="70"/>
        <v>-0.11569540592601824</v>
      </c>
      <c r="BD95" s="439">
        <f t="shared" ref="BD95" si="79">BD92-BD93</f>
        <v>-0.11569540592601824</v>
      </c>
      <c r="BE95" s="439">
        <f t="shared" si="70"/>
        <v>-0.11569540592601824</v>
      </c>
      <c r="BF95" s="439">
        <f t="shared" si="70"/>
        <v>-0.11569540592601824</v>
      </c>
      <c r="BG95" s="439">
        <f t="shared" ref="BG95" si="80">BG92-BG93</f>
        <v>-0.11569540592601824</v>
      </c>
      <c r="BH95" s="439">
        <f t="shared" si="70"/>
        <v>-0.11569540592601824</v>
      </c>
      <c r="BI95" s="439">
        <f t="shared" si="70"/>
        <v>-0.11569540592601824</v>
      </c>
      <c r="BJ95" s="439">
        <f t="shared" ref="BJ95" si="81">BJ92-BJ93</f>
        <v>-0.11569540592601824</v>
      </c>
      <c r="BK95" s="439">
        <f t="shared" si="70"/>
        <v>-0.11569540592601824</v>
      </c>
      <c r="BL95" s="439">
        <f t="shared" si="70"/>
        <v>-0.11569540592601824</v>
      </c>
      <c r="BM95" s="439">
        <f t="shared" ref="BM95" si="82">BM92-BM93</f>
        <v>-0.11569540592601824</v>
      </c>
      <c r="BN95" s="439">
        <f t="shared" si="70"/>
        <v>-0.11569540592601824</v>
      </c>
      <c r="BO95" s="439">
        <f t="shared" si="70"/>
        <v>-0.11569540592601824</v>
      </c>
      <c r="BP95" s="439">
        <f t="shared" ref="BP95" si="83">BP92-BP93</f>
        <v>-0.11569540592601824</v>
      </c>
      <c r="BQ95" s="439">
        <f t="shared" si="70"/>
        <v>-0.11569540592601824</v>
      </c>
      <c r="BR95" s="439"/>
      <c r="BS95" s="439"/>
      <c r="BT95" s="439"/>
      <c r="BU95" s="439"/>
      <c r="BV95" s="439"/>
      <c r="BW95" s="439"/>
      <c r="BX95" s="439"/>
      <c r="BY95" s="439"/>
      <c r="BZ95" s="439"/>
      <c r="CA95" s="439"/>
    </row>
    <row r="97" spans="3:6">
      <c r="C97" s="403"/>
      <c r="D97" s="403"/>
      <c r="E97" s="403"/>
      <c r="F97" s="403"/>
    </row>
    <row r="132" spans="1:86">
      <c r="A132" s="2" t="s">
        <v>686</v>
      </c>
      <c r="B132" s="660"/>
      <c r="C132" s="660" t="s">
        <v>642</v>
      </c>
      <c r="D132" s="660"/>
      <c r="E132" s="660"/>
    </row>
    <row r="133" spans="1:86" s="365" customFormat="1">
      <c r="A133" s="53"/>
      <c r="B133" s="53">
        <v>2023</v>
      </c>
      <c r="C133" s="53">
        <v>2024</v>
      </c>
      <c r="D133" s="53">
        <v>2025</v>
      </c>
      <c r="E133" s="53">
        <v>2026</v>
      </c>
      <c r="F133" s="53">
        <v>2027</v>
      </c>
      <c r="G133" s="53">
        <v>2028</v>
      </c>
      <c r="H133" s="53">
        <v>2029</v>
      </c>
      <c r="I133" s="53">
        <v>2030</v>
      </c>
      <c r="J133" s="53">
        <v>2031</v>
      </c>
      <c r="K133" s="53">
        <v>2032</v>
      </c>
      <c r="L133" s="53">
        <v>2033</v>
      </c>
      <c r="M133" s="53">
        <v>2034</v>
      </c>
      <c r="N133" s="53">
        <v>2035</v>
      </c>
      <c r="O133" s="53">
        <v>2036</v>
      </c>
      <c r="P133" s="53">
        <v>2037</v>
      </c>
      <c r="Q133" s="53">
        <v>2038</v>
      </c>
      <c r="R133" s="53">
        <v>2039</v>
      </c>
      <c r="S133" s="53">
        <v>2040</v>
      </c>
      <c r="T133" s="53">
        <v>2041</v>
      </c>
      <c r="U133" s="53">
        <v>2042</v>
      </c>
      <c r="V133" s="53">
        <v>2043</v>
      </c>
      <c r="W133" s="53">
        <v>2044</v>
      </c>
      <c r="X133" s="53">
        <v>2045</v>
      </c>
      <c r="Y133" s="53">
        <v>2046</v>
      </c>
      <c r="Z133" s="53">
        <v>2047</v>
      </c>
      <c r="AA133" s="53">
        <v>2048</v>
      </c>
      <c r="AB133" s="53">
        <v>2049</v>
      </c>
      <c r="AC133" s="53">
        <v>2050</v>
      </c>
      <c r="AD133" s="53">
        <v>2051</v>
      </c>
      <c r="AE133" s="53">
        <v>2052</v>
      </c>
      <c r="AF133" s="53">
        <v>2053</v>
      </c>
      <c r="AG133" s="53">
        <v>2054</v>
      </c>
      <c r="AH133" s="53">
        <v>2055</v>
      </c>
      <c r="AI133" s="53">
        <v>2056</v>
      </c>
      <c r="AJ133" s="53">
        <v>2057</v>
      </c>
      <c r="AK133" s="53">
        <v>2058</v>
      </c>
      <c r="AL133" s="53">
        <v>2059</v>
      </c>
      <c r="AM133" s="53">
        <v>2060</v>
      </c>
      <c r="AN133" s="53">
        <v>2061</v>
      </c>
      <c r="AO133" s="53">
        <v>2062</v>
      </c>
      <c r="AP133" s="53">
        <v>2063</v>
      </c>
      <c r="AQ133" s="53">
        <v>2064</v>
      </c>
      <c r="AR133" s="53">
        <v>2065</v>
      </c>
      <c r="AS133" s="53">
        <v>2066</v>
      </c>
      <c r="AT133" s="53">
        <v>2067</v>
      </c>
      <c r="AU133" s="53">
        <v>2068</v>
      </c>
      <c r="AV133" s="53">
        <v>2069</v>
      </c>
      <c r="AW133" s="53">
        <v>2070</v>
      </c>
      <c r="AX133" s="53">
        <v>2071</v>
      </c>
      <c r="AY133" s="53">
        <v>2072</v>
      </c>
      <c r="AZ133" s="53">
        <v>2073</v>
      </c>
      <c r="BA133" s="53">
        <v>2074</v>
      </c>
      <c r="BB133" s="53">
        <v>2075</v>
      </c>
      <c r="BC133" s="53">
        <v>2076</v>
      </c>
      <c r="BD133" s="53">
        <v>2077</v>
      </c>
      <c r="BE133" s="53">
        <v>2078</v>
      </c>
      <c r="BF133" s="53">
        <v>2079</v>
      </c>
      <c r="BG133" s="53">
        <v>2080</v>
      </c>
      <c r="BH133" s="53">
        <v>2081</v>
      </c>
      <c r="BI133" s="53">
        <v>2082</v>
      </c>
      <c r="BJ133" s="53">
        <v>2083</v>
      </c>
      <c r="BK133" s="53">
        <v>2084</v>
      </c>
      <c r="BL133" s="53">
        <v>2085</v>
      </c>
      <c r="BM133" s="53">
        <v>2086</v>
      </c>
      <c r="BN133" s="53">
        <v>2087</v>
      </c>
      <c r="BO133" s="53">
        <v>2088</v>
      </c>
      <c r="BP133" s="53">
        <v>2089</v>
      </c>
      <c r="BQ133" s="53">
        <v>2090</v>
      </c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G133" s="53"/>
      <c r="CH133" s="53"/>
    </row>
    <row r="134" spans="1:86">
      <c r="A134" s="2" t="s">
        <v>682</v>
      </c>
      <c r="B134" s="33">
        <f>KVARTS!AB27</f>
        <v>14.946296028076521</v>
      </c>
      <c r="C134" s="33">
        <f>KVARTS!AC27</f>
        <v>11.600000000000012</v>
      </c>
      <c r="D134" s="33">
        <f>KVARTS!AD27</f>
        <v>13.499999999999993</v>
      </c>
      <c r="E134" s="33">
        <f>KVARTS!AE27</f>
        <v>10.399999999999991</v>
      </c>
      <c r="F134" s="33">
        <f>KVARTS!AF27</f>
        <v>8.2999999999999918</v>
      </c>
      <c r="G134" s="33">
        <f>KVARTS!AG27</f>
        <v>8.2999999999999918</v>
      </c>
      <c r="H134" s="33">
        <f>KVARTS!AH27</f>
        <v>8.2999999999999918</v>
      </c>
      <c r="I134" s="33">
        <f>KVARTS!AI27</f>
        <v>6.5977221038223588</v>
      </c>
      <c r="J134" s="33">
        <f>KVARTS!AJ27</f>
        <v>6.5097521038223425</v>
      </c>
      <c r="K134" s="33">
        <f>KVARTS!AK27</f>
        <v>6.4217821038223528</v>
      </c>
      <c r="L134" s="33">
        <f>KVARTS!AL27</f>
        <v>6.3338121038223365</v>
      </c>
      <c r="M134" s="33">
        <f>KVARTS!AM27</f>
        <v>6.2458421038223468</v>
      </c>
      <c r="N134" s="33">
        <f>KVARTS!AN27</f>
        <v>6.1578721038223563</v>
      </c>
      <c r="O134" s="33">
        <f>KVARTS!AO27</f>
        <v>6.0699021038223409</v>
      </c>
      <c r="P134" s="33">
        <f>KVARTS!AP27</f>
        <v>5.9819321038223503</v>
      </c>
      <c r="Q134" s="33">
        <f>KVARTS!AQ27</f>
        <v>5.8939621038223349</v>
      </c>
      <c r="R134" s="33">
        <f>KVARTS!AR27</f>
        <v>5.8059921038223443</v>
      </c>
      <c r="S134" s="33">
        <f>KVARTS!AS27</f>
        <v>5.7180258233127033</v>
      </c>
      <c r="T134" s="33">
        <f>KVARTS!AT27</f>
        <v>5.7180258233127033</v>
      </c>
      <c r="U134" s="33">
        <f>KVARTS!AU27</f>
        <v>5.7180258233127033</v>
      </c>
      <c r="V134" s="33">
        <f>KVARTS!AV27</f>
        <v>5.7180258233127033</v>
      </c>
      <c r="W134" s="33">
        <f>KVARTS!AW27</f>
        <v>5.7180258233127033</v>
      </c>
      <c r="X134" s="33">
        <f>KVARTS!AX27</f>
        <v>5.7180258233127033</v>
      </c>
      <c r="Y134" s="33">
        <f>KVARTS!AY27</f>
        <v>5.7180258233127033</v>
      </c>
      <c r="Z134" s="33">
        <f>KVARTS!AZ27</f>
        <v>5.7180258233127033</v>
      </c>
      <c r="AA134" s="33">
        <f>KVARTS!BA27</f>
        <v>5.7180258233127033</v>
      </c>
      <c r="AB134" s="33">
        <f>KVARTS!BB27</f>
        <v>5.7180258233127033</v>
      </c>
      <c r="AC134" s="33">
        <f>KVARTS!BC27</f>
        <v>5.7180258233127033</v>
      </c>
      <c r="AD134" s="33">
        <f>KVARTS!BD27</f>
        <v>5.7180258233127033</v>
      </c>
      <c r="AE134" s="33">
        <f>KVARTS!BE27</f>
        <v>5.7180258233127033</v>
      </c>
      <c r="AF134" s="33">
        <f>KVARTS!BF27</f>
        <v>5.7180258233127033</v>
      </c>
      <c r="AG134" s="33">
        <f>KVARTS!BG27</f>
        <v>5.7180258233127033</v>
      </c>
      <c r="AH134" s="33">
        <f>KVARTS!BH27</f>
        <v>5.7180258233127033</v>
      </c>
      <c r="AI134" s="33">
        <f>KVARTS!BI27</f>
        <v>5.7180258233127033</v>
      </c>
      <c r="AJ134" s="33">
        <f>KVARTS!BJ27</f>
        <v>5.7180258233127033</v>
      </c>
      <c r="AK134" s="33">
        <f>KVARTS!BK27</f>
        <v>5.7180258233127033</v>
      </c>
      <c r="AL134" s="33">
        <f>KVARTS!BL27</f>
        <v>5.7180258233127033</v>
      </c>
      <c r="AM134" s="33">
        <f>KVARTS!BM27</f>
        <v>5.7180258233127033</v>
      </c>
      <c r="AN134" s="33">
        <f>KVARTS!BN27</f>
        <v>5.7180258233127033</v>
      </c>
      <c r="AO134" s="33">
        <f>KVARTS!BO27</f>
        <v>5.7180258233127033</v>
      </c>
      <c r="AP134" s="33">
        <f>KVARTS!BP27</f>
        <v>5.7180258233127033</v>
      </c>
      <c r="AQ134" s="33">
        <f>KVARTS!BQ27</f>
        <v>5.7180258233127033</v>
      </c>
      <c r="AR134" s="33">
        <f>KVARTS!BR27</f>
        <v>5.7180258233127033</v>
      </c>
      <c r="AS134" s="33">
        <f>KVARTS!BS27</f>
        <v>5.7180258233127033</v>
      </c>
      <c r="AT134" s="33">
        <f>KVARTS!BT27</f>
        <v>5.7180258233127033</v>
      </c>
      <c r="AU134" s="33">
        <f>KVARTS!BU27</f>
        <v>5.7180258233127033</v>
      </c>
      <c r="AV134" s="33">
        <f>KVARTS!BV27</f>
        <v>5.7180258233127033</v>
      </c>
      <c r="AW134" s="33">
        <f>KVARTS!BW27</f>
        <v>5.7180258233127033</v>
      </c>
      <c r="AX134" s="33">
        <f>KVARTS!BX27</f>
        <v>5.7180258233127033</v>
      </c>
      <c r="AY134" s="33">
        <f>KVARTS!BY27</f>
        <v>5.7180258233127033</v>
      </c>
      <c r="AZ134" s="33">
        <f>KVARTS!BZ27</f>
        <v>5.7180258233127033</v>
      </c>
      <c r="BA134" s="33">
        <f>KVARTS!CA27</f>
        <v>5.7180258233127033</v>
      </c>
      <c r="BB134" s="33">
        <f>KVARTS!CB27</f>
        <v>5.7180258233127033</v>
      </c>
      <c r="BC134" s="33">
        <f>KVARTS!CC27</f>
        <v>5.7180258233127033</v>
      </c>
      <c r="BD134" s="33">
        <f>KVARTS!CD27</f>
        <v>5.7180258233127033</v>
      </c>
      <c r="BE134" s="33">
        <f>KVARTS!CE27</f>
        <v>5.7180258233127033</v>
      </c>
      <c r="BF134" s="33">
        <f>KVARTS!CF27</f>
        <v>5.7180258233127033</v>
      </c>
      <c r="BG134" s="33">
        <f>KVARTS!CG27</f>
        <v>5.7180258233127033</v>
      </c>
      <c r="BH134" s="33">
        <f>KVARTS!CH27</f>
        <v>5.7180258233127033</v>
      </c>
      <c r="BI134" s="33">
        <f>KVARTS!CI27</f>
        <v>5.7180258233127033</v>
      </c>
      <c r="BJ134" s="33">
        <f>KVARTS!CJ27</f>
        <v>5.7180258233127033</v>
      </c>
      <c r="BK134" s="33">
        <f>KVARTS!CK27</f>
        <v>5.7180258233127033</v>
      </c>
      <c r="BL134" s="33">
        <f>KVARTS!CL27</f>
        <v>5.7180258233127033</v>
      </c>
      <c r="BM134" s="33">
        <f>KVARTS!CM27</f>
        <v>5.7180258233127033</v>
      </c>
      <c r="BN134" s="33">
        <f>KVARTS!CN27</f>
        <v>5.7180258233127033</v>
      </c>
      <c r="BO134" s="33">
        <f>KVARTS!CO27</f>
        <v>5.7180258233127033</v>
      </c>
      <c r="BP134" s="33">
        <f>KVARTS!CP27</f>
        <v>5.7180258233127033</v>
      </c>
      <c r="BQ134" s="33">
        <f>KVARTS!CQ27</f>
        <v>5.7180258233127033</v>
      </c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G134" s="33"/>
      <c r="CH134" s="33"/>
    </row>
    <row r="135" spans="1:86">
      <c r="A135" s="2" t="s">
        <v>671</v>
      </c>
      <c r="B135" s="482">
        <v>14.658541110519472</v>
      </c>
      <c r="C135" s="482">
        <v>11.355300000000003</v>
      </c>
      <c r="D135" s="482">
        <v>13.299000000000005</v>
      </c>
      <c r="E135" s="482">
        <v>10.229999999999988</v>
      </c>
      <c r="F135" s="482">
        <v>8.1840000000000099</v>
      </c>
      <c r="G135" s="482">
        <v>8.1840000000000099</v>
      </c>
      <c r="H135" s="482">
        <v>8.1840000000000099</v>
      </c>
      <c r="I135" s="482">
        <v>6.4706988616435872</v>
      </c>
      <c r="J135" s="482">
        <v>6.3844190416436035</v>
      </c>
      <c r="K135" s="482">
        <v>6.2981392216435967</v>
      </c>
      <c r="L135" s="482">
        <v>6.2118594016435882</v>
      </c>
      <c r="M135" s="482">
        <v>6.1255795816435814</v>
      </c>
      <c r="N135" s="482">
        <v>6.0392997616435977</v>
      </c>
      <c r="O135" s="482">
        <v>5.9530199416435909</v>
      </c>
      <c r="P135" s="482">
        <v>5.8667401216435824</v>
      </c>
      <c r="Q135" s="482">
        <v>5.7804603016436005</v>
      </c>
      <c r="R135" s="482">
        <v>5.6941804816435928</v>
      </c>
      <c r="S135" s="482">
        <v>5.6079390134244536</v>
      </c>
      <c r="T135" s="482">
        <v>5.6079390134244536</v>
      </c>
      <c r="U135" s="482">
        <v>5.6079390134244536</v>
      </c>
      <c r="V135" s="482">
        <v>5.6079390134244536</v>
      </c>
      <c r="W135" s="482">
        <v>5.6079390134244536</v>
      </c>
      <c r="X135" s="482">
        <v>5.6079390134244536</v>
      </c>
      <c r="Y135" s="482">
        <v>5.6079390134244536</v>
      </c>
      <c r="Z135" s="482">
        <v>5.6079390134244536</v>
      </c>
      <c r="AA135" s="482">
        <v>5.6079390134244536</v>
      </c>
      <c r="AB135" s="482">
        <v>5.6079390134244536</v>
      </c>
      <c r="AC135" s="482">
        <v>5.6079390134244536</v>
      </c>
      <c r="AD135" s="482">
        <v>5.6079390134244536</v>
      </c>
      <c r="AE135" s="482">
        <v>5.6079390134244536</v>
      </c>
      <c r="AF135" s="482">
        <v>5.6079390134244536</v>
      </c>
      <c r="AG135" s="482">
        <v>5.6079390134244536</v>
      </c>
      <c r="AH135" s="482">
        <v>5.6079390134244536</v>
      </c>
      <c r="AI135" s="482">
        <v>5.6079390134244536</v>
      </c>
      <c r="AJ135" s="482">
        <v>5.6079390134244536</v>
      </c>
      <c r="AK135" s="482">
        <v>5.6079390134244536</v>
      </c>
      <c r="AL135" s="482">
        <v>5.6079390134244536</v>
      </c>
      <c r="AM135" s="482">
        <v>5.6079390134244536</v>
      </c>
      <c r="AN135" s="482">
        <v>5.6079390134244536</v>
      </c>
      <c r="AO135" s="482">
        <v>5.6079390134244536</v>
      </c>
      <c r="AP135" s="482">
        <v>5.6079390134244536</v>
      </c>
      <c r="AQ135" s="482">
        <v>5.6079390134244536</v>
      </c>
      <c r="AR135" s="482">
        <v>5.6079390134244536</v>
      </c>
      <c r="AS135" s="482">
        <v>5.6079390134244536</v>
      </c>
      <c r="AT135" s="482">
        <v>5.6079390134244536</v>
      </c>
      <c r="AU135" s="482">
        <v>5.6079390134244536</v>
      </c>
      <c r="AV135" s="482">
        <v>5.6079390134244536</v>
      </c>
      <c r="AW135" s="482">
        <v>5.6079390134244536</v>
      </c>
      <c r="AX135" s="482">
        <v>5.6079390134244536</v>
      </c>
      <c r="AY135" s="482">
        <v>5.6079390134244536</v>
      </c>
      <c r="AZ135" s="482">
        <v>5.6079390134244536</v>
      </c>
      <c r="BA135" s="482">
        <v>5.6079390134244536</v>
      </c>
      <c r="BB135" s="482">
        <v>5.6079390134244536</v>
      </c>
      <c r="BC135" s="482">
        <v>5.6079390134244536</v>
      </c>
      <c r="BD135" s="482">
        <v>5.6079390134244536</v>
      </c>
      <c r="BE135" s="482">
        <v>5.6079390134244536</v>
      </c>
      <c r="BF135" s="482">
        <v>5.6079390134244536</v>
      </c>
      <c r="BG135" s="482">
        <v>5.6079390134244536</v>
      </c>
      <c r="BH135" s="482">
        <v>5.6079390134244536</v>
      </c>
      <c r="BI135" s="482">
        <v>5.6079390134244536</v>
      </c>
      <c r="BJ135" s="482">
        <v>5.6079390134244536</v>
      </c>
      <c r="BK135" s="482">
        <v>5.6079390134244536</v>
      </c>
      <c r="BL135" s="482">
        <v>5.6079390134244536</v>
      </c>
      <c r="BM135" s="482">
        <v>5.6079390134244536</v>
      </c>
      <c r="BN135" s="482">
        <v>5.6079390134244536</v>
      </c>
      <c r="BO135" s="482">
        <v>5.6079390134244536</v>
      </c>
      <c r="BP135" s="482">
        <v>5.6079390134244536</v>
      </c>
      <c r="BQ135" s="482">
        <v>5.6079390134244536</v>
      </c>
      <c r="BR135" s="482"/>
      <c r="BS135" s="482"/>
      <c r="BT135" s="482"/>
      <c r="BU135" s="482"/>
      <c r="BV135" s="482"/>
      <c r="BW135" s="482"/>
      <c r="BX135" s="482"/>
      <c r="BY135" s="482"/>
      <c r="BZ135" s="482"/>
      <c r="CA135" s="482"/>
    </row>
    <row r="136" spans="1:86">
      <c r="B136" s="482"/>
      <c r="C136" s="482"/>
      <c r="D136" s="482"/>
      <c r="E136" s="482"/>
      <c r="F136" s="482"/>
      <c r="G136" s="482"/>
      <c r="H136" s="482"/>
      <c r="I136" s="482"/>
      <c r="J136" s="482"/>
      <c r="K136" s="482"/>
      <c r="L136" s="482"/>
      <c r="M136" s="482"/>
      <c r="N136" s="482"/>
      <c r="O136" s="482"/>
      <c r="P136" s="482"/>
      <c r="Q136" s="482"/>
      <c r="R136" s="482"/>
      <c r="S136" s="482"/>
      <c r="T136" s="482"/>
      <c r="U136" s="482"/>
      <c r="V136" s="482"/>
      <c r="W136" s="482"/>
      <c r="X136" s="482"/>
      <c r="Y136" s="482"/>
      <c r="Z136" s="482"/>
      <c r="AA136" s="482"/>
      <c r="AB136" s="482"/>
      <c r="AC136" s="482"/>
      <c r="AD136" s="482"/>
      <c r="AE136" s="482"/>
      <c r="AF136" s="482"/>
      <c r="AG136" s="482"/>
      <c r="AH136" s="482"/>
      <c r="AI136" s="482"/>
      <c r="AJ136" s="482"/>
      <c r="AK136" s="482"/>
      <c r="AL136" s="482"/>
      <c r="AM136" s="482"/>
      <c r="AN136" s="482"/>
      <c r="AO136" s="482"/>
      <c r="AP136" s="482"/>
      <c r="AQ136" s="482"/>
      <c r="AR136" s="482"/>
      <c r="AS136" s="482"/>
      <c r="AT136" s="482"/>
      <c r="AU136" s="482"/>
      <c r="AV136" s="482"/>
      <c r="AW136" s="482"/>
      <c r="AX136" s="482"/>
      <c r="AY136" s="482"/>
      <c r="AZ136" s="482"/>
      <c r="BA136" s="482"/>
      <c r="BB136" s="482"/>
      <c r="BC136" s="482"/>
      <c r="BD136" s="482"/>
      <c r="BE136" s="482"/>
      <c r="BF136" s="482"/>
      <c r="BG136" s="482"/>
      <c r="BH136" s="482"/>
      <c r="BI136" s="482"/>
      <c r="BJ136" s="482"/>
      <c r="BK136" s="482"/>
      <c r="BL136" s="482"/>
      <c r="BM136" s="482"/>
      <c r="BN136" s="482"/>
      <c r="BO136" s="482"/>
      <c r="BP136" s="482"/>
      <c r="BQ136" s="482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</row>
    <row r="137" spans="1:86">
      <c r="A137" s="263" t="s">
        <v>629</v>
      </c>
      <c r="B137" s="439">
        <f t="shared" ref="B137:AC137" si="84">B134-B135</f>
        <v>0.28775491755704863</v>
      </c>
      <c r="C137" s="439">
        <f t="shared" si="84"/>
        <v>0.2447000000000088</v>
      </c>
      <c r="D137" s="439">
        <f t="shared" si="84"/>
        <v>0.20099999999998808</v>
      </c>
      <c r="E137" s="439">
        <f t="shared" si="84"/>
        <v>0.17000000000000348</v>
      </c>
      <c r="F137" s="439">
        <f t="shared" si="84"/>
        <v>0.1159999999999819</v>
      </c>
      <c r="G137" s="439">
        <f t="shared" si="84"/>
        <v>0.1159999999999819</v>
      </c>
      <c r="H137" s="439">
        <f t="shared" si="84"/>
        <v>0.1159999999999819</v>
      </c>
      <c r="I137" s="439">
        <f t="shared" si="84"/>
        <v>0.12702324217877159</v>
      </c>
      <c r="J137" s="439">
        <f t="shared" si="84"/>
        <v>0.12533306217873896</v>
      </c>
      <c r="K137" s="439">
        <f t="shared" si="84"/>
        <v>0.12364288217875608</v>
      </c>
      <c r="L137" s="439">
        <f t="shared" si="84"/>
        <v>0.12195270217874832</v>
      </c>
      <c r="M137" s="439">
        <f t="shared" si="84"/>
        <v>0.12026252217876543</v>
      </c>
      <c r="N137" s="439">
        <f t="shared" si="84"/>
        <v>0.11857234217875856</v>
      </c>
      <c r="O137" s="439">
        <f t="shared" si="84"/>
        <v>0.11688216217874992</v>
      </c>
      <c r="P137" s="439">
        <f t="shared" si="84"/>
        <v>0.11519198217876792</v>
      </c>
      <c r="Q137" s="439">
        <f t="shared" si="84"/>
        <v>0.1135018021787344</v>
      </c>
      <c r="R137" s="439">
        <f t="shared" si="84"/>
        <v>0.11181162217875151</v>
      </c>
      <c r="S137" s="439">
        <f t="shared" si="84"/>
        <v>0.1100868098882497</v>
      </c>
      <c r="T137" s="439">
        <f t="shared" si="84"/>
        <v>0.1100868098882497</v>
      </c>
      <c r="U137" s="439">
        <f t="shared" si="84"/>
        <v>0.1100868098882497</v>
      </c>
      <c r="V137" s="439">
        <f t="shared" si="84"/>
        <v>0.1100868098882497</v>
      </c>
      <c r="W137" s="439">
        <f t="shared" si="84"/>
        <v>0.1100868098882497</v>
      </c>
      <c r="X137" s="439">
        <f t="shared" si="84"/>
        <v>0.1100868098882497</v>
      </c>
      <c r="Y137" s="439">
        <f t="shared" si="84"/>
        <v>0.1100868098882497</v>
      </c>
      <c r="Z137" s="439">
        <f t="shared" si="84"/>
        <v>0.1100868098882497</v>
      </c>
      <c r="AA137" s="439">
        <f t="shared" si="84"/>
        <v>0.1100868098882497</v>
      </c>
      <c r="AB137" s="439">
        <f t="shared" si="84"/>
        <v>0.1100868098882497</v>
      </c>
      <c r="AC137" s="439">
        <f t="shared" si="84"/>
        <v>0.1100868098882497</v>
      </c>
      <c r="AD137" s="439">
        <f t="shared" ref="AD137:BQ137" si="85">AD134-AD135</f>
        <v>0.1100868098882497</v>
      </c>
      <c r="AE137" s="439">
        <f t="shared" si="85"/>
        <v>0.1100868098882497</v>
      </c>
      <c r="AF137" s="439">
        <f t="shared" si="85"/>
        <v>0.1100868098882497</v>
      </c>
      <c r="AG137" s="439">
        <f t="shared" si="85"/>
        <v>0.1100868098882497</v>
      </c>
      <c r="AH137" s="439">
        <f t="shared" si="85"/>
        <v>0.1100868098882497</v>
      </c>
      <c r="AI137" s="439">
        <f t="shared" si="85"/>
        <v>0.1100868098882497</v>
      </c>
      <c r="AJ137" s="439">
        <f t="shared" si="85"/>
        <v>0.1100868098882497</v>
      </c>
      <c r="AK137" s="439">
        <f t="shared" si="85"/>
        <v>0.1100868098882497</v>
      </c>
      <c r="AL137" s="439">
        <f t="shared" si="85"/>
        <v>0.1100868098882497</v>
      </c>
      <c r="AM137" s="439">
        <f t="shared" si="85"/>
        <v>0.1100868098882497</v>
      </c>
      <c r="AN137" s="439">
        <f t="shared" si="85"/>
        <v>0.1100868098882497</v>
      </c>
      <c r="AO137" s="439">
        <f t="shared" si="85"/>
        <v>0.1100868098882497</v>
      </c>
      <c r="AP137" s="439">
        <f t="shared" si="85"/>
        <v>0.1100868098882497</v>
      </c>
      <c r="AQ137" s="439">
        <f t="shared" si="85"/>
        <v>0.1100868098882497</v>
      </c>
      <c r="AR137" s="439">
        <f t="shared" si="85"/>
        <v>0.1100868098882497</v>
      </c>
      <c r="AS137" s="439">
        <f t="shared" si="85"/>
        <v>0.1100868098882497</v>
      </c>
      <c r="AT137" s="439">
        <f t="shared" si="85"/>
        <v>0.1100868098882497</v>
      </c>
      <c r="AU137" s="439">
        <f t="shared" si="85"/>
        <v>0.1100868098882497</v>
      </c>
      <c r="AV137" s="439">
        <f t="shared" si="85"/>
        <v>0.1100868098882497</v>
      </c>
      <c r="AW137" s="439">
        <f t="shared" si="85"/>
        <v>0.1100868098882497</v>
      </c>
      <c r="AX137" s="439">
        <f t="shared" si="85"/>
        <v>0.1100868098882497</v>
      </c>
      <c r="AY137" s="439">
        <f t="shared" si="85"/>
        <v>0.1100868098882497</v>
      </c>
      <c r="AZ137" s="439">
        <f t="shared" si="85"/>
        <v>0.1100868098882497</v>
      </c>
      <c r="BA137" s="439">
        <f t="shared" si="85"/>
        <v>0.1100868098882497</v>
      </c>
      <c r="BB137" s="439">
        <f t="shared" si="85"/>
        <v>0.1100868098882497</v>
      </c>
      <c r="BC137" s="439">
        <f t="shared" si="85"/>
        <v>0.1100868098882497</v>
      </c>
      <c r="BD137" s="439">
        <f t="shared" si="85"/>
        <v>0.1100868098882497</v>
      </c>
      <c r="BE137" s="439">
        <f t="shared" si="85"/>
        <v>0.1100868098882497</v>
      </c>
      <c r="BF137" s="439">
        <f t="shared" si="85"/>
        <v>0.1100868098882497</v>
      </c>
      <c r="BG137" s="439">
        <f t="shared" si="85"/>
        <v>0.1100868098882497</v>
      </c>
      <c r="BH137" s="439">
        <f t="shared" si="85"/>
        <v>0.1100868098882497</v>
      </c>
      <c r="BI137" s="439">
        <f t="shared" si="85"/>
        <v>0.1100868098882497</v>
      </c>
      <c r="BJ137" s="439">
        <f t="shared" si="85"/>
        <v>0.1100868098882497</v>
      </c>
      <c r="BK137" s="439">
        <f t="shared" si="85"/>
        <v>0.1100868098882497</v>
      </c>
      <c r="BL137" s="439">
        <f t="shared" si="85"/>
        <v>0.1100868098882497</v>
      </c>
      <c r="BM137" s="439">
        <f t="shared" si="85"/>
        <v>0.1100868098882497</v>
      </c>
      <c r="BN137" s="439">
        <f t="shared" si="85"/>
        <v>0.1100868098882497</v>
      </c>
      <c r="BO137" s="439">
        <f t="shared" si="85"/>
        <v>0.1100868098882497</v>
      </c>
      <c r="BP137" s="439">
        <f t="shared" si="85"/>
        <v>0.1100868098882497</v>
      </c>
      <c r="BQ137" s="439">
        <f t="shared" si="85"/>
        <v>0.1100868098882497</v>
      </c>
      <c r="BR137" s="439"/>
      <c r="BS137" s="439"/>
      <c r="BT137" s="439"/>
      <c r="BU137" s="439"/>
      <c r="BV137" s="439"/>
      <c r="BW137" s="439"/>
      <c r="BX137" s="439"/>
      <c r="BY137" s="439"/>
      <c r="BZ137" s="439"/>
      <c r="CA137" s="439"/>
    </row>
    <row r="139" spans="1:86">
      <c r="C139" s="403"/>
      <c r="D139" s="403"/>
      <c r="E139" s="403"/>
      <c r="F139" s="403"/>
      <c r="G139" s="403"/>
    </row>
    <row r="145" spans="2:2">
      <c r="B145" s="474"/>
    </row>
    <row r="172" spans="1:86">
      <c r="D172" s="403"/>
    </row>
    <row r="173" spans="1:86" s="403" customFormat="1">
      <c r="A173" s="22"/>
    </row>
    <row r="174" spans="1:86">
      <c r="A174" s="2" t="s">
        <v>426</v>
      </c>
    </row>
    <row r="175" spans="1:86" s="365" customFormat="1">
      <c r="A175" s="53"/>
      <c r="B175" s="53">
        <v>2023</v>
      </c>
      <c r="C175" s="53">
        <v>2024</v>
      </c>
      <c r="D175" s="53">
        <v>2025</v>
      </c>
      <c r="E175" s="53">
        <v>2026</v>
      </c>
      <c r="F175" s="53">
        <v>2027</v>
      </c>
      <c r="G175" s="53">
        <v>2028</v>
      </c>
      <c r="H175" s="53">
        <v>2029</v>
      </c>
      <c r="I175" s="53">
        <v>2030</v>
      </c>
      <c r="J175" s="53">
        <v>2031</v>
      </c>
      <c r="K175" s="53">
        <v>2032</v>
      </c>
      <c r="L175" s="53">
        <v>2033</v>
      </c>
      <c r="M175" s="53">
        <v>2034</v>
      </c>
      <c r="N175" s="53">
        <v>2035</v>
      </c>
      <c r="O175" s="53">
        <v>2036</v>
      </c>
      <c r="P175" s="53">
        <v>2037</v>
      </c>
      <c r="Q175" s="53">
        <v>2038</v>
      </c>
      <c r="R175" s="53">
        <v>2039</v>
      </c>
      <c r="S175" s="53">
        <v>2040</v>
      </c>
      <c r="T175" s="53">
        <v>2041</v>
      </c>
      <c r="U175" s="53">
        <v>2042</v>
      </c>
      <c r="V175" s="53">
        <v>2043</v>
      </c>
      <c r="W175" s="53">
        <v>2044</v>
      </c>
      <c r="X175" s="53">
        <v>2045</v>
      </c>
      <c r="Y175" s="53">
        <v>2046</v>
      </c>
      <c r="Z175" s="53">
        <v>2047</v>
      </c>
      <c r="AA175" s="53">
        <v>2048</v>
      </c>
      <c r="AB175" s="53">
        <v>2049</v>
      </c>
      <c r="AC175" s="53">
        <v>2050</v>
      </c>
      <c r="AD175" s="53">
        <v>2051</v>
      </c>
      <c r="AE175" s="53">
        <v>2052</v>
      </c>
      <c r="AF175" s="53">
        <v>2053</v>
      </c>
      <c r="AG175" s="53">
        <v>2054</v>
      </c>
      <c r="AH175" s="53">
        <v>2055</v>
      </c>
      <c r="AI175" s="53">
        <v>2056</v>
      </c>
      <c r="AJ175" s="53">
        <v>2057</v>
      </c>
      <c r="AK175" s="53">
        <v>2058</v>
      </c>
      <c r="AL175" s="53">
        <v>2059</v>
      </c>
      <c r="AM175" s="53">
        <v>2060</v>
      </c>
      <c r="AN175" s="53">
        <v>2061</v>
      </c>
      <c r="AO175" s="53">
        <v>2062</v>
      </c>
      <c r="AP175" s="53">
        <v>2063</v>
      </c>
      <c r="AQ175" s="53">
        <v>2064</v>
      </c>
      <c r="AR175" s="53">
        <v>2065</v>
      </c>
      <c r="AS175" s="53">
        <v>2066</v>
      </c>
      <c r="AT175" s="53">
        <v>2067</v>
      </c>
      <c r="AU175" s="53">
        <v>2068</v>
      </c>
      <c r="AV175" s="53">
        <v>2069</v>
      </c>
      <c r="AW175" s="53">
        <v>2070</v>
      </c>
      <c r="AX175" s="53">
        <v>2071</v>
      </c>
      <c r="AY175" s="53">
        <v>2072</v>
      </c>
      <c r="AZ175" s="53">
        <v>2073</v>
      </c>
      <c r="BA175" s="53">
        <v>2074</v>
      </c>
      <c r="BB175" s="53">
        <v>2075</v>
      </c>
      <c r="BC175" s="53">
        <v>2076</v>
      </c>
      <c r="BD175" s="53">
        <v>2077</v>
      </c>
      <c r="BE175" s="53">
        <v>2078</v>
      </c>
      <c r="BF175" s="53">
        <v>2079</v>
      </c>
      <c r="BG175" s="53">
        <v>2080</v>
      </c>
      <c r="BH175" s="53">
        <v>2081</v>
      </c>
      <c r="BI175" s="53">
        <v>2082</v>
      </c>
      <c r="BJ175" s="53">
        <v>2083</v>
      </c>
      <c r="BK175" s="53">
        <v>2084</v>
      </c>
      <c r="BL175" s="53">
        <v>2085</v>
      </c>
      <c r="BM175" s="53">
        <v>2086</v>
      </c>
      <c r="BN175" s="53">
        <v>2087</v>
      </c>
      <c r="BO175" s="53">
        <v>2088</v>
      </c>
      <c r="BP175" s="53">
        <v>2089</v>
      </c>
      <c r="BQ175" s="53">
        <v>2090</v>
      </c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G175" s="53"/>
      <c r="CH175" s="53"/>
    </row>
    <row r="176" spans="1:86">
      <c r="A176" s="2" t="s">
        <v>682</v>
      </c>
      <c r="B176" s="262">
        <f>Formue!Y30</f>
        <v>104.14</v>
      </c>
      <c r="C176" s="262">
        <f>Formue!Z30</f>
        <v>102.88638281259</v>
      </c>
      <c r="D176" s="262">
        <f>Formue!AA30</f>
        <v>105.18980898457799</v>
      </c>
      <c r="E176" s="262">
        <f>Formue!AB30</f>
        <v>101.045761449213</v>
      </c>
      <c r="F176" s="262">
        <f>Formue!AC30</f>
        <v>96.575066729448693</v>
      </c>
      <c r="G176" s="262">
        <f>Formue!AD30</f>
        <v>87.047892082627996</v>
      </c>
      <c r="H176" s="262">
        <f>Formue!AE30</f>
        <v>78.845847543704807</v>
      </c>
      <c r="I176" s="262">
        <f>Formue!AF30</f>
        <v>73.793908506930094</v>
      </c>
      <c r="J176" s="262">
        <f>Formue!AG30</f>
        <v>71.649846538435597</v>
      </c>
      <c r="K176" s="262">
        <f>Formue!AH30</f>
        <v>70.715986239141799</v>
      </c>
      <c r="L176" s="262">
        <f>Formue!AI30</f>
        <v>69.386447109542203</v>
      </c>
      <c r="M176" s="262">
        <f>Formue!AJ30</f>
        <v>69.474901314808406</v>
      </c>
      <c r="N176" s="262">
        <f>Formue!AK30</f>
        <v>69.035837323349497</v>
      </c>
      <c r="O176" s="262">
        <f>Formue!AL30</f>
        <v>67.882734389063302</v>
      </c>
      <c r="P176" s="262">
        <f>Formue!AM30</f>
        <v>66.422217238456199</v>
      </c>
      <c r="Q176" s="262">
        <f>Formue!AN30</f>
        <v>63.920650066007603</v>
      </c>
      <c r="R176" s="262">
        <f>Formue!AO30</f>
        <v>61.744994652282898</v>
      </c>
      <c r="S176" s="262">
        <f>Formue!AP30</f>
        <v>59.765761492930402</v>
      </c>
      <c r="T176" s="262">
        <f>Formue!AQ30</f>
        <v>58.160948087532198</v>
      </c>
      <c r="U176" s="262">
        <f>Formue!AR30</f>
        <v>56.304564567923002</v>
      </c>
      <c r="V176" s="262">
        <f>Formue!AS30</f>
        <v>54.5807199205301</v>
      </c>
      <c r="W176" s="262">
        <f>Formue!AT30</f>
        <v>53.233861304295701</v>
      </c>
      <c r="X176" s="262">
        <f>Formue!AU30</f>
        <v>51.418462866102303</v>
      </c>
      <c r="Y176" s="262">
        <f>Formue!AV30</f>
        <v>49.851933117199302</v>
      </c>
      <c r="Z176" s="262">
        <f>Formue!AW30</f>
        <v>48.074596180958899</v>
      </c>
      <c r="AA176" s="262">
        <f>Formue!AX30</f>
        <v>46.7917568132398</v>
      </c>
      <c r="AB176" s="262">
        <f>Formue!AY30</f>
        <v>45.026558890705999</v>
      </c>
      <c r="AC176" s="262">
        <f>Formue!AZ30</f>
        <v>43.367769223710603</v>
      </c>
      <c r="AD176" s="262">
        <f>Formue!BA30</f>
        <v>42.037652389517497</v>
      </c>
      <c r="AE176" s="262">
        <f>Formue!BB30</f>
        <v>40.516113098128699</v>
      </c>
      <c r="AF176" s="262">
        <f>Formue!BC30</f>
        <v>39.141344857402203</v>
      </c>
      <c r="AG176" s="262">
        <f>Formue!BD30</f>
        <v>37.644952559843603</v>
      </c>
      <c r="AH176" s="262">
        <f>Formue!BE30</f>
        <v>36.054581090807901</v>
      </c>
      <c r="AI176" s="262">
        <f>Formue!BF30</f>
        <v>34.609852540656</v>
      </c>
      <c r="AJ176" s="262">
        <f>Formue!BG30</f>
        <v>33.132615728303797</v>
      </c>
      <c r="AK176" s="262">
        <f>Formue!BH30</f>
        <v>31.356614947318999</v>
      </c>
      <c r="AL176" s="262">
        <f>Formue!BI30</f>
        <v>29.729547090828401</v>
      </c>
      <c r="AM176" s="262">
        <f>Formue!BJ30</f>
        <v>28.071746988221999</v>
      </c>
      <c r="AN176" s="262">
        <f>Formue!BK30</f>
        <v>28.071746988221999</v>
      </c>
      <c r="AO176" s="262">
        <f>Formue!BL30</f>
        <v>28.071746988221999</v>
      </c>
      <c r="AP176" s="262">
        <f>Formue!BM30</f>
        <v>28.071746988221999</v>
      </c>
      <c r="AQ176" s="262">
        <f>Formue!BN30</f>
        <v>28.071746988221999</v>
      </c>
      <c r="AR176" s="262">
        <f>Formue!BO30</f>
        <v>28.071746988221999</v>
      </c>
      <c r="AS176" s="262">
        <f>Formue!BP30</f>
        <v>28.071746988221999</v>
      </c>
      <c r="AT176" s="262">
        <f>Formue!BQ30</f>
        <v>28.071746988221999</v>
      </c>
      <c r="AU176" s="262">
        <f>Formue!BR30</f>
        <v>28.071746988221999</v>
      </c>
      <c r="AV176" s="262">
        <f>Formue!BS30</f>
        <v>28.071746988221999</v>
      </c>
      <c r="AW176" s="262">
        <f>Formue!BT30</f>
        <v>28.071746988221999</v>
      </c>
      <c r="AX176" s="262">
        <f>Formue!BU30</f>
        <v>28.071746988221999</v>
      </c>
      <c r="AY176" s="262">
        <f>Formue!BV30</f>
        <v>28.071746988221999</v>
      </c>
      <c r="AZ176" s="262">
        <f>Formue!BW30</f>
        <v>28.071746988221999</v>
      </c>
      <c r="BA176" s="262">
        <f>Formue!BX30</f>
        <v>28.071746988221999</v>
      </c>
      <c r="BB176" s="262">
        <f>Formue!BY30</f>
        <v>28.071746988221999</v>
      </c>
      <c r="BC176" s="262">
        <f>Formue!BZ30</f>
        <v>28.071746988221999</v>
      </c>
      <c r="BD176" s="262">
        <f>Formue!CA30</f>
        <v>28.071746988221999</v>
      </c>
      <c r="BE176" s="262">
        <f>Formue!CB30</f>
        <v>28.071746988221999</v>
      </c>
      <c r="BF176" s="262">
        <f>Formue!CC30</f>
        <v>28.071746988221999</v>
      </c>
      <c r="BG176" s="262">
        <f>Formue!CD30</f>
        <v>28.071746988221999</v>
      </c>
      <c r="BH176" s="262">
        <f>Formue!CE30</f>
        <v>28.071746988221999</v>
      </c>
      <c r="BI176" s="262">
        <f>Formue!CF30</f>
        <v>28.071746988221999</v>
      </c>
      <c r="BJ176" s="262">
        <f>Formue!CG30</f>
        <v>28.071746988221999</v>
      </c>
      <c r="BK176" s="262">
        <f>Formue!CH30</f>
        <v>28.071746988221999</v>
      </c>
      <c r="BL176" s="262">
        <f>Formue!CI30</f>
        <v>28.071746988221999</v>
      </c>
      <c r="BM176" s="262">
        <f>Formue!CJ30</f>
        <v>28.071746988221999</v>
      </c>
      <c r="BN176" s="262">
        <f>Formue!CK30</f>
        <v>28.071746988221999</v>
      </c>
      <c r="BO176" s="262">
        <f>Formue!CL30</f>
        <v>28.071746988221999</v>
      </c>
      <c r="BP176" s="262">
        <f>Formue!CM30</f>
        <v>28.071746988221999</v>
      </c>
      <c r="BQ176" s="262">
        <f>Formue!CN30</f>
        <v>28.071746988221999</v>
      </c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G176" s="262"/>
      <c r="CH176" s="262"/>
    </row>
    <row r="177" spans="1:86">
      <c r="A177" s="2" t="s">
        <v>671</v>
      </c>
      <c r="B177" s="311">
        <v>104.14</v>
      </c>
      <c r="C177" s="311">
        <v>102.886382930868</v>
      </c>
      <c r="D177" s="311">
        <v>102.119979799783</v>
      </c>
      <c r="E177" s="311">
        <v>101.04576250719499</v>
      </c>
      <c r="F177" s="311">
        <v>96.575063809752393</v>
      </c>
      <c r="G177" s="311">
        <v>88.011194419261201</v>
      </c>
      <c r="H177" s="311">
        <v>81.293874832245905</v>
      </c>
      <c r="I177" s="311">
        <v>74.535615496075394</v>
      </c>
      <c r="J177" s="311">
        <v>71.590373408514907</v>
      </c>
      <c r="K177" s="311">
        <v>70.337783298571594</v>
      </c>
      <c r="L177" s="311">
        <v>69.335953802828996</v>
      </c>
      <c r="M177" s="311">
        <v>69.5221439809374</v>
      </c>
      <c r="N177" s="311">
        <v>69.113464707627998</v>
      </c>
      <c r="O177" s="311">
        <v>67.986584863178805</v>
      </c>
      <c r="P177" s="311">
        <v>66.541979334777494</v>
      </c>
      <c r="Q177" s="311">
        <v>64.040919156119401</v>
      </c>
      <c r="R177" s="311">
        <v>61.8637235390052</v>
      </c>
      <c r="S177" s="311">
        <v>59.860187790862298</v>
      </c>
      <c r="T177" s="311">
        <v>58.254401074840601</v>
      </c>
      <c r="U177" s="311">
        <v>56.377546953677601</v>
      </c>
      <c r="V177" s="311">
        <v>54.637705586923403</v>
      </c>
      <c r="W177" s="311">
        <v>53.278433775703903</v>
      </c>
      <c r="X177" s="311">
        <v>51.4532991281012</v>
      </c>
      <c r="Y177" s="311">
        <v>49.8791775868158</v>
      </c>
      <c r="Z177" s="311">
        <v>48.095978866185803</v>
      </c>
      <c r="AA177" s="311">
        <v>46.808532732946297</v>
      </c>
      <c r="AB177" s="311">
        <v>45.039013118250303</v>
      </c>
      <c r="AC177" s="311">
        <v>43.377473696207801</v>
      </c>
      <c r="AD177" s="311">
        <v>42.037653820029</v>
      </c>
      <c r="AE177" s="311">
        <v>40.516116745187901</v>
      </c>
      <c r="AF177" s="311">
        <v>39.141343493945897</v>
      </c>
      <c r="AG177" s="311">
        <v>37.644950830377603</v>
      </c>
      <c r="AH177" s="311">
        <v>36.054576914757497</v>
      </c>
      <c r="AI177" s="311">
        <v>34.609854448004597</v>
      </c>
      <c r="AJ177" s="311">
        <v>33.132615847513101</v>
      </c>
      <c r="AK177" s="311">
        <v>31.3566107749939</v>
      </c>
      <c r="AL177" s="311">
        <v>29.7295466139913</v>
      </c>
      <c r="AM177" s="311">
        <v>28.071743650361899</v>
      </c>
      <c r="AN177" s="311">
        <v>28.071743650361899</v>
      </c>
      <c r="AO177" s="311">
        <v>28.071743650361899</v>
      </c>
      <c r="AP177" s="311">
        <v>28.071743650361899</v>
      </c>
      <c r="AQ177" s="311">
        <v>28.071743650361899</v>
      </c>
      <c r="AR177" s="311">
        <v>28.071743650361899</v>
      </c>
      <c r="AS177" s="311">
        <v>28.071743650361899</v>
      </c>
      <c r="AT177" s="311">
        <v>28.071743650361899</v>
      </c>
      <c r="AU177" s="311">
        <v>28.071743650361899</v>
      </c>
      <c r="AV177" s="311">
        <v>28.071743650361899</v>
      </c>
      <c r="AW177" s="311">
        <v>28.071743650361899</v>
      </c>
      <c r="AX177" s="311">
        <v>28.071743650361899</v>
      </c>
      <c r="AY177" s="311">
        <v>28.071743650361899</v>
      </c>
      <c r="AZ177" s="311">
        <v>28.071743650361899</v>
      </c>
      <c r="BA177" s="311">
        <v>28.071743650361899</v>
      </c>
      <c r="BB177" s="311">
        <v>28.071743650361899</v>
      </c>
      <c r="BC177" s="311">
        <v>28.071743650361899</v>
      </c>
      <c r="BD177" s="311">
        <v>28.071743650361899</v>
      </c>
      <c r="BE177" s="311">
        <v>28.071743650361899</v>
      </c>
      <c r="BF177" s="311">
        <v>28.071743650361899</v>
      </c>
      <c r="BG177" s="311">
        <v>28.071743650361899</v>
      </c>
      <c r="BH177" s="311">
        <v>28.071743650361899</v>
      </c>
      <c r="BI177" s="311">
        <v>28.071743650361899</v>
      </c>
      <c r="BJ177" s="311">
        <v>28.071743650361899</v>
      </c>
      <c r="BK177" s="311">
        <v>28.071743650361899</v>
      </c>
      <c r="BL177" s="311">
        <v>28.071743650361899</v>
      </c>
      <c r="BM177" s="311">
        <v>28.071743650361899</v>
      </c>
      <c r="BN177" s="311">
        <v>28.071743650361899</v>
      </c>
      <c r="BO177" s="311">
        <v>28.071743650361899</v>
      </c>
      <c r="BP177" s="311">
        <v>28.071743650361899</v>
      </c>
      <c r="BQ177" s="311">
        <v>28.071743650361899</v>
      </c>
      <c r="BR177" s="311"/>
      <c r="BS177" s="311"/>
      <c r="BT177" s="311"/>
      <c r="BU177" s="311"/>
      <c r="BV177" s="311"/>
      <c r="BW177" s="311"/>
      <c r="BX177" s="311"/>
      <c r="BY177" s="311"/>
      <c r="BZ177" s="311"/>
      <c r="CA177" s="311"/>
      <c r="CG177" s="311"/>
      <c r="CH177" s="311"/>
    </row>
    <row r="178" spans="1:86"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  <c r="AN178" s="311"/>
      <c r="AO178" s="311"/>
      <c r="AP178" s="311"/>
      <c r="AQ178" s="311"/>
      <c r="AR178" s="311"/>
      <c r="AS178" s="311"/>
      <c r="AT178" s="311"/>
      <c r="AU178" s="311"/>
      <c r="AV178" s="311"/>
      <c r="AW178" s="311"/>
      <c r="AX178" s="311"/>
      <c r="AY178" s="311"/>
      <c r="AZ178" s="311"/>
      <c r="BA178" s="311"/>
      <c r="BB178" s="311"/>
      <c r="BC178" s="311"/>
      <c r="BD178" s="311"/>
      <c r="BE178" s="311"/>
      <c r="BF178" s="311"/>
      <c r="BG178" s="311"/>
      <c r="BH178" s="311"/>
      <c r="BI178" s="311"/>
      <c r="BJ178" s="311"/>
      <c r="BK178" s="311"/>
      <c r="BL178" s="311"/>
      <c r="BM178" s="311"/>
      <c r="BN178" s="311"/>
      <c r="BO178" s="311"/>
      <c r="BP178" s="311"/>
      <c r="BQ178" s="311"/>
      <c r="BR178" s="311"/>
      <c r="BS178" s="311"/>
      <c r="BT178" s="311"/>
      <c r="BU178" s="311"/>
      <c r="BV178" s="311"/>
      <c r="BW178" s="311"/>
      <c r="BX178" s="311"/>
      <c r="BY178" s="311"/>
      <c r="BZ178" s="311"/>
      <c r="CA178" s="311"/>
      <c r="CG178" s="311"/>
      <c r="CH178" s="311"/>
    </row>
    <row r="179" spans="1:86">
      <c r="A179" s="263" t="s">
        <v>629</v>
      </c>
      <c r="B179" s="464">
        <f t="shared" ref="B179" si="86">B176-B177</f>
        <v>0</v>
      </c>
      <c r="C179" s="464">
        <f t="shared" ref="C179" si="87">C176-C177</f>
        <v>-1.182779953978752E-7</v>
      </c>
      <c r="D179" s="464">
        <f t="shared" ref="D179" si="88">D176-D177</f>
        <v>3.0698291847949974</v>
      </c>
      <c r="E179" s="464">
        <f t="shared" ref="E179" si="89">E176-E177</f>
        <v>-1.0579819900158327E-6</v>
      </c>
      <c r="F179" s="464">
        <f t="shared" ref="F179" si="90">F176-F177</f>
        <v>2.9196962998412346E-6</v>
      </c>
      <c r="G179" s="464">
        <f t="shared" ref="G179" si="91">G176-G177</f>
        <v>-0.96330233663320541</v>
      </c>
      <c r="H179" s="464">
        <f t="shared" ref="H179" si="92">H176-H177</f>
        <v>-2.4480272885410983</v>
      </c>
      <c r="I179" s="464">
        <f t="shared" ref="I179" si="93">I176-I177</f>
        <v>-0.74170698914529964</v>
      </c>
      <c r="J179" s="464">
        <f t="shared" ref="J179" si="94">J176-J177</f>
        <v>5.9473129920689871E-2</v>
      </c>
      <c r="K179" s="464">
        <f t="shared" ref="K179" si="95">K176-K177</f>
        <v>0.37820294057020476</v>
      </c>
      <c r="L179" s="464">
        <f t="shared" ref="L179" si="96">L176-L177</f>
        <v>5.0493306713207176E-2</v>
      </c>
      <c r="M179" s="464">
        <f t="shared" ref="M179" si="97">M176-M177</f>
        <v>-4.7242666128994415E-2</v>
      </c>
      <c r="N179" s="464">
        <f t="shared" ref="N179" si="98">N176-N177</f>
        <v>-7.7627384278500244E-2</v>
      </c>
      <c r="O179" s="464">
        <f t="shared" ref="O179" si="99">O176-O177</f>
        <v>-0.10385047411550374</v>
      </c>
      <c r="P179" s="464">
        <f t="shared" ref="P179" si="100">P176-P177</f>
        <v>-0.11976209632129553</v>
      </c>
      <c r="Q179" s="464">
        <f t="shared" ref="Q179" si="101">Q176-Q177</f>
        <v>-0.12026909011179754</v>
      </c>
      <c r="R179" s="464">
        <f t="shared" ref="R179" si="102">R176-R177</f>
        <v>-0.11872888672230175</v>
      </c>
      <c r="S179" s="464">
        <f t="shared" ref="S179" si="103">S176-S177</f>
        <v>-9.4426297931896386E-2</v>
      </c>
      <c r="T179" s="464">
        <f t="shared" ref="T179" si="104">T176-T177</f>
        <v>-9.3452987308403124E-2</v>
      </c>
      <c r="U179" s="464">
        <f t="shared" ref="U179" si="105">U176-U177</f>
        <v>-7.2982385754599477E-2</v>
      </c>
      <c r="V179" s="464">
        <f t="shared" ref="V179" si="106">V176-V177</f>
        <v>-5.6985666393302381E-2</v>
      </c>
      <c r="W179" s="464">
        <f t="shared" ref="W179" si="107">W176-W177</f>
        <v>-4.4572471408201864E-2</v>
      </c>
      <c r="X179" s="464">
        <f t="shared" ref="X179" si="108">X176-X177</f>
        <v>-3.4836261998897555E-2</v>
      </c>
      <c r="Y179" s="464">
        <f t="shared" ref="Y179" si="109">Y176-Y177</f>
        <v>-2.7244469616498179E-2</v>
      </c>
      <c r="Z179" s="464">
        <f t="shared" ref="Z179" si="110">Z176-Z177</f>
        <v>-2.1382685226903675E-2</v>
      </c>
      <c r="AA179" s="464">
        <f t="shared" ref="AA179" si="111">AA176-AA177</f>
        <v>-1.6775919706496722E-2</v>
      </c>
      <c r="AB179" s="464">
        <f t="shared" ref="AB179" si="112">AB176-AB177</f>
        <v>-1.2454227544303365E-2</v>
      </c>
      <c r="AC179" s="464">
        <f t="shared" ref="AC179:BQ179" si="113">AC176-AC177</f>
        <v>-9.704472497197969E-3</v>
      </c>
      <c r="AD179" s="464">
        <f t="shared" si="113"/>
        <v>-1.4305115030310844E-6</v>
      </c>
      <c r="AE179" s="464">
        <f t="shared" si="113"/>
        <v>-3.6470592021942139E-6</v>
      </c>
      <c r="AF179" s="464">
        <f t="shared" ref="AF179" si="114">AF176-AF177</f>
        <v>1.3634563060804794E-6</v>
      </c>
      <c r="AG179" s="464">
        <f t="shared" si="113"/>
        <v>1.7294659997446615E-6</v>
      </c>
      <c r="AH179" s="464">
        <f t="shared" si="113"/>
        <v>4.1760504032595236E-6</v>
      </c>
      <c r="AI179" s="464">
        <f t="shared" ref="AI179" si="115">AI176-AI177</f>
        <v>-1.9073485972853632E-6</v>
      </c>
      <c r="AJ179" s="464">
        <f t="shared" si="113"/>
        <v>-1.1920930376163597E-7</v>
      </c>
      <c r="AK179" s="464">
        <f t="shared" si="113"/>
        <v>4.172325098750207E-6</v>
      </c>
      <c r="AL179" s="464">
        <f t="shared" ref="AL179" si="116">AL176-AL177</f>
        <v>4.7683710135970614E-7</v>
      </c>
      <c r="AM179" s="464">
        <f t="shared" si="113"/>
        <v>3.3378601003164476E-6</v>
      </c>
      <c r="AN179" s="464">
        <f t="shared" si="113"/>
        <v>3.3378601003164476E-6</v>
      </c>
      <c r="AO179" s="464">
        <f t="shared" ref="AO179" si="117">AO176-AO177</f>
        <v>3.3378601003164476E-6</v>
      </c>
      <c r="AP179" s="464">
        <f t="shared" si="113"/>
        <v>3.3378601003164476E-6</v>
      </c>
      <c r="AQ179" s="464">
        <f t="shared" si="113"/>
        <v>3.3378601003164476E-6</v>
      </c>
      <c r="AR179" s="464">
        <f t="shared" ref="AR179" si="118">AR176-AR177</f>
        <v>3.3378601003164476E-6</v>
      </c>
      <c r="AS179" s="464">
        <f t="shared" si="113"/>
        <v>3.3378601003164476E-6</v>
      </c>
      <c r="AT179" s="464">
        <f t="shared" si="113"/>
        <v>3.3378601003164476E-6</v>
      </c>
      <c r="AU179" s="464">
        <f t="shared" ref="AU179" si="119">AU176-AU177</f>
        <v>3.3378601003164476E-6</v>
      </c>
      <c r="AV179" s="464">
        <f t="shared" si="113"/>
        <v>3.3378601003164476E-6</v>
      </c>
      <c r="AW179" s="464">
        <f t="shared" si="113"/>
        <v>3.3378601003164476E-6</v>
      </c>
      <c r="AX179" s="464">
        <f t="shared" ref="AX179" si="120">AX176-AX177</f>
        <v>3.3378601003164476E-6</v>
      </c>
      <c r="AY179" s="464">
        <f t="shared" si="113"/>
        <v>3.3378601003164476E-6</v>
      </c>
      <c r="AZ179" s="464">
        <f t="shared" si="113"/>
        <v>3.3378601003164476E-6</v>
      </c>
      <c r="BA179" s="464">
        <f t="shared" ref="BA179" si="121">BA176-BA177</f>
        <v>3.3378601003164476E-6</v>
      </c>
      <c r="BB179" s="464">
        <f t="shared" si="113"/>
        <v>3.3378601003164476E-6</v>
      </c>
      <c r="BC179" s="464">
        <f t="shared" si="113"/>
        <v>3.3378601003164476E-6</v>
      </c>
      <c r="BD179" s="464">
        <f t="shared" ref="BD179" si="122">BD176-BD177</f>
        <v>3.3378601003164476E-6</v>
      </c>
      <c r="BE179" s="464">
        <f t="shared" si="113"/>
        <v>3.3378601003164476E-6</v>
      </c>
      <c r="BF179" s="464">
        <f t="shared" si="113"/>
        <v>3.3378601003164476E-6</v>
      </c>
      <c r="BG179" s="464">
        <f t="shared" ref="BG179" si="123">BG176-BG177</f>
        <v>3.3378601003164476E-6</v>
      </c>
      <c r="BH179" s="464">
        <f t="shared" si="113"/>
        <v>3.3378601003164476E-6</v>
      </c>
      <c r="BI179" s="464">
        <f t="shared" si="113"/>
        <v>3.3378601003164476E-6</v>
      </c>
      <c r="BJ179" s="464">
        <f t="shared" ref="BJ179" si="124">BJ176-BJ177</f>
        <v>3.3378601003164476E-6</v>
      </c>
      <c r="BK179" s="464">
        <f t="shared" si="113"/>
        <v>3.3378601003164476E-6</v>
      </c>
      <c r="BL179" s="464">
        <f t="shared" si="113"/>
        <v>3.3378601003164476E-6</v>
      </c>
      <c r="BM179" s="464">
        <f t="shared" ref="BM179" si="125">BM176-BM177</f>
        <v>3.3378601003164476E-6</v>
      </c>
      <c r="BN179" s="464">
        <f t="shared" si="113"/>
        <v>3.3378601003164476E-6</v>
      </c>
      <c r="BO179" s="464">
        <f t="shared" si="113"/>
        <v>3.3378601003164476E-6</v>
      </c>
      <c r="BP179" s="464">
        <f t="shared" ref="BP179" si="126">BP176-BP177</f>
        <v>3.3378601003164476E-6</v>
      </c>
      <c r="BQ179" s="464">
        <f t="shared" si="113"/>
        <v>3.3378601003164476E-6</v>
      </c>
      <c r="BR179" s="464"/>
      <c r="BS179" s="464"/>
      <c r="BT179" s="464"/>
      <c r="BU179" s="464"/>
      <c r="BV179" s="464"/>
      <c r="BW179" s="464"/>
      <c r="BX179" s="464"/>
      <c r="BY179" s="464"/>
      <c r="BZ179" s="464"/>
      <c r="CA179" s="464"/>
    </row>
    <row r="220" spans="1:91">
      <c r="A220" s="2" t="s">
        <v>427</v>
      </c>
    </row>
    <row r="221" spans="1:91" s="365" customFormat="1">
      <c r="A221" s="53"/>
      <c r="B221" s="53">
        <v>2023</v>
      </c>
      <c r="C221" s="53">
        <v>2024</v>
      </c>
      <c r="D221" s="53">
        <v>2025</v>
      </c>
      <c r="E221" s="53">
        <v>2026</v>
      </c>
      <c r="F221" s="53">
        <v>2027</v>
      </c>
      <c r="G221" s="53">
        <v>2028</v>
      </c>
      <c r="H221" s="53">
        <v>2029</v>
      </c>
      <c r="I221" s="53">
        <v>2030</v>
      </c>
      <c r="J221" s="53">
        <v>2031</v>
      </c>
      <c r="K221" s="53">
        <v>2032</v>
      </c>
      <c r="L221" s="53">
        <v>2033</v>
      </c>
      <c r="M221" s="53">
        <v>2034</v>
      </c>
      <c r="N221" s="53">
        <v>2035</v>
      </c>
      <c r="O221" s="53">
        <v>2036</v>
      </c>
      <c r="P221" s="53">
        <v>2037</v>
      </c>
      <c r="Q221" s="53">
        <v>2038</v>
      </c>
      <c r="R221" s="53">
        <v>2039</v>
      </c>
      <c r="S221" s="53">
        <v>2040</v>
      </c>
      <c r="T221" s="53">
        <v>2041</v>
      </c>
      <c r="U221" s="53">
        <v>2042</v>
      </c>
      <c r="V221" s="53">
        <v>2043</v>
      </c>
      <c r="W221" s="53">
        <v>2044</v>
      </c>
      <c r="X221" s="53">
        <v>2045</v>
      </c>
      <c r="Y221" s="53">
        <v>2046</v>
      </c>
      <c r="Z221" s="53">
        <v>2047</v>
      </c>
      <c r="AA221" s="53">
        <v>2048</v>
      </c>
      <c r="AB221" s="53">
        <v>2049</v>
      </c>
      <c r="AC221" s="53">
        <v>2050</v>
      </c>
      <c r="AD221" s="53">
        <v>2051</v>
      </c>
      <c r="AE221" s="53">
        <v>2052</v>
      </c>
      <c r="AF221" s="53">
        <v>2053</v>
      </c>
      <c r="AG221" s="53">
        <v>2054</v>
      </c>
      <c r="AH221" s="53">
        <v>2055</v>
      </c>
      <c r="AI221" s="53">
        <v>2056</v>
      </c>
      <c r="AJ221" s="53">
        <v>2057</v>
      </c>
      <c r="AK221" s="53">
        <v>2058</v>
      </c>
      <c r="AL221" s="53">
        <v>2059</v>
      </c>
      <c r="AM221" s="53">
        <v>2060</v>
      </c>
      <c r="AN221" s="53">
        <v>2061</v>
      </c>
      <c r="AO221" s="53">
        <v>2062</v>
      </c>
      <c r="AP221" s="53">
        <v>2063</v>
      </c>
      <c r="AQ221" s="53">
        <v>2064</v>
      </c>
      <c r="AR221" s="53">
        <v>2065</v>
      </c>
      <c r="AS221" s="53">
        <v>2066</v>
      </c>
      <c r="AT221" s="53">
        <v>2067</v>
      </c>
      <c r="AU221" s="53">
        <v>2068</v>
      </c>
      <c r="AV221" s="53">
        <v>2069</v>
      </c>
      <c r="AW221" s="53">
        <v>2070</v>
      </c>
      <c r="AX221" s="53">
        <v>2071</v>
      </c>
      <c r="AY221" s="53">
        <v>2072</v>
      </c>
      <c r="AZ221" s="53">
        <v>2073</v>
      </c>
      <c r="BA221" s="53">
        <v>2074</v>
      </c>
      <c r="BB221" s="53">
        <v>2075</v>
      </c>
      <c r="BC221" s="53">
        <v>2076</v>
      </c>
      <c r="BD221" s="53">
        <v>2077</v>
      </c>
      <c r="BE221" s="53">
        <v>2078</v>
      </c>
      <c r="BF221" s="53">
        <v>2079</v>
      </c>
      <c r="BG221" s="53">
        <v>2080</v>
      </c>
      <c r="BH221" s="53">
        <v>2081</v>
      </c>
      <c r="BI221" s="53">
        <v>2082</v>
      </c>
      <c r="BJ221" s="53">
        <v>2083</v>
      </c>
      <c r="BK221" s="53">
        <v>2084</v>
      </c>
      <c r="BL221" s="53">
        <v>2085</v>
      </c>
      <c r="BM221" s="53">
        <v>2086</v>
      </c>
      <c r="BN221" s="53">
        <v>2087</v>
      </c>
      <c r="BO221" s="53">
        <v>2088</v>
      </c>
      <c r="BP221" s="53">
        <v>2089</v>
      </c>
      <c r="BQ221" s="53">
        <v>2090</v>
      </c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G221" s="53"/>
      <c r="CH221" s="53"/>
      <c r="CI221" s="53"/>
      <c r="CJ221" s="53"/>
      <c r="CK221" s="53"/>
      <c r="CL221" s="53"/>
      <c r="CM221" s="53"/>
    </row>
    <row r="222" spans="1:91">
      <c r="A222" s="2" t="s">
        <v>682</v>
      </c>
      <c r="B222" s="214">
        <f>Formue!Y31</f>
        <v>116.02</v>
      </c>
      <c r="C222" s="214">
        <f>Formue!Z31</f>
        <v>124.23875195111999</v>
      </c>
      <c r="D222" s="214">
        <f>Formue!AA31</f>
        <v>118.452074931315</v>
      </c>
      <c r="E222" s="214">
        <f>Formue!AB31</f>
        <v>120.086121418196</v>
      </c>
      <c r="F222" s="214">
        <f>Formue!AC31</f>
        <v>120.094642530738</v>
      </c>
      <c r="G222" s="214">
        <f>Formue!AD31</f>
        <v>116.166092510014</v>
      </c>
      <c r="H222" s="214">
        <f>Formue!AE31</f>
        <v>110.636270971982</v>
      </c>
      <c r="I222" s="214">
        <f>Formue!AF31</f>
        <v>104.941576370565</v>
      </c>
      <c r="J222" s="214">
        <f>Formue!AG31</f>
        <v>100.130445581107</v>
      </c>
      <c r="K222" s="214">
        <f>Formue!AH31</f>
        <v>93.491734289047798</v>
      </c>
      <c r="L222" s="214">
        <f>Formue!AI31</f>
        <v>89.335084783925794</v>
      </c>
      <c r="M222" s="214">
        <f>Formue!AJ31</f>
        <v>86.735572945646098</v>
      </c>
      <c r="N222" s="214">
        <f>Formue!AK31</f>
        <v>84.333941951932403</v>
      </c>
      <c r="O222" s="214">
        <f>Formue!AL31</f>
        <v>82.153770465193006</v>
      </c>
      <c r="P222" s="214">
        <f>Formue!AM31</f>
        <v>78.840469550338696</v>
      </c>
      <c r="Q222" s="214">
        <f>Formue!AN31</f>
        <v>73.883116241559094</v>
      </c>
      <c r="R222" s="214">
        <f>Formue!AO31</f>
        <v>68.539686645509505</v>
      </c>
      <c r="S222" s="214">
        <f>Formue!AP31</f>
        <v>64.692185788338307</v>
      </c>
      <c r="T222" s="214">
        <f>Formue!AQ31</f>
        <v>61.2290977700995</v>
      </c>
      <c r="U222" s="214">
        <f>Formue!AR31</f>
        <v>58.607326135775999</v>
      </c>
      <c r="V222" s="214">
        <f>Formue!AS31</f>
        <v>55.8623403806005</v>
      </c>
      <c r="W222" s="214">
        <f>Formue!AT31</f>
        <v>52.7872782740288</v>
      </c>
      <c r="X222" s="214">
        <f>Formue!AU31</f>
        <v>50.282890109274298</v>
      </c>
      <c r="Y222" s="214">
        <f>Formue!AV31</f>
        <v>48.339968322707897</v>
      </c>
      <c r="Z222" s="214">
        <f>Formue!AW31</f>
        <v>46.446472786406297</v>
      </c>
      <c r="AA222" s="214">
        <f>Formue!AX31</f>
        <v>44.699381400699799</v>
      </c>
      <c r="AB222" s="214">
        <f>Formue!AY31</f>
        <v>43.293508537680601</v>
      </c>
      <c r="AC222" s="214">
        <f>Formue!AZ31</f>
        <v>41.648785780853402</v>
      </c>
      <c r="AD222" s="214">
        <f>Formue!BA31</f>
        <v>40.118689809552301</v>
      </c>
      <c r="AE222" s="214">
        <f>Formue!BB31</f>
        <v>38.369959232385099</v>
      </c>
      <c r="AF222" s="214">
        <f>Formue!BC31</f>
        <v>36.9035212621121</v>
      </c>
      <c r="AG222" s="214">
        <f>Formue!BD31</f>
        <v>35.812746227007899</v>
      </c>
      <c r="AH222" s="214">
        <f>Formue!BE31</f>
        <v>35.2091385576473</v>
      </c>
      <c r="AI222" s="214">
        <f>Formue!BF31</f>
        <v>34.416161845962002</v>
      </c>
      <c r="AJ222" s="214">
        <f>Formue!BG31</f>
        <v>33.891618791822097</v>
      </c>
      <c r="AK222" s="214">
        <f>Formue!BH31</f>
        <v>33.466268432734097</v>
      </c>
      <c r="AL222" s="214">
        <f>Formue!BI31</f>
        <v>32.995546425285298</v>
      </c>
      <c r="AM222" s="214">
        <f>Formue!BJ31</f>
        <v>32.602377394214301</v>
      </c>
      <c r="AN222" s="214">
        <f>Formue!BK31</f>
        <v>32.602377394214301</v>
      </c>
      <c r="AO222" s="214">
        <f>Formue!BL31</f>
        <v>32.602377394214301</v>
      </c>
      <c r="AP222" s="214">
        <f>Formue!BM31</f>
        <v>32.602377394214301</v>
      </c>
      <c r="AQ222" s="214">
        <f>Formue!BN31</f>
        <v>32.602377394214301</v>
      </c>
      <c r="AR222" s="214">
        <f>Formue!BO31</f>
        <v>32.602377394214301</v>
      </c>
      <c r="AS222" s="214">
        <f>Formue!BP31</f>
        <v>32.602377394214301</v>
      </c>
      <c r="AT222" s="214">
        <f>Formue!BQ31</f>
        <v>32.602377394214301</v>
      </c>
      <c r="AU222" s="214">
        <f>Formue!BR31</f>
        <v>32.602377394214301</v>
      </c>
      <c r="AV222" s="214">
        <f>Formue!BS31</f>
        <v>32.602377394214301</v>
      </c>
      <c r="AW222" s="214">
        <f>Formue!BT31</f>
        <v>32.602377394214301</v>
      </c>
      <c r="AX222" s="214">
        <f>Formue!BU31</f>
        <v>32.602377394214301</v>
      </c>
      <c r="AY222" s="214">
        <f>Formue!BV31</f>
        <v>32.602377394214301</v>
      </c>
      <c r="AZ222" s="214">
        <f>Formue!BW31</f>
        <v>32.602377394214301</v>
      </c>
      <c r="BA222" s="214">
        <f>Formue!BX31</f>
        <v>32.602377394214301</v>
      </c>
      <c r="BB222" s="214">
        <f>Formue!BY31</f>
        <v>32.602377394214301</v>
      </c>
      <c r="BC222" s="214">
        <f>Formue!BZ31</f>
        <v>32.602377394214301</v>
      </c>
      <c r="BD222" s="214">
        <f>Formue!CA31</f>
        <v>32.602377394214301</v>
      </c>
      <c r="BE222" s="214">
        <f>Formue!CB31</f>
        <v>32.602377394214301</v>
      </c>
      <c r="BF222" s="214">
        <f>Formue!CC31</f>
        <v>32.602377394214301</v>
      </c>
      <c r="BG222" s="214">
        <f>Formue!CD31</f>
        <v>32.602377394214301</v>
      </c>
      <c r="BH222" s="214">
        <f>Formue!CE31</f>
        <v>32.602377394214301</v>
      </c>
      <c r="BI222" s="214">
        <f>Formue!CF31</f>
        <v>32.602377394214301</v>
      </c>
      <c r="BJ222" s="214">
        <f>Formue!CG31</f>
        <v>32.602377394214301</v>
      </c>
      <c r="BK222" s="214">
        <f>Formue!CH31</f>
        <v>32.602377394214301</v>
      </c>
      <c r="BL222" s="214">
        <f>Formue!CI31</f>
        <v>32.602377394214301</v>
      </c>
      <c r="BM222" s="214">
        <f>Formue!CJ31</f>
        <v>32.602377394214301</v>
      </c>
      <c r="BN222" s="214">
        <f>Formue!CK31</f>
        <v>32.602377394214301</v>
      </c>
      <c r="BO222" s="214">
        <f>Formue!CL31</f>
        <v>32.602377394214301</v>
      </c>
      <c r="BP222" s="214">
        <f>Formue!CM31</f>
        <v>32.602377394214301</v>
      </c>
      <c r="BQ222" s="214">
        <f>Formue!CN31</f>
        <v>32.602377394214301</v>
      </c>
      <c r="BR222" s="214"/>
      <c r="BS222" s="214"/>
      <c r="BT222" s="214"/>
      <c r="BU222" s="214"/>
      <c r="BV222" s="214"/>
      <c r="BW222" s="214"/>
      <c r="BX222" s="214"/>
      <c r="BY222" s="214"/>
      <c r="BZ222" s="214"/>
      <c r="CA222" s="214"/>
      <c r="CG222" s="214"/>
      <c r="CH222" s="214"/>
      <c r="CI222" s="214"/>
      <c r="CJ222" s="214"/>
      <c r="CK222" s="214"/>
      <c r="CL222" s="214"/>
      <c r="CM222" s="214"/>
    </row>
    <row r="223" spans="1:91">
      <c r="A223" s="2" t="s">
        <v>671</v>
      </c>
      <c r="B223" s="265">
        <v>116.02</v>
      </c>
      <c r="C223" s="265">
        <v>124.238751950188</v>
      </c>
      <c r="D223" s="265">
        <v>118.452074952036</v>
      </c>
      <c r="E223" s="265">
        <v>120.086121418196</v>
      </c>
      <c r="F223" s="265">
        <v>120.094642506174</v>
      </c>
      <c r="G223" s="265">
        <v>116.174511037832</v>
      </c>
      <c r="H223" s="265">
        <v>110.842786852225</v>
      </c>
      <c r="I223" s="265">
        <v>105.108048142345</v>
      </c>
      <c r="J223" s="265">
        <v>100.250484867781</v>
      </c>
      <c r="K223" s="265">
        <v>93.712644368999705</v>
      </c>
      <c r="L223" s="265">
        <v>89.882528780545996</v>
      </c>
      <c r="M223" s="265">
        <v>87.325905524106304</v>
      </c>
      <c r="N223" s="265">
        <v>84.944702173677697</v>
      </c>
      <c r="O223" s="265">
        <v>82.731056169437807</v>
      </c>
      <c r="P223" s="265">
        <v>79.326078472656405</v>
      </c>
      <c r="Q223" s="265">
        <v>74.342349004015006</v>
      </c>
      <c r="R223" s="265">
        <v>68.974317235069094</v>
      </c>
      <c r="S223" s="265">
        <v>65.057322453630405</v>
      </c>
      <c r="T223" s="265">
        <v>61.493752404619897</v>
      </c>
      <c r="U223" s="265">
        <v>58.826604190087799</v>
      </c>
      <c r="V223" s="265">
        <v>56.042451800009999</v>
      </c>
      <c r="W223" s="265">
        <v>52.927935861937002</v>
      </c>
      <c r="X223" s="265">
        <v>50.397368537191099</v>
      </c>
      <c r="Y223" s="265">
        <v>48.438267956419502</v>
      </c>
      <c r="Z223" s="265">
        <v>46.516689842606198</v>
      </c>
      <c r="AA223" s="265">
        <v>44.752986051942301</v>
      </c>
      <c r="AB223" s="265">
        <v>43.317955183432197</v>
      </c>
      <c r="AC223" s="265">
        <v>41.667830018064699</v>
      </c>
      <c r="AD223" s="265">
        <v>40.118687499872301</v>
      </c>
      <c r="AE223" s="265">
        <v>38.369956036086002</v>
      </c>
      <c r="AF223" s="265">
        <v>36.903519831600597</v>
      </c>
      <c r="AG223" s="265">
        <v>35.812746439349397</v>
      </c>
      <c r="AH223" s="265">
        <v>35.209136935283396</v>
      </c>
      <c r="AI223" s="265">
        <v>34.416167076269602</v>
      </c>
      <c r="AJ223" s="265">
        <v>33.891615722182898</v>
      </c>
      <c r="AK223" s="265">
        <v>33.466271994111601</v>
      </c>
      <c r="AL223" s="265">
        <v>32.995542595686899</v>
      </c>
      <c r="AM223" s="265">
        <v>32.602374995127299</v>
      </c>
      <c r="AN223" s="265">
        <v>32.602374995127299</v>
      </c>
      <c r="AO223" s="265">
        <v>32.602374995127299</v>
      </c>
      <c r="AP223" s="265">
        <v>32.602374995127299</v>
      </c>
      <c r="AQ223" s="265">
        <v>32.602374995127299</v>
      </c>
      <c r="AR223" s="265">
        <v>32.602374995127299</v>
      </c>
      <c r="AS223" s="265">
        <v>32.602374995127299</v>
      </c>
      <c r="AT223" s="265">
        <v>32.602374995127299</v>
      </c>
      <c r="AU223" s="265">
        <v>32.602374995127299</v>
      </c>
      <c r="AV223" s="265">
        <v>32.602374995127299</v>
      </c>
      <c r="AW223" s="265">
        <v>32.602374995127299</v>
      </c>
      <c r="AX223" s="265">
        <v>32.602374995127299</v>
      </c>
      <c r="AY223" s="265">
        <v>32.602374995127299</v>
      </c>
      <c r="AZ223" s="265">
        <v>32.602374995127299</v>
      </c>
      <c r="BA223" s="265">
        <v>32.602374995127299</v>
      </c>
      <c r="BB223" s="265">
        <v>32.602374995127299</v>
      </c>
      <c r="BC223" s="265">
        <v>32.602374995127299</v>
      </c>
      <c r="BD223" s="265">
        <v>32.602374995127299</v>
      </c>
      <c r="BE223" s="265">
        <v>32.602374995127299</v>
      </c>
      <c r="BF223" s="265">
        <v>32.602374995127299</v>
      </c>
      <c r="BG223" s="265">
        <v>32.602374995127299</v>
      </c>
      <c r="BH223" s="265">
        <v>32.602374995127299</v>
      </c>
      <c r="BI223" s="265">
        <v>32.602374995127299</v>
      </c>
      <c r="BJ223" s="265">
        <v>32.602374995127299</v>
      </c>
      <c r="BK223" s="265">
        <v>32.602374995127299</v>
      </c>
      <c r="BL223" s="265">
        <v>32.602374995127299</v>
      </c>
      <c r="BM223" s="265">
        <v>32.602374995127299</v>
      </c>
      <c r="BN223" s="265">
        <v>32.602374995127299</v>
      </c>
      <c r="BO223" s="265">
        <v>32.602374995127299</v>
      </c>
      <c r="BP223" s="265">
        <v>32.602374995127299</v>
      </c>
      <c r="BQ223" s="265">
        <v>32.602374995127299</v>
      </c>
      <c r="BR223" s="265"/>
      <c r="BS223" s="265"/>
      <c r="BT223" s="265"/>
      <c r="BU223" s="265"/>
      <c r="BV223" s="265"/>
      <c r="BW223" s="265"/>
      <c r="BX223" s="265"/>
      <c r="BY223" s="265"/>
      <c r="BZ223" s="265"/>
      <c r="CA223" s="265"/>
      <c r="CG223" s="265"/>
      <c r="CH223" s="265"/>
      <c r="CI223" s="265"/>
      <c r="CJ223" s="265"/>
      <c r="CK223" s="265"/>
      <c r="CL223" s="265"/>
      <c r="CM223" s="265"/>
    </row>
    <row r="224" spans="1:91"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  <c r="AR224" s="265"/>
      <c r="AS224" s="265"/>
      <c r="AT224" s="265"/>
      <c r="AU224" s="265"/>
      <c r="AV224" s="265"/>
      <c r="AW224" s="265"/>
      <c r="AX224" s="265"/>
      <c r="AY224" s="265"/>
      <c r="AZ224" s="265"/>
      <c r="BA224" s="265"/>
      <c r="BB224" s="265"/>
      <c r="BC224" s="265"/>
      <c r="BD224" s="265"/>
      <c r="BE224" s="265"/>
      <c r="BF224" s="265"/>
      <c r="BG224" s="265"/>
      <c r="BH224" s="265"/>
      <c r="BI224" s="265"/>
      <c r="BJ224" s="265"/>
      <c r="BK224" s="265"/>
      <c r="BL224" s="265"/>
      <c r="BM224" s="265"/>
      <c r="BN224" s="265"/>
      <c r="BO224" s="265"/>
      <c r="BP224" s="265"/>
      <c r="BQ224" s="265"/>
      <c r="BR224" s="265"/>
      <c r="BS224" s="265"/>
      <c r="BT224" s="265"/>
      <c r="BU224" s="265"/>
      <c r="BV224" s="265"/>
      <c r="BW224" s="265"/>
      <c r="BX224" s="265"/>
      <c r="BY224" s="265"/>
      <c r="BZ224" s="265"/>
      <c r="CA224" s="265"/>
      <c r="CG224" s="265"/>
      <c r="CH224" s="265"/>
      <c r="CI224" s="265"/>
      <c r="CJ224" s="265"/>
      <c r="CK224" s="265"/>
      <c r="CL224" s="265"/>
      <c r="CM224" s="265"/>
    </row>
    <row r="225" spans="1:91">
      <c r="A225" s="263" t="s">
        <v>629</v>
      </c>
      <c r="B225" s="464">
        <f t="shared" ref="B225" si="127">B222-B223</f>
        <v>0</v>
      </c>
      <c r="C225" s="464">
        <f t="shared" ref="C225" si="128">C222-C223</f>
        <v>9.3199048478709301E-10</v>
      </c>
      <c r="D225" s="464">
        <f t="shared" ref="D225" si="129">D222-D223</f>
        <v>-2.0721003579637909E-8</v>
      </c>
      <c r="E225" s="464">
        <f t="shared" ref="E225" si="130">E222-E223</f>
        <v>0</v>
      </c>
      <c r="F225" s="464">
        <f t="shared" ref="F225" si="131">F222-F223</f>
        <v>2.4564002387705841E-8</v>
      </c>
      <c r="G225" s="464">
        <f t="shared" ref="G225" si="132">G222-G223</f>
        <v>-8.4185278180086698E-3</v>
      </c>
      <c r="H225" s="464">
        <f t="shared" ref="H225" si="133">H222-H223</f>
        <v>-0.20651588024300338</v>
      </c>
      <c r="I225" s="464">
        <f t="shared" ref="I225" si="134">I222-I223</f>
        <v>-0.16647177177999595</v>
      </c>
      <c r="J225" s="464">
        <f t="shared" ref="J225" si="135">J222-J223</f>
        <v>-0.12003928667400032</v>
      </c>
      <c r="K225" s="464">
        <f t="shared" ref="K225" si="136">K222-K223</f>
        <v>-0.22091007995190637</v>
      </c>
      <c r="L225" s="464">
        <f t="shared" ref="L225" si="137">L222-L223</f>
        <v>-0.54744399662020271</v>
      </c>
      <c r="M225" s="464">
        <f t="shared" ref="M225" si="138">M222-M223</f>
        <v>-0.59033257846020604</v>
      </c>
      <c r="N225" s="464">
        <f t="shared" ref="N225" si="139">N222-N223</f>
        <v>-0.61076022174529498</v>
      </c>
      <c r="O225" s="464">
        <f t="shared" ref="O225" si="140">O222-O223</f>
        <v>-0.57728570424480097</v>
      </c>
      <c r="P225" s="464">
        <f t="shared" ref="P225" si="141">P222-P223</f>
        <v>-0.48560892231770936</v>
      </c>
      <c r="Q225" s="464">
        <f t="shared" ref="Q225" si="142">Q222-Q223</f>
        <v>-0.45923276245591182</v>
      </c>
      <c r="R225" s="464">
        <f t="shared" ref="R225" si="143">R222-R223</f>
        <v>-0.434630589559589</v>
      </c>
      <c r="S225" s="464">
        <f t="shared" ref="S225" si="144">S222-S223</f>
        <v>-0.36513666529209843</v>
      </c>
      <c r="T225" s="464">
        <f t="shared" ref="T225" si="145">T222-T223</f>
        <v>-0.26465463452039728</v>
      </c>
      <c r="U225" s="464">
        <f t="shared" ref="U225" si="146">U222-U223</f>
        <v>-0.21927805431180047</v>
      </c>
      <c r="V225" s="464">
        <f t="shared" ref="V225" si="147">V222-V223</f>
        <v>-0.18011141940949926</v>
      </c>
      <c r="W225" s="464">
        <f t="shared" ref="W225" si="148">W222-W223</f>
        <v>-0.14065758790820126</v>
      </c>
      <c r="X225" s="464">
        <f t="shared" ref="X225" si="149">X222-X223</f>
        <v>-0.11447842791680074</v>
      </c>
      <c r="Y225" s="464">
        <f t="shared" ref="Y225" si="150">Y222-Y223</f>
        <v>-9.8299633711604884E-2</v>
      </c>
      <c r="Z225" s="464">
        <f t="shared" ref="Z225" si="151">Z222-Z223</f>
        <v>-7.0217056199901151E-2</v>
      </c>
      <c r="AA225" s="464">
        <f t="shared" ref="AA225" si="152">AA222-AA223</f>
        <v>-5.3604651242501689E-2</v>
      </c>
      <c r="AB225" s="464">
        <f t="shared" ref="AB225" si="153">AB222-AB223</f>
        <v>-2.4446645751595497E-2</v>
      </c>
      <c r="AC225" s="464">
        <f t="shared" ref="AC225:BQ225" si="154">AC222-AC223</f>
        <v>-1.9044237211296888E-2</v>
      </c>
      <c r="AD225" s="464">
        <f t="shared" si="154"/>
        <v>2.3096799992572414E-6</v>
      </c>
      <c r="AE225" s="464">
        <f t="shared" si="154"/>
        <v>3.1962990973966043E-6</v>
      </c>
      <c r="AF225" s="464">
        <f t="shared" ref="AF225" si="155">AF222-AF223</f>
        <v>1.4305115030310844E-6</v>
      </c>
      <c r="AG225" s="464">
        <f t="shared" si="154"/>
        <v>-2.123414972743376E-7</v>
      </c>
      <c r="AH225" s="464">
        <f t="shared" si="154"/>
        <v>1.6223639036638815E-6</v>
      </c>
      <c r="AI225" s="464">
        <f t="shared" ref="AI225" si="156">AI222-AI223</f>
        <v>-5.2303076003568094E-6</v>
      </c>
      <c r="AJ225" s="464">
        <f t="shared" si="154"/>
        <v>3.0696391988271898E-6</v>
      </c>
      <c r="AK225" s="464">
        <f t="shared" si="154"/>
        <v>-3.5613775040133078E-6</v>
      </c>
      <c r="AL225" s="464">
        <f t="shared" ref="AL225" si="157">AL222-AL223</f>
        <v>3.8295983983971382E-6</v>
      </c>
      <c r="AM225" s="464">
        <f t="shared" si="154"/>
        <v>2.3990870019474642E-6</v>
      </c>
      <c r="AN225" s="464">
        <f t="shared" si="154"/>
        <v>2.3990870019474642E-6</v>
      </c>
      <c r="AO225" s="464">
        <f t="shared" ref="AO225" si="158">AO222-AO223</f>
        <v>2.3990870019474642E-6</v>
      </c>
      <c r="AP225" s="464">
        <f t="shared" si="154"/>
        <v>2.3990870019474642E-6</v>
      </c>
      <c r="AQ225" s="464">
        <f t="shared" si="154"/>
        <v>2.3990870019474642E-6</v>
      </c>
      <c r="AR225" s="464">
        <f t="shared" ref="AR225" si="159">AR222-AR223</f>
        <v>2.3990870019474642E-6</v>
      </c>
      <c r="AS225" s="464">
        <f t="shared" si="154"/>
        <v>2.3990870019474642E-6</v>
      </c>
      <c r="AT225" s="464">
        <f t="shared" si="154"/>
        <v>2.3990870019474642E-6</v>
      </c>
      <c r="AU225" s="464">
        <f t="shared" ref="AU225" si="160">AU222-AU223</f>
        <v>2.3990870019474642E-6</v>
      </c>
      <c r="AV225" s="464">
        <f t="shared" si="154"/>
        <v>2.3990870019474642E-6</v>
      </c>
      <c r="AW225" s="464">
        <f t="shared" si="154"/>
        <v>2.3990870019474642E-6</v>
      </c>
      <c r="AX225" s="464">
        <f t="shared" ref="AX225" si="161">AX222-AX223</f>
        <v>2.3990870019474642E-6</v>
      </c>
      <c r="AY225" s="464">
        <f t="shared" si="154"/>
        <v>2.3990870019474642E-6</v>
      </c>
      <c r="AZ225" s="464">
        <f t="shared" si="154"/>
        <v>2.3990870019474642E-6</v>
      </c>
      <c r="BA225" s="464">
        <f t="shared" ref="BA225" si="162">BA222-BA223</f>
        <v>2.3990870019474642E-6</v>
      </c>
      <c r="BB225" s="464">
        <f t="shared" si="154"/>
        <v>2.3990870019474642E-6</v>
      </c>
      <c r="BC225" s="464">
        <f t="shared" si="154"/>
        <v>2.3990870019474642E-6</v>
      </c>
      <c r="BD225" s="464">
        <f t="shared" ref="BD225" si="163">BD222-BD223</f>
        <v>2.3990870019474642E-6</v>
      </c>
      <c r="BE225" s="464">
        <f t="shared" si="154"/>
        <v>2.3990870019474642E-6</v>
      </c>
      <c r="BF225" s="464">
        <f t="shared" si="154"/>
        <v>2.3990870019474642E-6</v>
      </c>
      <c r="BG225" s="464">
        <f t="shared" ref="BG225" si="164">BG222-BG223</f>
        <v>2.3990870019474642E-6</v>
      </c>
      <c r="BH225" s="464">
        <f t="shared" si="154"/>
        <v>2.3990870019474642E-6</v>
      </c>
      <c r="BI225" s="464">
        <f t="shared" si="154"/>
        <v>2.3990870019474642E-6</v>
      </c>
      <c r="BJ225" s="464">
        <f t="shared" ref="BJ225" si="165">BJ222-BJ223</f>
        <v>2.3990870019474642E-6</v>
      </c>
      <c r="BK225" s="464">
        <f t="shared" si="154"/>
        <v>2.3990870019474642E-6</v>
      </c>
      <c r="BL225" s="464">
        <f t="shared" si="154"/>
        <v>2.3990870019474642E-6</v>
      </c>
      <c r="BM225" s="464">
        <f t="shared" ref="BM225" si="166">BM222-BM223</f>
        <v>2.3990870019474642E-6</v>
      </c>
      <c r="BN225" s="464">
        <f t="shared" si="154"/>
        <v>2.3990870019474642E-6</v>
      </c>
      <c r="BO225" s="464">
        <f t="shared" si="154"/>
        <v>2.3990870019474642E-6</v>
      </c>
      <c r="BP225" s="464">
        <f t="shared" ref="BP225" si="167">BP222-BP223</f>
        <v>2.3990870019474642E-6</v>
      </c>
      <c r="BQ225" s="464">
        <f t="shared" si="154"/>
        <v>2.3990870019474642E-6</v>
      </c>
      <c r="BR225" s="464"/>
      <c r="BS225" s="464"/>
      <c r="BT225" s="464"/>
      <c r="BU225" s="464"/>
      <c r="BV225" s="464"/>
      <c r="BW225" s="464"/>
      <c r="BX225" s="464"/>
      <c r="BY225" s="464"/>
      <c r="BZ225" s="464"/>
      <c r="CA225" s="464"/>
      <c r="CG225" s="464"/>
      <c r="CH225" s="464"/>
      <c r="CI225" s="464"/>
      <c r="CJ225" s="464"/>
      <c r="CK225" s="464"/>
      <c r="CL225" s="464"/>
      <c r="CM225" s="464"/>
    </row>
    <row r="258" spans="1:91">
      <c r="A258" s="2" t="s">
        <v>575</v>
      </c>
    </row>
    <row r="259" spans="1:91" s="365" customFormat="1">
      <c r="A259" s="53"/>
      <c r="B259" s="53">
        <v>2023</v>
      </c>
      <c r="C259" s="53">
        <v>2024</v>
      </c>
      <c r="D259" s="53">
        <v>2025</v>
      </c>
      <c r="E259" s="53">
        <v>2026</v>
      </c>
      <c r="F259" s="53">
        <v>2027</v>
      </c>
      <c r="G259" s="53">
        <v>2028</v>
      </c>
      <c r="H259" s="53">
        <v>2029</v>
      </c>
      <c r="I259" s="53">
        <v>2030</v>
      </c>
      <c r="J259" s="53">
        <v>2031</v>
      </c>
      <c r="K259" s="53">
        <v>2032</v>
      </c>
      <c r="L259" s="53">
        <v>2033</v>
      </c>
      <c r="M259" s="53">
        <v>2034</v>
      </c>
      <c r="N259" s="53">
        <v>2035</v>
      </c>
      <c r="O259" s="53">
        <v>2036</v>
      </c>
      <c r="P259" s="53">
        <v>2037</v>
      </c>
      <c r="Q259" s="53">
        <v>2038</v>
      </c>
      <c r="R259" s="53">
        <v>2039</v>
      </c>
      <c r="S259" s="53">
        <v>2040</v>
      </c>
      <c r="T259" s="53">
        <v>2041</v>
      </c>
      <c r="U259" s="53">
        <v>2042</v>
      </c>
      <c r="V259" s="53">
        <v>2043</v>
      </c>
      <c r="W259" s="53">
        <v>2044</v>
      </c>
      <c r="X259" s="53">
        <v>2045</v>
      </c>
      <c r="Y259" s="53">
        <v>2046</v>
      </c>
      <c r="Z259" s="53">
        <v>2047</v>
      </c>
      <c r="AA259" s="53">
        <v>2048</v>
      </c>
      <c r="AB259" s="53">
        <v>2049</v>
      </c>
      <c r="AC259" s="53">
        <v>2050</v>
      </c>
      <c r="AD259" s="53">
        <v>2051</v>
      </c>
      <c r="AE259" s="53">
        <v>2052</v>
      </c>
      <c r="AF259" s="53">
        <v>2053</v>
      </c>
      <c r="AG259" s="53">
        <v>2054</v>
      </c>
      <c r="AH259" s="53">
        <v>2055</v>
      </c>
      <c r="AI259" s="53">
        <v>2056</v>
      </c>
      <c r="AJ259" s="53">
        <v>2057</v>
      </c>
      <c r="AK259" s="53">
        <v>2058</v>
      </c>
      <c r="AL259" s="53">
        <v>2059</v>
      </c>
      <c r="AM259" s="53">
        <v>2060</v>
      </c>
      <c r="AN259" s="53">
        <v>2061</v>
      </c>
      <c r="AO259" s="53">
        <v>2062</v>
      </c>
      <c r="AP259" s="53">
        <v>2063</v>
      </c>
      <c r="AQ259" s="53">
        <v>2064</v>
      </c>
      <c r="AR259" s="53">
        <v>2065</v>
      </c>
      <c r="AS259" s="53">
        <v>2066</v>
      </c>
      <c r="AT259" s="53">
        <v>2067</v>
      </c>
      <c r="AU259" s="53">
        <v>2068</v>
      </c>
      <c r="AV259" s="53">
        <v>2069</v>
      </c>
      <c r="AW259" s="53">
        <v>2070</v>
      </c>
      <c r="AX259" s="53">
        <v>2071</v>
      </c>
      <c r="AY259" s="53">
        <v>2072</v>
      </c>
      <c r="AZ259" s="53">
        <v>2073</v>
      </c>
      <c r="BA259" s="53">
        <v>2074</v>
      </c>
      <c r="BB259" s="53">
        <v>2075</v>
      </c>
      <c r="BC259" s="53">
        <v>2076</v>
      </c>
      <c r="BD259" s="53">
        <v>2077</v>
      </c>
      <c r="BE259" s="53">
        <v>2078</v>
      </c>
      <c r="BF259" s="53">
        <v>2079</v>
      </c>
      <c r="BG259" s="53">
        <v>2080</v>
      </c>
      <c r="BH259" s="53">
        <v>2081</v>
      </c>
      <c r="BI259" s="53">
        <v>2082</v>
      </c>
      <c r="BJ259" s="53">
        <v>2083</v>
      </c>
      <c r="BK259" s="53">
        <v>2084</v>
      </c>
      <c r="BL259" s="53">
        <v>2085</v>
      </c>
      <c r="BM259" s="53">
        <v>2086</v>
      </c>
      <c r="BN259" s="53">
        <v>2087</v>
      </c>
      <c r="BO259" s="53">
        <v>2088</v>
      </c>
      <c r="BP259" s="53">
        <v>2089</v>
      </c>
      <c r="BQ259" s="53">
        <v>2090</v>
      </c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G259" s="53"/>
      <c r="CH259" s="53"/>
      <c r="CI259" s="53"/>
      <c r="CJ259" s="53"/>
      <c r="CK259" s="53"/>
      <c r="CL259" s="53"/>
      <c r="CM259" s="53"/>
    </row>
    <row r="260" spans="1:91">
      <c r="A260" s="2" t="s">
        <v>682</v>
      </c>
      <c r="B260" s="214">
        <f>Formue!Y34</f>
        <v>233.15</v>
      </c>
      <c r="C260" s="214">
        <f>Formue!Z34</f>
        <v>241.21594043253518</v>
      </c>
      <c r="D260" s="214">
        <f>Formue!AA34</f>
        <v>238.16830110926762</v>
      </c>
      <c r="E260" s="214">
        <f>Formue!AB34</f>
        <v>236.41447723234148</v>
      </c>
      <c r="F260" s="214">
        <f>Formue!AC34</f>
        <v>232.08664448923989</v>
      </c>
      <c r="G260" s="214">
        <f>Formue!AD34</f>
        <v>218.59570077720218</v>
      </c>
      <c r="H260" s="214">
        <f>Formue!AE34</f>
        <v>204.6059458103143</v>
      </c>
      <c r="I260" s="214">
        <f>Formue!AF34</f>
        <v>193.19365242068238</v>
      </c>
      <c r="J260" s="214">
        <f>Formue!AG34</f>
        <v>184.77994896594291</v>
      </c>
      <c r="K260" s="214">
        <f>Formue!AH34</f>
        <v>176.30876350221612</v>
      </c>
      <c r="L260" s="214">
        <f>Formue!AI34</f>
        <v>169.4251810943926</v>
      </c>
      <c r="M260" s="214">
        <f>Formue!AJ34</f>
        <v>165.75468141269565</v>
      </c>
      <c r="N260" s="214">
        <f>Formue!AK34</f>
        <v>161.7762638432495</v>
      </c>
      <c r="O260" s="214">
        <f>Formue!AL34</f>
        <v>157.66172991607431</v>
      </c>
      <c r="P260" s="214">
        <f>Formue!AM34</f>
        <v>151.81280442972241</v>
      </c>
      <c r="Q260" s="214">
        <f>Formue!AN34</f>
        <v>143.32598267418305</v>
      </c>
      <c r="R260" s="214">
        <f>Formue!AO34</f>
        <v>135.17011303045234</v>
      </c>
      <c r="S260" s="214">
        <f>Formue!AP34</f>
        <v>128.87716393736778</v>
      </c>
      <c r="T260" s="214">
        <f>Formue!AQ34</f>
        <v>123.30066131627613</v>
      </c>
      <c r="U260" s="214">
        <f>Formue!AR34</f>
        <v>118.4257562608541</v>
      </c>
      <c r="V260" s="214">
        <f>Formue!AS34</f>
        <v>113.60222458101305</v>
      </c>
      <c r="W260" s="214">
        <f>Formue!AT34</f>
        <v>108.76792428614533</v>
      </c>
      <c r="X260" s="214">
        <f>Formue!AU34</f>
        <v>104.17507405643636</v>
      </c>
      <c r="Y260" s="214">
        <f>Formue!AV34</f>
        <v>100.24064588468177</v>
      </c>
      <c r="Z260" s="214">
        <f>Formue!AW34</f>
        <v>96.438412448617342</v>
      </c>
      <c r="AA260" s="214">
        <f>Formue!AX34</f>
        <v>92.968473816209411</v>
      </c>
      <c r="AB260" s="214">
        <f>Formue!AY34</f>
        <v>89.467297762524652</v>
      </c>
      <c r="AC260" s="214">
        <f>Formue!AZ34</f>
        <v>85.971856646497599</v>
      </c>
      <c r="AD260" s="214">
        <f>Formue!BA34</f>
        <v>82.937361615878842</v>
      </c>
      <c r="AE260" s="214">
        <f>Formue!BB34</f>
        <v>79.420192644886129</v>
      </c>
      <c r="AF260" s="214">
        <f>Formue!BC34</f>
        <v>76.469996437669721</v>
      </c>
      <c r="AG260" s="214">
        <f>Formue!BD34</f>
        <v>73.762390322641693</v>
      </c>
      <c r="AH260" s="214">
        <f>Formue!BE34</f>
        <v>71.472395833386827</v>
      </c>
      <c r="AI260" s="214">
        <f>Formue!BF34</f>
        <v>69.165990025125168</v>
      </c>
      <c r="AJ260" s="214">
        <f>Formue!BG34</f>
        <v>67.101182841521222</v>
      </c>
      <c r="AK260" s="214">
        <f>Formue!BH34</f>
        <v>64.895406083334819</v>
      </c>
      <c r="AL260" s="214">
        <f>Formue!BI34</f>
        <v>62.792664368713304</v>
      </c>
      <c r="AM260" s="214">
        <f>Formue!BJ34</f>
        <v>60.721105953300167</v>
      </c>
      <c r="AN260" s="214">
        <f>Formue!BK34</f>
        <v>60.721105953300167</v>
      </c>
      <c r="AO260" s="214">
        <f>Formue!BL34</f>
        <v>60.721105953300167</v>
      </c>
      <c r="AP260" s="214">
        <f>Formue!BM34</f>
        <v>60.721105953300167</v>
      </c>
      <c r="AQ260" s="214">
        <f>Formue!BN34</f>
        <v>60.721105953300167</v>
      </c>
      <c r="AR260" s="214">
        <f>Formue!BO34</f>
        <v>60.721105953300167</v>
      </c>
      <c r="AS260" s="214">
        <f>Formue!BP34</f>
        <v>60.721105953300167</v>
      </c>
      <c r="AT260" s="214">
        <f>Formue!BQ34</f>
        <v>60.721105953300167</v>
      </c>
      <c r="AU260" s="214">
        <f>Formue!BR34</f>
        <v>60.721105953300167</v>
      </c>
      <c r="AV260" s="214">
        <f>Formue!BS34</f>
        <v>60.721105953300167</v>
      </c>
      <c r="AW260" s="214">
        <f>Formue!BT34</f>
        <v>60.721105953300167</v>
      </c>
      <c r="AX260" s="214">
        <f>Formue!BU34</f>
        <v>60.721105953300167</v>
      </c>
      <c r="AY260" s="214">
        <f>Formue!BV34</f>
        <v>60.721105953300167</v>
      </c>
      <c r="AZ260" s="214">
        <f>Formue!BW34</f>
        <v>60.721105953300167</v>
      </c>
      <c r="BA260" s="214">
        <f>Formue!BX34</f>
        <v>60.721105953300167</v>
      </c>
      <c r="BB260" s="214">
        <f>Formue!BY34</f>
        <v>60.721105953300167</v>
      </c>
      <c r="BC260" s="214">
        <f>Formue!BZ34</f>
        <v>60.721105953300167</v>
      </c>
      <c r="BD260" s="214">
        <f>Formue!CA34</f>
        <v>60.721105953300167</v>
      </c>
      <c r="BE260" s="214">
        <f>Formue!CB34</f>
        <v>60.721105953300167</v>
      </c>
      <c r="BF260" s="214">
        <f>Formue!CC34</f>
        <v>60.721105953300167</v>
      </c>
      <c r="BG260" s="214">
        <f>Formue!CD34</f>
        <v>60.721105953300167</v>
      </c>
      <c r="BH260" s="214">
        <f>Formue!CE34</f>
        <v>60.721105953300167</v>
      </c>
      <c r="BI260" s="214">
        <f>Formue!CF34</f>
        <v>60.721105953300167</v>
      </c>
      <c r="BJ260" s="214">
        <f>Formue!CG34</f>
        <v>60.721105953300167</v>
      </c>
      <c r="BK260" s="214">
        <f>Formue!CH34</f>
        <v>60.721105953300167</v>
      </c>
      <c r="BL260" s="214">
        <f>Formue!CI34</f>
        <v>60.721105953300167</v>
      </c>
      <c r="BM260" s="214">
        <f>Formue!CJ34</f>
        <v>60.721105953300167</v>
      </c>
      <c r="BN260" s="214">
        <f>Formue!CK34</f>
        <v>60.721105953300167</v>
      </c>
      <c r="BO260" s="214">
        <f>Formue!CL34</f>
        <v>60.721105953300167</v>
      </c>
      <c r="BP260" s="214">
        <f>Formue!CM34</f>
        <v>60.721105953300167</v>
      </c>
      <c r="BQ260" s="214">
        <f>Formue!CN34</f>
        <v>60.721105953300167</v>
      </c>
      <c r="BR260" s="214"/>
      <c r="BS260" s="214"/>
      <c r="BT260" s="214"/>
      <c r="BU260" s="214"/>
      <c r="BV260" s="214"/>
      <c r="BW260" s="214"/>
      <c r="BX260" s="214"/>
      <c r="BY260" s="214"/>
      <c r="BZ260" s="214"/>
      <c r="CA260" s="214"/>
      <c r="CG260" s="214"/>
      <c r="CH260" s="214"/>
      <c r="CI260" s="214"/>
      <c r="CJ260" s="214"/>
      <c r="CK260" s="214"/>
      <c r="CL260" s="214"/>
      <c r="CM260" s="214"/>
    </row>
    <row r="261" spans="1:91">
      <c r="A261" s="2" t="s">
        <v>671</v>
      </c>
      <c r="B261" s="265">
        <v>233.15</v>
      </c>
      <c r="C261" s="265">
        <v>241.2159405522095</v>
      </c>
      <c r="D261" s="265">
        <v>235.0984718890814</v>
      </c>
      <c r="E261" s="265">
        <v>236.41447839818227</v>
      </c>
      <c r="F261" s="265">
        <v>232.08664149080278</v>
      </c>
      <c r="G261" s="265">
        <v>219.56742168185301</v>
      </c>
      <c r="H261" s="265">
        <v>207.2713039089742</v>
      </c>
      <c r="I261" s="265">
        <v>194.16249625631448</v>
      </c>
      <c r="J261" s="265">
        <v>184.724249131401</v>
      </c>
      <c r="K261" s="265">
        <v>176.03771014633048</v>
      </c>
      <c r="L261" s="265">
        <v>169.809496514393</v>
      </c>
      <c r="M261" s="265">
        <v>166.3154961062512</v>
      </c>
      <c r="N261" s="265">
        <v>162.32208559691838</v>
      </c>
      <c r="O261" s="265">
        <v>158.19373891342639</v>
      </c>
      <c r="P261" s="265">
        <v>152.28293965578615</v>
      </c>
      <c r="Q261" s="265">
        <v>143.85730985893835</v>
      </c>
      <c r="R261" s="265">
        <v>135.6832885455174</v>
      </c>
      <c r="S261" s="265">
        <v>129.30531168732492</v>
      </c>
      <c r="T261" s="265">
        <v>123.62344988617045</v>
      </c>
      <c r="U261" s="265">
        <v>118.69144557516798</v>
      </c>
      <c r="V261" s="265">
        <v>113.81862088698504</v>
      </c>
      <c r="W261" s="265">
        <v>108.93702710470498</v>
      </c>
      <c r="X261" s="265">
        <v>104.31182441274518</v>
      </c>
      <c r="Y261" s="265">
        <v>100.35640150654945</v>
      </c>
      <c r="Z261" s="265">
        <v>96.522386281220463</v>
      </c>
      <c r="AA261" s="265">
        <v>93.032913256166268</v>
      </c>
      <c r="AB261" s="265">
        <v>89.499570093475526</v>
      </c>
      <c r="AC261" s="265">
        <v>85.996999397433285</v>
      </c>
      <c r="AD261" s="265">
        <v>82.934551440348244</v>
      </c>
      <c r="AE261" s="265">
        <v>79.418004474091703</v>
      </c>
      <c r="AF261" s="265">
        <v>76.4682885326975</v>
      </c>
      <c r="AG261" s="265">
        <v>73.76238880551719</v>
      </c>
      <c r="AH261" s="265">
        <v>71.472390034972506</v>
      </c>
      <c r="AI261" s="265">
        <v>69.165997159056076</v>
      </c>
      <c r="AJ261" s="265">
        <v>67.101179898541901</v>
      </c>
      <c r="AK261" s="265">
        <v>64.895405464936644</v>
      </c>
      <c r="AL261" s="265">
        <v>62.792660066003094</v>
      </c>
      <c r="AM261" s="265">
        <v>60.721100208902484</v>
      </c>
      <c r="AN261" s="265">
        <v>60.721100208902484</v>
      </c>
      <c r="AO261" s="265">
        <v>60.721100208902484</v>
      </c>
      <c r="AP261" s="265">
        <v>60.721100208902484</v>
      </c>
      <c r="AQ261" s="265">
        <v>60.721100208902484</v>
      </c>
      <c r="AR261" s="265">
        <v>60.721100208902484</v>
      </c>
      <c r="AS261" s="265">
        <v>60.721100208902484</v>
      </c>
      <c r="AT261" s="265">
        <v>60.721100208902484</v>
      </c>
      <c r="AU261" s="265">
        <v>60.721100208902484</v>
      </c>
      <c r="AV261" s="265">
        <v>60.721100208902484</v>
      </c>
      <c r="AW261" s="265">
        <v>60.721100208902484</v>
      </c>
      <c r="AX261" s="265">
        <v>60.721100208902484</v>
      </c>
      <c r="AY261" s="265">
        <v>60.721100208902484</v>
      </c>
      <c r="AZ261" s="265">
        <v>60.721100208902484</v>
      </c>
      <c r="BA261" s="265">
        <v>60.721100208902484</v>
      </c>
      <c r="BB261" s="265">
        <v>60.721100208902484</v>
      </c>
      <c r="BC261" s="265">
        <v>60.721100208902484</v>
      </c>
      <c r="BD261" s="265">
        <v>60.721100208902484</v>
      </c>
      <c r="BE261" s="265">
        <v>60.721100208902484</v>
      </c>
      <c r="BF261" s="265">
        <v>60.721100208902484</v>
      </c>
      <c r="BG261" s="265">
        <v>60.721100208902484</v>
      </c>
      <c r="BH261" s="265">
        <v>60.721100208902484</v>
      </c>
      <c r="BI261" s="265">
        <v>60.721100208902484</v>
      </c>
      <c r="BJ261" s="265">
        <v>60.721100208902484</v>
      </c>
      <c r="BK261" s="265">
        <v>60.721100208902484</v>
      </c>
      <c r="BL261" s="265">
        <v>60.721100208902484</v>
      </c>
      <c r="BM261" s="265">
        <v>60.721100208902484</v>
      </c>
      <c r="BN261" s="265">
        <v>60.721100208902484</v>
      </c>
      <c r="BO261" s="265">
        <v>60.721100208902484</v>
      </c>
      <c r="BP261" s="265">
        <v>60.721100208902484</v>
      </c>
      <c r="BQ261" s="265">
        <v>60.721100208902484</v>
      </c>
      <c r="BR261" s="265"/>
      <c r="BS261" s="265"/>
      <c r="BT261" s="265"/>
      <c r="BU261" s="265"/>
      <c r="BV261" s="265"/>
      <c r="BW261" s="265"/>
      <c r="BX261" s="265"/>
      <c r="BY261" s="265"/>
      <c r="BZ261" s="265"/>
      <c r="CA261" s="265"/>
      <c r="CG261" s="265"/>
      <c r="CH261" s="265"/>
      <c r="CI261" s="265"/>
      <c r="CJ261" s="265"/>
      <c r="CK261" s="265"/>
      <c r="CL261" s="265"/>
      <c r="CM261" s="265"/>
    </row>
    <row r="262" spans="1:91"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AX262" s="265"/>
      <c r="AY262" s="265"/>
      <c r="AZ262" s="265"/>
      <c r="BA262" s="265"/>
      <c r="BB262" s="265"/>
      <c r="BC262" s="265"/>
      <c r="BD262" s="265"/>
      <c r="BE262" s="265"/>
      <c r="BF262" s="265"/>
      <c r="BG262" s="265"/>
      <c r="BH262" s="265"/>
      <c r="BI262" s="265"/>
      <c r="BJ262" s="265"/>
      <c r="BK262" s="265"/>
      <c r="BL262" s="265"/>
      <c r="BM262" s="265"/>
      <c r="BN262" s="265"/>
      <c r="BO262" s="265"/>
      <c r="BP262" s="265"/>
      <c r="BQ262" s="265"/>
      <c r="BR262" s="265"/>
      <c r="BS262" s="265"/>
      <c r="BT262" s="265"/>
      <c r="BU262" s="265"/>
      <c r="BV262" s="265"/>
      <c r="BW262" s="265"/>
      <c r="BX262" s="265"/>
      <c r="BY262" s="265"/>
      <c r="BZ262" s="265"/>
      <c r="CA262" s="265"/>
      <c r="CG262" s="265"/>
      <c r="CH262" s="265"/>
      <c r="CI262" s="265"/>
      <c r="CJ262" s="265"/>
      <c r="CK262" s="265"/>
      <c r="CL262" s="265"/>
      <c r="CM262" s="265"/>
    </row>
    <row r="263" spans="1:91">
      <c r="A263" s="263" t="s">
        <v>629</v>
      </c>
      <c r="B263" s="464">
        <f t="shared" ref="B263:AC263" si="168">B260-B261</f>
        <v>0</v>
      </c>
      <c r="C263" s="464">
        <f t="shared" si="168"/>
        <v>-1.1967432556048152E-7</v>
      </c>
      <c r="D263" s="464">
        <f t="shared" si="168"/>
        <v>3.0698292201862216</v>
      </c>
      <c r="E263" s="464">
        <f t="shared" si="168"/>
        <v>-1.1658407856884878E-6</v>
      </c>
      <c r="F263" s="464">
        <f t="shared" si="168"/>
        <v>2.9984371110458596E-6</v>
      </c>
      <c r="G263" s="464">
        <f t="shared" si="168"/>
        <v>-0.97172090465082306</v>
      </c>
      <c r="H263" s="464">
        <f t="shared" si="168"/>
        <v>-2.6653580986599081</v>
      </c>
      <c r="I263" s="464">
        <f t="shared" si="168"/>
        <v>-0.96884383563210008</v>
      </c>
      <c r="J263" s="464">
        <f t="shared" si="168"/>
        <v>5.5699834541911741E-2</v>
      </c>
      <c r="K263" s="464">
        <f t="shared" si="168"/>
        <v>0.27105335588564117</v>
      </c>
      <c r="L263" s="464">
        <f t="shared" si="168"/>
        <v>-0.38431542000040508</v>
      </c>
      <c r="M263" s="464">
        <f t="shared" si="168"/>
        <v>-0.56081469355555669</v>
      </c>
      <c r="N263" s="464">
        <f t="shared" si="168"/>
        <v>-0.54582175366888919</v>
      </c>
      <c r="O263" s="464">
        <f t="shared" si="168"/>
        <v>-0.5320089973520794</v>
      </c>
      <c r="P263" s="464">
        <f t="shared" si="168"/>
        <v>-0.47013522606374636</v>
      </c>
      <c r="Q263" s="464">
        <f t="shared" si="168"/>
        <v>-0.53132718475529828</v>
      </c>
      <c r="R263" s="464">
        <f t="shared" si="168"/>
        <v>-0.51317551506505765</v>
      </c>
      <c r="S263" s="464">
        <f t="shared" si="168"/>
        <v>-0.42814774995713378</v>
      </c>
      <c r="T263" s="464">
        <f t="shared" si="168"/>
        <v>-0.32278856989431404</v>
      </c>
      <c r="U263" s="464">
        <f t="shared" si="168"/>
        <v>-0.26568931431387455</v>
      </c>
      <c r="V263" s="464">
        <f t="shared" si="168"/>
        <v>-0.21639630597199755</v>
      </c>
      <c r="W263" s="464">
        <f t="shared" si="168"/>
        <v>-0.16910281855965081</v>
      </c>
      <c r="X263" s="464">
        <f t="shared" si="168"/>
        <v>-0.13675035630882348</v>
      </c>
      <c r="Y263" s="464">
        <f t="shared" si="168"/>
        <v>-0.11575562186767741</v>
      </c>
      <c r="Z263" s="464">
        <f t="shared" si="168"/>
        <v>-8.3973832603120968E-2</v>
      </c>
      <c r="AA263" s="464">
        <f t="shared" si="168"/>
        <v>-6.4439439956856859E-2</v>
      </c>
      <c r="AB263" s="464">
        <f t="shared" si="168"/>
        <v>-3.2272330950874561E-2</v>
      </c>
      <c r="AC263" s="464">
        <f t="shared" si="168"/>
        <v>-2.5142750935685854E-2</v>
      </c>
      <c r="AD263" s="464">
        <f t="shared" ref="AD263:BQ263" si="169">AD260-AD261</f>
        <v>2.8101755305982579E-3</v>
      </c>
      <c r="AE263" s="464">
        <f t="shared" si="169"/>
        <v>2.1881707944260143E-3</v>
      </c>
      <c r="AF263" s="464">
        <f t="shared" si="169"/>
        <v>1.7079049722212858E-3</v>
      </c>
      <c r="AG263" s="464">
        <f t="shared" si="169"/>
        <v>1.5171245024703239E-6</v>
      </c>
      <c r="AH263" s="464">
        <f t="shared" si="169"/>
        <v>5.7984143211342598E-6</v>
      </c>
      <c r="AI263" s="464">
        <f t="shared" si="169"/>
        <v>-7.1339309073437107E-6</v>
      </c>
      <c r="AJ263" s="464">
        <f t="shared" si="169"/>
        <v>2.9429793215740574E-6</v>
      </c>
      <c r="AK263" s="464">
        <f t="shared" si="169"/>
        <v>6.1839817533382302E-7</v>
      </c>
      <c r="AL263" s="464">
        <f t="shared" si="169"/>
        <v>4.3027102094583825E-6</v>
      </c>
      <c r="AM263" s="464">
        <f t="shared" si="169"/>
        <v>5.7443976828608356E-6</v>
      </c>
      <c r="AN263" s="464">
        <f t="shared" si="169"/>
        <v>5.7443976828608356E-6</v>
      </c>
      <c r="AO263" s="464">
        <f t="shared" si="169"/>
        <v>5.7443976828608356E-6</v>
      </c>
      <c r="AP263" s="464">
        <f t="shared" si="169"/>
        <v>5.7443976828608356E-6</v>
      </c>
      <c r="AQ263" s="464">
        <f t="shared" si="169"/>
        <v>5.7443976828608356E-6</v>
      </c>
      <c r="AR263" s="464">
        <f t="shared" si="169"/>
        <v>5.7443976828608356E-6</v>
      </c>
      <c r="AS263" s="464">
        <f t="shared" si="169"/>
        <v>5.7443976828608356E-6</v>
      </c>
      <c r="AT263" s="464">
        <f t="shared" si="169"/>
        <v>5.7443976828608356E-6</v>
      </c>
      <c r="AU263" s="464">
        <f t="shared" si="169"/>
        <v>5.7443976828608356E-6</v>
      </c>
      <c r="AV263" s="464">
        <f t="shared" si="169"/>
        <v>5.7443976828608356E-6</v>
      </c>
      <c r="AW263" s="464">
        <f t="shared" si="169"/>
        <v>5.7443976828608356E-6</v>
      </c>
      <c r="AX263" s="464">
        <f t="shared" si="169"/>
        <v>5.7443976828608356E-6</v>
      </c>
      <c r="AY263" s="464">
        <f t="shared" si="169"/>
        <v>5.7443976828608356E-6</v>
      </c>
      <c r="AZ263" s="464">
        <f t="shared" si="169"/>
        <v>5.7443976828608356E-6</v>
      </c>
      <c r="BA263" s="464">
        <f t="shared" si="169"/>
        <v>5.7443976828608356E-6</v>
      </c>
      <c r="BB263" s="464">
        <f t="shared" si="169"/>
        <v>5.7443976828608356E-6</v>
      </c>
      <c r="BC263" s="464">
        <f t="shared" si="169"/>
        <v>5.7443976828608356E-6</v>
      </c>
      <c r="BD263" s="464">
        <f t="shared" si="169"/>
        <v>5.7443976828608356E-6</v>
      </c>
      <c r="BE263" s="464">
        <f t="shared" si="169"/>
        <v>5.7443976828608356E-6</v>
      </c>
      <c r="BF263" s="464">
        <f t="shared" si="169"/>
        <v>5.7443976828608356E-6</v>
      </c>
      <c r="BG263" s="464">
        <f t="shared" si="169"/>
        <v>5.7443976828608356E-6</v>
      </c>
      <c r="BH263" s="464">
        <f t="shared" si="169"/>
        <v>5.7443976828608356E-6</v>
      </c>
      <c r="BI263" s="464">
        <f t="shared" si="169"/>
        <v>5.7443976828608356E-6</v>
      </c>
      <c r="BJ263" s="464">
        <f t="shared" si="169"/>
        <v>5.7443976828608356E-6</v>
      </c>
      <c r="BK263" s="464">
        <f t="shared" si="169"/>
        <v>5.7443976828608356E-6</v>
      </c>
      <c r="BL263" s="464">
        <f t="shared" si="169"/>
        <v>5.7443976828608356E-6</v>
      </c>
      <c r="BM263" s="464">
        <f t="shared" si="169"/>
        <v>5.7443976828608356E-6</v>
      </c>
      <c r="BN263" s="464">
        <f t="shared" si="169"/>
        <v>5.7443976828608356E-6</v>
      </c>
      <c r="BO263" s="464">
        <f t="shared" si="169"/>
        <v>5.7443976828608356E-6</v>
      </c>
      <c r="BP263" s="464">
        <f t="shared" si="169"/>
        <v>5.7443976828608356E-6</v>
      </c>
      <c r="BQ263" s="464">
        <f t="shared" si="169"/>
        <v>5.7443976828608356E-6</v>
      </c>
      <c r="BR263" s="464"/>
      <c r="BS263" s="464"/>
      <c r="BT263" s="464"/>
      <c r="BU263" s="464"/>
      <c r="BV263" s="464"/>
      <c r="BW263" s="464"/>
      <c r="BX263" s="464"/>
      <c r="BY263" s="464"/>
      <c r="BZ263" s="464"/>
      <c r="CA263" s="464"/>
      <c r="CG263" s="464"/>
      <c r="CH263" s="464"/>
      <c r="CI263" s="464"/>
      <c r="CJ263" s="464"/>
      <c r="CK263" s="464"/>
      <c r="CL263" s="464"/>
      <c r="CM263" s="464"/>
    </row>
    <row r="267" spans="1:91">
      <c r="A267" s="263"/>
    </row>
    <row r="300" spans="1:86">
      <c r="A300" s="2" t="s">
        <v>545</v>
      </c>
      <c r="C300" s="32" t="s">
        <v>630</v>
      </c>
      <c r="I300" s="403"/>
    </row>
    <row r="303" spans="1:86" s="365" customFormat="1">
      <c r="A303" s="53"/>
      <c r="B303" s="53">
        <v>2023</v>
      </c>
      <c r="C303" s="53">
        <v>2024</v>
      </c>
      <c r="D303" s="53">
        <v>2025</v>
      </c>
      <c r="E303" s="53">
        <v>2026</v>
      </c>
      <c r="F303" s="53">
        <v>2027</v>
      </c>
      <c r="G303" s="53">
        <v>2028</v>
      </c>
      <c r="H303" s="53">
        <v>2029</v>
      </c>
      <c r="I303" s="53">
        <v>2030</v>
      </c>
      <c r="J303" s="53">
        <v>2031</v>
      </c>
      <c r="K303" s="53">
        <v>2032</v>
      </c>
      <c r="L303" s="53">
        <v>2033</v>
      </c>
      <c r="M303" s="53">
        <v>2034</v>
      </c>
      <c r="N303" s="53">
        <v>2035</v>
      </c>
      <c r="O303" s="53">
        <v>2036</v>
      </c>
      <c r="P303" s="53">
        <v>2037</v>
      </c>
      <c r="Q303" s="53">
        <v>2038</v>
      </c>
      <c r="R303" s="53">
        <v>2039</v>
      </c>
      <c r="S303" s="53">
        <v>2040</v>
      </c>
      <c r="T303" s="53">
        <v>2041</v>
      </c>
      <c r="U303" s="53">
        <v>2042</v>
      </c>
      <c r="V303" s="53">
        <v>2043</v>
      </c>
      <c r="W303" s="53">
        <v>2044</v>
      </c>
      <c r="X303" s="53">
        <v>2045</v>
      </c>
      <c r="Y303" s="53">
        <v>2046</v>
      </c>
      <c r="Z303" s="53">
        <v>2047</v>
      </c>
      <c r="AA303" s="53">
        <v>2048</v>
      </c>
      <c r="AB303" s="53">
        <v>2049</v>
      </c>
      <c r="AC303" s="53">
        <v>2050</v>
      </c>
      <c r="AD303" s="53">
        <v>2051</v>
      </c>
      <c r="AE303" s="53">
        <v>2052</v>
      </c>
      <c r="AF303" s="53">
        <v>2053</v>
      </c>
      <c r="AG303" s="53">
        <v>2054</v>
      </c>
      <c r="AH303" s="53">
        <v>2055</v>
      </c>
      <c r="AI303" s="53">
        <v>2056</v>
      </c>
      <c r="AJ303" s="53">
        <v>2057</v>
      </c>
      <c r="AK303" s="53">
        <v>2058</v>
      </c>
      <c r="AL303" s="53">
        <v>2059</v>
      </c>
      <c r="AM303" s="53">
        <v>2060</v>
      </c>
      <c r="AN303" s="53">
        <v>2061</v>
      </c>
      <c r="AO303" s="53">
        <v>2062</v>
      </c>
      <c r="AP303" s="53">
        <v>2063</v>
      </c>
      <c r="AQ303" s="53">
        <v>2064</v>
      </c>
      <c r="AR303" s="53">
        <v>2065</v>
      </c>
      <c r="AS303" s="53">
        <v>2066</v>
      </c>
      <c r="AT303" s="53">
        <v>2067</v>
      </c>
      <c r="AU303" s="53">
        <v>2068</v>
      </c>
      <c r="AV303" s="53">
        <v>2069</v>
      </c>
      <c r="AW303" s="53">
        <v>2070</v>
      </c>
      <c r="AX303" s="53">
        <v>2071</v>
      </c>
      <c r="AY303" s="53">
        <v>2072</v>
      </c>
      <c r="AZ303" s="53">
        <v>2073</v>
      </c>
      <c r="BA303" s="53">
        <v>2074</v>
      </c>
      <c r="BB303" s="53">
        <v>2075</v>
      </c>
      <c r="BC303" s="53">
        <v>2076</v>
      </c>
      <c r="BD303" s="53">
        <v>2077</v>
      </c>
      <c r="BE303" s="53">
        <v>2078</v>
      </c>
      <c r="BF303" s="53">
        <v>2079</v>
      </c>
      <c r="BG303" s="53">
        <v>2080</v>
      </c>
      <c r="BH303" s="53">
        <v>2081</v>
      </c>
      <c r="BI303" s="53">
        <v>2082</v>
      </c>
      <c r="BJ303" s="53">
        <v>2083</v>
      </c>
      <c r="BK303" s="53">
        <v>2084</v>
      </c>
      <c r="BL303" s="53">
        <v>2085</v>
      </c>
      <c r="BM303" s="53">
        <v>2086</v>
      </c>
      <c r="BN303" s="53">
        <v>2087</v>
      </c>
      <c r="BO303" s="53">
        <v>2088</v>
      </c>
      <c r="BP303" s="53">
        <v>2089</v>
      </c>
      <c r="BQ303" s="53">
        <v>2090</v>
      </c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G303" s="53"/>
      <c r="CH303" s="53"/>
    </row>
    <row r="304" spans="1:86">
      <c r="A304" s="2" t="s">
        <v>682</v>
      </c>
      <c r="B304" s="214">
        <f>Formue!Y54</f>
        <v>99860.558147429678</v>
      </c>
      <c r="C304" s="214">
        <f>Formue!Z54</f>
        <v>95264.594467607778</v>
      </c>
      <c r="D304" s="214">
        <f>Formue!AA54</f>
        <v>98103.523038539774</v>
      </c>
      <c r="E304" s="214">
        <f>Formue!AB54</f>
        <v>103415.34605491448</v>
      </c>
      <c r="F304" s="214">
        <f>Formue!AC54</f>
        <v>104027.95118372542</v>
      </c>
      <c r="G304" s="214">
        <f>Formue!AD54</f>
        <v>102642.07037417749</v>
      </c>
      <c r="H304" s="214">
        <f>Formue!AE54</f>
        <v>100850.46785157442</v>
      </c>
      <c r="I304" s="214">
        <f>Formue!AF54</f>
        <v>93291.780335690346</v>
      </c>
      <c r="J304" s="214">
        <f>Formue!AG54</f>
        <v>92673.906590685641</v>
      </c>
      <c r="K304" s="214">
        <f>Formue!AH54</f>
        <v>93631.228203927836</v>
      </c>
      <c r="L304" s="214">
        <f>Formue!AI54</f>
        <v>93262.367660878081</v>
      </c>
      <c r="M304" s="214">
        <f>Formue!AJ54</f>
        <v>92747.4880848717</v>
      </c>
      <c r="N304" s="214">
        <f>Formue!AK54</f>
        <v>91806.920495555984</v>
      </c>
      <c r="O304" s="214">
        <f>Formue!AL54</f>
        <v>88367.092948856662</v>
      </c>
      <c r="P304" s="214">
        <f>Formue!AM54</f>
        <v>86666.612575307488</v>
      </c>
      <c r="Q304" s="214">
        <f>Formue!AN54</f>
        <v>85018.958500637265</v>
      </c>
      <c r="R304" s="214">
        <f>Formue!AO54</f>
        <v>81903.391572286666</v>
      </c>
      <c r="S304" s="214">
        <f>Formue!AP54</f>
        <v>80707.647886927793</v>
      </c>
      <c r="T304" s="214">
        <f>Formue!AQ54</f>
        <v>79919.870365169423</v>
      </c>
      <c r="U304" s="214">
        <f>Formue!AR54</f>
        <v>79162.044068667834</v>
      </c>
      <c r="V304" s="214">
        <f>Formue!AS54</f>
        <v>77688.118945763708</v>
      </c>
      <c r="W304" s="214">
        <f>Formue!AT54</f>
        <v>76511.19845760327</v>
      </c>
      <c r="X304" s="214">
        <f>Formue!AU54</f>
        <v>76089.406799941906</v>
      </c>
      <c r="Y304" s="214">
        <f>Formue!AV54</f>
        <v>73222.413651893628</v>
      </c>
      <c r="Z304" s="214">
        <f>Formue!AW54</f>
        <v>73860.287082548719</v>
      </c>
      <c r="AA304" s="214">
        <f>Formue!AX54</f>
        <v>71210.238301224541</v>
      </c>
      <c r="AB304" s="214">
        <f>Formue!AY54</f>
        <v>68522.021812818843</v>
      </c>
      <c r="AC304" s="214">
        <f>Formue!AZ54</f>
        <v>64950.787505148721</v>
      </c>
      <c r="AD304" s="214">
        <f>Formue!BA54</f>
        <v>62975.862629596428</v>
      </c>
      <c r="AE304" s="214">
        <f>Formue!BB54</f>
        <v>61008.371650724715</v>
      </c>
      <c r="AF304" s="214">
        <f>Formue!BC54</f>
        <v>60552.76265704439</v>
      </c>
      <c r="AG304" s="214">
        <f>Formue!BD54</f>
        <v>60555.462945804284</v>
      </c>
      <c r="AH304" s="214">
        <f>Formue!BE54</f>
        <v>57876.63399217384</v>
      </c>
      <c r="AI304" s="214">
        <f>Formue!BF54</f>
        <v>52785.479920396705</v>
      </c>
      <c r="AJ304" s="214">
        <f>Formue!BG54</f>
        <v>52012.063211980305</v>
      </c>
      <c r="AK304" s="214">
        <f>Formue!BH54</f>
        <v>51400.667663072338</v>
      </c>
      <c r="AL304" s="214">
        <f>Formue!BI54</f>
        <v>49559.965265121413</v>
      </c>
      <c r="AM304" s="214">
        <f>Formue!BJ54</f>
        <v>48532.876967143318</v>
      </c>
      <c r="AN304" s="214">
        <f>Formue!BK54</f>
        <v>49309.40299861761</v>
      </c>
      <c r="AO304" s="214">
        <f>Formue!BL54</f>
        <v>50098.353446595494</v>
      </c>
      <c r="AP304" s="214">
        <f>Formue!BM54</f>
        <v>50899.927101741021</v>
      </c>
      <c r="AQ304" s="214">
        <f>Formue!BN54</f>
        <v>51714.325935368877</v>
      </c>
      <c r="AR304" s="214">
        <f>Formue!BO54</f>
        <v>52541.755150334779</v>
      </c>
      <c r="AS304" s="214">
        <f>Formue!BP54</f>
        <v>53382.423232740133</v>
      </c>
      <c r="AT304" s="214">
        <f>Formue!BQ54</f>
        <v>54236.542004463976</v>
      </c>
      <c r="AU304" s="214">
        <f>Formue!BR54</f>
        <v>55104.326676535398</v>
      </c>
      <c r="AV304" s="214">
        <f>Formue!BS54</f>
        <v>55985.995903359966</v>
      </c>
      <c r="AW304" s="214">
        <f>Formue!BT54</f>
        <v>56881.771837813729</v>
      </c>
      <c r="AX304" s="214">
        <f>Formue!BU54</f>
        <v>57791.880187218747</v>
      </c>
      <c r="AY304" s="214">
        <f>Formue!BV54</f>
        <v>58716.550270214248</v>
      </c>
      <c r="AZ304" s="214">
        <f>Formue!BW54</f>
        <v>59656.015074537674</v>
      </c>
      <c r="BA304" s="214">
        <f>Formue!BX54</f>
        <v>60610.511315730277</v>
      </c>
      <c r="BB304" s="214">
        <f>Formue!BY54</f>
        <v>61580.279496781965</v>
      </c>
      <c r="BC304" s="214">
        <f>Formue!BZ54</f>
        <v>62565.563968730479</v>
      </c>
      <c r="BD304" s="214">
        <f>Formue!CA54</f>
        <v>63566.61299223017</v>
      </c>
      <c r="BE304" s="214">
        <f>Formue!CB54</f>
        <v>64583.678800105852</v>
      </c>
      <c r="BF304" s="214">
        <f>Formue!CC54</f>
        <v>65617.017660907542</v>
      </c>
      <c r="BG304" s="214">
        <f>Formue!CD54</f>
        <v>66666.889943482063</v>
      </c>
      <c r="BH304" s="214">
        <f>Formue!CE54</f>
        <v>67733.56018257777</v>
      </c>
      <c r="BI304" s="214">
        <f>Formue!CF54</f>
        <v>68817.297145499018</v>
      </c>
      <c r="BJ304" s="214">
        <f>Formue!CG54</f>
        <v>69918.373899826998</v>
      </c>
      <c r="BK304" s="214">
        <f>Formue!CH54</f>
        <v>71037.067882224233</v>
      </c>
      <c r="BL304" s="214">
        <f>Formue!CI54</f>
        <v>72173.660968339827</v>
      </c>
      <c r="BM304" s="214">
        <f>Formue!CJ54</f>
        <v>73328.439543833272</v>
      </c>
      <c r="BN304" s="214">
        <f>Formue!CK54</f>
        <v>74501.694576534603</v>
      </c>
      <c r="BO304" s="214">
        <f>Formue!CL54</f>
        <v>75693.721689759157</v>
      </c>
      <c r="BP304" s="214">
        <f>Formue!CM54</f>
        <v>76904.821236795309</v>
      </c>
      <c r="BQ304" s="214">
        <f>Formue!CN54</f>
        <v>78135.298376584033</v>
      </c>
      <c r="BR304" s="214"/>
      <c r="BS304" s="214"/>
      <c r="BT304" s="214"/>
      <c r="BU304" s="214"/>
      <c r="BV304" s="214"/>
      <c r="BW304" s="214"/>
      <c r="BX304" s="214"/>
      <c r="BY304" s="214"/>
      <c r="BZ304" s="214"/>
      <c r="CA304" s="214"/>
      <c r="CG304" s="214"/>
      <c r="CH304" s="214"/>
    </row>
    <row r="305" spans="1:79">
      <c r="A305" s="2" t="s">
        <v>671</v>
      </c>
      <c r="B305" s="265">
        <v>99860.558147429678</v>
      </c>
      <c r="C305" s="265">
        <v>95356.629504440774</v>
      </c>
      <c r="D305" s="265">
        <v>99716.098540267762</v>
      </c>
      <c r="E305" s="265">
        <v>101512.93041588068</v>
      </c>
      <c r="F305" s="265">
        <v>100690.39184220279</v>
      </c>
      <c r="G305" s="265">
        <v>100437.25925000725</v>
      </c>
      <c r="H305" s="265">
        <v>99559.926617369158</v>
      </c>
      <c r="I305" s="265">
        <v>94480.780085875595</v>
      </c>
      <c r="J305" s="265">
        <v>94354.158848779654</v>
      </c>
      <c r="K305" s="265">
        <v>95197.202004694816</v>
      </c>
      <c r="L305" s="265">
        <v>94954.62732770601</v>
      </c>
      <c r="M305" s="265">
        <v>94414.368389941272</v>
      </c>
      <c r="N305" s="265">
        <v>93300.974465923748</v>
      </c>
      <c r="O305" s="265">
        <v>89539.902838408161</v>
      </c>
      <c r="P305" s="265">
        <v>87623.914947898957</v>
      </c>
      <c r="Q305" s="265">
        <v>85987.70792052793</v>
      </c>
      <c r="R305" s="265">
        <v>82544.063410887029</v>
      </c>
      <c r="S305" s="265">
        <v>81288.820660224344</v>
      </c>
      <c r="T305" s="265">
        <v>80347.380432726743</v>
      </c>
      <c r="U305" s="265">
        <v>79565.621472468905</v>
      </c>
      <c r="V305" s="265">
        <v>77935.711436643949</v>
      </c>
      <c r="W305" s="265">
        <v>76778.036010908283</v>
      </c>
      <c r="X305" s="265">
        <v>76359.865166727861</v>
      </c>
      <c r="Y305" s="265">
        <v>73547.4726101829</v>
      </c>
      <c r="Z305" s="265">
        <v>74126.288967364133</v>
      </c>
      <c r="AA305" s="265">
        <v>71378.003867317311</v>
      </c>
      <c r="AB305" s="265">
        <v>69110.58410025273</v>
      </c>
      <c r="AC305" s="265">
        <v>65456.626821237558</v>
      </c>
      <c r="AD305" s="265">
        <v>63517.913873049125</v>
      </c>
      <c r="AE305" s="265">
        <v>61565.758899584733</v>
      </c>
      <c r="AF305" s="265">
        <v>61076.437868228197</v>
      </c>
      <c r="AG305" s="265">
        <v>61061.419628263779</v>
      </c>
      <c r="AH305" s="265">
        <v>58300.091164006422</v>
      </c>
      <c r="AI305" s="265">
        <v>53153.041452591868</v>
      </c>
      <c r="AJ305" s="265">
        <v>52367.75274707043</v>
      </c>
      <c r="AK305" s="265">
        <v>51816.370207605432</v>
      </c>
      <c r="AL305" s="265">
        <v>49879.628109940335</v>
      </c>
      <c r="AM305" s="265">
        <v>48857.104209703597</v>
      </c>
      <c r="AN305" s="265">
        <v>49638.817877058849</v>
      </c>
      <c r="AO305" s="265">
        <v>50433.038963091793</v>
      </c>
      <c r="AP305" s="265">
        <v>51239.967586501261</v>
      </c>
      <c r="AQ305" s="265">
        <v>52059.807067885282</v>
      </c>
      <c r="AR305" s="265">
        <v>52892.763980971453</v>
      </c>
      <c r="AS305" s="265">
        <v>53739.048204667</v>
      </c>
      <c r="AT305" s="265">
        <v>54598.872975941675</v>
      </c>
      <c r="AU305" s="265">
        <v>55472.454943556746</v>
      </c>
      <c r="AV305" s="265">
        <v>56360.014222653655</v>
      </c>
      <c r="AW305" s="265">
        <v>57261.774450216115</v>
      </c>
      <c r="AX305" s="265">
        <v>58177.962841419576</v>
      </c>
      <c r="AY305" s="265">
        <v>59108.810246882291</v>
      </c>
      <c r="AZ305" s="265">
        <v>60054.551210832411</v>
      </c>
      <c r="BA305" s="265">
        <v>61015.42403020573</v>
      </c>
      <c r="BB305" s="265">
        <v>61991.670814689023</v>
      </c>
      <c r="BC305" s="265">
        <v>62983.537547724045</v>
      </c>
      <c r="BD305" s="265">
        <v>63991.274148487624</v>
      </c>
      <c r="BE305" s="265">
        <v>65015.134534863428</v>
      </c>
      <c r="BF305" s="265">
        <v>66055.376687421245</v>
      </c>
      <c r="BG305" s="265">
        <v>67112.26271441998</v>
      </c>
      <c r="BH305" s="265">
        <v>68186.058917850707</v>
      </c>
      <c r="BI305" s="265">
        <v>69277.035860536314</v>
      </c>
      <c r="BJ305" s="265">
        <v>70385.468434304887</v>
      </c>
      <c r="BK305" s="265">
        <v>71511.635929253767</v>
      </c>
      <c r="BL305" s="265">
        <v>72655.82210412182</v>
      </c>
      <c r="BM305" s="265">
        <v>73818.315257787763</v>
      </c>
      <c r="BN305" s="265">
        <v>74999.408301912365</v>
      </c>
      <c r="BO305" s="265">
        <v>76199.398834742969</v>
      </c>
      <c r="BP305" s="265">
        <v>77418.589216098859</v>
      </c>
      <c r="BQ305" s="265">
        <v>78657.286643556436</v>
      </c>
      <c r="BR305" s="265"/>
      <c r="BS305" s="265"/>
      <c r="BT305" s="265"/>
      <c r="BU305" s="265"/>
      <c r="BV305" s="265"/>
      <c r="BW305" s="265"/>
      <c r="BX305" s="265"/>
      <c r="BY305" s="336"/>
      <c r="BZ305" s="336"/>
      <c r="CA305" s="336"/>
    </row>
    <row r="306" spans="1:79"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  <c r="AU306" s="265"/>
      <c r="AV306" s="265"/>
      <c r="AW306" s="265"/>
      <c r="AX306" s="265"/>
      <c r="AY306" s="265"/>
      <c r="AZ306" s="265"/>
      <c r="BA306" s="265"/>
      <c r="BB306" s="265"/>
      <c r="BC306" s="265"/>
      <c r="BD306" s="265"/>
      <c r="BE306" s="265"/>
      <c r="BF306" s="265"/>
      <c r="BG306" s="265"/>
      <c r="BH306" s="265"/>
      <c r="BI306" s="265"/>
      <c r="BJ306" s="265"/>
      <c r="BK306" s="265"/>
      <c r="BL306" s="265"/>
      <c r="BM306" s="265"/>
      <c r="BN306" s="265"/>
      <c r="BO306" s="265"/>
      <c r="BP306" s="265"/>
      <c r="BQ306" s="265"/>
      <c r="BR306" s="265"/>
      <c r="BS306" s="265"/>
      <c r="BT306" s="265"/>
      <c r="BU306" s="265"/>
      <c r="BV306" s="265"/>
      <c r="BW306" s="265"/>
      <c r="BX306" s="265"/>
      <c r="BY306" s="336"/>
      <c r="BZ306" s="336"/>
      <c r="CA306" s="336"/>
    </row>
    <row r="307" spans="1:79">
      <c r="A307" s="263" t="s">
        <v>629</v>
      </c>
      <c r="B307" s="464">
        <f t="shared" ref="B307" si="170">B304-B305</f>
        <v>0</v>
      </c>
      <c r="C307" s="464">
        <f t="shared" ref="C307" si="171">C304-C305</f>
        <v>-92.035036832996411</v>
      </c>
      <c r="D307" s="464">
        <f t="shared" ref="D307" si="172">D304-D305</f>
        <v>-1612.575501727988</v>
      </c>
      <c r="E307" s="464">
        <f t="shared" ref="E307" si="173">E304-E305</f>
        <v>1902.415639033803</v>
      </c>
      <c r="F307" s="464">
        <f t="shared" ref="F307" si="174">F304-F305</f>
        <v>3337.5593415226322</v>
      </c>
      <c r="G307" s="464">
        <f t="shared" ref="G307" si="175">G304-G305</f>
        <v>2204.8111241702427</v>
      </c>
      <c r="H307" s="464">
        <f t="shared" ref="H307" si="176">H304-H305</f>
        <v>1290.5412342052587</v>
      </c>
      <c r="I307" s="464">
        <f t="shared" ref="I307" si="177">I304-I305</f>
        <v>-1188.9997501852486</v>
      </c>
      <c r="J307" s="464">
        <f t="shared" ref="J307" si="178">J304-J305</f>
        <v>-1680.2522580940131</v>
      </c>
      <c r="K307" s="464">
        <f t="shared" ref="K307" si="179">K304-K305</f>
        <v>-1565.9738007669803</v>
      </c>
      <c r="L307" s="464">
        <f t="shared" ref="L307" si="180">L304-L305</f>
        <v>-1692.2596668279293</v>
      </c>
      <c r="M307" s="464">
        <f t="shared" ref="M307" si="181">M304-M305</f>
        <v>-1666.8803050695715</v>
      </c>
      <c r="N307" s="464">
        <f t="shared" ref="N307" si="182">N304-N305</f>
        <v>-1494.0539703677641</v>
      </c>
      <c r="O307" s="464">
        <f t="shared" ref="O307" si="183">O304-O305</f>
        <v>-1172.8098895514995</v>
      </c>
      <c r="P307" s="464">
        <f t="shared" ref="P307" si="184">P304-P305</f>
        <v>-957.30237259146816</v>
      </c>
      <c r="Q307" s="464">
        <f t="shared" ref="Q307" si="185">Q304-Q305</f>
        <v>-968.74941989066429</v>
      </c>
      <c r="R307" s="464">
        <f t="shared" ref="R307" si="186">R304-R305</f>
        <v>-640.67183860036312</v>
      </c>
      <c r="S307" s="464">
        <f t="shared" ref="S307" si="187">S304-S305</f>
        <v>-581.1727732965519</v>
      </c>
      <c r="T307" s="464">
        <f t="shared" ref="T307" si="188">T304-T305</f>
        <v>-427.51006755731942</v>
      </c>
      <c r="U307" s="464">
        <f t="shared" ref="U307" si="189">U304-U305</f>
        <v>-403.57740380107134</v>
      </c>
      <c r="V307" s="464">
        <f t="shared" ref="V307" si="190">V304-V305</f>
        <v>-247.5924908802408</v>
      </c>
      <c r="W307" s="464">
        <f t="shared" ref="W307" si="191">W304-W305</f>
        <v>-266.83755330501299</v>
      </c>
      <c r="X307" s="464">
        <f t="shared" ref="X307" si="192">X304-X305</f>
        <v>-270.45836678595515</v>
      </c>
      <c r="Y307" s="464">
        <f t="shared" ref="Y307" si="193">Y304-Y305</f>
        <v>-325.05895828927169</v>
      </c>
      <c r="Z307" s="464">
        <f t="shared" ref="Z307" si="194">Z304-Z305</f>
        <v>-266.00188481541409</v>
      </c>
      <c r="AA307" s="464">
        <f t="shared" ref="AA307" si="195">AA304-AA305</f>
        <v>-167.76556609277031</v>
      </c>
      <c r="AB307" s="464">
        <f t="shared" ref="AB307" si="196">AB304-AB305</f>
        <v>-588.56228743388783</v>
      </c>
      <c r="AC307" s="464">
        <f t="shared" ref="AC307:BQ307" si="197">AC304-AC305</f>
        <v>-505.83931608883722</v>
      </c>
      <c r="AD307" s="464">
        <f t="shared" si="197"/>
        <v>-542.05124345269724</v>
      </c>
      <c r="AE307" s="464">
        <f t="shared" si="197"/>
        <v>-557.38724886001728</v>
      </c>
      <c r="AF307" s="464">
        <f t="shared" ref="AF307" si="198">AF304-AF305</f>
        <v>-523.67521118380682</v>
      </c>
      <c r="AG307" s="464">
        <f t="shared" si="197"/>
        <v>-505.95668245949491</v>
      </c>
      <c r="AH307" s="464">
        <f t="shared" si="197"/>
        <v>-423.45717183258239</v>
      </c>
      <c r="AI307" s="464">
        <f t="shared" ref="AI307" si="199">AI304-AI305</f>
        <v>-367.56153219516273</v>
      </c>
      <c r="AJ307" s="464">
        <f t="shared" si="197"/>
        <v>-355.68953509012499</v>
      </c>
      <c r="AK307" s="464">
        <f t="shared" si="197"/>
        <v>-415.70254453309462</v>
      </c>
      <c r="AL307" s="464">
        <f t="shared" ref="AL307" si="200">AL304-AL305</f>
        <v>-319.66284481892217</v>
      </c>
      <c r="AM307" s="464">
        <f t="shared" si="197"/>
        <v>-324.22724256027868</v>
      </c>
      <c r="AN307" s="464">
        <f t="shared" si="197"/>
        <v>-329.41487844123913</v>
      </c>
      <c r="AO307" s="464">
        <f t="shared" ref="AO307" si="201">AO304-AO305</f>
        <v>-334.68551649629808</v>
      </c>
      <c r="AP307" s="464">
        <f t="shared" si="197"/>
        <v>-340.04048476024036</v>
      </c>
      <c r="AQ307" s="464">
        <f t="shared" si="197"/>
        <v>-345.48113251640461</v>
      </c>
      <c r="AR307" s="464">
        <f t="shared" ref="AR307" si="202">AR304-AR305</f>
        <v>-351.00883063667425</v>
      </c>
      <c r="AS307" s="464">
        <f t="shared" si="197"/>
        <v>-356.62497192686715</v>
      </c>
      <c r="AT307" s="464">
        <f t="shared" si="197"/>
        <v>-362.33097147769877</v>
      </c>
      <c r="AU307" s="464">
        <f t="shared" ref="AU307" si="203">AU304-AU305</f>
        <v>-368.12826702134771</v>
      </c>
      <c r="AV307" s="464">
        <f t="shared" si="197"/>
        <v>-374.01831929368927</v>
      </c>
      <c r="AW307" s="464">
        <f t="shared" si="197"/>
        <v>-380.00261240238615</v>
      </c>
      <c r="AX307" s="464">
        <f t="shared" ref="AX307" si="204">AX304-AX305</f>
        <v>-386.08265420082898</v>
      </c>
      <c r="AY307" s="464">
        <f t="shared" si="197"/>
        <v>-392.25997666804324</v>
      </c>
      <c r="AZ307" s="464">
        <f t="shared" si="197"/>
        <v>-398.53613629473693</v>
      </c>
      <c r="BA307" s="464">
        <f t="shared" ref="BA307" si="205">BA304-BA305</f>
        <v>-404.91271447545296</v>
      </c>
      <c r="BB307" s="464">
        <f t="shared" si="197"/>
        <v>-411.39131790705869</v>
      </c>
      <c r="BC307" s="464">
        <f t="shared" si="197"/>
        <v>-417.97357899356575</v>
      </c>
      <c r="BD307" s="464">
        <f t="shared" ref="BD307" si="206">BD304-BD305</f>
        <v>-424.66115625745442</v>
      </c>
      <c r="BE307" s="464">
        <f t="shared" si="197"/>
        <v>-431.45573475757556</v>
      </c>
      <c r="BF307" s="464">
        <f t="shared" si="197"/>
        <v>-438.3590265137027</v>
      </c>
      <c r="BG307" s="464">
        <f t="shared" ref="BG307" si="207">BG304-BG305</f>
        <v>-445.37277093791636</v>
      </c>
      <c r="BH307" s="464">
        <f t="shared" si="197"/>
        <v>-452.49873527293676</v>
      </c>
      <c r="BI307" s="464">
        <f t="shared" si="197"/>
        <v>-459.73871503729606</v>
      </c>
      <c r="BJ307" s="464">
        <f t="shared" ref="BJ307" si="208">BJ304-BJ305</f>
        <v>-467.09453447788837</v>
      </c>
      <c r="BK307" s="464">
        <f t="shared" si="197"/>
        <v>-474.56804702953377</v>
      </c>
      <c r="BL307" s="464">
        <f t="shared" si="197"/>
        <v>-482.16113578199293</v>
      </c>
      <c r="BM307" s="464">
        <f t="shared" ref="BM307" si="209">BM304-BM305</f>
        <v>-489.87571395449049</v>
      </c>
      <c r="BN307" s="464">
        <f t="shared" si="197"/>
        <v>-497.71372537776188</v>
      </c>
      <c r="BO307" s="464">
        <f t="shared" si="197"/>
        <v>-505.67714498381247</v>
      </c>
      <c r="BP307" s="464">
        <f t="shared" ref="BP307" si="210">BP304-BP305</f>
        <v>-513.76797930354951</v>
      </c>
      <c r="BQ307" s="464">
        <f t="shared" si="197"/>
        <v>-521.98826697240293</v>
      </c>
      <c r="BR307" s="464"/>
      <c r="BS307" s="464"/>
      <c r="BT307" s="464"/>
      <c r="BU307" s="464"/>
      <c r="BV307" s="464"/>
      <c r="BW307" s="464"/>
      <c r="BX307" s="464"/>
      <c r="BY307" s="464"/>
      <c r="BZ307" s="464"/>
      <c r="CA307" s="464"/>
    </row>
    <row r="344" spans="1:79">
      <c r="A344" s="263"/>
    </row>
    <row r="345" spans="1:79">
      <c r="A345" s="2" t="s">
        <v>546</v>
      </c>
    </row>
    <row r="347" spans="1:79" s="365" customFormat="1">
      <c r="A347" s="53"/>
      <c r="B347" s="53">
        <f t="shared" ref="B347:AC347" si="211">B303</f>
        <v>2023</v>
      </c>
      <c r="C347" s="53">
        <f t="shared" si="211"/>
        <v>2024</v>
      </c>
      <c r="D347" s="53">
        <f t="shared" si="211"/>
        <v>2025</v>
      </c>
      <c r="E347" s="53">
        <f t="shared" si="211"/>
        <v>2026</v>
      </c>
      <c r="F347" s="53">
        <f t="shared" si="211"/>
        <v>2027</v>
      </c>
      <c r="G347" s="53">
        <f t="shared" si="211"/>
        <v>2028</v>
      </c>
      <c r="H347" s="53">
        <f t="shared" si="211"/>
        <v>2029</v>
      </c>
      <c r="I347" s="53">
        <f t="shared" si="211"/>
        <v>2030</v>
      </c>
      <c r="J347" s="53">
        <f t="shared" si="211"/>
        <v>2031</v>
      </c>
      <c r="K347" s="53">
        <f t="shared" si="211"/>
        <v>2032</v>
      </c>
      <c r="L347" s="53">
        <f t="shared" si="211"/>
        <v>2033</v>
      </c>
      <c r="M347" s="53">
        <f t="shared" si="211"/>
        <v>2034</v>
      </c>
      <c r="N347" s="53">
        <f t="shared" si="211"/>
        <v>2035</v>
      </c>
      <c r="O347" s="53">
        <f t="shared" si="211"/>
        <v>2036</v>
      </c>
      <c r="P347" s="53">
        <f t="shared" si="211"/>
        <v>2037</v>
      </c>
      <c r="Q347" s="53">
        <f t="shared" si="211"/>
        <v>2038</v>
      </c>
      <c r="R347" s="53">
        <f t="shared" si="211"/>
        <v>2039</v>
      </c>
      <c r="S347" s="53">
        <f t="shared" si="211"/>
        <v>2040</v>
      </c>
      <c r="T347" s="53">
        <f t="shared" si="211"/>
        <v>2041</v>
      </c>
      <c r="U347" s="53">
        <f t="shared" si="211"/>
        <v>2042</v>
      </c>
      <c r="V347" s="53">
        <f t="shared" si="211"/>
        <v>2043</v>
      </c>
      <c r="W347" s="53">
        <f t="shared" si="211"/>
        <v>2044</v>
      </c>
      <c r="X347" s="53">
        <f t="shared" si="211"/>
        <v>2045</v>
      </c>
      <c r="Y347" s="53">
        <f t="shared" si="211"/>
        <v>2046</v>
      </c>
      <c r="Z347" s="53">
        <f t="shared" si="211"/>
        <v>2047</v>
      </c>
      <c r="AA347" s="53">
        <f t="shared" si="211"/>
        <v>2048</v>
      </c>
      <c r="AB347" s="53">
        <f t="shared" si="211"/>
        <v>2049</v>
      </c>
      <c r="AC347" s="53">
        <f t="shared" si="211"/>
        <v>2050</v>
      </c>
      <c r="AD347" s="53">
        <f t="shared" ref="AD347:BQ347" si="212">AD303</f>
        <v>2051</v>
      </c>
      <c r="AE347" s="53">
        <f t="shared" si="212"/>
        <v>2052</v>
      </c>
      <c r="AF347" s="53">
        <f t="shared" si="212"/>
        <v>2053</v>
      </c>
      <c r="AG347" s="53">
        <f t="shared" si="212"/>
        <v>2054</v>
      </c>
      <c r="AH347" s="53">
        <f t="shared" si="212"/>
        <v>2055</v>
      </c>
      <c r="AI347" s="53">
        <f t="shared" si="212"/>
        <v>2056</v>
      </c>
      <c r="AJ347" s="53">
        <f t="shared" si="212"/>
        <v>2057</v>
      </c>
      <c r="AK347" s="53">
        <f t="shared" si="212"/>
        <v>2058</v>
      </c>
      <c r="AL347" s="53">
        <f t="shared" si="212"/>
        <v>2059</v>
      </c>
      <c r="AM347" s="53">
        <f t="shared" si="212"/>
        <v>2060</v>
      </c>
      <c r="AN347" s="53">
        <f t="shared" si="212"/>
        <v>2061</v>
      </c>
      <c r="AO347" s="53">
        <f t="shared" si="212"/>
        <v>2062</v>
      </c>
      <c r="AP347" s="53">
        <f t="shared" si="212"/>
        <v>2063</v>
      </c>
      <c r="AQ347" s="53">
        <f t="shared" si="212"/>
        <v>2064</v>
      </c>
      <c r="AR347" s="53">
        <f t="shared" si="212"/>
        <v>2065</v>
      </c>
      <c r="AS347" s="53">
        <f t="shared" si="212"/>
        <v>2066</v>
      </c>
      <c r="AT347" s="53">
        <f t="shared" si="212"/>
        <v>2067</v>
      </c>
      <c r="AU347" s="53">
        <f t="shared" si="212"/>
        <v>2068</v>
      </c>
      <c r="AV347" s="53">
        <f t="shared" si="212"/>
        <v>2069</v>
      </c>
      <c r="AW347" s="53">
        <f t="shared" si="212"/>
        <v>2070</v>
      </c>
      <c r="AX347" s="53">
        <f t="shared" si="212"/>
        <v>2071</v>
      </c>
      <c r="AY347" s="53">
        <f t="shared" si="212"/>
        <v>2072</v>
      </c>
      <c r="AZ347" s="53">
        <f t="shared" si="212"/>
        <v>2073</v>
      </c>
      <c r="BA347" s="53">
        <f t="shared" si="212"/>
        <v>2074</v>
      </c>
      <c r="BB347" s="53">
        <f t="shared" si="212"/>
        <v>2075</v>
      </c>
      <c r="BC347" s="53">
        <f t="shared" si="212"/>
        <v>2076</v>
      </c>
      <c r="BD347" s="53">
        <f t="shared" si="212"/>
        <v>2077</v>
      </c>
      <c r="BE347" s="53">
        <f t="shared" si="212"/>
        <v>2078</v>
      </c>
      <c r="BF347" s="53">
        <f t="shared" si="212"/>
        <v>2079</v>
      </c>
      <c r="BG347" s="53">
        <f t="shared" si="212"/>
        <v>2080</v>
      </c>
      <c r="BH347" s="53">
        <f t="shared" si="212"/>
        <v>2081</v>
      </c>
      <c r="BI347" s="53">
        <f t="shared" si="212"/>
        <v>2082</v>
      </c>
      <c r="BJ347" s="53">
        <f t="shared" si="212"/>
        <v>2083</v>
      </c>
      <c r="BK347" s="53">
        <f t="shared" si="212"/>
        <v>2084</v>
      </c>
      <c r="BL347" s="53">
        <f t="shared" si="212"/>
        <v>2085</v>
      </c>
      <c r="BM347" s="53">
        <f t="shared" si="212"/>
        <v>2086</v>
      </c>
      <c r="BN347" s="53">
        <f t="shared" si="212"/>
        <v>2087</v>
      </c>
      <c r="BO347" s="53">
        <f t="shared" si="212"/>
        <v>2088</v>
      </c>
      <c r="BP347" s="53">
        <f t="shared" si="212"/>
        <v>2089</v>
      </c>
      <c r="BQ347" s="53">
        <f t="shared" si="212"/>
        <v>2090</v>
      </c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</row>
    <row r="348" spans="1:79">
      <c r="A348" s="2" t="s">
        <v>682</v>
      </c>
      <c r="B348" s="439">
        <f>Formue!Y111</f>
        <v>428.31035019270718</v>
      </c>
      <c r="C348" s="439">
        <f>Formue!Z111</f>
        <v>394.93490478607896</v>
      </c>
      <c r="D348" s="439">
        <f>Formue!AA111</f>
        <v>411.90839663222658</v>
      </c>
      <c r="E348" s="439">
        <f>Formue!AB111</f>
        <v>437.43237413198176</v>
      </c>
      <c r="F348" s="439">
        <f>Formue!AC111</f>
        <v>448.22894231015704</v>
      </c>
      <c r="G348" s="439">
        <f>Formue!AD111</f>
        <v>469.55210010645487</v>
      </c>
      <c r="H348" s="439">
        <f>Formue!AE111</f>
        <v>492.90096361652502</v>
      </c>
      <c r="I348" s="439">
        <f>Formue!AF111</f>
        <v>482.89257523091879</v>
      </c>
      <c r="J348" s="439">
        <f>Formue!AG111</f>
        <v>501.53659587689634</v>
      </c>
      <c r="K348" s="439">
        <f>Formue!AH111</f>
        <v>531.06394908583729</v>
      </c>
      <c r="L348" s="439">
        <f>Formue!AI111</f>
        <v>550.46343795210942</v>
      </c>
      <c r="M348" s="439">
        <f>Formue!AJ111</f>
        <v>559.5467186471144</v>
      </c>
      <c r="N348" s="439">
        <f>Formue!AK111</f>
        <v>567.4931433977905</v>
      </c>
      <c r="O348" s="439">
        <f>Formue!AL111</f>
        <v>560.48536950530593</v>
      </c>
      <c r="P348" s="439">
        <f>Formue!AM111</f>
        <v>570.87814760333629</v>
      </c>
      <c r="Q348" s="439">
        <f>Formue!AN111</f>
        <v>593.18594517441613</v>
      </c>
      <c r="R348" s="439">
        <f>Formue!AO111</f>
        <v>605.92826132974187</v>
      </c>
      <c r="S348" s="439">
        <f>Formue!AP111</f>
        <v>626.23699514485281</v>
      </c>
      <c r="T348" s="439">
        <f>Formue!AQ111</f>
        <v>648.17065465827886</v>
      </c>
      <c r="U348" s="439">
        <f>Formue!AR111</f>
        <v>668.45293260613971</v>
      </c>
      <c r="V348" s="439">
        <f>Formue!AS111</f>
        <v>683.86089473417007</v>
      </c>
      <c r="W348" s="439">
        <f>Formue!AT111</f>
        <v>703.43530925825655</v>
      </c>
      <c r="X348" s="439">
        <f>Formue!AU111</f>
        <v>730.39935405969402</v>
      </c>
      <c r="Y348" s="439">
        <f>Formue!AV111</f>
        <v>730.46629943036987</v>
      </c>
      <c r="Z348" s="439">
        <f>Formue!AW111</f>
        <v>765.88037076928958</v>
      </c>
      <c r="AA348" s="439">
        <f>Formue!AX111</f>
        <v>765.96114121439689</v>
      </c>
      <c r="AB348" s="439">
        <f>Formue!AY111</f>
        <v>765.88902902486905</v>
      </c>
      <c r="AC348" s="439">
        <f>Formue!AZ111</f>
        <v>755.48894764731995</v>
      </c>
      <c r="AD348" s="439">
        <f>Formue!BA111</f>
        <v>759.31837476656995</v>
      </c>
      <c r="AE348" s="439">
        <f>Formue!BB111</f>
        <v>768.1720431416386</v>
      </c>
      <c r="AF348" s="439">
        <f>Formue!BC111</f>
        <v>791.84994740258185</v>
      </c>
      <c r="AG348" s="439">
        <f>Formue!BD111</f>
        <v>820.95309928176925</v>
      </c>
      <c r="AH348" s="439">
        <f>Formue!BE111</f>
        <v>809.7760445458299</v>
      </c>
      <c r="AI348" s="439">
        <f>Formue!BF111</f>
        <v>763.17103104028297</v>
      </c>
      <c r="AJ348" s="439">
        <f>Formue!BG111</f>
        <v>775.12885778514192</v>
      </c>
      <c r="AK348" s="439">
        <f>Formue!BH111</f>
        <v>792.0540260903316</v>
      </c>
      <c r="AL348" s="439">
        <f>Formue!BI111</f>
        <v>789.26361484057145</v>
      </c>
      <c r="AM348" s="439">
        <f>Formue!BJ111</f>
        <v>799.27524713514504</v>
      </c>
      <c r="AN348" s="439">
        <f>Formue!BK111</f>
        <v>812.06365108930731</v>
      </c>
      <c r="AO348" s="439">
        <f>Formue!BL111</f>
        <v>825.05666950673628</v>
      </c>
      <c r="AP348" s="439">
        <f>Formue!BM111</f>
        <v>838.25757621884406</v>
      </c>
      <c r="AQ348" s="439">
        <f>Formue!BN111</f>
        <v>851.66969743834557</v>
      </c>
      <c r="AR348" s="439">
        <f>Formue!BO111</f>
        <v>865.29641259735911</v>
      </c>
      <c r="AS348" s="439">
        <f>Formue!BP111</f>
        <v>879.14115519891675</v>
      </c>
      <c r="AT348" s="439">
        <f>Formue!BQ111</f>
        <v>893.20741368209951</v>
      </c>
      <c r="AU348" s="439">
        <f>Formue!BR111</f>
        <v>907.49873230101309</v>
      </c>
      <c r="AV348" s="439">
        <f>Formue!BS111</f>
        <v>922.01871201782933</v>
      </c>
      <c r="AW348" s="439">
        <f>Formue!BT111</f>
        <v>936.77101141011462</v>
      </c>
      <c r="AX348" s="439">
        <f>Formue!BU111</f>
        <v>951.75934759267636</v>
      </c>
      <c r="AY348" s="439">
        <f>Formue!BV111</f>
        <v>966.9874971541592</v>
      </c>
      <c r="AZ348" s="439">
        <f>Formue!BW111</f>
        <v>982.45929710862572</v>
      </c>
      <c r="BA348" s="439">
        <f>Formue!BX111</f>
        <v>998.17864586236374</v>
      </c>
      <c r="BB348" s="439">
        <f>Formue!BY111</f>
        <v>1014.1495041961616</v>
      </c>
      <c r="BC348" s="439">
        <f>Formue!BZ111</f>
        <v>1030.3758962633003</v>
      </c>
      <c r="BD348" s="439">
        <f>Formue!CA111</f>
        <v>1046.8619106035133</v>
      </c>
      <c r="BE348" s="439">
        <f>Formue!CB111</f>
        <v>1063.6117011731694</v>
      </c>
      <c r="BF348" s="439">
        <f>Formue!CC111</f>
        <v>1080.62948839194</v>
      </c>
      <c r="BG348" s="439">
        <f>Formue!CD111</f>
        <v>1097.9195602062111</v>
      </c>
      <c r="BH348" s="439">
        <f>Formue!CE111</f>
        <v>1115.4862731695102</v>
      </c>
      <c r="BI348" s="439">
        <f>Formue!CF111</f>
        <v>1133.3340535402226</v>
      </c>
      <c r="BJ348" s="439">
        <f>Formue!CG111</f>
        <v>1151.467398396866</v>
      </c>
      <c r="BK348" s="439">
        <f>Formue!CH111</f>
        <v>1169.890876771216</v>
      </c>
      <c r="BL348" s="439">
        <f>Formue!CI111</f>
        <v>1188.6091307995555</v>
      </c>
      <c r="BM348" s="439">
        <f>Formue!CJ111</f>
        <v>1207.6268768923485</v>
      </c>
      <c r="BN348" s="439">
        <f>Formue!CK111</f>
        <v>1226.9489069226261</v>
      </c>
      <c r="BO348" s="439">
        <f>Formue!CL111</f>
        <v>1246.5800894333881</v>
      </c>
      <c r="BP348" s="439">
        <f>Formue!CM111</f>
        <v>1266.5253708643224</v>
      </c>
      <c r="BQ348" s="439">
        <f>Formue!CN111</f>
        <v>1286.7897767981515</v>
      </c>
      <c r="BR348" s="439"/>
      <c r="BS348" s="439"/>
      <c r="BT348" s="439"/>
      <c r="BU348" s="439"/>
      <c r="BV348" s="439"/>
      <c r="BW348" s="439"/>
      <c r="BX348" s="439"/>
      <c r="BY348" s="439"/>
      <c r="BZ348" s="439"/>
      <c r="CA348" s="439"/>
    </row>
    <row r="349" spans="1:79">
      <c r="A349" s="2" t="s">
        <v>671</v>
      </c>
      <c r="B349" s="336">
        <v>428.31035019270718</v>
      </c>
      <c r="C349" s="336">
        <v>395.31645083713488</v>
      </c>
      <c r="D349" s="336">
        <v>424.14609392830698</v>
      </c>
      <c r="E349" s="336">
        <v>429.38542133154391</v>
      </c>
      <c r="F349" s="336">
        <v>433.84828698205359</v>
      </c>
      <c r="G349" s="336">
        <v>457.43243000565906</v>
      </c>
      <c r="H349" s="336">
        <v>480.33627781437679</v>
      </c>
      <c r="I349" s="336">
        <v>486.60674387473489</v>
      </c>
      <c r="J349" s="336">
        <v>510.78382666296375</v>
      </c>
      <c r="K349" s="336">
        <v>540.77732507178496</v>
      </c>
      <c r="L349" s="336">
        <v>559.18325698385001</v>
      </c>
      <c r="M349" s="336">
        <v>567.68233027200506</v>
      </c>
      <c r="N349" s="336">
        <v>574.78915529468179</v>
      </c>
      <c r="O349" s="336">
        <v>566.01420165819616</v>
      </c>
      <c r="P349" s="336">
        <v>575.40204533718816</v>
      </c>
      <c r="Q349" s="336">
        <v>597.72915262244646</v>
      </c>
      <c r="R349" s="336">
        <v>608.35836377297221</v>
      </c>
      <c r="S349" s="336">
        <v>628.65801566443031</v>
      </c>
      <c r="T349" s="336">
        <v>649.93640370583989</v>
      </c>
      <c r="U349" s="336">
        <v>670.3568322628571</v>
      </c>
      <c r="V349" s="336">
        <v>684.73603729594788</v>
      </c>
      <c r="W349" s="336">
        <v>704.79283354329982</v>
      </c>
      <c r="X349" s="336">
        <v>732.03460486496817</v>
      </c>
      <c r="Y349" s="336">
        <v>732.86279206995141</v>
      </c>
      <c r="Z349" s="336">
        <v>767.96991685840919</v>
      </c>
      <c r="AA349" s="336">
        <v>767.23388926645634</v>
      </c>
      <c r="AB349" s="336">
        <v>772.18900636139324</v>
      </c>
      <c r="AC349" s="336">
        <v>761.15012477041398</v>
      </c>
      <c r="AD349" s="336">
        <v>765.87999536882057</v>
      </c>
      <c r="AE349" s="336">
        <v>775.21160733356305</v>
      </c>
      <c r="AF349" s="336">
        <v>798.71589962566225</v>
      </c>
      <c r="AG349" s="336">
        <v>827.8123935120791</v>
      </c>
      <c r="AH349" s="336">
        <v>815.70087603729667</v>
      </c>
      <c r="AI349" s="336">
        <v>768.48514639873747</v>
      </c>
      <c r="AJ349" s="336">
        <v>780.42968583043307</v>
      </c>
      <c r="AK349" s="336">
        <v>798.45976516168173</v>
      </c>
      <c r="AL349" s="336">
        <v>794.35443660947772</v>
      </c>
      <c r="AM349" s="336">
        <v>804.61493684431832</v>
      </c>
      <c r="AN349" s="336">
        <v>817.48877583382739</v>
      </c>
      <c r="AO349" s="336">
        <v>830.56859624716856</v>
      </c>
      <c r="AP349" s="336">
        <v>843.85769378712325</v>
      </c>
      <c r="AQ349" s="336">
        <v>857.35941688771732</v>
      </c>
      <c r="AR349" s="336">
        <v>871.07716755792092</v>
      </c>
      <c r="AS349" s="336">
        <v>885.01440223884765</v>
      </c>
      <c r="AT349" s="336">
        <v>899.17463267466928</v>
      </c>
      <c r="AU349" s="336">
        <v>913.56142679746404</v>
      </c>
      <c r="AV349" s="336">
        <v>928.17840962622347</v>
      </c>
      <c r="AW349" s="336">
        <v>943.0292641802431</v>
      </c>
      <c r="AX349" s="336">
        <v>958.11773240712705</v>
      </c>
      <c r="AY349" s="336">
        <v>973.44761612564105</v>
      </c>
      <c r="AZ349" s="336">
        <v>989.02277798365139</v>
      </c>
      <c r="BA349" s="336">
        <v>1004.8471424313898</v>
      </c>
      <c r="BB349" s="336">
        <v>1020.9246967102921</v>
      </c>
      <c r="BC349" s="336">
        <v>1037.2594918576567</v>
      </c>
      <c r="BD349" s="336">
        <v>1053.8556437273792</v>
      </c>
      <c r="BE349" s="336">
        <v>1070.7173340270172</v>
      </c>
      <c r="BF349" s="336">
        <v>1087.8488113714495</v>
      </c>
      <c r="BG349" s="336">
        <v>1105.2543923533926</v>
      </c>
      <c r="BH349" s="336">
        <v>1122.9384626310471</v>
      </c>
      <c r="BI349" s="336">
        <v>1140.9054780331437</v>
      </c>
      <c r="BJ349" s="336">
        <v>1159.1599656816738</v>
      </c>
      <c r="BK349" s="336">
        <v>1177.7065251325807</v>
      </c>
      <c r="BL349" s="336">
        <v>1196.549829534702</v>
      </c>
      <c r="BM349" s="336">
        <v>1215.694626807257</v>
      </c>
      <c r="BN349" s="336">
        <v>1235.145740836173</v>
      </c>
      <c r="BO349" s="336">
        <v>1254.908072689552</v>
      </c>
      <c r="BP349" s="336">
        <v>1274.986601852585</v>
      </c>
      <c r="BQ349" s="336">
        <v>1295.3863874822262</v>
      </c>
      <c r="BR349" s="336"/>
      <c r="BS349" s="336"/>
      <c r="BT349" s="336"/>
      <c r="BU349" s="336"/>
      <c r="BV349" s="336"/>
      <c r="BW349" s="336"/>
      <c r="BX349" s="336"/>
      <c r="BY349" s="336"/>
      <c r="BZ349" s="336"/>
      <c r="CA349" s="336"/>
    </row>
    <row r="350" spans="1:79"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  <c r="R350" s="336"/>
      <c r="S350" s="336"/>
      <c r="T350" s="336"/>
      <c r="U350" s="336"/>
      <c r="V350" s="336"/>
      <c r="W350" s="336"/>
      <c r="X350" s="336"/>
      <c r="Y350" s="336"/>
      <c r="Z350" s="336"/>
      <c r="AA350" s="336"/>
      <c r="AB350" s="336"/>
      <c r="AC350" s="336"/>
      <c r="AD350" s="336"/>
      <c r="AE350" s="336"/>
      <c r="AF350" s="336"/>
      <c r="AG350" s="336"/>
      <c r="AH350" s="336"/>
      <c r="AI350" s="336"/>
      <c r="AJ350" s="336"/>
      <c r="AK350" s="336"/>
      <c r="AL350" s="336"/>
      <c r="AM350" s="336"/>
      <c r="AN350" s="336"/>
      <c r="AO350" s="336"/>
      <c r="AP350" s="336"/>
      <c r="AQ350" s="336"/>
      <c r="AR350" s="336"/>
      <c r="AS350" s="336"/>
      <c r="AT350" s="336"/>
      <c r="AU350" s="336"/>
      <c r="AV350" s="336"/>
      <c r="AW350" s="336"/>
      <c r="AX350" s="336"/>
      <c r="AY350" s="336"/>
      <c r="AZ350" s="336"/>
      <c r="BA350" s="336"/>
      <c r="BB350" s="336"/>
      <c r="BC350" s="336"/>
      <c r="BD350" s="336"/>
      <c r="BE350" s="336"/>
      <c r="BF350" s="336"/>
      <c r="BG350" s="336"/>
      <c r="BH350" s="336"/>
      <c r="BI350" s="336"/>
      <c r="BJ350" s="336"/>
      <c r="BK350" s="336"/>
      <c r="BL350" s="336"/>
      <c r="BM350" s="336"/>
      <c r="BN350" s="336"/>
      <c r="BO350" s="336"/>
      <c r="BP350" s="336"/>
      <c r="BQ350" s="336"/>
      <c r="BR350" s="336"/>
      <c r="BS350" s="336"/>
      <c r="BT350" s="336"/>
      <c r="BU350" s="336"/>
      <c r="BV350" s="336"/>
      <c r="BW350" s="336"/>
      <c r="BX350" s="336"/>
      <c r="BY350" s="336"/>
      <c r="BZ350" s="336"/>
      <c r="CA350" s="336"/>
    </row>
    <row r="351" spans="1:79"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  <c r="W351" s="336"/>
      <c r="X351" s="336"/>
      <c r="Y351" s="336"/>
      <c r="Z351" s="336"/>
      <c r="AA351" s="336"/>
      <c r="AB351" s="336"/>
      <c r="AC351" s="336"/>
      <c r="AD351" s="336"/>
      <c r="AE351" s="336"/>
      <c r="AF351" s="336"/>
      <c r="AG351" s="336"/>
      <c r="AH351" s="336"/>
      <c r="AI351" s="336"/>
      <c r="AJ351" s="336"/>
      <c r="AK351" s="336"/>
      <c r="AL351" s="336"/>
      <c r="AM351" s="336"/>
      <c r="AN351" s="336"/>
      <c r="AO351" s="336"/>
      <c r="AP351" s="336"/>
      <c r="AQ351" s="336"/>
      <c r="AR351" s="336"/>
      <c r="AS351" s="336"/>
      <c r="AT351" s="336"/>
      <c r="AU351" s="336"/>
      <c r="AV351" s="336"/>
      <c r="AW351" s="336"/>
      <c r="AX351" s="336"/>
      <c r="AY351" s="336"/>
      <c r="AZ351" s="336"/>
      <c r="BA351" s="336"/>
      <c r="BB351" s="336"/>
      <c r="BC351" s="336"/>
      <c r="BD351" s="336"/>
      <c r="BE351" s="336"/>
      <c r="BF351" s="336"/>
      <c r="BG351" s="336"/>
      <c r="BH351" s="336"/>
      <c r="BI351" s="336"/>
      <c r="BJ351" s="336"/>
      <c r="BK351" s="336"/>
      <c r="BL351" s="336"/>
      <c r="BM351" s="336"/>
      <c r="BN351" s="336"/>
      <c r="BO351" s="336"/>
      <c r="BP351" s="336"/>
      <c r="BQ351" s="336"/>
    </row>
    <row r="352" spans="1:79" s="365" customFormat="1">
      <c r="A352" s="53"/>
      <c r="B352" s="53">
        <f t="shared" ref="B352:AB352" si="213">B347</f>
        <v>2023</v>
      </c>
      <c r="C352" s="53">
        <f t="shared" si="213"/>
        <v>2024</v>
      </c>
      <c r="D352" s="53">
        <f t="shared" si="213"/>
        <v>2025</v>
      </c>
      <c r="E352" s="53">
        <f t="shared" si="213"/>
        <v>2026</v>
      </c>
      <c r="F352" s="53">
        <f t="shared" si="213"/>
        <v>2027</v>
      </c>
      <c r="G352" s="53">
        <f t="shared" si="213"/>
        <v>2028</v>
      </c>
      <c r="H352" s="53">
        <f t="shared" si="213"/>
        <v>2029</v>
      </c>
      <c r="I352" s="53">
        <f t="shared" si="213"/>
        <v>2030</v>
      </c>
      <c r="J352" s="53">
        <f t="shared" si="213"/>
        <v>2031</v>
      </c>
      <c r="K352" s="53">
        <f t="shared" si="213"/>
        <v>2032</v>
      </c>
      <c r="L352" s="53">
        <f t="shared" si="213"/>
        <v>2033</v>
      </c>
      <c r="M352" s="53">
        <f t="shared" si="213"/>
        <v>2034</v>
      </c>
      <c r="N352" s="53">
        <f t="shared" si="213"/>
        <v>2035</v>
      </c>
      <c r="O352" s="53">
        <f t="shared" si="213"/>
        <v>2036</v>
      </c>
      <c r="P352" s="53">
        <f t="shared" si="213"/>
        <v>2037</v>
      </c>
      <c r="Q352" s="53">
        <f t="shared" si="213"/>
        <v>2038</v>
      </c>
      <c r="R352" s="53">
        <f t="shared" si="213"/>
        <v>2039</v>
      </c>
      <c r="S352" s="53">
        <f t="shared" si="213"/>
        <v>2040</v>
      </c>
      <c r="T352" s="53">
        <f t="shared" si="213"/>
        <v>2041</v>
      </c>
      <c r="U352" s="53">
        <f t="shared" si="213"/>
        <v>2042</v>
      </c>
      <c r="V352" s="53">
        <f t="shared" si="213"/>
        <v>2043</v>
      </c>
      <c r="W352" s="53">
        <f t="shared" si="213"/>
        <v>2044</v>
      </c>
      <c r="X352" s="53">
        <f t="shared" si="213"/>
        <v>2045</v>
      </c>
      <c r="Y352" s="53">
        <f t="shared" si="213"/>
        <v>2046</v>
      </c>
      <c r="Z352" s="53">
        <f t="shared" si="213"/>
        <v>2047</v>
      </c>
      <c r="AA352" s="53">
        <f t="shared" si="213"/>
        <v>2048</v>
      </c>
      <c r="AB352" s="53">
        <f t="shared" si="213"/>
        <v>2049</v>
      </c>
      <c r="AC352" s="53">
        <f t="shared" ref="AC352:AE352" si="214">AC347</f>
        <v>2050</v>
      </c>
      <c r="AD352" s="53">
        <f t="shared" si="214"/>
        <v>2051</v>
      </c>
      <c r="AE352" s="53">
        <f t="shared" si="214"/>
        <v>2052</v>
      </c>
      <c r="AF352" s="53">
        <f t="shared" ref="AF352:BQ352" si="215">AF347</f>
        <v>2053</v>
      </c>
      <c r="AG352" s="53">
        <f t="shared" si="215"/>
        <v>2054</v>
      </c>
      <c r="AH352" s="53">
        <f t="shared" si="215"/>
        <v>2055</v>
      </c>
      <c r="AI352" s="53">
        <f t="shared" si="215"/>
        <v>2056</v>
      </c>
      <c r="AJ352" s="53">
        <f t="shared" si="215"/>
        <v>2057</v>
      </c>
      <c r="AK352" s="53">
        <f t="shared" si="215"/>
        <v>2058</v>
      </c>
      <c r="AL352" s="53">
        <f t="shared" si="215"/>
        <v>2059</v>
      </c>
      <c r="AM352" s="53">
        <f t="shared" si="215"/>
        <v>2060</v>
      </c>
      <c r="AN352" s="53">
        <f t="shared" si="215"/>
        <v>2061</v>
      </c>
      <c r="AO352" s="53">
        <f t="shared" si="215"/>
        <v>2062</v>
      </c>
      <c r="AP352" s="53">
        <f t="shared" si="215"/>
        <v>2063</v>
      </c>
      <c r="AQ352" s="53">
        <f t="shared" si="215"/>
        <v>2064</v>
      </c>
      <c r="AR352" s="53">
        <f t="shared" si="215"/>
        <v>2065</v>
      </c>
      <c r="AS352" s="53">
        <f t="shared" si="215"/>
        <v>2066</v>
      </c>
      <c r="AT352" s="53">
        <f t="shared" si="215"/>
        <v>2067</v>
      </c>
      <c r="AU352" s="53">
        <f t="shared" si="215"/>
        <v>2068</v>
      </c>
      <c r="AV352" s="53">
        <f t="shared" si="215"/>
        <v>2069</v>
      </c>
      <c r="AW352" s="53">
        <f t="shared" si="215"/>
        <v>2070</v>
      </c>
      <c r="AX352" s="53">
        <f t="shared" si="215"/>
        <v>2071</v>
      </c>
      <c r="AY352" s="53">
        <f t="shared" si="215"/>
        <v>2072</v>
      </c>
      <c r="AZ352" s="53">
        <f t="shared" si="215"/>
        <v>2073</v>
      </c>
      <c r="BA352" s="53">
        <f t="shared" si="215"/>
        <v>2074</v>
      </c>
      <c r="BB352" s="53">
        <f t="shared" si="215"/>
        <v>2075</v>
      </c>
      <c r="BC352" s="53">
        <f t="shared" si="215"/>
        <v>2076</v>
      </c>
      <c r="BD352" s="53">
        <f t="shared" si="215"/>
        <v>2077</v>
      </c>
      <c r="BE352" s="53">
        <f t="shared" si="215"/>
        <v>2078</v>
      </c>
      <c r="BF352" s="53">
        <f t="shared" si="215"/>
        <v>2079</v>
      </c>
      <c r="BG352" s="53">
        <f t="shared" si="215"/>
        <v>2080</v>
      </c>
      <c r="BH352" s="53">
        <f t="shared" si="215"/>
        <v>2081</v>
      </c>
      <c r="BI352" s="53">
        <f t="shared" si="215"/>
        <v>2082</v>
      </c>
      <c r="BJ352" s="53">
        <f t="shared" si="215"/>
        <v>2083</v>
      </c>
      <c r="BK352" s="53">
        <f t="shared" si="215"/>
        <v>2084</v>
      </c>
      <c r="BL352" s="53">
        <f t="shared" si="215"/>
        <v>2085</v>
      </c>
      <c r="BM352" s="53">
        <f t="shared" si="215"/>
        <v>2086</v>
      </c>
      <c r="BN352" s="53">
        <f t="shared" si="215"/>
        <v>2087</v>
      </c>
      <c r="BO352" s="53">
        <f t="shared" si="215"/>
        <v>2088</v>
      </c>
      <c r="BP352" s="53">
        <f t="shared" si="215"/>
        <v>2089</v>
      </c>
      <c r="BQ352" s="53">
        <f t="shared" si="215"/>
        <v>2090</v>
      </c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</row>
    <row r="353" spans="1:79">
      <c r="A353" s="2" t="s">
        <v>682</v>
      </c>
      <c r="B353" s="336">
        <v>100</v>
      </c>
      <c r="C353" s="439">
        <f t="shared" ref="C353:AC353" si="216">B353*(C348/B348)</f>
        <v>92.207649104997856</v>
      </c>
      <c r="D353" s="439">
        <f t="shared" si="216"/>
        <v>96.170544663909951</v>
      </c>
      <c r="E353" s="439">
        <f t="shared" si="216"/>
        <v>102.1297696717276</v>
      </c>
      <c r="F353" s="439">
        <f t="shared" si="216"/>
        <v>104.65050450181464</v>
      </c>
      <c r="G353" s="439">
        <f t="shared" si="216"/>
        <v>109.62894076577699</v>
      </c>
      <c r="H353" s="439">
        <f t="shared" si="216"/>
        <v>115.08032981102534</v>
      </c>
      <c r="I353" s="439">
        <f t="shared" si="216"/>
        <v>112.74361570147761</v>
      </c>
      <c r="J353" s="439">
        <f t="shared" si="216"/>
        <v>117.09653891185279</v>
      </c>
      <c r="K353" s="439">
        <f t="shared" si="216"/>
        <v>123.99045431587138</v>
      </c>
      <c r="L353" s="439">
        <f t="shared" si="216"/>
        <v>128.51976089404391</v>
      </c>
      <c r="M353" s="439">
        <f t="shared" si="216"/>
        <v>130.64048496501678</v>
      </c>
      <c r="N353" s="439">
        <f t="shared" si="216"/>
        <v>132.49578095473564</v>
      </c>
      <c r="O353" s="439">
        <f t="shared" si="216"/>
        <v>130.8596370022648</v>
      </c>
      <c r="P353" s="439">
        <f t="shared" si="216"/>
        <v>133.28609671619756</v>
      </c>
      <c r="Q353" s="439">
        <f t="shared" si="216"/>
        <v>138.49442230558455</v>
      </c>
      <c r="R353" s="439">
        <f t="shared" si="216"/>
        <v>141.46944173941162</v>
      </c>
      <c r="S353" s="439">
        <f t="shared" si="216"/>
        <v>146.21103479360085</v>
      </c>
      <c r="T353" s="439">
        <f t="shared" si="216"/>
        <v>151.33200828946838</v>
      </c>
      <c r="U353" s="439">
        <f t="shared" si="216"/>
        <v>156.06742454516601</v>
      </c>
      <c r="V353" s="439">
        <f t="shared" si="216"/>
        <v>159.66480717229561</v>
      </c>
      <c r="W353" s="439">
        <f t="shared" si="216"/>
        <v>164.23495461684826</v>
      </c>
      <c r="X353" s="439">
        <f t="shared" si="216"/>
        <v>170.53040014817984</v>
      </c>
      <c r="Y353" s="439">
        <f t="shared" si="216"/>
        <v>170.5460302562652</v>
      </c>
      <c r="Z353" s="439">
        <f t="shared" si="216"/>
        <v>178.81435048784169</v>
      </c>
      <c r="AA353" s="439">
        <f t="shared" si="216"/>
        <v>178.83320841295861</v>
      </c>
      <c r="AB353" s="439">
        <f t="shared" si="216"/>
        <v>178.81637197893468</v>
      </c>
      <c r="AC353" s="439">
        <f t="shared" si="216"/>
        <v>176.38820712770709</v>
      </c>
      <c r="AD353" s="439">
        <f t="shared" ref="AD353:AD354" si="217">AC353*(AD348/AC348)</f>
        <v>177.28228477900061</v>
      </c>
      <c r="AE353" s="439">
        <f t="shared" ref="AE353:AE354" si="218">AD353*(AE348/AD348)</f>
        <v>179.349399984385</v>
      </c>
      <c r="AF353" s="439">
        <f t="shared" ref="AF353:AF354" si="219">AE353*(AF348/AE348)</f>
        <v>184.8776120040782</v>
      </c>
      <c r="AG353" s="439">
        <f t="shared" ref="AG353:AG354" si="220">AF353*(AG348/AF348)</f>
        <v>191.67248676395576</v>
      </c>
      <c r="AH353" s="439">
        <f t="shared" ref="AH353:AH354" si="221">AG353*(AH348/AG348)</f>
        <v>189.06291762071407</v>
      </c>
      <c r="AI353" s="439">
        <f t="shared" ref="AI353:AI354" si="222">AH353*(AI348/AH348)</f>
        <v>178.18178587020228</v>
      </c>
      <c r="AJ353" s="439">
        <f t="shared" ref="AJ353:AJ354" si="223">AI353*(AJ348/AI348)</f>
        <v>180.97364619752773</v>
      </c>
      <c r="AK353" s="439">
        <f t="shared" ref="AK353:AK354" si="224">AJ353*(AK348/AJ348)</f>
        <v>184.92525939052541</v>
      </c>
      <c r="AL353" s="439">
        <f t="shared" ref="AL353:AL354" si="225">AK353*(AL348/AK348)</f>
        <v>184.27376655396316</v>
      </c>
      <c r="AM353" s="439">
        <f t="shared" ref="AM353:AM354" si="226">AL353*(AM348/AL348)</f>
        <v>186.61123803698223</v>
      </c>
      <c r="AN353" s="439">
        <f t="shared" ref="AN353:AN354" si="227">AM353*(AN348/AM348)</f>
        <v>189.59701784557396</v>
      </c>
      <c r="AO353" s="439">
        <f t="shared" ref="AO353:AO354" si="228">AN353*(AO348/AN348)</f>
        <v>192.63057013110316</v>
      </c>
      <c r="AP353" s="439">
        <f t="shared" ref="AP353:AP354" si="229">AO353*(AP348/AO348)</f>
        <v>195.7126592532008</v>
      </c>
      <c r="AQ353" s="439">
        <f t="shared" ref="AQ353:AQ354" si="230">AP353*(AQ348/AP348)</f>
        <v>198.84406180125202</v>
      </c>
      <c r="AR353" s="439">
        <f t="shared" ref="AR353:AR354" si="231">AQ353*(AR348/AQ348)</f>
        <v>202.02556679007205</v>
      </c>
      <c r="AS353" s="439">
        <f t="shared" ref="AS353:AS354" si="232">AR353*(AS348/AR348)</f>
        <v>205.25797585871317</v>
      </c>
      <c r="AT353" s="439">
        <f t="shared" ref="AT353:AT354" si="233">AS353*(AT348/AS348)</f>
        <v>208.54210347245257</v>
      </c>
      <c r="AU353" s="439">
        <f t="shared" ref="AU353:AU354" si="234">AT353*(AU348/AT348)</f>
        <v>211.87877712801182</v>
      </c>
      <c r="AV353" s="439">
        <f t="shared" ref="AV353:AV354" si="235">AU353*(AV348/AU348)</f>
        <v>215.26883756206001</v>
      </c>
      <c r="AW353" s="439">
        <f t="shared" ref="AW353:AW354" si="236">AV353*(AW348/AV348)</f>
        <v>218.71313896305298</v>
      </c>
      <c r="AX353" s="439">
        <f t="shared" ref="AX353:AX354" si="237">AW353*(AX348/AW348)</f>
        <v>222.21254918646179</v>
      </c>
      <c r="AY353" s="439">
        <f t="shared" ref="AY353:AY354" si="238">AX353*(AY348/AX348)</f>
        <v>225.76794997344518</v>
      </c>
      <c r="AZ353" s="439">
        <f t="shared" ref="AZ353:AZ354" si="239">AY353*(AZ348/AY348)</f>
        <v>229.3802371730203</v>
      </c>
      <c r="BA353" s="439">
        <f t="shared" ref="BA353:BA354" si="240">AZ353*(BA348/AZ348)</f>
        <v>233.05032096778862</v>
      </c>
      <c r="BB353" s="439">
        <f t="shared" ref="BB353:BB354" si="241">BA353*(BB348/BA348)</f>
        <v>236.77912610327326</v>
      </c>
      <c r="BC353" s="439">
        <f t="shared" ref="BC353:BC354" si="242">BB353*(BC348/BB348)</f>
        <v>240.56759212092564</v>
      </c>
      <c r="BD353" s="439">
        <f t="shared" ref="BD353:BD354" si="243">BC353*(BD348/BC348)</f>
        <v>244.41667359486044</v>
      </c>
      <c r="BE353" s="439">
        <f t="shared" ref="BE353:BE354" si="244">BD353*(BE348/BD348)</f>
        <v>248.32734037237822</v>
      </c>
      <c r="BF353" s="439">
        <f t="shared" ref="BF353:BF354" si="245">BE353*(BF348/BE348)</f>
        <v>252.30057781833622</v>
      </c>
      <c r="BG353" s="439">
        <f t="shared" ref="BG353:BG354" si="246">BF353*(BG348/BF348)</f>
        <v>256.33738706342967</v>
      </c>
      <c r="BH353" s="439">
        <f t="shared" ref="BH353:BH354" si="247">BG353*(BH348/BG348)</f>
        <v>260.43878525644448</v>
      </c>
      <c r="BI353" s="439">
        <f t="shared" ref="BI353:BI354" si="248">BH353*(BI348/BH348)</f>
        <v>264.60580582054763</v>
      </c>
      <c r="BJ353" s="439">
        <f t="shared" ref="BJ353:BJ354" si="249">BI353*(BJ348/BI348)</f>
        <v>268.83949871367633</v>
      </c>
      <c r="BK353" s="439">
        <f t="shared" ref="BK353:BK354" si="250">BJ353*(BK348/BJ348)</f>
        <v>273.14093069309519</v>
      </c>
      <c r="BL353" s="439">
        <f t="shared" ref="BL353:BL354" si="251">BK353*(BL348/BK348)</f>
        <v>277.51118558418472</v>
      </c>
      <c r="BM353" s="439">
        <f t="shared" ref="BM353:BM354" si="252">BL353*(BM348/BL348)</f>
        <v>281.95136455353168</v>
      </c>
      <c r="BN353" s="439">
        <f t="shared" ref="BN353:BN354" si="253">BM353*(BN348/BM348)</f>
        <v>286.46258638638818</v>
      </c>
      <c r="BO353" s="439">
        <f t="shared" ref="BO353:BO354" si="254">BN353*(BO348/BN348)</f>
        <v>291.0459877685704</v>
      </c>
      <c r="BP353" s="439">
        <f t="shared" ref="BP353:BP354" si="255">BO353*(BP348/BO348)</f>
        <v>295.70272357286751</v>
      </c>
      <c r="BQ353" s="439">
        <f t="shared" ref="BQ353:BQ354" si="256">BP353*(BQ348/BP348)</f>
        <v>300.43396715003342</v>
      </c>
      <c r="BR353" s="439"/>
      <c r="BS353" s="439"/>
      <c r="BT353" s="439"/>
      <c r="BU353" s="439"/>
      <c r="BV353" s="439"/>
      <c r="BW353" s="439"/>
      <c r="BX353" s="439"/>
      <c r="BY353" s="439"/>
      <c r="BZ353" s="439"/>
      <c r="CA353" s="439"/>
    </row>
    <row r="354" spans="1:79">
      <c r="A354" s="2" t="s">
        <v>671</v>
      </c>
      <c r="B354" s="336">
        <v>100</v>
      </c>
      <c r="C354" s="439">
        <f t="shared" ref="C354:AC354" si="257">B354*(C349/B349)</f>
        <v>92.296730783944966</v>
      </c>
      <c r="D354" s="439">
        <f t="shared" si="257"/>
        <v>99.027747925650971</v>
      </c>
      <c r="E354" s="439">
        <f t="shared" si="257"/>
        <v>100.25100283902853</v>
      </c>
      <c r="F354" s="439">
        <f t="shared" si="257"/>
        <v>101.29297290781201</v>
      </c>
      <c r="G354" s="439">
        <f t="shared" si="257"/>
        <v>106.79929396986303</v>
      </c>
      <c r="H354" s="439">
        <f t="shared" si="257"/>
        <v>112.14678272385011</v>
      </c>
      <c r="I354" s="439">
        <f t="shared" si="257"/>
        <v>113.61078331536905</v>
      </c>
      <c r="J354" s="439">
        <f t="shared" si="257"/>
        <v>119.25554132258297</v>
      </c>
      <c r="K354" s="439">
        <f t="shared" si="257"/>
        <v>126.25829023942012</v>
      </c>
      <c r="L354" s="439">
        <f t="shared" si="257"/>
        <v>130.55562554868447</v>
      </c>
      <c r="M354" s="439">
        <f t="shared" si="257"/>
        <v>132.53995146663885</v>
      </c>
      <c r="N354" s="439">
        <f t="shared" si="257"/>
        <v>134.1992214374624</v>
      </c>
      <c r="O354" s="439">
        <f t="shared" si="257"/>
        <v>132.1504841999575</v>
      </c>
      <c r="P354" s="439">
        <f t="shared" si="257"/>
        <v>134.34231628497909</v>
      </c>
      <c r="Q354" s="439">
        <f t="shared" si="257"/>
        <v>139.55515022074852</v>
      </c>
      <c r="R354" s="439">
        <f t="shared" si="257"/>
        <v>142.03681127464165</v>
      </c>
      <c r="S354" s="439">
        <f t="shared" si="257"/>
        <v>146.7762839215961</v>
      </c>
      <c r="T354" s="439">
        <f t="shared" si="257"/>
        <v>151.74426754184623</v>
      </c>
      <c r="U354" s="439">
        <f t="shared" si="257"/>
        <v>156.51193858874703</v>
      </c>
      <c r="V354" s="439">
        <f t="shared" si="257"/>
        <v>159.86913157430558</v>
      </c>
      <c r="W354" s="439">
        <f t="shared" si="257"/>
        <v>164.55190336310966</v>
      </c>
      <c r="X354" s="439">
        <f t="shared" si="257"/>
        <v>170.91219125001493</v>
      </c>
      <c r="Y354" s="439">
        <f t="shared" si="257"/>
        <v>171.10555272367782</v>
      </c>
      <c r="Z354" s="439">
        <f t="shared" si="257"/>
        <v>179.30220843668178</v>
      </c>
      <c r="AA354" s="439">
        <f t="shared" si="257"/>
        <v>179.13036398052475</v>
      </c>
      <c r="AB354" s="439">
        <f t="shared" si="257"/>
        <v>180.28726273226107</v>
      </c>
      <c r="AC354" s="439">
        <f t="shared" si="257"/>
        <v>177.70995364178202</v>
      </c>
      <c r="AD354" s="439">
        <f t="shared" si="217"/>
        <v>178.81426284100604</v>
      </c>
      <c r="AE354" s="439">
        <f t="shared" si="218"/>
        <v>180.99296619490445</v>
      </c>
      <c r="AF354" s="439">
        <f t="shared" si="219"/>
        <v>186.48064406248903</v>
      </c>
      <c r="AG354" s="439">
        <f t="shared" si="220"/>
        <v>193.27396434375837</v>
      </c>
      <c r="AH354" s="439">
        <f t="shared" si="221"/>
        <v>190.44622098678997</v>
      </c>
      <c r="AI354" s="439">
        <f t="shared" si="222"/>
        <v>179.42250194350379</v>
      </c>
      <c r="AJ354" s="439">
        <f t="shared" si="223"/>
        <v>182.21126000791233</v>
      </c>
      <c r="AK354" s="439">
        <f t="shared" si="224"/>
        <v>186.42084292439719</v>
      </c>
      <c r="AL354" s="439">
        <f t="shared" si="225"/>
        <v>185.46234903080884</v>
      </c>
      <c r="AM354" s="439">
        <f t="shared" si="226"/>
        <v>187.85792509620723</v>
      </c>
      <c r="AN354" s="439">
        <f t="shared" si="227"/>
        <v>190.86365189774654</v>
      </c>
      <c r="AO354" s="439">
        <f t="shared" si="228"/>
        <v>193.91747032811048</v>
      </c>
      <c r="AP354" s="439">
        <f t="shared" si="229"/>
        <v>197.02014985336027</v>
      </c>
      <c r="AQ354" s="439">
        <f t="shared" si="230"/>
        <v>200.17247225101403</v>
      </c>
      <c r="AR354" s="439">
        <f t="shared" si="231"/>
        <v>203.3752318070303</v>
      </c>
      <c r="AS354" s="439">
        <f t="shared" si="232"/>
        <v>206.62923551594278</v>
      </c>
      <c r="AT354" s="439">
        <f t="shared" si="233"/>
        <v>209.93530328419786</v>
      </c>
      <c r="AU354" s="439">
        <f t="shared" si="234"/>
        <v>213.29426813674502</v>
      </c>
      <c r="AV354" s="439">
        <f t="shared" si="235"/>
        <v>216.70697642693295</v>
      </c>
      <c r="AW354" s="439">
        <f t="shared" si="236"/>
        <v>220.17428804976387</v>
      </c>
      <c r="AX354" s="439">
        <f t="shared" si="237"/>
        <v>223.69707665856009</v>
      </c>
      <c r="AY354" s="439">
        <f t="shared" si="238"/>
        <v>227.27622988509705</v>
      </c>
      <c r="AZ354" s="439">
        <f t="shared" si="239"/>
        <v>230.91264956325861</v>
      </c>
      <c r="BA354" s="439">
        <f t="shared" si="240"/>
        <v>234.60725195627074</v>
      </c>
      <c r="BB354" s="439">
        <f t="shared" si="241"/>
        <v>238.36096798757109</v>
      </c>
      <c r="BC354" s="439">
        <f t="shared" si="242"/>
        <v>242.17474347537222</v>
      </c>
      <c r="BD354" s="439">
        <f t="shared" si="243"/>
        <v>246.04953937097818</v>
      </c>
      <c r="BE354" s="439">
        <f t="shared" si="244"/>
        <v>249.98633200091385</v>
      </c>
      <c r="BF354" s="439">
        <f t="shared" si="245"/>
        <v>253.98611331292847</v>
      </c>
      <c r="BG354" s="439">
        <f t="shared" si="246"/>
        <v>258.04989112593535</v>
      </c>
      <c r="BH354" s="439">
        <f t="shared" si="247"/>
        <v>262.17868938395037</v>
      </c>
      <c r="BI354" s="439">
        <f t="shared" si="248"/>
        <v>266.37354841409359</v>
      </c>
      <c r="BJ354" s="439">
        <f t="shared" si="249"/>
        <v>270.63552518871904</v>
      </c>
      <c r="BK354" s="439">
        <f t="shared" si="250"/>
        <v>274.96569359173856</v>
      </c>
      <c r="BL354" s="439">
        <f t="shared" si="251"/>
        <v>279.36514468920637</v>
      </c>
      <c r="BM354" s="439">
        <f t="shared" si="252"/>
        <v>283.8349870042336</v>
      </c>
      <c r="BN354" s="439">
        <f t="shared" si="253"/>
        <v>288.37634679630128</v>
      </c>
      <c r="BO354" s="439">
        <f t="shared" si="254"/>
        <v>292.99036834504216</v>
      </c>
      <c r="BP354" s="439">
        <f t="shared" si="255"/>
        <v>297.67821423856282</v>
      </c>
      <c r="BQ354" s="439">
        <f t="shared" si="256"/>
        <v>302.44106566637976</v>
      </c>
      <c r="BR354" s="439"/>
      <c r="BS354" s="439"/>
      <c r="BT354" s="439"/>
      <c r="BU354" s="439"/>
      <c r="BV354" s="439"/>
      <c r="BW354" s="439"/>
      <c r="BX354" s="439"/>
      <c r="BY354" s="439"/>
      <c r="BZ354" s="439"/>
      <c r="CA354" s="439"/>
    </row>
    <row r="355" spans="1:79"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  <c r="AA355" s="439"/>
      <c r="AB355" s="439"/>
      <c r="AC355" s="439"/>
      <c r="AD355" s="439"/>
      <c r="AE355" s="439"/>
      <c r="AF355" s="439"/>
      <c r="AG355" s="439"/>
      <c r="AH355" s="439"/>
      <c r="AI355" s="439"/>
      <c r="AJ355" s="439"/>
      <c r="AK355" s="439"/>
      <c r="AL355" s="439"/>
      <c r="AM355" s="439"/>
      <c r="AN355" s="439"/>
      <c r="AO355" s="439"/>
      <c r="AP355" s="439"/>
      <c r="AQ355" s="439"/>
      <c r="AR355" s="439"/>
      <c r="AS355" s="439"/>
      <c r="AT355" s="439"/>
      <c r="AU355" s="439"/>
      <c r="AV355" s="439"/>
      <c r="AW355" s="439"/>
      <c r="AX355" s="439"/>
      <c r="AY355" s="439"/>
      <c r="AZ355" s="439"/>
      <c r="BA355" s="439"/>
      <c r="BB355" s="439"/>
      <c r="BC355" s="439"/>
      <c r="BD355" s="439"/>
      <c r="BE355" s="439"/>
      <c r="BF355" s="439"/>
      <c r="BG355" s="439"/>
      <c r="BH355" s="439"/>
      <c r="BI355" s="439"/>
      <c r="BJ355" s="439"/>
      <c r="BK355" s="439"/>
      <c r="BL355" s="439"/>
      <c r="BM355" s="439"/>
      <c r="BN355" s="439"/>
      <c r="BO355" s="439"/>
      <c r="BP355" s="439"/>
      <c r="BQ355" s="439"/>
      <c r="BR355" s="439"/>
      <c r="BS355" s="439"/>
      <c r="BT355" s="439"/>
      <c r="BU355" s="439"/>
      <c r="BV355" s="439"/>
      <c r="BW355" s="439"/>
      <c r="BX355" s="439"/>
      <c r="BY355" s="439"/>
      <c r="BZ355" s="439"/>
      <c r="CA355" s="439"/>
    </row>
    <row r="357" spans="1:79">
      <c r="B357" s="403"/>
      <c r="C357" s="403"/>
      <c r="D357" s="403"/>
      <c r="E357" s="403"/>
      <c r="F357" s="403"/>
      <c r="G357" s="403"/>
      <c r="H357" s="403"/>
      <c r="I357" s="403"/>
      <c r="J357" s="403"/>
      <c r="K357" s="403"/>
      <c r="L357" s="403"/>
      <c r="M357" s="403"/>
      <c r="N357" s="403"/>
      <c r="O357" s="403"/>
      <c r="P357" s="403"/>
      <c r="Q357" s="403"/>
      <c r="R357" s="403"/>
      <c r="S357" s="403"/>
      <c r="T357" s="403"/>
      <c r="U357" s="403"/>
      <c r="V357" s="403"/>
      <c r="W357" s="403"/>
      <c r="X357" s="403"/>
      <c r="Y357" s="403"/>
      <c r="Z357" s="403"/>
      <c r="AA357" s="403"/>
      <c r="AB357" s="403"/>
      <c r="AC357" s="403"/>
      <c r="AD357" s="403"/>
      <c r="AE357" s="403"/>
      <c r="AF357" s="403"/>
      <c r="AG357" s="403"/>
      <c r="AH357" s="403"/>
      <c r="AI357" s="403"/>
      <c r="AJ357" s="403"/>
      <c r="AK357" s="403"/>
      <c r="AL357" s="403"/>
      <c r="AM357" s="403"/>
      <c r="AN357" s="403"/>
      <c r="AO357" s="403"/>
      <c r="AP357" s="403"/>
      <c r="AQ357" s="403"/>
      <c r="AR357" s="403"/>
      <c r="AS357" s="403"/>
      <c r="AT357" s="403"/>
      <c r="AU357" s="403"/>
      <c r="AV357" s="403"/>
      <c r="AW357" s="403"/>
      <c r="AX357" s="403"/>
      <c r="AY357" s="403"/>
      <c r="AZ357" s="403"/>
      <c r="BA357" s="403"/>
      <c r="BB357" s="403"/>
      <c r="BC357" s="403"/>
      <c r="BD357" s="403"/>
      <c r="BE357" s="403"/>
      <c r="BF357" s="403"/>
      <c r="BG357" s="403"/>
      <c r="BH357" s="403"/>
      <c r="BI357" s="403"/>
      <c r="BJ357" s="403"/>
      <c r="BK357" s="403"/>
      <c r="BL357" s="403"/>
      <c r="BM357" s="403"/>
      <c r="BN357" s="403"/>
      <c r="BO357" s="403"/>
      <c r="BP357" s="403"/>
      <c r="BQ357" s="403"/>
    </row>
    <row r="393" spans="1:86">
      <c r="A393" s="263" t="s">
        <v>631</v>
      </c>
    </row>
    <row r="394" spans="1:86" s="2" customFormat="1">
      <c r="B394" s="335">
        <v>45291</v>
      </c>
      <c r="C394" s="335">
        <v>45657</v>
      </c>
      <c r="D394" s="335">
        <v>46022</v>
      </c>
      <c r="E394" s="335">
        <v>46387</v>
      </c>
      <c r="F394" s="335">
        <v>46752</v>
      </c>
      <c r="G394" s="335">
        <v>47118</v>
      </c>
      <c r="H394" s="335">
        <v>47483</v>
      </c>
      <c r="I394" s="335">
        <v>47848</v>
      </c>
      <c r="J394" s="335">
        <v>48213</v>
      </c>
      <c r="K394" s="335">
        <v>48579</v>
      </c>
      <c r="L394" s="335">
        <v>48944</v>
      </c>
      <c r="M394" s="335">
        <v>49309</v>
      </c>
      <c r="N394" s="335">
        <v>49674</v>
      </c>
      <c r="O394" s="335">
        <v>50040</v>
      </c>
      <c r="P394" s="335">
        <v>50405</v>
      </c>
      <c r="Q394" s="335">
        <v>50770</v>
      </c>
      <c r="R394" s="335">
        <v>51135</v>
      </c>
      <c r="S394" s="335">
        <v>51501</v>
      </c>
      <c r="T394" s="335">
        <v>51866</v>
      </c>
      <c r="U394" s="335">
        <v>52231</v>
      </c>
      <c r="V394" s="335">
        <v>52596</v>
      </c>
      <c r="W394" s="335">
        <v>52962</v>
      </c>
      <c r="X394" s="335">
        <v>53327</v>
      </c>
      <c r="Y394" s="335">
        <v>53692</v>
      </c>
      <c r="Z394" s="335">
        <v>54057</v>
      </c>
      <c r="AA394" s="335">
        <v>54423</v>
      </c>
      <c r="AB394" s="335">
        <v>54788</v>
      </c>
      <c r="AC394" s="335">
        <v>55153</v>
      </c>
      <c r="AD394" s="335">
        <v>55518</v>
      </c>
      <c r="AE394" s="335">
        <v>55884</v>
      </c>
      <c r="AF394" s="335">
        <v>56249</v>
      </c>
      <c r="AG394" s="335">
        <v>56614</v>
      </c>
      <c r="AH394" s="335">
        <v>56979</v>
      </c>
      <c r="AI394" s="335">
        <v>57345</v>
      </c>
      <c r="AJ394" s="335">
        <v>57710</v>
      </c>
      <c r="AK394" s="335">
        <v>58075</v>
      </c>
      <c r="AL394" s="335">
        <v>58440</v>
      </c>
      <c r="AM394" s="335">
        <v>58806</v>
      </c>
      <c r="AN394" s="335"/>
      <c r="AO394" s="335"/>
      <c r="AP394" s="335"/>
      <c r="AQ394" s="335"/>
      <c r="AR394" s="335"/>
      <c r="AS394" s="335"/>
      <c r="AT394" s="335"/>
      <c r="AU394" s="335"/>
      <c r="AV394" s="335"/>
      <c r="AW394" s="335"/>
      <c r="AX394" s="335"/>
      <c r="AY394" s="335"/>
      <c r="AZ394" s="335"/>
      <c r="BA394" s="335"/>
      <c r="BB394" s="335"/>
      <c r="BC394" s="335"/>
      <c r="BD394" s="335"/>
      <c r="BE394" s="335"/>
      <c r="BF394" s="335"/>
      <c r="BG394" s="335"/>
      <c r="BH394" s="335"/>
      <c r="BI394" s="335"/>
      <c r="BJ394" s="335"/>
      <c r="BK394" s="335"/>
      <c r="BL394" s="335"/>
      <c r="BM394" s="335"/>
      <c r="BN394" s="335"/>
      <c r="BO394" s="335"/>
      <c r="BP394" s="335"/>
      <c r="BQ394" s="335"/>
      <c r="BR394" s="335"/>
      <c r="BS394" s="335"/>
      <c r="BT394" s="335"/>
      <c r="BU394" s="335"/>
      <c r="BV394" s="335"/>
      <c r="BW394" s="335"/>
      <c r="BX394" s="335"/>
      <c r="BY394" s="335"/>
      <c r="BZ394" s="335"/>
      <c r="CA394" s="335"/>
      <c r="CG394" s="335"/>
      <c r="CH394" s="335"/>
    </row>
    <row r="395" spans="1:86">
      <c r="A395" s="2" t="s">
        <v>682</v>
      </c>
      <c r="B395" s="262">
        <f>Investments!AD21</f>
        <v>218509.82</v>
      </c>
      <c r="C395" s="262">
        <f>Investments!AE21</f>
        <v>252419.64</v>
      </c>
      <c r="D395" s="262">
        <f>Investments!AF21</f>
        <v>281357.12540008221</v>
      </c>
      <c r="E395" s="262">
        <f>Investments!AG21</f>
        <v>271550.80686240003</v>
      </c>
      <c r="F395" s="262">
        <f>Investments!AH21</f>
        <v>244022.31901257913</v>
      </c>
      <c r="G395" s="262">
        <f>Investments!AI21</f>
        <v>228312.05673211871</v>
      </c>
      <c r="H395" s="262">
        <f>Investments!AJ21</f>
        <v>231083.21380976852</v>
      </c>
      <c r="I395" s="262">
        <f>Investments!AK21</f>
        <v>229248.04188545007</v>
      </c>
      <c r="J395" s="262">
        <f>Investments!AL21</f>
        <v>219469.77747873697</v>
      </c>
      <c r="K395" s="262">
        <f>Investments!AM21</f>
        <v>215638.40294269667</v>
      </c>
      <c r="L395" s="262">
        <f>Investments!AN21</f>
        <v>217288.34506108184</v>
      </c>
      <c r="M395" s="262">
        <f>Investments!AO21</f>
        <v>210564.82851038862</v>
      </c>
      <c r="N395" s="262">
        <f>Investments!AP21</f>
        <v>203786.41886836005</v>
      </c>
      <c r="O395" s="262">
        <f>Investments!AQ21</f>
        <v>201893.04955617577</v>
      </c>
      <c r="P395" s="262">
        <f>Investments!AR21</f>
        <v>203115.97710180675</v>
      </c>
      <c r="Q395" s="262">
        <f>Investments!AS21</f>
        <v>207215.58502345558</v>
      </c>
      <c r="R395" s="262">
        <f>Investments!AT21</f>
        <v>207460.31347112704</v>
      </c>
      <c r="S395" s="262">
        <f>Investments!AU21</f>
        <v>207408.93748255176</v>
      </c>
      <c r="T395" s="262">
        <f>Investments!AV21</f>
        <v>209530.07936431421</v>
      </c>
      <c r="U395" s="262">
        <f>Investments!AW21</f>
        <v>209540.42024796171</v>
      </c>
      <c r="V395" s="262">
        <f>Investments!AX21</f>
        <v>209997.1922279422</v>
      </c>
      <c r="W395" s="262">
        <f>Investments!AY21</f>
        <v>207802.45740686078</v>
      </c>
      <c r="X395" s="262">
        <f>Investments!AZ21</f>
        <v>206294.62503904203</v>
      </c>
      <c r="Y395" s="262">
        <f>Investments!BA21</f>
        <v>203885.08007195528</v>
      </c>
      <c r="Z395" s="262">
        <f>Investments!BB21</f>
        <v>202319.30479342651</v>
      </c>
      <c r="AA395" s="262">
        <f>Investments!BC21</f>
        <v>200884.62662320925</v>
      </c>
      <c r="AB395" s="262">
        <f>Investments!BD21</f>
        <v>201579.6635873034</v>
      </c>
      <c r="AC395" s="262">
        <f>Investments!BE21</f>
        <v>198459.24877064137</v>
      </c>
      <c r="AD395" s="262">
        <f>Investments!BF21</f>
        <v>192963.47354514466</v>
      </c>
      <c r="AE395" s="262">
        <f>Investments!BG21</f>
        <v>192784.83714530742</v>
      </c>
      <c r="AF395" s="262">
        <f>Investments!BH21</f>
        <v>192569.99274205466</v>
      </c>
      <c r="AG395" s="262">
        <f>Investments!BI21</f>
        <v>192428.13745863055</v>
      </c>
      <c r="AH395" s="262">
        <f>Investments!BJ21</f>
        <v>190750.50749631299</v>
      </c>
      <c r="AI395" s="262">
        <f>Investments!BK21</f>
        <v>188738.2355197861</v>
      </c>
      <c r="AJ395" s="262">
        <f>Investments!BL21</f>
        <v>185750.85483829374</v>
      </c>
      <c r="AK395" s="262">
        <f>Investments!BM21</f>
        <v>184684.37595356585</v>
      </c>
      <c r="AL395" s="262">
        <f>Investments!BN21</f>
        <v>181603.79645232446</v>
      </c>
      <c r="AM395" s="262">
        <f>Investments!BO21</f>
        <v>179606.24256327021</v>
      </c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</row>
    <row r="396" spans="1:86">
      <c r="A396" s="2" t="s">
        <v>671</v>
      </c>
      <c r="B396" s="656">
        <v>218509.82</v>
      </c>
      <c r="C396" s="656">
        <v>260141.64</v>
      </c>
      <c r="D396" s="656">
        <v>272940.86040008219</v>
      </c>
      <c r="E396" s="656">
        <v>248130.445485</v>
      </c>
      <c r="F396" s="656">
        <v>230458.07594035193</v>
      </c>
      <c r="G396" s="656">
        <v>225731.78490130944</v>
      </c>
      <c r="H396" s="656">
        <v>232944.77666622688</v>
      </c>
      <c r="I396" s="656">
        <v>232571.57822601785</v>
      </c>
      <c r="J396" s="656">
        <v>225138.50303228377</v>
      </c>
      <c r="K396" s="656">
        <v>218997.61338171546</v>
      </c>
      <c r="L396" s="656">
        <v>216653.41185332544</v>
      </c>
      <c r="M396" s="656">
        <v>209949.54193360882</v>
      </c>
      <c r="N396" s="656">
        <v>203190.939324379</v>
      </c>
      <c r="O396" s="656">
        <v>201303.10258252543</v>
      </c>
      <c r="P396" s="656">
        <v>202522.45664008267</v>
      </c>
      <c r="Q396" s="656">
        <v>206610.08519299305</v>
      </c>
      <c r="R396" s="656">
        <v>206854.09852537297</v>
      </c>
      <c r="S396" s="656">
        <v>206802.87266137512</v>
      </c>
      <c r="T396" s="656">
        <v>208917.81640389242</v>
      </c>
      <c r="U396" s="656">
        <v>208928.12707068486</v>
      </c>
      <c r="V396" s="656">
        <v>209383.56432791098</v>
      </c>
      <c r="W396" s="656">
        <v>207195.24269028762</v>
      </c>
      <c r="X396" s="656">
        <v>205691.81632428075</v>
      </c>
      <c r="Y396" s="656">
        <v>203289.312232372</v>
      </c>
      <c r="Z396" s="656">
        <v>201728.11226928368</v>
      </c>
      <c r="AA396" s="656">
        <v>200297.62633870315</v>
      </c>
      <c r="AB396" s="656">
        <v>200990.63235148721</v>
      </c>
      <c r="AC396" s="656">
        <v>197879.33562621774</v>
      </c>
      <c r="AD396" s="656">
        <v>193316.79838766373</v>
      </c>
      <c r="AE396" s="656">
        <v>192221.50506681501</v>
      </c>
      <c r="AF396" s="656">
        <v>192007.28845538414</v>
      </c>
      <c r="AG396" s="656">
        <v>191865.84768397734</v>
      </c>
      <c r="AH396" s="656">
        <v>190193.11988506425</v>
      </c>
      <c r="AI396" s="656">
        <v>188186.72792157088</v>
      </c>
      <c r="AJ396" s="656">
        <v>185208.07659552692</v>
      </c>
      <c r="AK396" s="656">
        <v>184144.71404388669</v>
      </c>
      <c r="AL396" s="656">
        <v>181073.1362321937</v>
      </c>
      <c r="AM396" s="656">
        <v>179081.41934879139</v>
      </c>
      <c r="AN396" s="656"/>
      <c r="AO396" s="656"/>
      <c r="AP396" s="656"/>
      <c r="AQ396" s="656"/>
      <c r="AR396" s="656"/>
      <c r="AS396" s="656"/>
      <c r="AT396" s="656"/>
      <c r="AU396" s="656"/>
      <c r="AV396" s="656"/>
      <c r="AW396" s="656"/>
      <c r="AX396" s="656"/>
      <c r="AY396" s="656"/>
      <c r="AZ396" s="656"/>
      <c r="BA396" s="656"/>
      <c r="BB396" s="656"/>
      <c r="BC396" s="656"/>
      <c r="BD396" s="656"/>
      <c r="BE396" s="656"/>
      <c r="BF396" s="656"/>
      <c r="BG396" s="656"/>
      <c r="BH396" s="656"/>
      <c r="BI396" s="656"/>
      <c r="BJ396" s="656"/>
      <c r="BK396" s="656"/>
      <c r="BL396" s="656"/>
      <c r="BM396" s="656"/>
      <c r="BN396" s="656"/>
      <c r="BO396" s="656"/>
      <c r="BP396" s="656"/>
      <c r="BQ396" s="656"/>
    </row>
    <row r="397" spans="1:86"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6"/>
      <c r="P397" s="656"/>
      <c r="Q397" s="656"/>
      <c r="R397" s="656"/>
      <c r="S397" s="656"/>
      <c r="T397" s="656"/>
      <c r="U397" s="656"/>
      <c r="V397" s="656"/>
      <c r="W397" s="656"/>
      <c r="X397" s="656"/>
      <c r="Y397" s="656"/>
      <c r="Z397" s="656"/>
      <c r="AA397" s="656"/>
      <c r="AB397" s="656"/>
      <c r="AC397" s="656"/>
      <c r="AD397" s="656"/>
      <c r="AE397" s="656"/>
      <c r="AF397" s="656"/>
      <c r="AG397" s="656"/>
      <c r="AH397" s="656"/>
      <c r="AI397" s="656"/>
      <c r="AJ397" s="656"/>
      <c r="AK397" s="656"/>
      <c r="AL397" s="656"/>
      <c r="AM397" s="656"/>
      <c r="AN397" s="656"/>
      <c r="AO397" s="656"/>
      <c r="AP397" s="656"/>
      <c r="AQ397" s="656"/>
      <c r="AR397" s="656"/>
      <c r="AS397" s="656"/>
      <c r="AT397" s="656"/>
      <c r="AU397" s="656"/>
      <c r="AV397" s="656"/>
      <c r="AW397" s="656"/>
      <c r="AX397" s="656"/>
      <c r="AY397" s="656"/>
      <c r="AZ397" s="656"/>
      <c r="BA397" s="656"/>
      <c r="BB397" s="656"/>
      <c r="BC397" s="656"/>
      <c r="BD397" s="656"/>
      <c r="BE397" s="656"/>
      <c r="BF397" s="656"/>
      <c r="BG397" s="656"/>
      <c r="BH397" s="656"/>
      <c r="BI397" s="656"/>
      <c r="BJ397" s="656"/>
      <c r="BK397" s="656"/>
      <c r="BL397" s="656"/>
      <c r="BM397" s="656"/>
      <c r="BN397" s="656"/>
      <c r="BO397" s="656"/>
      <c r="BP397" s="656"/>
      <c r="BQ397" s="656"/>
    </row>
    <row r="398" spans="1:86">
      <c r="A398" s="263" t="s">
        <v>629</v>
      </c>
      <c r="B398" s="262">
        <f t="shared" ref="B398:AC398" si="258">B395-B396</f>
        <v>0</v>
      </c>
      <c r="C398" s="262">
        <f t="shared" si="258"/>
        <v>-7722</v>
      </c>
      <c r="D398" s="262">
        <f t="shared" si="258"/>
        <v>8416.265000000014</v>
      </c>
      <c r="E398" s="262">
        <f t="shared" si="258"/>
        <v>23420.361377400026</v>
      </c>
      <c r="F398" s="262">
        <f t="shared" si="258"/>
        <v>13564.243072227197</v>
      </c>
      <c r="G398" s="262">
        <f t="shared" si="258"/>
        <v>2580.2718308092735</v>
      </c>
      <c r="H398" s="262">
        <f t="shared" si="258"/>
        <v>-1861.5628564583603</v>
      </c>
      <c r="I398" s="262">
        <f t="shared" si="258"/>
        <v>-3323.5363405677781</v>
      </c>
      <c r="J398" s="262">
        <f t="shared" si="258"/>
        <v>-5668.7255535467993</v>
      </c>
      <c r="K398" s="262">
        <f t="shared" si="258"/>
        <v>-3359.2104390187887</v>
      </c>
      <c r="L398" s="262">
        <f t="shared" si="258"/>
        <v>634.93320775640314</v>
      </c>
      <c r="M398" s="262">
        <f t="shared" si="258"/>
        <v>615.28657677979209</v>
      </c>
      <c r="N398" s="262">
        <f t="shared" si="258"/>
        <v>595.47954398105503</v>
      </c>
      <c r="O398" s="262">
        <f t="shared" si="258"/>
        <v>589.9469736503379</v>
      </c>
      <c r="P398" s="262">
        <f t="shared" si="258"/>
        <v>593.52046172408154</v>
      </c>
      <c r="Q398" s="262">
        <f t="shared" si="258"/>
        <v>605.49983046253328</v>
      </c>
      <c r="R398" s="262">
        <f t="shared" si="258"/>
        <v>606.21494575406541</v>
      </c>
      <c r="S398" s="262">
        <f t="shared" si="258"/>
        <v>606.06482117663836</v>
      </c>
      <c r="T398" s="262">
        <f t="shared" si="258"/>
        <v>612.26296042179456</v>
      </c>
      <c r="U398" s="262">
        <f t="shared" si="258"/>
        <v>612.29317727684975</v>
      </c>
      <c r="V398" s="262">
        <f t="shared" si="258"/>
        <v>613.62790003122063</v>
      </c>
      <c r="W398" s="262">
        <f t="shared" si="258"/>
        <v>607.21471657315851</v>
      </c>
      <c r="X398" s="262">
        <f t="shared" si="258"/>
        <v>602.80871476128232</v>
      </c>
      <c r="Y398" s="262">
        <f t="shared" si="258"/>
        <v>595.76783958327724</v>
      </c>
      <c r="Z398" s="262">
        <f t="shared" si="258"/>
        <v>591.19252414282528</v>
      </c>
      <c r="AA398" s="262">
        <f t="shared" si="258"/>
        <v>587.00028450609534</v>
      </c>
      <c r="AB398" s="262">
        <f t="shared" si="258"/>
        <v>589.03123581619002</v>
      </c>
      <c r="AC398" s="262">
        <f t="shared" si="258"/>
        <v>579.91314442362636</v>
      </c>
      <c r="AD398" s="262">
        <f t="shared" ref="AD398:AM398" si="259">AD395-AD396</f>
        <v>-353.32484251906862</v>
      </c>
      <c r="AE398" s="262">
        <f t="shared" si="259"/>
        <v>563.33207849241444</v>
      </c>
      <c r="AF398" s="262">
        <f t="shared" si="259"/>
        <v>562.70428667051601</v>
      </c>
      <c r="AG398" s="262">
        <f t="shared" si="259"/>
        <v>562.28977465321077</v>
      </c>
      <c r="AH398" s="262">
        <f t="shared" si="259"/>
        <v>557.38761124873417</v>
      </c>
      <c r="AI398" s="262">
        <f t="shared" si="259"/>
        <v>551.50759821521933</v>
      </c>
      <c r="AJ398" s="262">
        <f t="shared" si="259"/>
        <v>542.77824276682804</v>
      </c>
      <c r="AK398" s="262">
        <f t="shared" si="259"/>
        <v>539.66190967915463</v>
      </c>
      <c r="AL398" s="262">
        <f t="shared" si="259"/>
        <v>530.66022013075417</v>
      </c>
      <c r="AM398" s="262">
        <f t="shared" si="259"/>
        <v>524.82321447881986</v>
      </c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</row>
    <row r="400" spans="1:86">
      <c r="B400" s="403"/>
      <c r="C400" s="403"/>
      <c r="D400" s="403"/>
      <c r="E400" s="403"/>
      <c r="F400" s="403"/>
      <c r="G400" s="403"/>
      <c r="H400" s="403"/>
      <c r="I400" s="403"/>
      <c r="J400" s="403"/>
      <c r="K400" s="403"/>
      <c r="L400" s="403"/>
      <c r="M400" s="403"/>
      <c r="N400" s="403"/>
      <c r="O400" s="403"/>
      <c r="P400" s="403"/>
      <c r="Q400" s="403"/>
      <c r="R400" s="403"/>
      <c r="S400" s="403"/>
      <c r="T400" s="403"/>
      <c r="U400" s="403"/>
      <c r="V400" s="403"/>
      <c r="W400" s="403"/>
      <c r="X400" s="403"/>
      <c r="Y400" s="403"/>
      <c r="Z400" s="403"/>
      <c r="AA400" s="403"/>
      <c r="AB400" s="403"/>
      <c r="AC400" s="403"/>
      <c r="AD400" s="403"/>
      <c r="AE400" s="403"/>
      <c r="AF400" s="403"/>
      <c r="AG400" s="403"/>
      <c r="AH400" s="403"/>
      <c r="AI400" s="403"/>
      <c r="AJ400" s="403"/>
      <c r="AK400" s="403"/>
      <c r="AL400" s="403"/>
      <c r="AM400" s="403"/>
      <c r="AN400" s="403"/>
      <c r="AO400" s="403"/>
      <c r="AP400" s="403"/>
      <c r="AQ400" s="403"/>
      <c r="AR400" s="403"/>
      <c r="AS400" s="403"/>
      <c r="AT400" s="403"/>
      <c r="AU400" s="403"/>
      <c r="AV400" s="403"/>
      <c r="AW400" s="403"/>
      <c r="AX400" s="403"/>
      <c r="AY400" s="403"/>
      <c r="AZ400" s="403"/>
      <c r="BA400" s="403"/>
      <c r="BB400" s="403"/>
      <c r="BC400" s="403"/>
      <c r="BD400" s="403"/>
      <c r="BE400" s="403"/>
      <c r="BF400" s="403"/>
      <c r="BG400" s="403"/>
      <c r="BH400" s="403"/>
      <c r="BI400" s="403"/>
      <c r="BJ400" s="403"/>
      <c r="BK400" s="403"/>
      <c r="BL400" s="403"/>
      <c r="BM400" s="403"/>
      <c r="BN400" s="403"/>
      <c r="BO400" s="403"/>
      <c r="BP400" s="403"/>
      <c r="BQ400" s="403"/>
    </row>
    <row r="401" spans="2:69">
      <c r="B401" s="403"/>
      <c r="C401" s="403"/>
      <c r="D401" s="403"/>
      <c r="E401" s="403"/>
      <c r="F401" s="403"/>
      <c r="G401" s="403"/>
      <c r="H401" s="403"/>
      <c r="I401" s="403"/>
      <c r="J401" s="403"/>
      <c r="K401" s="403"/>
      <c r="L401" s="403"/>
      <c r="M401" s="403"/>
      <c r="N401" s="403"/>
      <c r="O401" s="403"/>
      <c r="P401" s="403"/>
      <c r="Q401" s="403"/>
      <c r="R401" s="403"/>
      <c r="S401" s="403"/>
      <c r="T401" s="403"/>
      <c r="U401" s="403"/>
      <c r="V401" s="403"/>
      <c r="W401" s="403"/>
      <c r="X401" s="403"/>
      <c r="Y401" s="403"/>
      <c r="Z401" s="403"/>
      <c r="AA401" s="403"/>
      <c r="AB401" s="403"/>
      <c r="AC401" s="403"/>
      <c r="AD401" s="403"/>
      <c r="AE401" s="403"/>
      <c r="AF401" s="403"/>
      <c r="AG401" s="403"/>
      <c r="AH401" s="403"/>
      <c r="AI401" s="403"/>
      <c r="AJ401" s="403"/>
      <c r="AK401" s="403"/>
      <c r="AL401" s="403"/>
      <c r="AM401" s="403"/>
      <c r="AN401" s="403"/>
      <c r="AO401" s="403"/>
      <c r="AP401" s="403"/>
      <c r="AQ401" s="403"/>
      <c r="AR401" s="403"/>
      <c r="AS401" s="403"/>
      <c r="AT401" s="403"/>
      <c r="AU401" s="403"/>
      <c r="AV401" s="403"/>
      <c r="AW401" s="403"/>
      <c r="AX401" s="403"/>
      <c r="AY401" s="403"/>
      <c r="AZ401" s="403"/>
      <c r="BA401" s="403"/>
      <c r="BB401" s="403"/>
      <c r="BC401" s="403"/>
      <c r="BD401" s="403"/>
      <c r="BE401" s="403"/>
      <c r="BF401" s="403"/>
      <c r="BG401" s="403"/>
      <c r="BH401" s="403"/>
      <c r="BI401" s="403"/>
      <c r="BJ401" s="403"/>
      <c r="BK401" s="403"/>
      <c r="BL401" s="403"/>
      <c r="BM401" s="403"/>
      <c r="BN401" s="403"/>
      <c r="BO401" s="403"/>
      <c r="BP401" s="403"/>
      <c r="BQ401" s="403"/>
    </row>
    <row r="431" spans="2:2">
      <c r="B431" s="32" t="s">
        <v>630</v>
      </c>
    </row>
    <row r="433" spans="1:86">
      <c r="A433" s="2" t="s">
        <v>544</v>
      </c>
    </row>
    <row r="434" spans="1:86" s="365" customFormat="1">
      <c r="A434" s="53"/>
      <c r="B434" s="53">
        <v>2023</v>
      </c>
      <c r="C434" s="53">
        <v>2024</v>
      </c>
      <c r="D434" s="53">
        <v>2025</v>
      </c>
      <c r="E434" s="53">
        <v>2026</v>
      </c>
      <c r="F434" s="53">
        <v>2027</v>
      </c>
      <c r="G434" s="53">
        <v>2028</v>
      </c>
      <c r="H434" s="53">
        <v>2029</v>
      </c>
      <c r="I434" s="53">
        <v>2030</v>
      </c>
      <c r="J434" s="53">
        <v>2031</v>
      </c>
      <c r="K434" s="53">
        <v>2032</v>
      </c>
      <c r="L434" s="53">
        <v>2033</v>
      </c>
      <c r="M434" s="53">
        <v>2034</v>
      </c>
      <c r="N434" s="53">
        <v>2035</v>
      </c>
      <c r="O434" s="53">
        <v>2036</v>
      </c>
      <c r="P434" s="53">
        <v>2037</v>
      </c>
      <c r="Q434" s="53">
        <v>2038</v>
      </c>
      <c r="R434" s="53">
        <v>2039</v>
      </c>
      <c r="S434" s="53">
        <v>2040</v>
      </c>
      <c r="T434" s="53">
        <v>2041</v>
      </c>
      <c r="U434" s="53">
        <v>2042</v>
      </c>
      <c r="V434" s="53">
        <v>2043</v>
      </c>
      <c r="W434" s="53">
        <v>2044</v>
      </c>
      <c r="X434" s="53">
        <v>2045</v>
      </c>
      <c r="Y434" s="53">
        <v>2046</v>
      </c>
      <c r="Z434" s="53">
        <v>2047</v>
      </c>
      <c r="AA434" s="53">
        <v>2048</v>
      </c>
      <c r="AB434" s="53">
        <v>2049</v>
      </c>
      <c r="AC434" s="53">
        <v>2050</v>
      </c>
      <c r="AD434" s="53">
        <v>2051</v>
      </c>
      <c r="AE434" s="53">
        <v>2052</v>
      </c>
      <c r="AF434" s="53">
        <v>2053</v>
      </c>
      <c r="AG434" s="53">
        <v>2054</v>
      </c>
      <c r="AH434" s="53">
        <v>2055</v>
      </c>
      <c r="AI434" s="53">
        <v>2056</v>
      </c>
      <c r="AJ434" s="53">
        <v>2057</v>
      </c>
      <c r="AK434" s="53">
        <v>2058</v>
      </c>
      <c r="AL434" s="53">
        <v>2059</v>
      </c>
      <c r="AM434" s="53">
        <v>2060</v>
      </c>
      <c r="AN434" s="53">
        <v>2061</v>
      </c>
      <c r="AO434" s="53">
        <v>2062</v>
      </c>
      <c r="AP434" s="53">
        <v>2063</v>
      </c>
      <c r="AQ434" s="53">
        <v>2064</v>
      </c>
      <c r="AR434" s="53">
        <v>2065</v>
      </c>
      <c r="AS434" s="53">
        <v>2066</v>
      </c>
      <c r="AT434" s="53">
        <v>2067</v>
      </c>
      <c r="AU434" s="53">
        <v>2068</v>
      </c>
      <c r="AV434" s="53">
        <v>2069</v>
      </c>
      <c r="AW434" s="53">
        <v>2070</v>
      </c>
      <c r="AX434" s="53">
        <v>2071</v>
      </c>
      <c r="AY434" s="53">
        <v>2072</v>
      </c>
      <c r="AZ434" s="53">
        <v>2073</v>
      </c>
      <c r="BA434" s="53">
        <v>2074</v>
      </c>
      <c r="BB434" s="53">
        <v>2075</v>
      </c>
      <c r="BC434" s="53">
        <v>2076</v>
      </c>
      <c r="BD434" s="53">
        <v>2077</v>
      </c>
      <c r="BE434" s="53">
        <v>2078</v>
      </c>
      <c r="BF434" s="53">
        <v>2079</v>
      </c>
      <c r="BG434" s="53">
        <v>2080</v>
      </c>
      <c r="BH434" s="53">
        <v>2081</v>
      </c>
      <c r="BI434" s="53">
        <v>2082</v>
      </c>
      <c r="BJ434" s="53">
        <v>2083</v>
      </c>
      <c r="BK434" s="53">
        <v>2084</v>
      </c>
      <c r="BL434" s="53">
        <v>2085</v>
      </c>
      <c r="BM434" s="53">
        <v>2086</v>
      </c>
      <c r="BN434" s="53">
        <v>2087</v>
      </c>
      <c r="BO434" s="53">
        <v>2088</v>
      </c>
      <c r="BP434" s="53">
        <v>2089</v>
      </c>
      <c r="BQ434" s="53">
        <v>2090</v>
      </c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G434" s="53"/>
      <c r="CH434" s="53"/>
    </row>
    <row r="435" spans="1:86" s="484" customFormat="1">
      <c r="A435" s="2" t="s">
        <v>682</v>
      </c>
      <c r="B435" s="262">
        <f>Formue!Y57</f>
        <v>205379.03985507248</v>
      </c>
      <c r="C435" s="262">
        <f>Formue!Z57</f>
        <v>223509.23163887981</v>
      </c>
      <c r="D435" s="262">
        <f>Formue!AA57</f>
        <v>241035.48526939406</v>
      </c>
      <c r="E435" s="262">
        <f>Formue!AB57</f>
        <v>227798.81863562955</v>
      </c>
      <c r="F435" s="262">
        <f>Formue!AC57</f>
        <v>199558.52446436891</v>
      </c>
      <c r="G435" s="262">
        <f>Formue!AD57</f>
        <v>181079.23473158843</v>
      </c>
      <c r="H435" s="262">
        <f>Formue!AE57</f>
        <v>178136.97279499634</v>
      </c>
      <c r="I435" s="262">
        <f>Formue!AF57</f>
        <v>173113.64446973542</v>
      </c>
      <c r="J435" s="262">
        <f>Formue!AG57</f>
        <v>162195.48655216224</v>
      </c>
      <c r="K435" s="262">
        <f>Formue!AH57</f>
        <v>154948.39282157298</v>
      </c>
      <c r="L435" s="262">
        <f>Formue!AI57</f>
        <v>152516.56593655166</v>
      </c>
      <c r="M435" s="262">
        <f>Formue!AJ57</f>
        <v>144862.02116359238</v>
      </c>
      <c r="N435" s="262">
        <f>Formue!AK57</f>
        <v>137457.21654379752</v>
      </c>
      <c r="O435" s="262">
        <f>Formue!AL57</f>
        <v>133166.17690105049</v>
      </c>
      <c r="P435" s="262">
        <f>Formue!AM57</f>
        <v>131243.88407311059</v>
      </c>
      <c r="Q435" s="262">
        <f>Formue!AN57</f>
        <v>130997.08136391459</v>
      </c>
      <c r="R435" s="262">
        <f>Formue!AO57</f>
        <v>128497.54984025889</v>
      </c>
      <c r="S435" s="262">
        <f>Formue!AP57</f>
        <v>125922.14824313956</v>
      </c>
      <c r="T435" s="262">
        <f>Formue!AQ57</f>
        <v>124574.1396122959</v>
      </c>
      <c r="U435" s="262">
        <f>Formue!AR57</f>
        <v>122106.2468881355</v>
      </c>
      <c r="V435" s="262">
        <f>Formue!AS57</f>
        <v>119667.38819602375</v>
      </c>
      <c r="W435" s="262">
        <f>Formue!AT57</f>
        <v>115945.83914974077</v>
      </c>
      <c r="X435" s="262">
        <f>Formue!AU57</f>
        <v>112809.21800855339</v>
      </c>
      <c r="Y435" s="262">
        <f>Formue!AV57</f>
        <v>109406.76126992542</v>
      </c>
      <c r="Z435" s="262">
        <f>Formue!AW57</f>
        <v>106461.88087638968</v>
      </c>
      <c r="AA435" s="262">
        <f>Formue!AX57</f>
        <v>103556.81858394899</v>
      </c>
      <c r="AB435" s="262">
        <f>Formue!AY57</f>
        <v>101560.93626652735</v>
      </c>
      <c r="AC435" s="262">
        <f>Formue!AZ57</f>
        <v>97861.784902110667</v>
      </c>
      <c r="AD435" s="262">
        <f>Formue!BA57</f>
        <v>93315.76889088974</v>
      </c>
      <c r="AE435" s="262">
        <f>Formue!BB57</f>
        <v>91330.172916251118</v>
      </c>
      <c r="AF435" s="262">
        <f>Formue!BC57</f>
        <v>89338.43831769313</v>
      </c>
      <c r="AG435" s="262">
        <f>Formue!BD57</f>
        <v>87508.464754836677</v>
      </c>
      <c r="AH435" s="262">
        <f>Formue!BE57</f>
        <v>84988.310772988159</v>
      </c>
      <c r="AI435" s="262">
        <f>Formue!BF57</f>
        <v>82291.73771697226</v>
      </c>
      <c r="AJ435" s="262">
        <f>Formue!BG57</f>
        <v>79363.33206276453</v>
      </c>
      <c r="AK435" s="262">
        <f>Formue!BH57</f>
        <v>77485.385983525513</v>
      </c>
      <c r="AL435" s="262">
        <f>Formue!BI57</f>
        <v>74622.630423499344</v>
      </c>
      <c r="AM435" s="262">
        <f>Formue!BJ57</f>
        <v>72290.782878082697</v>
      </c>
      <c r="AN435" s="262">
        <f>Formue!BK57</f>
        <v>72652.236792473108</v>
      </c>
      <c r="AO435" s="262">
        <f>Formue!BL57</f>
        <v>73015.497976435465</v>
      </c>
      <c r="AP435" s="262">
        <f>Formue!BM57</f>
        <v>73380.575466317634</v>
      </c>
      <c r="AQ435" s="262">
        <f>Formue!BN57</f>
        <v>73747.478343649214</v>
      </c>
      <c r="AR435" s="262">
        <f>Formue!BO57</f>
        <v>74116.215735367456</v>
      </c>
      <c r="AS435" s="262">
        <f>Formue!BP57</f>
        <v>74486.796814044283</v>
      </c>
      <c r="AT435" s="262">
        <f>Formue!BQ57</f>
        <v>74859.230798114499</v>
      </c>
      <c r="AU435" s="262">
        <f>Formue!BR57</f>
        <v>75233.526952105065</v>
      </c>
      <c r="AV435" s="262">
        <f>Formue!BS57</f>
        <v>75609.694586865589</v>
      </c>
      <c r="AW435" s="262">
        <f>Formue!BT57</f>
        <v>75987.743059799905</v>
      </c>
      <c r="AX435" s="262">
        <f>Formue!BU57</f>
        <v>76367.681775098899</v>
      </c>
      <c r="AY435" s="262">
        <f>Formue!BV57</f>
        <v>76749.520183974382</v>
      </c>
      <c r="AZ435" s="262">
        <f>Formue!BW57</f>
        <v>77133.26778489424</v>
      </c>
      <c r="BA435" s="262">
        <f>Formue!BX57</f>
        <v>77518.934123818704</v>
      </c>
      <c r="BB435" s="262">
        <f>Formue!BY57</f>
        <v>77906.528794437792</v>
      </c>
      <c r="BC435" s="262">
        <f>Formue!BZ57</f>
        <v>78296.061438409975</v>
      </c>
      <c r="BD435" s="262">
        <f>Formue!CA57</f>
        <v>78687.541745602022</v>
      </c>
      <c r="BE435" s="262">
        <f>Formue!CB57</f>
        <v>79080.979454330023</v>
      </c>
      <c r="BF435" s="262">
        <f>Formue!CC57</f>
        <v>79476.384351601664</v>
      </c>
      <c r="BG435" s="262">
        <f>Formue!CD57</f>
        <v>79873.766273359666</v>
      </c>
      <c r="BH435" s="262">
        <f>Formue!CE57</f>
        <v>80273.135104726462</v>
      </c>
      <c r="BI435" s="262">
        <f>Formue!CF57</f>
        <v>80674.500780250091</v>
      </c>
      <c r="BJ435" s="262">
        <f>Formue!CG57</f>
        <v>81077.873284151327</v>
      </c>
      <c r="BK435" s="262">
        <f>Formue!CH57</f>
        <v>81483.262650572069</v>
      </c>
      <c r="BL435" s="262">
        <f>Formue!CI57</f>
        <v>81890.678963824917</v>
      </c>
      <c r="BM435" s="262">
        <f>Formue!CJ57</f>
        <v>82300.132358644027</v>
      </c>
      <c r="BN435" s="262">
        <f>Formue!CK57</f>
        <v>82711.633020437235</v>
      </c>
      <c r="BO435" s="262">
        <f>Formue!CL57</f>
        <v>83125.191185539414</v>
      </c>
      <c r="BP435" s="262">
        <f>Formue!CM57</f>
        <v>83540.817141467109</v>
      </c>
      <c r="BQ435" s="262">
        <f>Formue!CN57</f>
        <v>83958.521227174439</v>
      </c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G435" s="262"/>
      <c r="CH435" s="262"/>
    </row>
    <row r="436" spans="1:86">
      <c r="A436" s="2" t="s">
        <v>671</v>
      </c>
      <c r="B436" s="656">
        <v>205379.03985507248</v>
      </c>
      <c r="C436" s="656">
        <v>229867.03068653465</v>
      </c>
      <c r="D436" s="656">
        <v>234172.75867270801</v>
      </c>
      <c r="E436" s="656">
        <v>208811.31381041929</v>
      </c>
      <c r="F436" s="656">
        <v>189559.9823183032</v>
      </c>
      <c r="G436" s="656">
        <v>180069.6862716738</v>
      </c>
      <c r="H436" s="656">
        <v>180736.25400624628</v>
      </c>
      <c r="I436" s="656">
        <v>177028.16765614023</v>
      </c>
      <c r="J436" s="656">
        <v>167995.00336570645</v>
      </c>
      <c r="K436" s="656">
        <v>159197.68963603885</v>
      </c>
      <c r="L436" s="656">
        <v>153949.24508681058</v>
      </c>
      <c r="M436" s="656">
        <v>146223.17812345497</v>
      </c>
      <c r="N436" s="656">
        <v>138742.81671260943</v>
      </c>
      <c r="O436" s="656">
        <v>134329.57900307432</v>
      </c>
      <c r="P436" s="656">
        <v>132279.4119078065</v>
      </c>
      <c r="Q436" s="656">
        <v>132030.66189968039</v>
      </c>
      <c r="R436" s="656">
        <v>129511.40881349382</v>
      </c>
      <c r="S436" s="656">
        <v>126915.6870311094</v>
      </c>
      <c r="T436" s="656">
        <v>125557.04247259136</v>
      </c>
      <c r="U436" s="656">
        <v>123069.67781930507</v>
      </c>
      <c r="V436" s="656">
        <v>120611.57627958636</v>
      </c>
      <c r="W436" s="656">
        <v>116860.66382598835</v>
      </c>
      <c r="X436" s="656">
        <v>113699.29441922241</v>
      </c>
      <c r="Y436" s="656">
        <v>110269.99194462743</v>
      </c>
      <c r="Z436" s="656">
        <v>107301.87613986527</v>
      </c>
      <c r="AA436" s="656">
        <v>104373.89260513907</v>
      </c>
      <c r="AB436" s="656">
        <v>102362.26256957326</v>
      </c>
      <c r="AC436" s="656">
        <v>98633.924517870895</v>
      </c>
      <c r="AD436" s="656">
        <v>94494.331028972316</v>
      </c>
      <c r="AE436" s="656">
        <v>92050.777437141849</v>
      </c>
      <c r="AF436" s="656">
        <v>90043.327846371496</v>
      </c>
      <c r="AG436" s="656">
        <v>88198.915602623674</v>
      </c>
      <c r="AH436" s="656">
        <v>85658.877344914494</v>
      </c>
      <c r="AI436" s="656">
        <v>82941.028048275897</v>
      </c>
      <c r="AJ436" s="656">
        <v>79989.516970241108</v>
      </c>
      <c r="AK436" s="656">
        <v>78096.753701989015</v>
      </c>
      <c r="AL436" s="656">
        <v>75211.410704176436</v>
      </c>
      <c r="AM436" s="656">
        <v>72861.164640180534</v>
      </c>
      <c r="AN436" s="656">
        <v>73225.470463381425</v>
      </c>
      <c r="AO436" s="656">
        <v>73591.597815698318</v>
      </c>
      <c r="AP436" s="656">
        <v>73959.555804776799</v>
      </c>
      <c r="AQ436" s="656">
        <v>74329.353583800679</v>
      </c>
      <c r="AR436" s="656">
        <v>74701.000351719675</v>
      </c>
      <c r="AS436" s="656">
        <v>75074.505353478264</v>
      </c>
      <c r="AT436" s="656">
        <v>75449.877880245651</v>
      </c>
      <c r="AU436" s="656">
        <v>75827.127269646866</v>
      </c>
      <c r="AV436" s="656">
        <v>76206.262905995085</v>
      </c>
      <c r="AW436" s="656">
        <v>76587.294220525058</v>
      </c>
      <c r="AX436" s="656">
        <v>76970.230691627672</v>
      </c>
      <c r="AY436" s="656">
        <v>77355.081845085806</v>
      </c>
      <c r="AZ436" s="656">
        <v>77741.857254311224</v>
      </c>
      <c r="BA436" s="656">
        <v>78130.566540582775</v>
      </c>
      <c r="BB436" s="656">
        <v>78521.219373285683</v>
      </c>
      <c r="BC436" s="656">
        <v>78913.825470152107</v>
      </c>
      <c r="BD436" s="656">
        <v>79308.394597502862</v>
      </c>
      <c r="BE436" s="656">
        <v>79704.936570490361</v>
      </c>
      <c r="BF436" s="656">
        <v>80103.461253342801</v>
      </c>
      <c r="BG436" s="656">
        <v>80503.978559609503</v>
      </c>
      <c r="BH436" s="656">
        <v>80906.498452407541</v>
      </c>
      <c r="BI436" s="656">
        <v>81311.030944669576</v>
      </c>
      <c r="BJ436" s="656">
        <v>81717.586099392909</v>
      </c>
      <c r="BK436" s="656">
        <v>82126.174029889866</v>
      </c>
      <c r="BL436" s="656">
        <v>82536.804900039308</v>
      </c>
      <c r="BM436" s="656">
        <v>82949.488924539502</v>
      </c>
      <c r="BN436" s="656">
        <v>83364.236369162187</v>
      </c>
      <c r="BO436" s="656">
        <v>83781.057551007994</v>
      </c>
      <c r="BP436" s="656">
        <v>84199.962838763022</v>
      </c>
      <c r="BQ436" s="656">
        <v>84620.962652956834</v>
      </c>
      <c r="BR436" s="336"/>
      <c r="BS436" s="336"/>
      <c r="BT436" s="336"/>
      <c r="BU436" s="336"/>
      <c r="BV436" s="336"/>
      <c r="BW436" s="336"/>
      <c r="BX436" s="336"/>
      <c r="BY436" s="336"/>
      <c r="BZ436" s="336"/>
      <c r="CA436" s="336"/>
    </row>
    <row r="437" spans="1:86"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6"/>
      <c r="P437" s="656"/>
      <c r="Q437" s="656"/>
      <c r="R437" s="656"/>
      <c r="S437" s="656"/>
      <c r="T437" s="656"/>
      <c r="U437" s="656"/>
      <c r="V437" s="656"/>
      <c r="W437" s="656"/>
      <c r="X437" s="656"/>
      <c r="Y437" s="656"/>
      <c r="Z437" s="656"/>
      <c r="AA437" s="656"/>
      <c r="AB437" s="656"/>
      <c r="AC437" s="656"/>
      <c r="AD437" s="656"/>
      <c r="AE437" s="656"/>
      <c r="AF437" s="656"/>
      <c r="AG437" s="656"/>
      <c r="AH437" s="656"/>
      <c r="AI437" s="656"/>
      <c r="AJ437" s="656"/>
      <c r="AK437" s="656"/>
      <c r="AL437" s="656"/>
      <c r="AM437" s="656"/>
      <c r="AN437" s="656"/>
      <c r="AO437" s="656"/>
      <c r="AP437" s="656"/>
      <c r="AQ437" s="656"/>
      <c r="AR437" s="656"/>
      <c r="AS437" s="656"/>
      <c r="AT437" s="656"/>
      <c r="AU437" s="656"/>
      <c r="AV437" s="656"/>
      <c r="AW437" s="656"/>
      <c r="AX437" s="656"/>
      <c r="AY437" s="656"/>
      <c r="AZ437" s="656"/>
      <c r="BA437" s="656"/>
      <c r="BB437" s="656"/>
      <c r="BC437" s="656"/>
      <c r="BD437" s="656"/>
      <c r="BE437" s="656"/>
      <c r="BF437" s="656"/>
      <c r="BG437" s="656"/>
      <c r="BH437" s="656"/>
      <c r="BI437" s="656"/>
      <c r="BJ437" s="656"/>
      <c r="BK437" s="656"/>
      <c r="BL437" s="656"/>
      <c r="BM437" s="656"/>
      <c r="BN437" s="656"/>
      <c r="BO437" s="656"/>
      <c r="BP437" s="656"/>
      <c r="BQ437" s="656"/>
      <c r="BR437" s="336"/>
      <c r="BS437" s="336"/>
      <c r="BT437" s="336"/>
      <c r="BU437" s="336"/>
      <c r="BV437" s="336"/>
      <c r="BW437" s="336"/>
      <c r="BX437" s="336"/>
      <c r="BY437" s="336"/>
      <c r="BZ437" s="336"/>
      <c r="CA437" s="336"/>
    </row>
    <row r="438" spans="1:86">
      <c r="A438" s="263" t="s">
        <v>629</v>
      </c>
      <c r="B438" s="262">
        <f t="shared" ref="B438:AC438" si="260">B435-B436</f>
        <v>0</v>
      </c>
      <c r="C438" s="262">
        <f t="shared" si="260"/>
        <v>-6357.7990476548439</v>
      </c>
      <c r="D438" s="262">
        <f t="shared" si="260"/>
        <v>6862.7265966860577</v>
      </c>
      <c r="E438" s="262">
        <f t="shared" si="260"/>
        <v>18987.504825210257</v>
      </c>
      <c r="F438" s="262">
        <f t="shared" si="260"/>
        <v>9998.5421460657089</v>
      </c>
      <c r="G438" s="262">
        <f t="shared" si="260"/>
        <v>1009.5484599146293</v>
      </c>
      <c r="H438" s="262">
        <f t="shared" si="260"/>
        <v>-2599.2812112499378</v>
      </c>
      <c r="I438" s="262">
        <f t="shared" si="260"/>
        <v>-3914.523186404811</v>
      </c>
      <c r="J438" s="262">
        <f t="shared" si="260"/>
        <v>-5799.5168135442073</v>
      </c>
      <c r="K438" s="262">
        <f t="shared" si="260"/>
        <v>-4249.2968144658662</v>
      </c>
      <c r="L438" s="262">
        <f t="shared" si="260"/>
        <v>-1432.6791502589185</v>
      </c>
      <c r="M438" s="262">
        <f t="shared" si="260"/>
        <v>-1361.1569598625938</v>
      </c>
      <c r="N438" s="262">
        <f t="shared" si="260"/>
        <v>-1285.600168811914</v>
      </c>
      <c r="O438" s="262">
        <f t="shared" si="260"/>
        <v>-1163.4021020238288</v>
      </c>
      <c r="P438" s="262">
        <f t="shared" si="260"/>
        <v>-1035.5278346959094</v>
      </c>
      <c r="Q438" s="262">
        <f t="shared" si="260"/>
        <v>-1033.5805357657955</v>
      </c>
      <c r="R438" s="262">
        <f t="shared" si="260"/>
        <v>-1013.8589732349355</v>
      </c>
      <c r="S438" s="262">
        <f t="shared" si="260"/>
        <v>-993.53878796983918</v>
      </c>
      <c r="T438" s="262">
        <f t="shared" si="260"/>
        <v>-982.90286029546405</v>
      </c>
      <c r="U438" s="262">
        <f t="shared" si="260"/>
        <v>-963.43093116956879</v>
      </c>
      <c r="V438" s="262">
        <f t="shared" si="260"/>
        <v>-944.18808356260706</v>
      </c>
      <c r="W438" s="262">
        <f t="shared" si="260"/>
        <v>-914.82467624757555</v>
      </c>
      <c r="X438" s="262">
        <f t="shared" si="260"/>
        <v>-890.07641066901851</v>
      </c>
      <c r="Y438" s="262">
        <f t="shared" si="260"/>
        <v>-863.23067470200476</v>
      </c>
      <c r="Z438" s="262">
        <f t="shared" si="260"/>
        <v>-839.99526347559004</v>
      </c>
      <c r="AA438" s="262">
        <f t="shared" si="260"/>
        <v>-817.07402119008475</v>
      </c>
      <c r="AB438" s="262">
        <f t="shared" si="260"/>
        <v>-801.32630304590566</v>
      </c>
      <c r="AC438" s="262">
        <f t="shared" si="260"/>
        <v>-772.13961576022848</v>
      </c>
      <c r="AD438" s="262">
        <f t="shared" ref="AD438:BQ438" si="261">AD435-AD436</f>
        <v>-1178.562138082576</v>
      </c>
      <c r="AE438" s="262">
        <f t="shared" si="261"/>
        <v>-720.60452089073078</v>
      </c>
      <c r="AF438" s="262">
        <f t="shared" si="261"/>
        <v>-704.88952867836633</v>
      </c>
      <c r="AG438" s="262">
        <f t="shared" si="261"/>
        <v>-690.45084778699675</v>
      </c>
      <c r="AH438" s="262">
        <f t="shared" si="261"/>
        <v>-670.56657192633429</v>
      </c>
      <c r="AI438" s="262">
        <f t="shared" si="261"/>
        <v>-649.29033130363678</v>
      </c>
      <c r="AJ438" s="262">
        <f t="shared" si="261"/>
        <v>-626.18490747657779</v>
      </c>
      <c r="AK438" s="262">
        <f t="shared" si="261"/>
        <v>-611.36771846350166</v>
      </c>
      <c r="AL438" s="262">
        <f t="shared" si="261"/>
        <v>-588.78028067709238</v>
      </c>
      <c r="AM438" s="262">
        <f t="shared" si="261"/>
        <v>-570.38176209783705</v>
      </c>
      <c r="AN438" s="262">
        <f t="shared" si="261"/>
        <v>-573.23367090831744</v>
      </c>
      <c r="AO438" s="262">
        <f t="shared" si="261"/>
        <v>-576.09983926285349</v>
      </c>
      <c r="AP438" s="262">
        <f t="shared" si="261"/>
        <v>-578.98033845916507</v>
      </c>
      <c r="AQ438" s="262">
        <f t="shared" si="261"/>
        <v>-581.87524015146482</v>
      </c>
      <c r="AR438" s="262">
        <f t="shared" si="261"/>
        <v>-584.78461635221902</v>
      </c>
      <c r="AS438" s="262">
        <f t="shared" si="261"/>
        <v>-587.70853943398106</v>
      </c>
      <c r="AT438" s="262">
        <f t="shared" si="261"/>
        <v>-590.64708213115227</v>
      </c>
      <c r="AU438" s="262">
        <f t="shared" si="261"/>
        <v>-593.60031754180091</v>
      </c>
      <c r="AV438" s="262">
        <f t="shared" si="261"/>
        <v>-596.56831912949565</v>
      </c>
      <c r="AW438" s="262">
        <f t="shared" si="261"/>
        <v>-599.55116072515375</v>
      </c>
      <c r="AX438" s="262">
        <f t="shared" si="261"/>
        <v>-602.54891652877268</v>
      </c>
      <c r="AY438" s="262">
        <f t="shared" si="261"/>
        <v>-605.56166111142375</v>
      </c>
      <c r="AZ438" s="262">
        <f t="shared" si="261"/>
        <v>-608.58946941698377</v>
      </c>
      <c r="BA438" s="262">
        <f t="shared" si="261"/>
        <v>-611.63241676407051</v>
      </c>
      <c r="BB438" s="262">
        <f t="shared" si="261"/>
        <v>-614.69057884789072</v>
      </c>
      <c r="BC438" s="262">
        <f t="shared" si="261"/>
        <v>-617.76403174213192</v>
      </c>
      <c r="BD438" s="262">
        <f t="shared" si="261"/>
        <v>-620.8528519008396</v>
      </c>
      <c r="BE438" s="262">
        <f t="shared" si="261"/>
        <v>-623.95711616033805</v>
      </c>
      <c r="BF438" s="262">
        <f t="shared" si="261"/>
        <v>-627.07690174113668</v>
      </c>
      <c r="BG438" s="262">
        <f t="shared" si="261"/>
        <v>-630.21228624983632</v>
      </c>
      <c r="BH438" s="262">
        <f t="shared" si="261"/>
        <v>-633.36334768107918</v>
      </c>
      <c r="BI438" s="262">
        <f t="shared" si="261"/>
        <v>-636.53016441948421</v>
      </c>
      <c r="BJ438" s="262">
        <f t="shared" si="261"/>
        <v>-639.71281524158258</v>
      </c>
      <c r="BK438" s="262">
        <f t="shared" si="261"/>
        <v>-642.91137931779667</v>
      </c>
      <c r="BL438" s="262">
        <f t="shared" si="261"/>
        <v>-646.12593621439009</v>
      </c>
      <c r="BM438" s="262">
        <f t="shared" si="261"/>
        <v>-649.3565658954758</v>
      </c>
      <c r="BN438" s="262">
        <f t="shared" si="261"/>
        <v>-652.6033487249515</v>
      </c>
      <c r="BO438" s="262">
        <f t="shared" si="261"/>
        <v>-655.86636546858063</v>
      </c>
      <c r="BP438" s="262">
        <f t="shared" si="261"/>
        <v>-659.14569729591312</v>
      </c>
      <c r="BQ438" s="262">
        <f t="shared" si="261"/>
        <v>-662.44142578239553</v>
      </c>
    </row>
    <row r="474" spans="1:87">
      <c r="A474" s="263"/>
    </row>
    <row r="475" spans="1:87">
      <c r="A475" s="2" t="s">
        <v>577</v>
      </c>
    </row>
    <row r="477" spans="1:87" s="365" customFormat="1">
      <c r="A477" s="53"/>
      <c r="B477" s="53">
        <v>2023</v>
      </c>
      <c r="C477" s="53">
        <v>2024</v>
      </c>
      <c r="D477" s="53">
        <v>2025</v>
      </c>
      <c r="E477" s="53">
        <v>2026</v>
      </c>
      <c r="F477" s="53">
        <v>2027</v>
      </c>
      <c r="G477" s="53">
        <v>2028</v>
      </c>
      <c r="H477" s="53">
        <v>2029</v>
      </c>
      <c r="I477" s="53">
        <v>2030</v>
      </c>
      <c r="J477" s="53">
        <v>2031</v>
      </c>
      <c r="K477" s="53">
        <v>2032</v>
      </c>
      <c r="L477" s="53">
        <v>2033</v>
      </c>
      <c r="M477" s="53">
        <v>2034</v>
      </c>
      <c r="N477" s="53">
        <v>2035</v>
      </c>
      <c r="O477" s="53">
        <v>2036</v>
      </c>
      <c r="P477" s="53">
        <v>2037</v>
      </c>
      <c r="Q477" s="53">
        <v>2038</v>
      </c>
      <c r="R477" s="53">
        <v>2039</v>
      </c>
      <c r="S477" s="53">
        <v>2040</v>
      </c>
      <c r="T477" s="53">
        <v>2041</v>
      </c>
      <c r="U477" s="53">
        <v>2042</v>
      </c>
      <c r="V477" s="53">
        <v>2043</v>
      </c>
      <c r="W477" s="53">
        <v>2044</v>
      </c>
      <c r="X477" s="53">
        <v>2045</v>
      </c>
      <c r="Y477" s="53">
        <v>2046</v>
      </c>
      <c r="Z477" s="53">
        <v>2047</v>
      </c>
      <c r="AA477" s="53">
        <v>2048</v>
      </c>
      <c r="AB477" s="53">
        <v>2049</v>
      </c>
      <c r="AC477" s="53">
        <v>2050</v>
      </c>
      <c r="AD477" s="53">
        <v>2051</v>
      </c>
      <c r="AE477" s="53">
        <v>2052</v>
      </c>
      <c r="AF477" s="53">
        <v>2053</v>
      </c>
      <c r="AG477" s="53">
        <v>2054</v>
      </c>
      <c r="AH477" s="53">
        <v>2055</v>
      </c>
      <c r="AI477" s="53">
        <v>2056</v>
      </c>
      <c r="AJ477" s="53">
        <v>2057</v>
      </c>
      <c r="AK477" s="53">
        <v>2058</v>
      </c>
      <c r="AL477" s="53">
        <v>2059</v>
      </c>
      <c r="AM477" s="53">
        <v>2060</v>
      </c>
      <c r="AN477" s="53">
        <v>2061</v>
      </c>
      <c r="AO477" s="53">
        <v>2062</v>
      </c>
      <c r="AP477" s="53">
        <v>2063</v>
      </c>
      <c r="AQ477" s="53">
        <v>2064</v>
      </c>
      <c r="AR477" s="53">
        <v>2065</v>
      </c>
      <c r="AS477" s="53">
        <v>2066</v>
      </c>
      <c r="AT477" s="53">
        <v>2067</v>
      </c>
      <c r="AU477" s="53">
        <v>2068</v>
      </c>
      <c r="AV477" s="53">
        <v>2069</v>
      </c>
      <c r="AW477" s="53">
        <v>2070</v>
      </c>
      <c r="AX477" s="53">
        <v>2071</v>
      </c>
      <c r="AY477" s="53">
        <v>2072</v>
      </c>
      <c r="AZ477" s="53">
        <v>2073</v>
      </c>
      <c r="BA477" s="53">
        <v>2074</v>
      </c>
      <c r="BB477" s="53">
        <v>2075</v>
      </c>
      <c r="BC477" s="53">
        <v>2076</v>
      </c>
      <c r="BD477" s="53">
        <v>2077</v>
      </c>
      <c r="BE477" s="53">
        <v>2078</v>
      </c>
      <c r="BF477" s="53">
        <v>2079</v>
      </c>
      <c r="BG477" s="53">
        <v>2080</v>
      </c>
      <c r="BH477" s="53">
        <v>2081</v>
      </c>
      <c r="BI477" s="53">
        <v>2082</v>
      </c>
      <c r="BJ477" s="53">
        <v>2083</v>
      </c>
      <c r="BK477" s="53">
        <v>2084</v>
      </c>
      <c r="BL477" s="53">
        <v>2085</v>
      </c>
      <c r="BM477" s="53">
        <v>2086</v>
      </c>
      <c r="BN477" s="53">
        <v>2087</v>
      </c>
      <c r="BO477" s="53">
        <v>2088</v>
      </c>
      <c r="BP477" s="53">
        <v>2089</v>
      </c>
      <c r="BQ477" s="53">
        <v>2090</v>
      </c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G477" s="53"/>
      <c r="CH477" s="53"/>
      <c r="CI477" s="53"/>
    </row>
    <row r="478" spans="1:87">
      <c r="A478" s="2" t="s">
        <v>682</v>
      </c>
      <c r="B478" s="262">
        <f>Formue!Y112</f>
        <v>880.88801138782958</v>
      </c>
      <c r="C478" s="262">
        <f>Formue!Z112</f>
        <v>926.593952448148</v>
      </c>
      <c r="D478" s="262">
        <f>Formue!AA112</f>
        <v>1012.0384792886902</v>
      </c>
      <c r="E478" s="262">
        <f>Formue!AB112</f>
        <v>963.55697545440626</v>
      </c>
      <c r="F478" s="262">
        <f>Formue!AC112</f>
        <v>859.84492948115735</v>
      </c>
      <c r="G478" s="262">
        <f>Formue!AD112</f>
        <v>828.37509652648009</v>
      </c>
      <c r="H478" s="262">
        <f>Formue!AE112</f>
        <v>870.63438987322115</v>
      </c>
      <c r="I478" s="262">
        <f>Formue!AF112</f>
        <v>896.06279658079859</v>
      </c>
      <c r="J478" s="262">
        <f>Formue!AG112</f>
        <v>877.77644414252302</v>
      </c>
      <c r="K478" s="262">
        <f>Formue!AH112</f>
        <v>878.84680116666664</v>
      </c>
      <c r="L478" s="262">
        <f>Formue!AI112</f>
        <v>900.20010574212949</v>
      </c>
      <c r="M478" s="262">
        <f>Formue!AJ112</f>
        <v>873.954327738806</v>
      </c>
      <c r="N478" s="262">
        <f>Formue!AK112</f>
        <v>849.67481185611064</v>
      </c>
      <c r="O478" s="262">
        <f>Formue!AL112</f>
        <v>844.63221970186953</v>
      </c>
      <c r="P478" s="262">
        <f>Formue!AM112</f>
        <v>864.51129445979223</v>
      </c>
      <c r="Q478" s="262">
        <f>Formue!AN112</f>
        <v>913.97999804197934</v>
      </c>
      <c r="R478" s="262">
        <f>Formue!AO112</f>
        <v>950.63580964314053</v>
      </c>
      <c r="S478" s="262">
        <f>Formue!AP112</f>
        <v>977.07106826416259</v>
      </c>
      <c r="T478" s="262">
        <f>Formue!AQ112</f>
        <v>1010.3282357322739</v>
      </c>
      <c r="U478" s="262">
        <f>Formue!AR112</f>
        <v>1031.0784642081951</v>
      </c>
      <c r="V478" s="262">
        <f>Formue!AS112</f>
        <v>1053.3894792763099</v>
      </c>
      <c r="W478" s="262">
        <f>Formue!AT112</f>
        <v>1065.9929378142022</v>
      </c>
      <c r="X478" s="262">
        <f>Formue!AU112</f>
        <v>1082.8810925292889</v>
      </c>
      <c r="Y478" s="262">
        <f>Formue!AV112</f>
        <v>1091.4411045973156</v>
      </c>
      <c r="Z478" s="262">
        <f>Formue!AW112</f>
        <v>1103.9364727526272</v>
      </c>
      <c r="AA478" s="262">
        <f>Formue!AX112</f>
        <v>1113.8917778587161</v>
      </c>
      <c r="AB478" s="262">
        <f>Formue!AY112</f>
        <v>1135.1738434763411</v>
      </c>
      <c r="AC478" s="262">
        <f>Formue!AZ112</f>
        <v>1138.3002382338041</v>
      </c>
      <c r="AD478" s="262">
        <f>Formue!BA112</f>
        <v>1125.1354886725007</v>
      </c>
      <c r="AE478" s="262">
        <f>Formue!BB112</f>
        <v>1149.9616139766676</v>
      </c>
      <c r="AF478" s="262">
        <f>Formue!BC112</f>
        <v>1168.2809268928422</v>
      </c>
      <c r="AG478" s="262">
        <f>Formue!BD112</f>
        <v>1186.3561412810611</v>
      </c>
      <c r="AH478" s="262">
        <f>Formue!BE112</f>
        <v>1189.1067842626826</v>
      </c>
      <c r="AI478" s="262">
        <f>Formue!BF112</f>
        <v>1189.7717026399687</v>
      </c>
      <c r="AJ478" s="262">
        <f>Formue!BG112</f>
        <v>1182.7411783515636</v>
      </c>
      <c r="AK478" s="262">
        <f>Formue!BH112</f>
        <v>1194.0041777999415</v>
      </c>
      <c r="AL478" s="262">
        <f>Formue!BI112</f>
        <v>1188.3972622235212</v>
      </c>
      <c r="AM478" s="262">
        <f>Formue!BJ112</f>
        <v>1190.537980874074</v>
      </c>
      <c r="AN478" s="262">
        <f>Formue!BK112</f>
        <v>1196.4906707784444</v>
      </c>
      <c r="AO478" s="262">
        <f>Formue!BL112</f>
        <v>1202.4731241323364</v>
      </c>
      <c r="AP478" s="262">
        <f>Formue!BM112</f>
        <v>1208.4854897529981</v>
      </c>
      <c r="AQ478" s="262">
        <f>Formue!BN112</f>
        <v>1214.5279172017629</v>
      </c>
      <c r="AR478" s="262">
        <f>Formue!BO112</f>
        <v>1220.6005567877717</v>
      </c>
      <c r="AS478" s="262">
        <f>Formue!BP112</f>
        <v>1226.7035595717102</v>
      </c>
      <c r="AT478" s="262">
        <f>Formue!BQ112</f>
        <v>1232.8370773695688</v>
      </c>
      <c r="AU478" s="262">
        <f>Formue!BR112</f>
        <v>1239.0012627564165</v>
      </c>
      <c r="AV478" s="262">
        <f>Formue!BS112</f>
        <v>1245.1962690701985</v>
      </c>
      <c r="AW478" s="262">
        <f>Formue!BT112</f>
        <v>1251.4222504155493</v>
      </c>
      <c r="AX478" s="262">
        <f>Formue!BU112</f>
        <v>1257.6793616676271</v>
      </c>
      <c r="AY478" s="262">
        <f>Formue!BV112</f>
        <v>1263.967758475965</v>
      </c>
      <c r="AZ478" s="262">
        <f>Formue!BW112</f>
        <v>1270.2875972683446</v>
      </c>
      <c r="BA478" s="262">
        <f>Formue!BX112</f>
        <v>1276.6390352546862</v>
      </c>
      <c r="BB478" s="262">
        <f>Formue!BY112</f>
        <v>1283.0222304309596</v>
      </c>
      <c r="BC478" s="262">
        <f>Formue!BZ112</f>
        <v>1289.4373415831142</v>
      </c>
      <c r="BD478" s="262">
        <f>Formue!CA112</f>
        <v>1295.8845282910297</v>
      </c>
      <c r="BE478" s="262">
        <f>Formue!CB112</f>
        <v>1302.3639509324846</v>
      </c>
      <c r="BF478" s="262">
        <f>Formue!CC112</f>
        <v>1308.875770687147</v>
      </c>
      <c r="BG478" s="262">
        <f>Formue!CD112</f>
        <v>1315.4201495405825</v>
      </c>
      <c r="BH478" s="262">
        <f>Formue!CE112</f>
        <v>1321.9972502882854</v>
      </c>
      <c r="BI478" s="262">
        <f>Formue!CF112</f>
        <v>1328.607236539727</v>
      </c>
      <c r="BJ478" s="262">
        <f>Formue!CG112</f>
        <v>1335.2502727224253</v>
      </c>
      <c r="BK478" s="262">
        <f>Formue!CH112</f>
        <v>1341.926524086037</v>
      </c>
      <c r="BL478" s="262">
        <f>Formue!CI112</f>
        <v>1348.6361567064671</v>
      </c>
      <c r="BM478" s="262">
        <f>Formue!CJ112</f>
        <v>1355.3793374899992</v>
      </c>
      <c r="BN478" s="262">
        <f>Formue!CK112</f>
        <v>1362.1562341774491</v>
      </c>
      <c r="BO478" s="262">
        <f>Formue!CL112</f>
        <v>1368.9670153483362</v>
      </c>
      <c r="BP478" s="262">
        <f>Formue!CM112</f>
        <v>1375.8118504250779</v>
      </c>
      <c r="BQ478" s="262">
        <f>Formue!CN112</f>
        <v>1382.6909096772031</v>
      </c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G478" s="262"/>
      <c r="CH478" s="262"/>
      <c r="CI478" s="262"/>
    </row>
    <row r="479" spans="1:87">
      <c r="A479" s="2" t="s">
        <v>671</v>
      </c>
      <c r="B479" s="656">
        <v>880.88801138782958</v>
      </c>
      <c r="C479" s="656">
        <v>952.9512442681272</v>
      </c>
      <c r="D479" s="656">
        <v>996.06244477501264</v>
      </c>
      <c r="E479" s="656">
        <v>883.2424952363865</v>
      </c>
      <c r="F479" s="656">
        <v>816.76386499743955</v>
      </c>
      <c r="G479" s="656">
        <v>820.11112984051749</v>
      </c>
      <c r="H479" s="656">
        <v>871.9791432663485</v>
      </c>
      <c r="I479" s="656">
        <v>911.75263539280434</v>
      </c>
      <c r="J479" s="656">
        <v>909.43665574845875</v>
      </c>
      <c r="K479" s="656">
        <v>904.33856191214113</v>
      </c>
      <c r="L479" s="656">
        <v>906.59973821759661</v>
      </c>
      <c r="M479" s="656">
        <v>879.19154586797981</v>
      </c>
      <c r="N479" s="656">
        <v>854.7377653656971</v>
      </c>
      <c r="O479" s="656">
        <v>849.14598975745787</v>
      </c>
      <c r="P479" s="656">
        <v>868.64235880135504</v>
      </c>
      <c r="Q479" s="656">
        <v>917.78903713092666</v>
      </c>
      <c r="R479" s="656">
        <v>954.51260211788633</v>
      </c>
      <c r="S479" s="656">
        <v>981.51951667697995</v>
      </c>
      <c r="T479" s="656">
        <v>1015.6409854942676</v>
      </c>
      <c r="U479" s="656">
        <v>1036.8875130210149</v>
      </c>
      <c r="V479" s="656">
        <v>1059.6822851978352</v>
      </c>
      <c r="W479" s="656">
        <v>1072.7359368240107</v>
      </c>
      <c r="X479" s="656">
        <v>1089.9943037074349</v>
      </c>
      <c r="Y479" s="656">
        <v>1098.7838372964279</v>
      </c>
      <c r="Z479" s="656">
        <v>1111.6786506628471</v>
      </c>
      <c r="AA479" s="656">
        <v>1121.9028723495458</v>
      </c>
      <c r="AB479" s="656">
        <v>1143.7179247080587</v>
      </c>
      <c r="AC479" s="656">
        <v>1146.9461168294526</v>
      </c>
      <c r="AD479" s="656">
        <v>1139.3843625830496</v>
      </c>
      <c r="AE479" s="656">
        <v>1159.066864581964</v>
      </c>
      <c r="AF479" s="656">
        <v>1177.5250835889883</v>
      </c>
      <c r="AG479" s="656">
        <v>1195.7166386675735</v>
      </c>
      <c r="AH479" s="656">
        <v>1198.4890571450085</v>
      </c>
      <c r="AI479" s="656">
        <v>1199.1590008822163</v>
      </c>
      <c r="AJ479" s="656">
        <v>1192.0731809960209</v>
      </c>
      <c r="AK479" s="656">
        <v>1203.4250058609332</v>
      </c>
      <c r="AL479" s="656">
        <v>1197.7739217468993</v>
      </c>
      <c r="AM479" s="656">
        <v>1199.9315623319053</v>
      </c>
      <c r="AN479" s="656">
        <v>1205.9312201435646</v>
      </c>
      <c r="AO479" s="656">
        <v>1211.9608762442822</v>
      </c>
      <c r="AP479" s="656">
        <v>1218.0206806255035</v>
      </c>
      <c r="AQ479" s="656">
        <v>1224.1107840286309</v>
      </c>
      <c r="AR479" s="656">
        <v>1230.2313379487739</v>
      </c>
      <c r="AS479" s="656">
        <v>1236.3824946385175</v>
      </c>
      <c r="AT479" s="656">
        <v>1242.5644071117101</v>
      </c>
      <c r="AU479" s="656">
        <v>1248.7772291472684</v>
      </c>
      <c r="AV479" s="656">
        <v>1255.0211152930044</v>
      </c>
      <c r="AW479" s="656">
        <v>1261.2962208694696</v>
      </c>
      <c r="AX479" s="656">
        <v>1267.6027019738167</v>
      </c>
      <c r="AY479" s="656">
        <v>1273.9407154836856</v>
      </c>
      <c r="AZ479" s="656">
        <v>1280.3104190611039</v>
      </c>
      <c r="BA479" s="656">
        <v>1286.7119711564094</v>
      </c>
      <c r="BB479" s="656">
        <v>1293.1455310121912</v>
      </c>
      <c r="BC479" s="656">
        <v>1299.6112586672523</v>
      </c>
      <c r="BD479" s="656">
        <v>1306.1093149605883</v>
      </c>
      <c r="BE479" s="656">
        <v>1312.639861535391</v>
      </c>
      <c r="BF479" s="656">
        <v>1319.2030608430678</v>
      </c>
      <c r="BG479" s="656">
        <v>1325.7990761472829</v>
      </c>
      <c r="BH479" s="656">
        <v>1332.4280715280192</v>
      </c>
      <c r="BI479" s="656">
        <v>1339.0902118856593</v>
      </c>
      <c r="BJ479" s="656">
        <v>1345.7856629450873</v>
      </c>
      <c r="BK479" s="656">
        <v>1352.5145912598125</v>
      </c>
      <c r="BL479" s="656">
        <v>1359.2771642161115</v>
      </c>
      <c r="BM479" s="656">
        <v>1366.073550037192</v>
      </c>
      <c r="BN479" s="656">
        <v>1372.9039177873778</v>
      </c>
      <c r="BO479" s="656">
        <v>1379.7684373763148</v>
      </c>
      <c r="BP479" s="656">
        <v>1386.667279563196</v>
      </c>
      <c r="BQ479" s="656">
        <v>1393.600615961012</v>
      </c>
    </row>
    <row r="480" spans="1:87">
      <c r="B480" s="656"/>
      <c r="C480" s="656"/>
      <c r="D480" s="656"/>
      <c r="E480" s="656"/>
      <c r="F480" s="656"/>
      <c r="G480" s="656"/>
      <c r="H480" s="656"/>
      <c r="I480" s="656"/>
      <c r="J480" s="656"/>
      <c r="K480" s="656"/>
      <c r="L480" s="656"/>
      <c r="M480" s="656"/>
      <c r="N480" s="656"/>
      <c r="O480" s="656"/>
      <c r="P480" s="656"/>
      <c r="Q480" s="656"/>
      <c r="R480" s="656"/>
      <c r="S480" s="656"/>
      <c r="T480" s="656"/>
      <c r="U480" s="656"/>
      <c r="V480" s="656"/>
      <c r="W480" s="656"/>
      <c r="X480" s="656"/>
      <c r="Y480" s="656"/>
      <c r="Z480" s="656"/>
      <c r="AA480" s="656"/>
      <c r="AB480" s="656"/>
      <c r="AC480" s="656"/>
      <c r="AD480" s="656"/>
      <c r="AE480" s="656"/>
      <c r="AF480" s="656"/>
      <c r="AG480" s="656"/>
      <c r="AH480" s="656"/>
      <c r="AI480" s="656"/>
      <c r="AJ480" s="656"/>
      <c r="AK480" s="656"/>
      <c r="AL480" s="656"/>
      <c r="AM480" s="656"/>
      <c r="AN480" s="656"/>
      <c r="AO480" s="656"/>
      <c r="AP480" s="656"/>
      <c r="AQ480" s="656"/>
      <c r="AR480" s="656"/>
      <c r="AS480" s="656"/>
      <c r="AT480" s="656"/>
      <c r="AU480" s="656"/>
      <c r="AV480" s="656"/>
      <c r="AW480" s="656"/>
      <c r="AX480" s="656"/>
      <c r="AY480" s="656"/>
      <c r="AZ480" s="656"/>
      <c r="BA480" s="656"/>
      <c r="BB480" s="656"/>
      <c r="BC480" s="656"/>
      <c r="BD480" s="656"/>
      <c r="BE480" s="656"/>
      <c r="BF480" s="656"/>
      <c r="BG480" s="656"/>
      <c r="BH480" s="656"/>
      <c r="BI480" s="656"/>
      <c r="BJ480" s="656"/>
      <c r="BK480" s="656"/>
      <c r="BL480" s="656"/>
      <c r="BM480" s="656"/>
      <c r="BN480" s="656"/>
      <c r="BO480" s="656"/>
      <c r="BP480" s="656"/>
      <c r="BQ480" s="656"/>
    </row>
    <row r="481" spans="1:86">
      <c r="A481" s="2" t="s">
        <v>576</v>
      </c>
      <c r="B481" s="403">
        <f t="shared" ref="B481" si="262">B478/B479</f>
        <v>1</v>
      </c>
      <c r="C481" s="403">
        <f t="shared" ref="C481" si="263">C478/C479</f>
        <v>0.97234140573453809</v>
      </c>
      <c r="D481" s="403">
        <f t="shared" ref="D481" si="264">D478/D479</f>
        <v>1.0160391897089205</v>
      </c>
      <c r="E481" s="403">
        <f t="shared" ref="E481" si="265">E478/E479</f>
        <v>1.090931404060812</v>
      </c>
      <c r="F481" s="403">
        <f t="shared" ref="F481" si="266">F478/F479</f>
        <v>1.0527460461094871</v>
      </c>
      <c r="G481" s="403">
        <f t="shared" ref="G481" si="267">G478/G479</f>
        <v>1.0100766425247389</v>
      </c>
      <c r="H481" s="403">
        <f t="shared" ref="H481" si="268">H478/H479</f>
        <v>0.99845781472697837</v>
      </c>
      <c r="I481" s="403">
        <f t="shared" ref="I481" si="269">I478/I479</f>
        <v>0.98279156187440442</v>
      </c>
      <c r="J481" s="403">
        <f t="shared" ref="J481" si="270">J478/J479</f>
        <v>0.96518700735690088</v>
      </c>
      <c r="K481" s="403">
        <f t="shared" ref="K481:L481" si="271">K478/K479</f>
        <v>0.97181170656753313</v>
      </c>
      <c r="L481" s="403">
        <f t="shared" si="271"/>
        <v>0.99294106075074651</v>
      </c>
      <c r="M481" s="403">
        <f t="shared" ref="M481" si="272">M478/M479</f>
        <v>0.99404314321061471</v>
      </c>
      <c r="N481" s="403">
        <f t="shared" ref="N481" si="273">N478/N479</f>
        <v>0.99407660019863486</v>
      </c>
      <c r="O481" s="403">
        <f t="shared" ref="O481" si="274">O478/O479</f>
        <v>0.99468434155017604</v>
      </c>
      <c r="P481" s="403">
        <f t="shared" ref="P481" si="275">P478/P479</f>
        <v>0.99524422876721863</v>
      </c>
      <c r="Q481" s="403">
        <f t="shared" ref="Q481" si="276">Q478/Q479</f>
        <v>0.99584976619370547</v>
      </c>
      <c r="R481" s="403">
        <f t="shared" ref="R481" si="277">R478/R479</f>
        <v>0.99593845857441388</v>
      </c>
      <c r="S481" s="403">
        <f t="shared" ref="S481" si="278">S478/S479</f>
        <v>0.99546779423410958</v>
      </c>
      <c r="T481" s="403">
        <f t="shared" ref="T481" si="279">T478/T479</f>
        <v>0.99476906718232894</v>
      </c>
      <c r="U481" s="403">
        <f t="shared" ref="U481" si="280">U478/U479</f>
        <v>0.99439760944184297</v>
      </c>
      <c r="V481" s="403">
        <f t="shared" ref="V481" si="281">V478/V479</f>
        <v>0.99406161072103749</v>
      </c>
      <c r="W481" s="403">
        <f t="shared" ref="W481" si="282">W478/W479</f>
        <v>0.99371420423392165</v>
      </c>
      <c r="X481" s="403">
        <f t="shared" ref="X481:Y481" si="283">X478/X479</f>
        <v>0.99347408408103455</v>
      </c>
      <c r="Y481" s="403">
        <f t="shared" si="283"/>
        <v>0.99331740015654113</v>
      </c>
      <c r="Z481" s="403">
        <f t="shared" ref="Z481" si="284">Z478/Z479</f>
        <v>0.99303559719744228</v>
      </c>
      <c r="AA481" s="403">
        <f t="shared" ref="AA481" si="285">AA478/AA479</f>
        <v>0.99285936894514548</v>
      </c>
      <c r="AB481" s="403">
        <f t="shared" ref="AB481" si="286">AB478/AB479</f>
        <v>0.99252955554237854</v>
      </c>
      <c r="AC481" s="403">
        <f t="shared" ref="AC481:BQ481" si="287">AC478/AC479</f>
        <v>0.99246182669893102</v>
      </c>
      <c r="AD481" s="403">
        <f t="shared" si="287"/>
        <v>0.98749423427380922</v>
      </c>
      <c r="AE481" s="403">
        <f t="shared" si="287"/>
        <v>0.99214432671355823</v>
      </c>
      <c r="AF481" s="403">
        <f t="shared" ref="AF481" si="288">AF478/AF479</f>
        <v>0.99214950337366004</v>
      </c>
      <c r="AG481" s="403">
        <f t="shared" si="287"/>
        <v>0.9921716424411865</v>
      </c>
      <c r="AH481" s="403">
        <f t="shared" si="287"/>
        <v>0.99217158235497294</v>
      </c>
      <c r="AI481" s="403">
        <f t="shared" ref="AI481" si="289">AI478/AI479</f>
        <v>0.9921717651826476</v>
      </c>
      <c r="AJ481" s="403">
        <f t="shared" si="287"/>
        <v>0.99217161933241371</v>
      </c>
      <c r="AK481" s="403">
        <f t="shared" si="287"/>
        <v>0.99217165339334801</v>
      </c>
      <c r="AL481" s="403">
        <f t="shared" ref="AL481" si="290">AL478/AL479</f>
        <v>0.99217159486182283</v>
      </c>
      <c r="AM481" s="403">
        <f t="shared" si="287"/>
        <v>0.9921715689855044</v>
      </c>
      <c r="AN481" s="403">
        <f t="shared" si="287"/>
        <v>0.99217156898550452</v>
      </c>
      <c r="AO481" s="403">
        <f t="shared" ref="AO481" si="291">AO478/AO479</f>
        <v>0.99217156898550452</v>
      </c>
      <c r="AP481" s="403">
        <f t="shared" si="287"/>
        <v>0.99217156898550474</v>
      </c>
      <c r="AQ481" s="403">
        <f t="shared" si="287"/>
        <v>0.99217156898550463</v>
      </c>
      <c r="AR481" s="403">
        <f t="shared" ref="AR481" si="292">AR478/AR479</f>
        <v>0.99217156898550474</v>
      </c>
      <c r="AS481" s="403">
        <f t="shared" si="287"/>
        <v>0.99217156898550463</v>
      </c>
      <c r="AT481" s="403">
        <f t="shared" si="287"/>
        <v>0.99217156898550463</v>
      </c>
      <c r="AU481" s="403">
        <f t="shared" ref="AU481" si="293">AU478/AU479</f>
        <v>0.99217156898550485</v>
      </c>
      <c r="AV481" s="403">
        <f t="shared" si="287"/>
        <v>0.99217156898550496</v>
      </c>
      <c r="AW481" s="403">
        <f t="shared" si="287"/>
        <v>0.99217156898550474</v>
      </c>
      <c r="AX481" s="403">
        <f t="shared" ref="AX481" si="294">AX478/AX479</f>
        <v>0.99217156898550485</v>
      </c>
      <c r="AY481" s="403">
        <f t="shared" si="287"/>
        <v>0.99217156898550485</v>
      </c>
      <c r="AZ481" s="403">
        <f t="shared" si="287"/>
        <v>0.99217156898550485</v>
      </c>
      <c r="BA481" s="403">
        <f t="shared" ref="BA481" si="295">BA478/BA479</f>
        <v>0.99217156898550474</v>
      </c>
      <c r="BB481" s="403">
        <f t="shared" si="287"/>
        <v>0.99217156898550485</v>
      </c>
      <c r="BC481" s="403">
        <f t="shared" si="287"/>
        <v>0.99217156898550463</v>
      </c>
      <c r="BD481" s="403">
        <f t="shared" ref="BD481" si="296">BD478/BD479</f>
        <v>0.99217156898550474</v>
      </c>
      <c r="BE481" s="403">
        <f t="shared" si="287"/>
        <v>0.99217156898550474</v>
      </c>
      <c r="BF481" s="403">
        <f t="shared" si="287"/>
        <v>0.99217156898550485</v>
      </c>
      <c r="BG481" s="403">
        <f t="shared" ref="BG481" si="297">BG478/BG479</f>
        <v>0.99217156898550485</v>
      </c>
      <c r="BH481" s="403">
        <f t="shared" si="287"/>
        <v>0.99217156898550485</v>
      </c>
      <c r="BI481" s="403">
        <f t="shared" si="287"/>
        <v>0.99217156898550507</v>
      </c>
      <c r="BJ481" s="403">
        <f t="shared" ref="BJ481" si="298">BJ478/BJ479</f>
        <v>0.99217156898550496</v>
      </c>
      <c r="BK481" s="403">
        <f t="shared" si="287"/>
        <v>0.99217156898550496</v>
      </c>
      <c r="BL481" s="403">
        <f t="shared" si="287"/>
        <v>0.99217156898550485</v>
      </c>
      <c r="BM481" s="403">
        <f t="shared" ref="BM481" si="299">BM478/BM479</f>
        <v>0.99217156898550474</v>
      </c>
      <c r="BN481" s="403">
        <f t="shared" si="287"/>
        <v>0.99217156898550474</v>
      </c>
      <c r="BO481" s="403">
        <f t="shared" si="287"/>
        <v>0.99217156898550463</v>
      </c>
      <c r="BP481" s="403">
        <f t="shared" ref="BP481" si="300">BP478/BP479</f>
        <v>0.99217156898550485</v>
      </c>
      <c r="BQ481" s="403">
        <f t="shared" si="287"/>
        <v>0.99217156898550474</v>
      </c>
    </row>
    <row r="482" spans="1:86">
      <c r="B482" s="403"/>
      <c r="C482" s="403"/>
      <c r="D482" s="403"/>
      <c r="E482" s="403"/>
      <c r="F482" s="403"/>
      <c r="G482" s="403"/>
      <c r="H482" s="403"/>
      <c r="I482" s="403"/>
      <c r="J482" s="403"/>
      <c r="K482" s="403"/>
      <c r="L482" s="403"/>
      <c r="M482" s="403"/>
      <c r="N482" s="403"/>
      <c r="O482" s="403"/>
      <c r="P482" s="403"/>
      <c r="Q482" s="403"/>
      <c r="R482" s="403"/>
      <c r="S482" s="403"/>
      <c r="T482" s="403"/>
      <c r="U482" s="403"/>
      <c r="V482" s="403"/>
      <c r="W482" s="403"/>
      <c r="X482" s="403"/>
      <c r="Y482" s="403"/>
      <c r="Z482" s="403"/>
      <c r="AA482" s="403"/>
      <c r="AB482" s="403"/>
      <c r="AC482" s="403"/>
      <c r="AD482" s="403"/>
      <c r="AE482" s="403"/>
      <c r="AF482" s="403"/>
      <c r="AG482" s="403"/>
      <c r="AH482" s="403"/>
      <c r="AI482" s="403"/>
      <c r="AJ482" s="403"/>
      <c r="AK482" s="403"/>
      <c r="AL482" s="403"/>
      <c r="AM482" s="403"/>
      <c r="AN482" s="403"/>
      <c r="AO482" s="403"/>
      <c r="AP482" s="403"/>
      <c r="AQ482" s="403"/>
      <c r="AR482" s="403"/>
      <c r="AS482" s="403"/>
      <c r="AT482" s="403"/>
      <c r="AU482" s="403"/>
      <c r="AV482" s="403"/>
      <c r="AW482" s="403"/>
      <c r="AX482" s="403"/>
      <c r="AY482" s="403"/>
      <c r="AZ482" s="403"/>
      <c r="BA482" s="403"/>
      <c r="BB482" s="403"/>
      <c r="BC482" s="403"/>
      <c r="BD482" s="403"/>
      <c r="BE482" s="403"/>
      <c r="BF482" s="403"/>
      <c r="BG482" s="403"/>
      <c r="BH482" s="403"/>
      <c r="BI482" s="403"/>
      <c r="BJ482" s="403"/>
      <c r="BK482" s="403"/>
      <c r="BL482" s="403"/>
      <c r="BM482" s="403"/>
      <c r="BN482" s="403"/>
      <c r="BO482" s="403"/>
      <c r="BP482" s="403"/>
      <c r="BQ482" s="403"/>
    </row>
    <row r="483" spans="1:86">
      <c r="B483" s="403"/>
      <c r="C483" s="403"/>
      <c r="D483" s="403"/>
      <c r="E483" s="403"/>
      <c r="F483" s="403"/>
      <c r="G483" s="403"/>
      <c r="H483" s="403"/>
      <c r="I483" s="403"/>
      <c r="J483" s="403"/>
      <c r="K483" s="403"/>
      <c r="L483" s="403"/>
      <c r="M483" s="403"/>
      <c r="N483" s="403"/>
      <c r="O483" s="403"/>
      <c r="P483" s="403"/>
      <c r="Q483" s="403"/>
      <c r="R483" s="403"/>
      <c r="S483" s="403"/>
      <c r="T483" s="403"/>
      <c r="U483" s="403"/>
      <c r="V483" s="403"/>
      <c r="W483" s="403"/>
      <c r="X483" s="403"/>
      <c r="Y483" s="403"/>
      <c r="Z483" s="403"/>
      <c r="AA483" s="403"/>
      <c r="AB483" s="403"/>
      <c r="AC483" s="403"/>
      <c r="AD483" s="403"/>
      <c r="AE483" s="403"/>
      <c r="AF483" s="403"/>
      <c r="AG483" s="403"/>
      <c r="AH483" s="403"/>
      <c r="AI483" s="403"/>
      <c r="AJ483" s="403"/>
      <c r="AK483" s="403"/>
      <c r="AL483" s="403"/>
      <c r="AM483" s="403"/>
      <c r="AN483" s="403"/>
      <c r="AO483" s="403"/>
      <c r="AP483" s="403"/>
      <c r="AQ483" s="403"/>
      <c r="AR483" s="403"/>
      <c r="AS483" s="403"/>
      <c r="AT483" s="403"/>
      <c r="AU483" s="403"/>
      <c r="AV483" s="403"/>
      <c r="AW483" s="403"/>
      <c r="AX483" s="403"/>
      <c r="AY483" s="403"/>
      <c r="AZ483" s="403"/>
      <c r="BA483" s="403"/>
      <c r="BB483" s="403"/>
      <c r="BC483" s="403"/>
      <c r="BD483" s="403"/>
      <c r="BE483" s="403"/>
      <c r="BF483" s="403"/>
      <c r="BG483" s="403"/>
      <c r="BH483" s="403"/>
      <c r="BI483" s="403"/>
      <c r="BJ483" s="403"/>
      <c r="BK483" s="403"/>
      <c r="BL483" s="403"/>
      <c r="BM483" s="403"/>
      <c r="BN483" s="403"/>
      <c r="BO483" s="403"/>
      <c r="BP483" s="403"/>
      <c r="BQ483" s="403"/>
    </row>
    <row r="484" spans="1:86">
      <c r="A484" s="2" t="s">
        <v>578</v>
      </c>
    </row>
    <row r="485" spans="1:86" s="365" customFormat="1">
      <c r="A485" s="53"/>
      <c r="B485" s="53">
        <v>2023</v>
      </c>
      <c r="C485" s="53">
        <v>2024</v>
      </c>
      <c r="D485" s="53">
        <v>2025</v>
      </c>
      <c r="E485" s="53">
        <v>2026</v>
      </c>
      <c r="F485" s="53">
        <v>2027</v>
      </c>
      <c r="G485" s="53">
        <v>2028</v>
      </c>
      <c r="H485" s="53">
        <v>2029</v>
      </c>
      <c r="I485" s="53">
        <v>2030</v>
      </c>
      <c r="J485" s="53">
        <v>2031</v>
      </c>
      <c r="K485" s="53">
        <v>2032</v>
      </c>
      <c r="L485" s="53">
        <v>2033</v>
      </c>
      <c r="M485" s="53">
        <v>2034</v>
      </c>
      <c r="N485" s="53">
        <v>2035</v>
      </c>
      <c r="O485" s="53">
        <v>2036</v>
      </c>
      <c r="P485" s="53">
        <v>2037</v>
      </c>
      <c r="Q485" s="53">
        <v>2038</v>
      </c>
      <c r="R485" s="53">
        <v>2039</v>
      </c>
      <c r="S485" s="53">
        <v>2040</v>
      </c>
      <c r="T485" s="53">
        <v>2041</v>
      </c>
      <c r="U485" s="53">
        <v>2042</v>
      </c>
      <c r="V485" s="53">
        <v>2043</v>
      </c>
      <c r="W485" s="53">
        <v>2044</v>
      </c>
      <c r="X485" s="53">
        <v>2045</v>
      </c>
      <c r="Y485" s="53">
        <v>2046</v>
      </c>
      <c r="Z485" s="53">
        <v>2047</v>
      </c>
      <c r="AA485" s="53">
        <v>2048</v>
      </c>
      <c r="AB485" s="53">
        <v>2049</v>
      </c>
      <c r="AC485" s="53">
        <v>2050</v>
      </c>
      <c r="AD485" s="53">
        <v>2051</v>
      </c>
      <c r="AE485" s="53">
        <v>2052</v>
      </c>
      <c r="AF485" s="53">
        <v>2053</v>
      </c>
      <c r="AG485" s="53">
        <v>2054</v>
      </c>
      <c r="AH485" s="53">
        <v>2055</v>
      </c>
      <c r="AI485" s="53">
        <v>2056</v>
      </c>
      <c r="AJ485" s="53">
        <v>2057</v>
      </c>
      <c r="AK485" s="53">
        <v>2058</v>
      </c>
      <c r="AL485" s="53">
        <v>2059</v>
      </c>
      <c r="AM485" s="53">
        <v>2060</v>
      </c>
      <c r="AN485" s="53">
        <v>2061</v>
      </c>
      <c r="AO485" s="53">
        <v>2062</v>
      </c>
      <c r="AP485" s="53">
        <v>2063</v>
      </c>
      <c r="AQ485" s="53">
        <v>2064</v>
      </c>
      <c r="AR485" s="53">
        <v>2065</v>
      </c>
      <c r="AS485" s="53">
        <v>2066</v>
      </c>
      <c r="AT485" s="53">
        <v>2067</v>
      </c>
      <c r="AU485" s="53">
        <v>2068</v>
      </c>
      <c r="AV485" s="53">
        <v>2069</v>
      </c>
      <c r="AW485" s="53">
        <v>2070</v>
      </c>
      <c r="AX485" s="53">
        <v>2071</v>
      </c>
      <c r="AY485" s="53">
        <v>2072</v>
      </c>
      <c r="AZ485" s="53">
        <v>2073</v>
      </c>
      <c r="BA485" s="53">
        <v>2074</v>
      </c>
      <c r="BB485" s="53">
        <v>2075</v>
      </c>
      <c r="BC485" s="53">
        <v>2076</v>
      </c>
      <c r="BD485" s="53">
        <v>2077</v>
      </c>
      <c r="BE485" s="53">
        <v>2078</v>
      </c>
      <c r="BF485" s="53">
        <v>2079</v>
      </c>
      <c r="BG485" s="53">
        <v>2080</v>
      </c>
      <c r="BH485" s="53">
        <v>2081</v>
      </c>
      <c r="BI485" s="53">
        <v>2082</v>
      </c>
      <c r="BJ485" s="53">
        <v>2083</v>
      </c>
      <c r="BK485" s="53">
        <v>2084</v>
      </c>
      <c r="BL485" s="53">
        <v>2085</v>
      </c>
      <c r="BM485" s="53">
        <v>2086</v>
      </c>
      <c r="BN485" s="53">
        <v>2087</v>
      </c>
      <c r="BO485" s="53">
        <v>2088</v>
      </c>
      <c r="BP485" s="53">
        <v>2089</v>
      </c>
      <c r="BQ485" s="53">
        <v>2090</v>
      </c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G485" s="53"/>
      <c r="CH485" s="53"/>
    </row>
    <row r="486" spans="1:86">
      <c r="A486" s="2" t="s">
        <v>682</v>
      </c>
      <c r="B486" s="721">
        <v>100</v>
      </c>
      <c r="C486" s="722">
        <f t="shared" ref="C486:AC486" si="301">B486*(C478/B478)</f>
        <v>105.18862108116436</v>
      </c>
      <c r="D486" s="722">
        <f t="shared" si="301"/>
        <v>114.88843828107439</v>
      </c>
      <c r="E486" s="722">
        <f t="shared" si="301"/>
        <v>109.38473029464126</v>
      </c>
      <c r="F486" s="722">
        <f t="shared" si="301"/>
        <v>97.611151288854614</v>
      </c>
      <c r="G486" s="722">
        <f t="shared" si="301"/>
        <v>94.038638943602365</v>
      </c>
      <c r="H486" s="722">
        <f t="shared" si="301"/>
        <v>98.835990343601779</v>
      </c>
      <c r="I486" s="722">
        <f t="shared" si="301"/>
        <v>101.72266905631524</v>
      </c>
      <c r="J486" s="722">
        <f t="shared" si="301"/>
        <v>99.6467692595334</v>
      </c>
      <c r="K486" s="722">
        <f t="shared" si="301"/>
        <v>99.768278124486301</v>
      </c>
      <c r="L486" s="722">
        <f t="shared" si="301"/>
        <v>102.19234387398161</v>
      </c>
      <c r="M486" s="722">
        <f t="shared" si="301"/>
        <v>99.212875693687778</v>
      </c>
      <c r="N486" s="722">
        <f t="shared" si="301"/>
        <v>96.456621145003069</v>
      </c>
      <c r="O486" s="722">
        <f t="shared" si="301"/>
        <v>95.884176964919774</v>
      </c>
      <c r="P486" s="722">
        <f t="shared" si="301"/>
        <v>98.140885479615463</v>
      </c>
      <c r="Q486" s="722">
        <f t="shared" si="301"/>
        <v>103.75666216662584</v>
      </c>
      <c r="R486" s="722">
        <f t="shared" si="301"/>
        <v>107.91789618585267</v>
      </c>
      <c r="S486" s="722">
        <f t="shared" si="301"/>
        <v>110.9188745485135</v>
      </c>
      <c r="T486" s="722">
        <f t="shared" si="301"/>
        <v>114.69428833984378</v>
      </c>
      <c r="U486" s="722">
        <f t="shared" si="301"/>
        <v>117.04989179995097</v>
      </c>
      <c r="V486" s="722">
        <f t="shared" si="301"/>
        <v>119.58267857644077</v>
      </c>
      <c r="W486" s="722">
        <f t="shared" si="301"/>
        <v>121.01344598103236</v>
      </c>
      <c r="X486" s="722">
        <f t="shared" si="301"/>
        <v>122.93061984385741</v>
      </c>
      <c r="Y486" s="722">
        <f t="shared" si="301"/>
        <v>123.90236789325368</v>
      </c>
      <c r="Z486" s="722">
        <f t="shared" si="301"/>
        <v>125.32086468215029</v>
      </c>
      <c r="AA486" s="722">
        <f t="shared" si="301"/>
        <v>126.4510089203951</v>
      </c>
      <c r="AB486" s="722">
        <f t="shared" si="301"/>
        <v>128.86698749457224</v>
      </c>
      <c r="AC486" s="722">
        <f t="shared" si="301"/>
        <v>129.22190148103206</v>
      </c>
      <c r="AD486" s="722">
        <f t="shared" ref="AD486:AD487" si="302">AC486*(AD478/AC478)</f>
        <v>127.72741530445641</v>
      </c>
      <c r="AE486" s="722">
        <f t="shared" ref="AE486:AE487" si="303">AD486*(AE478/AD478)</f>
        <v>130.54572194312365</v>
      </c>
      <c r="AF486" s="722">
        <f t="shared" ref="AF486:AF487" si="304">AE486*(AF478/AE478)</f>
        <v>132.6253634729604</v>
      </c>
      <c r="AG486" s="722">
        <f t="shared" ref="AG486:AG487" si="305">AF486*(AG478/AF478)</f>
        <v>134.67729449648988</v>
      </c>
      <c r="AH486" s="722">
        <f t="shared" ref="AH486:AH487" si="306">AG486*(AH478/AG478)</f>
        <v>134.98955246186821</v>
      </c>
      <c r="AI486" s="722">
        <f t="shared" ref="AI486:AI487" si="307">AH486*(AI478/AH478)</f>
        <v>135.06503519845791</v>
      </c>
      <c r="AJ486" s="722">
        <f t="shared" ref="AJ486:AJ487" si="308">AI486*(AJ478/AI478)</f>
        <v>134.26691736764209</v>
      </c>
      <c r="AK486" s="722">
        <f t="shared" ref="AK486:AK487" si="309">AJ486*(AK478/AJ478)</f>
        <v>135.54551343238285</v>
      </c>
      <c r="AL486" s="722">
        <f t="shared" ref="AL486:AL487" si="310">AK486*(AL478/AK478)</f>
        <v>134.90900623692372</v>
      </c>
      <c r="AM486" s="722">
        <f t="shared" ref="AM486:AM487" si="311">AL486*(AM478/AL478)</f>
        <v>135.15202448928707</v>
      </c>
      <c r="AN486" s="722">
        <f t="shared" ref="AN486:AN487" si="312">AM486*(AN478/AM478)</f>
        <v>135.82778461173351</v>
      </c>
      <c r="AO486" s="722">
        <f t="shared" ref="AO486:AO487" si="313">AN486*(AO478/AN478)</f>
        <v>136.50692353479215</v>
      </c>
      <c r="AP486" s="722">
        <f t="shared" ref="AP486:AP487" si="314">AO486*(AP478/AO478)</f>
        <v>137.18945815246613</v>
      </c>
      <c r="AQ486" s="722">
        <f t="shared" ref="AQ486:AQ487" si="315">AP486*(AQ478/AP478)</f>
        <v>137.87540544322846</v>
      </c>
      <c r="AR486" s="722">
        <f t="shared" ref="AR486:AR487" si="316">AQ486*(AR478/AQ478)</f>
        <v>138.56478247044458</v>
      </c>
      <c r="AS486" s="722">
        <f t="shared" ref="AS486:AS487" si="317">AR486*(AS478/AR478)</f>
        <v>139.25760638279675</v>
      </c>
      <c r="AT486" s="722">
        <f t="shared" ref="AT486:AT487" si="318">AS486*(AT478/AS478)</f>
        <v>139.95389441471073</v>
      </c>
      <c r="AU486" s="722">
        <f t="shared" ref="AU486:AU487" si="319">AT486*(AU478/AT478)</f>
        <v>140.65366388678427</v>
      </c>
      <c r="AV486" s="722">
        <f t="shared" ref="AV486:AV487" si="320">AU486*(AV478/AU478)</f>
        <v>141.35693220621818</v>
      </c>
      <c r="AW486" s="722">
        <f t="shared" ref="AW486:AW487" si="321">AV486*(AW478/AV478)</f>
        <v>142.06371686724924</v>
      </c>
      <c r="AX486" s="722">
        <f t="shared" ref="AX486:AX487" si="322">AW486*(AX478/AW478)</f>
        <v>142.77403545158546</v>
      </c>
      <c r="AY486" s="722">
        <f t="shared" ref="AY486:AY487" si="323">AX486*(AY478/AX478)</f>
        <v>143.48790562884338</v>
      </c>
      <c r="AZ486" s="722">
        <f t="shared" ref="AZ486:AZ487" si="324">AY486*(AZ478/AY478)</f>
        <v>144.20534515698759</v>
      </c>
      <c r="BA486" s="722">
        <f t="shared" ref="BA486:BA487" si="325">AZ486*(BA478/AZ478)</f>
        <v>144.92637188277251</v>
      </c>
      <c r="BB486" s="722">
        <f t="shared" ref="BB486:BB487" si="326">BA486*(BB478/BA478)</f>
        <v>145.65100374218636</v>
      </c>
      <c r="BC486" s="722">
        <f t="shared" ref="BC486:BC487" si="327">BB486*(BC478/BB478)</f>
        <v>146.37925876089727</v>
      </c>
      <c r="BD486" s="722">
        <f t="shared" ref="BD486:BD487" si="328">BC486*(BD478/BC478)</f>
        <v>147.11115505470175</v>
      </c>
      <c r="BE486" s="722">
        <f t="shared" ref="BE486:BE487" si="329">BD486*(BE478/BD478)</f>
        <v>147.84671082997525</v>
      </c>
      <c r="BF486" s="722">
        <f t="shared" ref="BF486:BF487" si="330">BE486*(BF478/BE478)</f>
        <v>148.5859443841251</v>
      </c>
      <c r="BG486" s="722">
        <f t="shared" ref="BG486:BG487" si="331">BF486*(BG478/BF478)</f>
        <v>149.3288741060457</v>
      </c>
      <c r="BH486" s="722">
        <f t="shared" ref="BH486:BH487" si="332">BG486*(BH478/BG478)</f>
        <v>150.07551847657592</v>
      </c>
      <c r="BI486" s="722">
        <f t="shared" ref="BI486:BI487" si="333">BH486*(BI478/BH478)</f>
        <v>150.82589606895883</v>
      </c>
      <c r="BJ486" s="722">
        <f t="shared" ref="BJ486:BJ487" si="334">BI486*(BJ478/BI478)</f>
        <v>151.58002554930357</v>
      </c>
      <c r="BK486" s="722">
        <f t="shared" ref="BK486:BK487" si="335">BJ486*(BK478/BJ478)</f>
        <v>152.33792567705004</v>
      </c>
      <c r="BL486" s="722">
        <f t="shared" ref="BL486:BL487" si="336">BK486*(BL478/BK478)</f>
        <v>153.09961530543526</v>
      </c>
      <c r="BM486" s="722">
        <f t="shared" ref="BM486:BM487" si="337">BL486*(BM478/BL478)</f>
        <v>153.86511338196243</v>
      </c>
      <c r="BN486" s="722">
        <f t="shared" ref="BN486:BN487" si="338">BM486*(BN478/BM478)</f>
        <v>154.63443894887223</v>
      </c>
      <c r="BO486" s="722">
        <f t="shared" ref="BO486:BO487" si="339">BN486*(BO478/BN478)</f>
        <v>155.40761114361658</v>
      </c>
      <c r="BP486" s="722">
        <f t="shared" ref="BP486:BP487" si="340">BO486*(BP478/BO478)</f>
        <v>156.18464919933464</v>
      </c>
      <c r="BQ486" s="722">
        <f t="shared" ref="BQ486:BQ487" si="341">BP486*(BQ478/BP478)</f>
        <v>156.9655724453313</v>
      </c>
      <c r="BR486" s="722"/>
      <c r="BS486" s="722"/>
      <c r="BT486" s="722"/>
      <c r="BU486" s="722"/>
      <c r="BV486" s="722"/>
      <c r="BW486" s="722"/>
      <c r="BX486" s="722"/>
      <c r="BY486" s="722"/>
      <c r="BZ486" s="722"/>
      <c r="CA486" s="722"/>
    </row>
    <row r="487" spans="1:86">
      <c r="A487" s="2" t="s">
        <v>671</v>
      </c>
      <c r="B487" s="721">
        <v>100</v>
      </c>
      <c r="C487" s="722">
        <f t="shared" ref="C487:AC487" si="342">B487*(C479/B479)</f>
        <v>108.18074851158013</v>
      </c>
      <c r="D487" s="722">
        <f t="shared" si="342"/>
        <v>113.07480995293908</v>
      </c>
      <c r="E487" s="722">
        <f t="shared" si="342"/>
        <v>100.26728526420146</v>
      </c>
      <c r="F487" s="722">
        <f t="shared" si="342"/>
        <v>92.720510943341921</v>
      </c>
      <c r="G487" s="722">
        <f t="shared" si="342"/>
        <v>93.100498501329497</v>
      </c>
      <c r="H487" s="722">
        <f t="shared" si="342"/>
        <v>98.988649180564366</v>
      </c>
      <c r="I487" s="722">
        <f t="shared" si="342"/>
        <v>103.50380793085694</v>
      </c>
      <c r="J487" s="722">
        <f t="shared" si="342"/>
        <v>103.24089373354633</v>
      </c>
      <c r="K487" s="722">
        <f t="shared" si="342"/>
        <v>102.66214890214766</v>
      </c>
      <c r="L487" s="722">
        <f t="shared" si="342"/>
        <v>102.91884172532426</v>
      </c>
      <c r="M487" s="722">
        <f t="shared" si="342"/>
        <v>99.807414166395915</v>
      </c>
      <c r="N487" s="722">
        <f t="shared" si="342"/>
        <v>97.031376782965523</v>
      </c>
      <c r="O487" s="722">
        <f t="shared" si="342"/>
        <v>96.396588304072566</v>
      </c>
      <c r="P487" s="722">
        <f t="shared" si="342"/>
        <v>98.609851374049072</v>
      </c>
      <c r="Q487" s="722">
        <f t="shared" si="342"/>
        <v>104.18907117205057</v>
      </c>
      <c r="R487" s="722">
        <f t="shared" si="342"/>
        <v>108.35799667815458</v>
      </c>
      <c r="S487" s="722">
        <f t="shared" si="342"/>
        <v>111.42387045665504</v>
      </c>
      <c r="T487" s="722">
        <f t="shared" si="342"/>
        <v>115.29740130009672</v>
      </c>
      <c r="U487" s="722">
        <f t="shared" si="342"/>
        <v>117.70934552593236</v>
      </c>
      <c r="V487" s="722">
        <f t="shared" si="342"/>
        <v>120.29704928420094</v>
      </c>
      <c r="W487" s="722">
        <f t="shared" si="342"/>
        <v>121.77892342227777</v>
      </c>
      <c r="X487" s="722">
        <f t="shared" si="342"/>
        <v>123.73812443992288</v>
      </c>
      <c r="Y487" s="722">
        <f t="shared" si="342"/>
        <v>124.73592818743278</v>
      </c>
      <c r="Z487" s="722">
        <f t="shared" si="342"/>
        <v>126.19977071902808</v>
      </c>
      <c r="AA487" s="722">
        <f t="shared" si="342"/>
        <v>127.360442853797</v>
      </c>
      <c r="AB487" s="722">
        <f t="shared" si="342"/>
        <v>129.83692704662232</v>
      </c>
      <c r="AC487" s="722">
        <f t="shared" si="342"/>
        <v>130.20339725392009</v>
      </c>
      <c r="AD487" s="722">
        <f t="shared" si="302"/>
        <v>129.34497323762662</v>
      </c>
      <c r="AE487" s="722">
        <f t="shared" si="303"/>
        <v>131.5793664572488</v>
      </c>
      <c r="AF487" s="722">
        <f t="shared" si="304"/>
        <v>133.67477685770862</v>
      </c>
      <c r="AG487" s="722">
        <f t="shared" si="305"/>
        <v>135.73991508679234</v>
      </c>
      <c r="AH487" s="722">
        <f t="shared" si="306"/>
        <v>136.05464504583301</v>
      </c>
      <c r="AI487" s="722">
        <f t="shared" si="307"/>
        <v>136.13069827036861</v>
      </c>
      <c r="AJ487" s="722">
        <f t="shared" si="308"/>
        <v>135.32630318329825</v>
      </c>
      <c r="AK487" s="722">
        <f t="shared" si="309"/>
        <v>136.61498286995075</v>
      </c>
      <c r="AL487" s="722">
        <f t="shared" si="310"/>
        <v>135.9734615822299</v>
      </c>
      <c r="AM487" s="722">
        <f t="shared" si="311"/>
        <v>136.21840084319302</v>
      </c>
      <c r="AN487" s="722">
        <f t="shared" si="312"/>
        <v>136.89949284740896</v>
      </c>
      <c r="AO487" s="722">
        <f t="shared" si="313"/>
        <v>137.58399031164601</v>
      </c>
      <c r="AP487" s="722">
        <f t="shared" si="314"/>
        <v>138.27191026320423</v>
      </c>
      <c r="AQ487" s="722">
        <f t="shared" si="315"/>
        <v>138.96326981452023</v>
      </c>
      <c r="AR487" s="722">
        <f t="shared" si="316"/>
        <v>139.65808616359283</v>
      </c>
      <c r="AS487" s="722">
        <f t="shared" si="317"/>
        <v>140.35637659441079</v>
      </c>
      <c r="AT487" s="722">
        <f t="shared" si="318"/>
        <v>141.05815847738285</v>
      </c>
      <c r="AU487" s="722">
        <f t="shared" si="319"/>
        <v>141.76344926976972</v>
      </c>
      <c r="AV487" s="722">
        <f t="shared" si="320"/>
        <v>142.47226651611854</v>
      </c>
      <c r="AW487" s="722">
        <f t="shared" si="321"/>
        <v>143.18462784869914</v>
      </c>
      <c r="AX487" s="722">
        <f t="shared" si="322"/>
        <v>143.90055098794261</v>
      </c>
      <c r="AY487" s="722">
        <f t="shared" si="323"/>
        <v>144.62005374288231</v>
      </c>
      <c r="AZ487" s="722">
        <f t="shared" si="324"/>
        <v>145.34315401159671</v>
      </c>
      <c r="BA487" s="722">
        <f t="shared" si="325"/>
        <v>146.06986978165472</v>
      </c>
      <c r="BB487" s="722">
        <f t="shared" si="326"/>
        <v>146.80021913056297</v>
      </c>
      <c r="BC487" s="722">
        <f t="shared" si="327"/>
        <v>147.53422022621581</v>
      </c>
      <c r="BD487" s="722">
        <f t="shared" si="328"/>
        <v>148.27189132734688</v>
      </c>
      <c r="BE487" s="722">
        <f t="shared" si="329"/>
        <v>149.01325078398355</v>
      </c>
      <c r="BF487" s="722">
        <f t="shared" si="330"/>
        <v>149.75831703790345</v>
      </c>
      <c r="BG487" s="722">
        <f t="shared" si="331"/>
        <v>150.50710862309296</v>
      </c>
      <c r="BH487" s="722">
        <f t="shared" si="332"/>
        <v>151.2596441662084</v>
      </c>
      <c r="BI487" s="722">
        <f t="shared" si="333"/>
        <v>152.01594238703942</v>
      </c>
      <c r="BJ487" s="722">
        <f t="shared" si="334"/>
        <v>152.77602209897461</v>
      </c>
      <c r="BK487" s="722">
        <f t="shared" si="335"/>
        <v>153.53990220946946</v>
      </c>
      <c r="BL487" s="722">
        <f t="shared" si="336"/>
        <v>154.3076017205168</v>
      </c>
      <c r="BM487" s="722">
        <f t="shared" si="337"/>
        <v>155.07913972911936</v>
      </c>
      <c r="BN487" s="722">
        <f t="shared" si="338"/>
        <v>155.85453542776494</v>
      </c>
      <c r="BO487" s="722">
        <f t="shared" si="339"/>
        <v>156.63380810490378</v>
      </c>
      <c r="BP487" s="722">
        <f t="shared" si="340"/>
        <v>157.41697714542823</v>
      </c>
      <c r="BQ487" s="722">
        <f t="shared" si="341"/>
        <v>158.20406203115539</v>
      </c>
      <c r="BR487" s="722"/>
      <c r="BS487" s="722"/>
      <c r="BT487" s="722"/>
      <c r="BU487" s="722"/>
      <c r="BV487" s="722"/>
      <c r="BW487" s="722"/>
      <c r="BX487" s="722"/>
      <c r="BY487" s="722"/>
      <c r="BZ487" s="722"/>
      <c r="CA487" s="722"/>
    </row>
    <row r="488" spans="1:86"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2"/>
      <c r="P488" s="722"/>
      <c r="Q488" s="722"/>
      <c r="R488" s="722"/>
      <c r="S488" s="722"/>
      <c r="T488" s="722"/>
      <c r="U488" s="722"/>
      <c r="V488" s="722"/>
      <c r="W488" s="722"/>
      <c r="X488" s="722"/>
      <c r="Y488" s="722"/>
      <c r="Z488" s="722"/>
      <c r="AA488" s="722"/>
      <c r="AB488" s="722"/>
      <c r="AC488" s="722"/>
      <c r="AD488" s="722"/>
      <c r="AE488" s="722"/>
      <c r="AF488" s="722"/>
      <c r="AG488" s="722"/>
      <c r="AH488" s="722"/>
      <c r="AI488" s="722"/>
      <c r="AJ488" s="722"/>
      <c r="AK488" s="722"/>
      <c r="AL488" s="722"/>
      <c r="AM488" s="722"/>
      <c r="AN488" s="722"/>
      <c r="AO488" s="722"/>
      <c r="AP488" s="722"/>
      <c r="AQ488" s="722"/>
      <c r="AR488" s="722"/>
      <c r="AS488" s="722"/>
      <c r="AT488" s="722"/>
      <c r="AU488" s="722"/>
      <c r="AV488" s="722"/>
      <c r="AW488" s="722"/>
      <c r="AX488" s="722"/>
      <c r="AY488" s="722"/>
      <c r="AZ488" s="722"/>
      <c r="BA488" s="722"/>
      <c r="BB488" s="722"/>
      <c r="BC488" s="722"/>
      <c r="BD488" s="722"/>
      <c r="BE488" s="722"/>
      <c r="BF488" s="722"/>
      <c r="BG488" s="722"/>
      <c r="BH488" s="722"/>
      <c r="BI488" s="722"/>
      <c r="BJ488" s="722"/>
      <c r="BK488" s="722"/>
      <c r="BL488" s="722"/>
      <c r="BM488" s="722"/>
      <c r="BN488" s="722"/>
      <c r="BO488" s="722"/>
      <c r="BP488" s="722"/>
      <c r="BQ488" s="722"/>
      <c r="BR488" s="722"/>
      <c r="BS488" s="722"/>
      <c r="BT488" s="722"/>
      <c r="BU488" s="722"/>
      <c r="BV488" s="722"/>
      <c r="BW488" s="722"/>
      <c r="BX488" s="722"/>
      <c r="BY488" s="722"/>
      <c r="BZ488" s="722"/>
      <c r="CA488" s="722"/>
    </row>
    <row r="489" spans="1:86">
      <c r="A489" s="2" t="s">
        <v>586</v>
      </c>
      <c r="B489" s="439">
        <f t="shared" ref="B489:AC489" si="343">B486/B487</f>
        <v>1</v>
      </c>
      <c r="C489" s="439">
        <f t="shared" si="343"/>
        <v>0.97234140573453798</v>
      </c>
      <c r="D489" s="439">
        <f t="shared" si="343"/>
        <v>1.0160391897089205</v>
      </c>
      <c r="E489" s="439">
        <f t="shared" si="343"/>
        <v>1.090931404060812</v>
      </c>
      <c r="F489" s="439">
        <f t="shared" si="343"/>
        <v>1.0527460461094869</v>
      </c>
      <c r="G489" s="439">
        <f t="shared" si="343"/>
        <v>1.0100766425247387</v>
      </c>
      <c r="H489" s="439">
        <f t="shared" si="343"/>
        <v>0.99845781472697825</v>
      </c>
      <c r="I489" s="439">
        <f t="shared" si="343"/>
        <v>0.98279156187440431</v>
      </c>
      <c r="J489" s="439">
        <f t="shared" si="343"/>
        <v>0.96518700735690088</v>
      </c>
      <c r="K489" s="439">
        <f t="shared" si="343"/>
        <v>0.97181170656753291</v>
      </c>
      <c r="L489" s="439">
        <f t="shared" si="343"/>
        <v>0.99294106075074606</v>
      </c>
      <c r="M489" s="439">
        <f t="shared" si="343"/>
        <v>0.99404314321061416</v>
      </c>
      <c r="N489" s="439">
        <f t="shared" si="343"/>
        <v>0.99407660019863431</v>
      </c>
      <c r="O489" s="439">
        <f t="shared" si="343"/>
        <v>0.9946843415501756</v>
      </c>
      <c r="P489" s="439">
        <f t="shared" si="343"/>
        <v>0.99524422876721808</v>
      </c>
      <c r="Q489" s="439">
        <f t="shared" si="343"/>
        <v>0.99584976619370491</v>
      </c>
      <c r="R489" s="439">
        <f t="shared" si="343"/>
        <v>0.99593845857441332</v>
      </c>
      <c r="S489" s="439">
        <f t="shared" si="343"/>
        <v>0.99546779423410903</v>
      </c>
      <c r="T489" s="439">
        <f t="shared" si="343"/>
        <v>0.99476906718232827</v>
      </c>
      <c r="U489" s="439">
        <f t="shared" si="343"/>
        <v>0.99439760944184241</v>
      </c>
      <c r="V489" s="439">
        <f t="shared" si="343"/>
        <v>0.99406161072103716</v>
      </c>
      <c r="W489" s="439">
        <f t="shared" si="343"/>
        <v>0.99371420423392098</v>
      </c>
      <c r="X489" s="439">
        <f t="shared" si="343"/>
        <v>0.9934740840810341</v>
      </c>
      <c r="Y489" s="439">
        <f t="shared" si="343"/>
        <v>0.99331740015654069</v>
      </c>
      <c r="Z489" s="439">
        <f t="shared" si="343"/>
        <v>0.99303559719744183</v>
      </c>
      <c r="AA489" s="439">
        <f t="shared" si="343"/>
        <v>0.99285936894514504</v>
      </c>
      <c r="AB489" s="439">
        <f t="shared" si="343"/>
        <v>0.99252955554237821</v>
      </c>
      <c r="AC489" s="439">
        <f t="shared" si="343"/>
        <v>0.99246182669893068</v>
      </c>
      <c r="AD489" s="439">
        <f t="shared" ref="AD489:BQ489" si="344">AD486/AD487</f>
        <v>0.987494234273809</v>
      </c>
      <c r="AE489" s="439">
        <f t="shared" si="344"/>
        <v>0.99214432671355823</v>
      </c>
      <c r="AF489" s="439">
        <f t="shared" si="344"/>
        <v>0.99214950337365981</v>
      </c>
      <c r="AG489" s="439">
        <f t="shared" si="344"/>
        <v>0.99217164244118605</v>
      </c>
      <c r="AH489" s="439">
        <f t="shared" si="344"/>
        <v>0.99217158235497216</v>
      </c>
      <c r="AI489" s="439">
        <f t="shared" si="344"/>
        <v>0.99217176518264683</v>
      </c>
      <c r="AJ489" s="439">
        <f t="shared" si="344"/>
        <v>0.99217161933241294</v>
      </c>
      <c r="AK489" s="439">
        <f t="shared" si="344"/>
        <v>0.99217165339334723</v>
      </c>
      <c r="AL489" s="439">
        <f t="shared" si="344"/>
        <v>0.99217159486182194</v>
      </c>
      <c r="AM489" s="439">
        <f t="shared" si="344"/>
        <v>0.99217156898550363</v>
      </c>
      <c r="AN489" s="439">
        <f t="shared" si="344"/>
        <v>0.99217156898550374</v>
      </c>
      <c r="AO489" s="439">
        <f t="shared" si="344"/>
        <v>0.99217156898550363</v>
      </c>
      <c r="AP489" s="439">
        <f t="shared" si="344"/>
        <v>0.99217156898550385</v>
      </c>
      <c r="AQ489" s="439">
        <f t="shared" si="344"/>
        <v>0.99217156898550396</v>
      </c>
      <c r="AR489" s="439">
        <f t="shared" si="344"/>
        <v>0.99217156898550385</v>
      </c>
      <c r="AS489" s="439">
        <f t="shared" si="344"/>
        <v>0.99217156898550352</v>
      </c>
      <c r="AT489" s="439">
        <f t="shared" si="344"/>
        <v>0.9921715689855034</v>
      </c>
      <c r="AU489" s="439">
        <f t="shared" si="344"/>
        <v>0.99217156898550363</v>
      </c>
      <c r="AV489" s="439">
        <f t="shared" si="344"/>
        <v>0.99217156898550374</v>
      </c>
      <c r="AW489" s="439">
        <f t="shared" si="344"/>
        <v>0.99217156898550352</v>
      </c>
      <c r="AX489" s="439">
        <f t="shared" si="344"/>
        <v>0.99217156898550352</v>
      </c>
      <c r="AY489" s="439">
        <f t="shared" si="344"/>
        <v>0.99217156898550352</v>
      </c>
      <c r="AZ489" s="439">
        <f t="shared" si="344"/>
        <v>0.99217156898550352</v>
      </c>
      <c r="BA489" s="439">
        <f t="shared" si="344"/>
        <v>0.99217156898550329</v>
      </c>
      <c r="BB489" s="439">
        <f t="shared" si="344"/>
        <v>0.9921715689855034</v>
      </c>
      <c r="BC489" s="439">
        <f t="shared" si="344"/>
        <v>0.99217156898550307</v>
      </c>
      <c r="BD489" s="439">
        <f t="shared" si="344"/>
        <v>0.99217156898550307</v>
      </c>
      <c r="BE489" s="439">
        <f t="shared" si="344"/>
        <v>0.9921715689855034</v>
      </c>
      <c r="BF489" s="439">
        <f t="shared" si="344"/>
        <v>0.99217156898550329</v>
      </c>
      <c r="BG489" s="439">
        <f t="shared" si="344"/>
        <v>0.99217156898550318</v>
      </c>
      <c r="BH489" s="439">
        <f t="shared" si="344"/>
        <v>0.99217156898550329</v>
      </c>
      <c r="BI489" s="439">
        <f t="shared" si="344"/>
        <v>0.99217156898550363</v>
      </c>
      <c r="BJ489" s="439">
        <f t="shared" si="344"/>
        <v>0.9921715689855034</v>
      </c>
      <c r="BK489" s="439">
        <f t="shared" si="344"/>
        <v>0.99217156898550318</v>
      </c>
      <c r="BL489" s="439">
        <f t="shared" si="344"/>
        <v>0.99217156898550307</v>
      </c>
      <c r="BM489" s="439">
        <f t="shared" si="344"/>
        <v>0.99217156898550318</v>
      </c>
      <c r="BN489" s="439">
        <f t="shared" si="344"/>
        <v>0.99217156898550318</v>
      </c>
      <c r="BO489" s="439">
        <f t="shared" si="344"/>
        <v>0.99217156898550296</v>
      </c>
      <c r="BP489" s="439">
        <f t="shared" si="344"/>
        <v>0.99217156898550329</v>
      </c>
      <c r="BQ489" s="439">
        <f t="shared" si="344"/>
        <v>0.99217156898550318</v>
      </c>
      <c r="BR489" s="439"/>
      <c r="BS489" s="439"/>
      <c r="BT489" s="439"/>
      <c r="BU489" s="439"/>
      <c r="BV489" s="439"/>
      <c r="BW489" s="439"/>
      <c r="BX489" s="439"/>
      <c r="BY489" s="439"/>
      <c r="BZ489" s="439"/>
      <c r="CA489" s="439"/>
    </row>
    <row r="534" spans="1:86">
      <c r="A534" s="2" t="s">
        <v>425</v>
      </c>
    </row>
    <row r="535" spans="1:86" s="2" customFormat="1">
      <c r="B535" s="335">
        <v>45291</v>
      </c>
      <c r="C535" s="335">
        <v>45657</v>
      </c>
      <c r="D535" s="335">
        <v>46022</v>
      </c>
      <c r="E535" s="335">
        <v>46387</v>
      </c>
      <c r="F535" s="335">
        <v>46752</v>
      </c>
      <c r="G535" s="335">
        <v>47118</v>
      </c>
      <c r="H535" s="335">
        <v>47483</v>
      </c>
      <c r="I535" s="335">
        <v>47848</v>
      </c>
      <c r="J535" s="335">
        <v>48213</v>
      </c>
      <c r="K535" s="335">
        <v>48579</v>
      </c>
      <c r="L535" s="335">
        <v>48944</v>
      </c>
      <c r="M535" s="335">
        <v>49309</v>
      </c>
      <c r="N535" s="335">
        <v>49674</v>
      </c>
      <c r="O535" s="335">
        <v>50040</v>
      </c>
      <c r="P535" s="335">
        <v>50405</v>
      </c>
      <c r="Q535" s="335">
        <v>50770</v>
      </c>
      <c r="R535" s="335">
        <v>51135</v>
      </c>
      <c r="S535" s="335">
        <v>51501</v>
      </c>
      <c r="T535" s="335">
        <v>51866</v>
      </c>
      <c r="U535" s="335">
        <v>52231</v>
      </c>
      <c r="V535" s="335">
        <v>52596</v>
      </c>
      <c r="W535" s="335">
        <v>52962</v>
      </c>
      <c r="X535" s="335">
        <v>53327</v>
      </c>
      <c r="Y535" s="335">
        <v>53692</v>
      </c>
      <c r="Z535" s="335">
        <v>54057</v>
      </c>
      <c r="AA535" s="335">
        <v>54423</v>
      </c>
      <c r="AB535" s="335">
        <v>54788</v>
      </c>
      <c r="AC535" s="335">
        <v>55153</v>
      </c>
      <c r="AD535" s="335">
        <v>55518</v>
      </c>
      <c r="AE535" s="335">
        <v>55884</v>
      </c>
      <c r="AF535" s="335">
        <v>56249</v>
      </c>
      <c r="AG535" s="335">
        <v>56614</v>
      </c>
      <c r="AH535" s="335">
        <v>56979</v>
      </c>
      <c r="AI535" s="335">
        <v>57345</v>
      </c>
      <c r="AJ535" s="335">
        <v>57710</v>
      </c>
      <c r="AK535" s="335">
        <v>58075</v>
      </c>
      <c r="AL535" s="335">
        <v>58440</v>
      </c>
      <c r="AM535" s="335">
        <v>58806</v>
      </c>
      <c r="AN535" s="335">
        <v>59171</v>
      </c>
      <c r="AO535" s="335">
        <v>59536</v>
      </c>
      <c r="AP535" s="335">
        <v>59901</v>
      </c>
      <c r="AQ535" s="335">
        <v>60267</v>
      </c>
      <c r="AR535" s="335">
        <v>60632</v>
      </c>
      <c r="AS535" s="335">
        <v>60997</v>
      </c>
      <c r="AT535" s="335">
        <v>61362</v>
      </c>
      <c r="AU535" s="335">
        <v>61728</v>
      </c>
      <c r="AV535" s="335">
        <v>62093</v>
      </c>
      <c r="AW535" s="335">
        <v>62458</v>
      </c>
      <c r="AX535" s="335">
        <v>62823</v>
      </c>
      <c r="AY535" s="335">
        <v>63189</v>
      </c>
      <c r="AZ535" s="335">
        <v>63554</v>
      </c>
      <c r="BA535" s="335">
        <v>63919</v>
      </c>
      <c r="BB535" s="335">
        <v>64284</v>
      </c>
      <c r="BC535" s="335">
        <v>64650</v>
      </c>
      <c r="BD535" s="335">
        <v>65015</v>
      </c>
      <c r="BE535" s="335">
        <v>65380</v>
      </c>
      <c r="BF535" s="335">
        <v>65745</v>
      </c>
      <c r="BG535" s="335">
        <v>66111</v>
      </c>
      <c r="BH535" s="335">
        <v>66476</v>
      </c>
      <c r="BI535" s="335">
        <v>66841</v>
      </c>
      <c r="BJ535" s="335">
        <v>67206</v>
      </c>
      <c r="BK535" s="335">
        <v>67572</v>
      </c>
      <c r="BL535" s="335">
        <v>67937</v>
      </c>
      <c r="BM535" s="335">
        <v>68302</v>
      </c>
      <c r="BN535" s="335">
        <v>68667</v>
      </c>
      <c r="BO535" s="335">
        <v>69033</v>
      </c>
      <c r="BP535" s="335">
        <v>69398</v>
      </c>
      <c r="BQ535" s="335">
        <v>69763</v>
      </c>
      <c r="BR535" s="335"/>
      <c r="BS535" s="335"/>
      <c r="BT535" s="335"/>
      <c r="BU535" s="335"/>
      <c r="BV535" s="335"/>
      <c r="BW535" s="335"/>
      <c r="BX535" s="335"/>
      <c r="BY535" s="335"/>
      <c r="BZ535" s="335"/>
      <c r="CA535" s="335"/>
      <c r="CG535" s="335"/>
      <c r="CH535" s="335"/>
    </row>
    <row r="536" spans="1:86">
      <c r="A536" s="2" t="s">
        <v>682</v>
      </c>
      <c r="B536" s="214">
        <f>SNKS!R99</f>
        <v>978064.87363299995</v>
      </c>
      <c r="C536" s="214">
        <f>SNKS!S99</f>
        <v>702159.39181099995</v>
      </c>
      <c r="D536" s="214">
        <f>SNKS!T99</f>
        <v>663615.54099999997</v>
      </c>
      <c r="E536" s="214">
        <f>SNKS!U99</f>
        <v>521305.59999999998</v>
      </c>
      <c r="F536" s="214">
        <f>SNKS!V99</f>
        <v>407654.37359999999</v>
      </c>
      <c r="G536" s="214">
        <f>SNKS!W99</f>
        <v>380031.60091275512</v>
      </c>
      <c r="H536" s="214">
        <f>SNKS!X99</f>
        <v>340095.0683479592</v>
      </c>
      <c r="I536" s="214">
        <f>SNKS!Y99</f>
        <v>279907.85844141745</v>
      </c>
      <c r="J536" s="214">
        <f>SNKS!Z99</f>
        <v>241434.71363651226</v>
      </c>
      <c r="K536" s="214">
        <f>SNKS!AA99</f>
        <v>240877.07411134115</v>
      </c>
      <c r="L536" s="214">
        <f>SNKS!AB99</f>
        <v>240207.64038628744</v>
      </c>
      <c r="M536" s="214">
        <f>SNKS!AC99</f>
        <v>243004.96426466858</v>
      </c>
      <c r="N536" s="214">
        <f>SNKS!AD99</f>
        <v>253485.96184610747</v>
      </c>
      <c r="O536" s="214">
        <f>SNKS!AE99</f>
        <v>254640.18869715539</v>
      </c>
      <c r="P536" s="214">
        <f>SNKS!AF99</f>
        <v>249473.30435239262</v>
      </c>
      <c r="Q536" s="214">
        <f>SNKS!AG99</f>
        <v>229935.56740300223</v>
      </c>
      <c r="R536" s="214">
        <f>SNKS!AH99</f>
        <v>209224.21507105534</v>
      </c>
      <c r="S536" s="214">
        <f>SNKS!AI99</f>
        <v>195906.54051383105</v>
      </c>
      <c r="T536" s="214">
        <f>SNKS!AJ99</f>
        <v>183556.1949552744</v>
      </c>
      <c r="U536" s="214">
        <f>SNKS!AK99</f>
        <v>178137.25854185133</v>
      </c>
      <c r="V536" s="214">
        <f>SNKS!AL99</f>
        <v>164620.78186490035</v>
      </c>
      <c r="W536" s="214">
        <f>SNKS!AM99</f>
        <v>161561.27847178231</v>
      </c>
      <c r="X536" s="214">
        <f>SNKS!AN99</f>
        <v>152065.09344408213</v>
      </c>
      <c r="Y536" s="214">
        <f>SNKS!AO99</f>
        <v>147006.49506473821</v>
      </c>
      <c r="Z536" s="214">
        <f>SNKS!AP99</f>
        <v>140314.59556650935</v>
      </c>
      <c r="AA536" s="214">
        <f>SNKS!AQ99</f>
        <v>137796.20796118857</v>
      </c>
      <c r="AB536" s="214">
        <f>SNKS!AR99</f>
        <v>133349.55752020472</v>
      </c>
      <c r="AC536" s="214">
        <f>SNKS!AS99</f>
        <v>126817.75237058639</v>
      </c>
      <c r="AD536" s="214">
        <f>SNKS!AT99</f>
        <v>129073.78537878627</v>
      </c>
      <c r="AE536" s="214">
        <f>SNKS!AU99</f>
        <v>126418.40397636099</v>
      </c>
      <c r="AF536" s="214">
        <f>SNKS!AV99</f>
        <v>118683.20180295763</v>
      </c>
      <c r="AG536" s="214">
        <f>SNKS!AW99</f>
        <v>111774.15830552611</v>
      </c>
      <c r="AH536" s="214">
        <f>SNKS!AX99</f>
        <v>107715.42764511259</v>
      </c>
      <c r="AI536" s="214">
        <f>SNKS!AY99</f>
        <v>109415.49249540133</v>
      </c>
      <c r="AJ536" s="214">
        <f>SNKS!AZ99</f>
        <v>110259.82172594997</v>
      </c>
      <c r="AK536" s="214">
        <f>SNKS!BA99</f>
        <v>107836.65726143733</v>
      </c>
      <c r="AL536" s="214">
        <f>SNKS!BB99</f>
        <v>102763.83401222908</v>
      </c>
      <c r="AM536" s="214">
        <f>SNKS!BC99</f>
        <v>100035.63988825423</v>
      </c>
      <c r="AN536" s="214">
        <f>SNKS!BD99</f>
        <v>97788.48357434271</v>
      </c>
      <c r="AO536" s="214">
        <f>SNKS!BE99</f>
        <v>95428.04320408871</v>
      </c>
      <c r="AP536" s="214">
        <f>SNKS!BF99</f>
        <v>92951.52310025676</v>
      </c>
      <c r="AQ536" s="214">
        <f>SNKS!BG99</f>
        <v>90356.100545180481</v>
      </c>
      <c r="AR536" s="214">
        <f>SNKS!BH99</f>
        <v>87638.927602131749</v>
      </c>
      <c r="AS536" s="214">
        <f>SNKS!BI99</f>
        <v>84797.133098618971</v>
      </c>
      <c r="AT536" s="214">
        <f>SNKS!BJ99</f>
        <v>81827.824780713592</v>
      </c>
      <c r="AU536" s="214">
        <f>SNKS!BK99</f>
        <v>78728.091647946436</v>
      </c>
      <c r="AV536" s="214">
        <f>SNKS!BL99</f>
        <v>75495.006478772077</v>
      </c>
      <c r="AW536" s="214">
        <f>SNKS!BM99</f>
        <v>72125.628557083663</v>
      </c>
      <c r="AX536" s="214">
        <f>SNKS!BN99</f>
        <v>68617.006610758792</v>
      </c>
      <c r="AY536" s="214">
        <f>SNKS!BO99</f>
        <v>64966.181973744897</v>
      </c>
      <c r="AZ536" s="214">
        <f>SNKS!BP99</f>
        <v>61170.191983738099</v>
      </c>
      <c r="BA536" s="214">
        <f>SNKS!BQ99</f>
        <v>57226.073628084334</v>
      </c>
      <c r="BB536" s="214">
        <f>SNKS!BR99</f>
        <v>53130.867451124432</v>
      </c>
      <c r="BC536" s="214">
        <f>SNKS!BS99</f>
        <v>48881.621736838351</v>
      </c>
      <c r="BD536" s="214">
        <f>SNKS!BT99</f>
        <v>44475.396981283033</v>
      </c>
      <c r="BE536" s="214">
        <f>SNKS!BU99</f>
        <v>39909.270670013873</v>
      </c>
      <c r="BF536" s="214">
        <f>SNKS!BV99</f>
        <v>35180.342376378314</v>
      </c>
      <c r="BG536" s="214">
        <f>SNKS!BW99</f>
        <v>30285.739197318911</v>
      </c>
      <c r="BH536" s="214">
        <f>SNKS!BX99</f>
        <v>25222.621544101665</v>
      </c>
      <c r="BI536" s="214">
        <f>SNKS!BY99</f>
        <v>19988.189306183227</v>
      </c>
      <c r="BJ536" s="214">
        <f>SNKS!BZ99</f>
        <v>14579.68840729128</v>
      </c>
      <c r="BK536" s="214">
        <f>SNKS!CA99</f>
        <v>8994.417773659974</v>
      </c>
      <c r="BL536" s="214">
        <f>SNKS!CB99</f>
        <v>3229.7367352939241</v>
      </c>
      <c r="BM536" s="214">
        <f>SNKS!CC99</f>
        <v>-2716.9271179091807</v>
      </c>
      <c r="BN536" s="214">
        <f>SNKS!CD99</f>
        <v>-8848.0696023470973</v>
      </c>
      <c r="BO536" s="214">
        <f>SNKS!CE99</f>
        <v>-15166.101105326063</v>
      </c>
      <c r="BP536" s="214">
        <f>SNKS!CF99</f>
        <v>-21673.337223129347</v>
      </c>
      <c r="BQ536" s="214">
        <f>SNKS!CG99</f>
        <v>-28371.988846424043</v>
      </c>
      <c r="BR536" s="214"/>
      <c r="BS536" s="214"/>
      <c r="BT536" s="214"/>
      <c r="BU536" s="214"/>
      <c r="BV536" s="214"/>
      <c r="BW536" s="214"/>
      <c r="BX536" s="214"/>
      <c r="BY536" s="214"/>
      <c r="BZ536" s="214"/>
      <c r="CA536" s="214"/>
      <c r="CG536" s="214"/>
      <c r="CH536" s="214"/>
    </row>
    <row r="537" spans="1:86">
      <c r="A537" s="2" t="s">
        <v>671</v>
      </c>
      <c r="B537" s="656">
        <v>978064.87363299995</v>
      </c>
      <c r="C537" s="656">
        <v>702159.39181099995</v>
      </c>
      <c r="D537" s="656">
        <v>697701</v>
      </c>
      <c r="E537" s="656">
        <v>594407.19999999995</v>
      </c>
      <c r="F537" s="656">
        <v>474104.72048163268</v>
      </c>
      <c r="G537" s="656">
        <v>433036.29231632652</v>
      </c>
      <c r="H537" s="656">
        <v>387988.54277959181</v>
      </c>
      <c r="I537" s="656">
        <v>320712.37809795735</v>
      </c>
      <c r="J537" s="656">
        <v>271695.0263776778</v>
      </c>
      <c r="K537" s="656">
        <v>267711.72863568878</v>
      </c>
      <c r="L537" s="656">
        <v>268489.78449117515</v>
      </c>
      <c r="M537" s="656">
        <v>273230.88477495237</v>
      </c>
      <c r="N537" s="656">
        <v>283299.43402281922</v>
      </c>
      <c r="O537" s="656">
        <v>284811.84696235677</v>
      </c>
      <c r="P537" s="656">
        <v>278630.9746337398</v>
      </c>
      <c r="Q537" s="656">
        <v>258946.47167175202</v>
      </c>
      <c r="R537" s="656">
        <v>238012.26325902369</v>
      </c>
      <c r="S537" s="656">
        <v>224024.54025242565</v>
      </c>
      <c r="T537" s="656">
        <v>210303.42146168451</v>
      </c>
      <c r="U537" s="656">
        <v>204233.94315978501</v>
      </c>
      <c r="V537" s="656">
        <v>190315.16326855516</v>
      </c>
      <c r="W537" s="656">
        <v>186573.27696691829</v>
      </c>
      <c r="X537" s="656">
        <v>176806.06384058954</v>
      </c>
      <c r="Y537" s="656">
        <v>171177.010725789</v>
      </c>
      <c r="Z537" s="656">
        <v>163585.7368217379</v>
      </c>
      <c r="AA537" s="656">
        <v>160329.08232850366</v>
      </c>
      <c r="AB537" s="656">
        <v>156267.32099049288</v>
      </c>
      <c r="AC537" s="656">
        <v>149063.20955555959</v>
      </c>
      <c r="AD537" s="656">
        <v>149897.2239329264</v>
      </c>
      <c r="AE537" s="656">
        <v>147174.10212249018</v>
      </c>
      <c r="AF537" s="656">
        <v>139138.08729693838</v>
      </c>
      <c r="AG537" s="656">
        <v>132339.56688914358</v>
      </c>
      <c r="AH537" s="656">
        <v>128182.62818701685</v>
      </c>
      <c r="AI537" s="656">
        <v>129929.58908740181</v>
      </c>
      <c r="AJ537" s="656">
        <v>130040.16970816589</v>
      </c>
      <c r="AK537" s="656">
        <v>127430.51287744747</v>
      </c>
      <c r="AL537" s="656">
        <v>121777.61525763018</v>
      </c>
      <c r="AM537" s="656">
        <v>118961.2102263647</v>
      </c>
      <c r="AN537" s="656">
        <v>117055.68284978095</v>
      </c>
      <c r="AO537" s="656">
        <v>115045.08112698181</v>
      </c>
      <c r="AP537" s="656">
        <v>112926.87375204498</v>
      </c>
      <c r="AQ537" s="656">
        <v>110698.51218896918</v>
      </c>
      <c r="AR537" s="656">
        <v>108357.43286771001</v>
      </c>
      <c r="AS537" s="656">
        <v>105901.05955629636</v>
      </c>
      <c r="AT537" s="656">
        <v>103326.80591865088</v>
      </c>
      <c r="AU537" s="656">
        <v>100632.07826820156</v>
      </c>
      <c r="AV537" s="656">
        <v>97814.278527845061</v>
      </c>
      <c r="AW537" s="656">
        <v>94870.807407329485</v>
      </c>
      <c r="AX537" s="656">
        <v>91799.067809643806</v>
      </c>
      <c r="AY537" s="656">
        <v>88596.468478549388</v>
      </c>
      <c r="AZ537" s="656">
        <v>85260.427899958959</v>
      </c>
      <c r="BA537" s="656">
        <v>81788.378470465832</v>
      </c>
      <c r="BB537" s="656">
        <v>78177.770946946359</v>
      </c>
      <c r="BC537" s="656">
        <v>74426.079191811688</v>
      </c>
      <c r="BD537" s="656">
        <v>70530.805229159523</v>
      </c>
      <c r="BE537" s="656">
        <v>66489.484627788508</v>
      </c>
      <c r="BF537" s="656">
        <v>62299.692227774889</v>
      </c>
      <c r="BG537" s="656">
        <v>57959.048228085303</v>
      </c>
      <c r="BH537" s="656">
        <v>53465.224653500212</v>
      </c>
      <c r="BI537" s="656">
        <v>48815.952219972351</v>
      </c>
      <c r="BJ537" s="656">
        <v>44009.027618413078</v>
      </c>
      <c r="BK537" s="656">
        <v>39042.321237820135</v>
      </c>
      <c r="BL537" s="656">
        <v>33913.785349617276</v>
      </c>
      <c r="BM537" s="656">
        <v>28621.462776069264</v>
      </c>
      <c r="BN537" s="656">
        <v>23163.496066682685</v>
      </c>
      <c r="BO537" s="656">
        <v>17538.137207581938</v>
      </c>
      <c r="BP537" s="656">
        <v>11743.757889991053</v>
      </c>
      <c r="BQ537" s="656">
        <v>5778.8603651243448</v>
      </c>
      <c r="BR537" s="656"/>
      <c r="BS537" s="656"/>
      <c r="BT537" s="656"/>
      <c r="BU537" s="656"/>
      <c r="BV537" s="656"/>
      <c r="BW537" s="656"/>
      <c r="BX537" s="656"/>
      <c r="BY537" s="656"/>
      <c r="BZ537" s="656"/>
      <c r="CA537" s="656"/>
      <c r="CG537" s="656"/>
      <c r="CH537" s="656"/>
    </row>
    <row r="538" spans="1:86"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6"/>
      <c r="P538" s="656"/>
      <c r="Q538" s="656"/>
      <c r="R538" s="656"/>
      <c r="S538" s="656"/>
      <c r="T538" s="656"/>
      <c r="U538" s="656"/>
      <c r="V538" s="656"/>
      <c r="W538" s="656"/>
      <c r="X538" s="656"/>
      <c r="Y538" s="656"/>
      <c r="Z538" s="656"/>
      <c r="AA538" s="656"/>
      <c r="AB538" s="656"/>
      <c r="AC538" s="656"/>
      <c r="AD538" s="656"/>
      <c r="AE538" s="656"/>
      <c r="AF538" s="656"/>
      <c r="AG538" s="656"/>
      <c r="AH538" s="656"/>
      <c r="AI538" s="656"/>
      <c r="AJ538" s="656"/>
      <c r="AK538" s="656"/>
      <c r="AL538" s="656"/>
      <c r="AM538" s="656"/>
      <c r="AN538" s="656"/>
      <c r="AO538" s="656"/>
      <c r="AP538" s="656"/>
      <c r="AQ538" s="656"/>
      <c r="AR538" s="656"/>
      <c r="AS538" s="656"/>
      <c r="AT538" s="656"/>
      <c r="AU538" s="656"/>
      <c r="AV538" s="656"/>
      <c r="AW538" s="656"/>
      <c r="AX538" s="656"/>
      <c r="AY538" s="656"/>
      <c r="AZ538" s="656"/>
      <c r="BA538" s="656"/>
      <c r="BB538" s="656"/>
      <c r="BC538" s="656"/>
      <c r="BD538" s="656"/>
      <c r="BE538" s="656"/>
      <c r="BF538" s="656"/>
      <c r="BG538" s="656"/>
      <c r="BH538" s="656"/>
      <c r="BI538" s="656"/>
      <c r="BJ538" s="656"/>
      <c r="BK538" s="656"/>
      <c r="BL538" s="656"/>
      <c r="BM538" s="656"/>
      <c r="BN538" s="656"/>
      <c r="BO538" s="656"/>
      <c r="BP538" s="656"/>
      <c r="BQ538" s="656"/>
      <c r="BR538" s="656"/>
      <c r="BS538" s="656"/>
      <c r="BT538" s="656"/>
      <c r="BU538" s="656"/>
      <c r="BV538" s="656"/>
      <c r="BW538" s="656"/>
      <c r="BX538" s="656"/>
      <c r="BY538" s="656"/>
      <c r="BZ538" s="656"/>
      <c r="CA538" s="656"/>
      <c r="CG538" s="656"/>
      <c r="CH538" s="656"/>
    </row>
    <row r="539" spans="1:86">
      <c r="A539" s="263" t="s">
        <v>629</v>
      </c>
      <c r="B539" s="464">
        <f t="shared" ref="B539:AC539" si="345">B536-B537</f>
        <v>0</v>
      </c>
      <c r="C539" s="464">
        <f t="shared" si="345"/>
        <v>0</v>
      </c>
      <c r="D539" s="464">
        <f t="shared" si="345"/>
        <v>-34085.459000000032</v>
      </c>
      <c r="E539" s="464">
        <f t="shared" si="345"/>
        <v>-73101.599999999977</v>
      </c>
      <c r="F539" s="464">
        <f t="shared" si="345"/>
        <v>-66450.346881632693</v>
      </c>
      <c r="G539" s="464">
        <f t="shared" si="345"/>
        <v>-53004.6914035714</v>
      </c>
      <c r="H539" s="464">
        <f t="shared" si="345"/>
        <v>-47893.474431632611</v>
      </c>
      <c r="I539" s="464">
        <f t="shared" si="345"/>
        <v>-40804.519656539895</v>
      </c>
      <c r="J539" s="464">
        <f t="shared" si="345"/>
        <v>-30260.312741165544</v>
      </c>
      <c r="K539" s="464">
        <f t="shared" si="345"/>
        <v>-26834.654524347628</v>
      </c>
      <c r="L539" s="464">
        <f t="shared" si="345"/>
        <v>-28282.144104887702</v>
      </c>
      <c r="M539" s="464">
        <f t="shared" si="345"/>
        <v>-30225.920510283788</v>
      </c>
      <c r="N539" s="464">
        <f t="shared" si="345"/>
        <v>-29813.472176711744</v>
      </c>
      <c r="O539" s="464">
        <f t="shared" si="345"/>
        <v>-30171.658265201375</v>
      </c>
      <c r="P539" s="464">
        <f t="shared" si="345"/>
        <v>-29157.670281347178</v>
      </c>
      <c r="Q539" s="464">
        <f t="shared" si="345"/>
        <v>-29010.904268749786</v>
      </c>
      <c r="R539" s="464">
        <f t="shared" si="345"/>
        <v>-28788.04818796835</v>
      </c>
      <c r="S539" s="464">
        <f t="shared" si="345"/>
        <v>-28117.999738594604</v>
      </c>
      <c r="T539" s="464">
        <f t="shared" si="345"/>
        <v>-26747.226506410108</v>
      </c>
      <c r="U539" s="464">
        <f t="shared" si="345"/>
        <v>-26096.684617933672</v>
      </c>
      <c r="V539" s="464">
        <f t="shared" si="345"/>
        <v>-25694.381403654814</v>
      </c>
      <c r="W539" s="464">
        <f t="shared" si="345"/>
        <v>-25011.99849513598</v>
      </c>
      <c r="X539" s="464">
        <f t="shared" si="345"/>
        <v>-24740.970396507415</v>
      </c>
      <c r="Y539" s="464">
        <f t="shared" si="345"/>
        <v>-24170.515661050798</v>
      </c>
      <c r="Z539" s="464">
        <f t="shared" si="345"/>
        <v>-23271.141255228547</v>
      </c>
      <c r="AA539" s="464">
        <f t="shared" si="345"/>
        <v>-22532.874367315089</v>
      </c>
      <c r="AB539" s="464">
        <f t="shared" si="345"/>
        <v>-22917.763470288162</v>
      </c>
      <c r="AC539" s="464">
        <f t="shared" si="345"/>
        <v>-22245.457184973202</v>
      </c>
      <c r="AD539" s="464">
        <f t="shared" ref="AD539:BQ539" si="346">AD536-AD537</f>
        <v>-20823.438554140128</v>
      </c>
      <c r="AE539" s="464">
        <f t="shared" si="346"/>
        <v>-20755.698146129187</v>
      </c>
      <c r="AF539" s="464">
        <f t="shared" si="346"/>
        <v>-20454.88549398075</v>
      </c>
      <c r="AG539" s="464">
        <f t="shared" si="346"/>
        <v>-20565.408583617464</v>
      </c>
      <c r="AH539" s="464">
        <f t="shared" si="346"/>
        <v>-20467.200541904254</v>
      </c>
      <c r="AI539" s="464">
        <f t="shared" si="346"/>
        <v>-20514.096592000482</v>
      </c>
      <c r="AJ539" s="464">
        <f t="shared" si="346"/>
        <v>-19780.347982215928</v>
      </c>
      <c r="AK539" s="464">
        <f t="shared" si="346"/>
        <v>-19593.855616010143</v>
      </c>
      <c r="AL539" s="464">
        <f t="shared" si="346"/>
        <v>-19013.7812454011</v>
      </c>
      <c r="AM539" s="464">
        <f t="shared" si="346"/>
        <v>-18925.570338110469</v>
      </c>
      <c r="AN539" s="464">
        <f t="shared" si="346"/>
        <v>-19267.199275438237</v>
      </c>
      <c r="AO539" s="464">
        <f t="shared" si="346"/>
        <v>-19617.037922893098</v>
      </c>
      <c r="AP539" s="464">
        <f t="shared" si="346"/>
        <v>-19975.35065178822</v>
      </c>
      <c r="AQ539" s="464">
        <f t="shared" si="346"/>
        <v>-20342.411643788699</v>
      </c>
      <c r="AR539" s="464">
        <f t="shared" si="346"/>
        <v>-20718.505265578264</v>
      </c>
      <c r="AS539" s="464">
        <f t="shared" si="346"/>
        <v>-21103.926457677386</v>
      </c>
      <c r="AT539" s="464">
        <f t="shared" si="346"/>
        <v>-21498.981137937284</v>
      </c>
      <c r="AU539" s="464">
        <f t="shared" si="346"/>
        <v>-21903.98662025512</v>
      </c>
      <c r="AV539" s="464">
        <f t="shared" si="346"/>
        <v>-22319.272049072984</v>
      </c>
      <c r="AW539" s="464">
        <f t="shared" si="346"/>
        <v>-22745.178850245822</v>
      </c>
      <c r="AX539" s="464">
        <f t="shared" si="346"/>
        <v>-23182.061198885014</v>
      </c>
      <c r="AY539" s="464">
        <f t="shared" si="346"/>
        <v>-23630.286504804491</v>
      </c>
      <c r="AZ539" s="464">
        <f t="shared" si="346"/>
        <v>-24090.23591622086</v>
      </c>
      <c r="BA539" s="464">
        <f t="shared" si="346"/>
        <v>-24562.304842381498</v>
      </c>
      <c r="BB539" s="464">
        <f t="shared" si="346"/>
        <v>-25046.903495821927</v>
      </c>
      <c r="BC539" s="464">
        <f t="shared" si="346"/>
        <v>-25544.457454973337</v>
      </c>
      <c r="BD539" s="464">
        <f t="shared" si="346"/>
        <v>-26055.40824787649</v>
      </c>
      <c r="BE539" s="464">
        <f t="shared" si="346"/>
        <v>-26580.213957774635</v>
      </c>
      <c r="BF539" s="464">
        <f t="shared" si="346"/>
        <v>-27119.349851396575</v>
      </c>
      <c r="BG539" s="464">
        <f t="shared" si="346"/>
        <v>-27673.309030766392</v>
      </c>
      <c r="BH539" s="464">
        <f t="shared" si="346"/>
        <v>-28242.603109398548</v>
      </c>
      <c r="BI539" s="464">
        <f t="shared" si="346"/>
        <v>-28827.762913789124</v>
      </c>
      <c r="BJ539" s="464">
        <f t="shared" si="346"/>
        <v>-29429.339211121798</v>
      </c>
      <c r="BK539" s="464">
        <f t="shared" si="346"/>
        <v>-30047.903464160161</v>
      </c>
      <c r="BL539" s="464">
        <f t="shared" si="346"/>
        <v>-30684.04861432335</v>
      </c>
      <c r="BM539" s="464">
        <f t="shared" si="346"/>
        <v>-31338.389893978445</v>
      </c>
      <c r="BN539" s="464">
        <f t="shared" si="346"/>
        <v>-32011.565669029784</v>
      </c>
      <c r="BO539" s="464">
        <f t="shared" si="346"/>
        <v>-32704.238312908001</v>
      </c>
      <c r="BP539" s="464">
        <f t="shared" si="346"/>
        <v>-33417.095113120398</v>
      </c>
      <c r="BQ539" s="464">
        <f t="shared" si="346"/>
        <v>-34150.84921154839</v>
      </c>
      <c r="BR539"/>
      <c r="BS539"/>
      <c r="BT539"/>
      <c r="BU539"/>
      <c r="BV539"/>
      <c r="BW539"/>
      <c r="BX539"/>
    </row>
    <row r="545" spans="2:81">
      <c r="B545" s="723"/>
      <c r="C545" s="723"/>
      <c r="D545" s="723"/>
      <c r="E545" s="723"/>
      <c r="F545" s="723"/>
      <c r="G545" s="723"/>
      <c r="H545" s="723"/>
      <c r="I545" s="723"/>
      <c r="J545" s="723"/>
      <c r="K545" s="723"/>
      <c r="L545" s="723"/>
      <c r="M545" s="723"/>
      <c r="N545" s="723"/>
      <c r="O545" s="723"/>
      <c r="P545" s="723"/>
      <c r="Q545" s="723"/>
      <c r="R545" s="723"/>
      <c r="S545" s="723"/>
      <c r="T545" s="723"/>
      <c r="U545" s="723"/>
      <c r="V545" s="723"/>
      <c r="W545" s="723"/>
      <c r="X545" s="723"/>
      <c r="Y545" s="723"/>
      <c r="Z545" s="723"/>
      <c r="AA545" s="723"/>
      <c r="AB545" s="723"/>
      <c r="AC545" s="723"/>
      <c r="AD545" s="723"/>
      <c r="AE545" s="723"/>
      <c r="AF545" s="723"/>
      <c r="AG545" s="723"/>
      <c r="AH545" s="723"/>
      <c r="AI545" s="723"/>
      <c r="AJ545" s="723"/>
      <c r="AK545" s="723"/>
      <c r="AL545" s="723"/>
      <c r="AM545" s="723"/>
      <c r="AN545" s="723"/>
      <c r="AO545" s="723"/>
      <c r="AP545" s="723"/>
      <c r="AQ545" s="723"/>
      <c r="AR545" s="723"/>
      <c r="AS545" s="723"/>
      <c r="AT545" s="723"/>
      <c r="AU545" s="723"/>
      <c r="AV545" s="723"/>
      <c r="AW545" s="723"/>
      <c r="AX545" s="723"/>
      <c r="AY545" s="723"/>
      <c r="AZ545" s="723"/>
      <c r="BA545" s="723"/>
      <c r="BB545" s="723"/>
      <c r="BC545" s="723"/>
      <c r="BD545" s="723"/>
      <c r="BE545" s="723"/>
      <c r="BF545" s="723"/>
      <c r="BG545" s="723"/>
      <c r="BH545" s="723"/>
      <c r="BI545" s="723"/>
      <c r="BJ545" s="723"/>
      <c r="BK545" s="723"/>
      <c r="BL545" s="723"/>
      <c r="BM545" s="723"/>
      <c r="BN545" s="723"/>
      <c r="BO545" s="723"/>
      <c r="BP545" s="723"/>
      <c r="BQ545" s="723"/>
      <c r="BR545" s="484"/>
      <c r="BS545" s="484"/>
      <c r="BT545" s="484"/>
      <c r="BU545" s="484"/>
      <c r="BV545" s="484"/>
      <c r="BW545" s="484"/>
      <c r="BX545" s="484"/>
      <c r="BY545" s="484"/>
      <c r="BZ545" s="484"/>
      <c r="CA545" s="484"/>
      <c r="CB545" s="484"/>
      <c r="CC545" s="484"/>
    </row>
    <row r="546" spans="2:81"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724"/>
      <c r="AB546" s="724"/>
      <c r="AC546" s="724"/>
      <c r="AD546" s="724"/>
      <c r="AE546" s="724"/>
      <c r="AF546" s="724"/>
      <c r="AG546" s="724"/>
      <c r="AH546" s="724"/>
      <c r="AI546" s="724"/>
      <c r="AJ546" s="724"/>
      <c r="AK546" s="724"/>
      <c r="AL546" s="724"/>
      <c r="AM546" s="724"/>
      <c r="AN546" s="724"/>
      <c r="AO546" s="724"/>
      <c r="AP546" s="724"/>
      <c r="AQ546" s="724"/>
      <c r="AR546" s="724"/>
      <c r="AS546" s="724"/>
      <c r="AT546" s="724"/>
      <c r="AU546" s="724"/>
      <c r="AV546" s="724"/>
      <c r="AW546" s="724"/>
      <c r="AX546" s="724"/>
      <c r="AY546" s="724"/>
      <c r="AZ546" s="724"/>
      <c r="BA546" s="724"/>
      <c r="BB546" s="724"/>
      <c r="BC546" s="724"/>
      <c r="BD546" s="724"/>
      <c r="BE546" s="724"/>
      <c r="BF546" s="724"/>
      <c r="BG546" s="724"/>
      <c r="BH546" s="724"/>
      <c r="BI546" s="724"/>
      <c r="BJ546" s="724"/>
      <c r="BK546" s="724"/>
      <c r="BL546" s="724"/>
      <c r="BM546" s="724"/>
      <c r="BN546" s="724"/>
      <c r="BO546" s="724"/>
      <c r="BP546" s="724"/>
      <c r="BQ546" s="724"/>
    </row>
    <row r="574" spans="2:69">
      <c r="B574" s="725"/>
      <c r="C574" s="725"/>
      <c r="D574" s="725"/>
      <c r="E574" s="725"/>
      <c r="F574" s="725"/>
      <c r="G574" s="725"/>
      <c r="H574" s="725"/>
      <c r="I574" s="725"/>
      <c r="J574" s="725"/>
      <c r="K574" s="725"/>
      <c r="L574" s="725"/>
      <c r="M574" s="725"/>
      <c r="N574" s="725"/>
      <c r="O574" s="725"/>
      <c r="P574" s="725"/>
      <c r="Q574" s="725"/>
      <c r="R574" s="725"/>
      <c r="S574" s="725"/>
      <c r="T574" s="725"/>
      <c r="U574" s="725"/>
      <c r="V574" s="725"/>
      <c r="W574" s="725"/>
      <c r="X574" s="725"/>
      <c r="Y574" s="725"/>
      <c r="Z574" s="725"/>
      <c r="AA574" s="725"/>
      <c r="AB574" s="725"/>
      <c r="AC574" s="725"/>
      <c r="AD574" s="725"/>
      <c r="AE574" s="725"/>
      <c r="AF574" s="725"/>
      <c r="AG574" s="725"/>
      <c r="AH574" s="725"/>
      <c r="AI574" s="725"/>
      <c r="AJ574" s="725"/>
      <c r="AK574" s="725"/>
      <c r="AL574" s="725"/>
      <c r="AM574" s="725"/>
      <c r="AN574" s="725"/>
      <c r="AO574" s="725"/>
      <c r="AP574" s="725"/>
      <c r="AQ574" s="725"/>
      <c r="AR574" s="725"/>
      <c r="AS574" s="725"/>
      <c r="AT574" s="725"/>
      <c r="AU574" s="725"/>
      <c r="AV574" s="725"/>
      <c r="AW574" s="725"/>
      <c r="AX574" s="725"/>
      <c r="AY574" s="725"/>
      <c r="AZ574" s="725"/>
      <c r="BA574" s="725"/>
      <c r="BB574" s="725"/>
      <c r="BC574" s="725"/>
      <c r="BD574" s="725"/>
      <c r="BE574" s="725"/>
      <c r="BF574" s="725"/>
      <c r="BG574" s="725"/>
      <c r="BH574" s="725"/>
      <c r="BI574" s="725"/>
      <c r="BJ574" s="725"/>
      <c r="BK574" s="725"/>
      <c r="BL574" s="725"/>
      <c r="BM574" s="725"/>
      <c r="BN574" s="725"/>
      <c r="BO574" s="725"/>
      <c r="BP574" s="725"/>
      <c r="BQ574" s="725"/>
    </row>
    <row r="582" spans="1:86">
      <c r="A582" s="263"/>
    </row>
    <row r="583" spans="1:86" s="365" customFormat="1">
      <c r="A583" s="53"/>
      <c r="B583" s="53">
        <v>2023</v>
      </c>
      <c r="C583" s="53">
        <v>2024</v>
      </c>
      <c r="D583" s="53">
        <v>2025</v>
      </c>
      <c r="E583" s="53">
        <v>2026</v>
      </c>
      <c r="F583" s="53">
        <v>2027</v>
      </c>
      <c r="G583" s="53">
        <v>2028</v>
      </c>
      <c r="H583" s="53">
        <v>2029</v>
      </c>
      <c r="I583" s="53">
        <v>2030</v>
      </c>
      <c r="J583" s="53">
        <v>2031</v>
      </c>
      <c r="K583" s="53">
        <v>2032</v>
      </c>
      <c r="L583" s="53">
        <v>2033</v>
      </c>
      <c r="M583" s="53">
        <v>2034</v>
      </c>
      <c r="N583" s="53">
        <v>2035</v>
      </c>
      <c r="O583" s="53">
        <v>2036</v>
      </c>
      <c r="P583" s="53">
        <v>2037</v>
      </c>
      <c r="Q583" s="53">
        <v>2038</v>
      </c>
      <c r="R583" s="53">
        <v>2039</v>
      </c>
      <c r="S583" s="53">
        <v>2040</v>
      </c>
      <c r="T583" s="53">
        <v>2041</v>
      </c>
      <c r="U583" s="53">
        <v>2042</v>
      </c>
      <c r="V583" s="53">
        <v>2043</v>
      </c>
      <c r="W583" s="53">
        <v>2044</v>
      </c>
      <c r="X583" s="53">
        <v>2045</v>
      </c>
      <c r="Y583" s="53">
        <v>2046</v>
      </c>
      <c r="Z583" s="53">
        <v>2047</v>
      </c>
      <c r="AA583" s="53">
        <v>2048</v>
      </c>
      <c r="AB583" s="53">
        <v>2049</v>
      </c>
      <c r="AC583" s="53">
        <v>2050</v>
      </c>
      <c r="AD583" s="53">
        <v>2051</v>
      </c>
      <c r="AE583" s="53">
        <v>2052</v>
      </c>
      <c r="AF583" s="53">
        <v>2053</v>
      </c>
      <c r="AG583" s="53">
        <v>2054</v>
      </c>
      <c r="AH583" s="53">
        <v>2055</v>
      </c>
      <c r="AI583" s="53">
        <v>2056</v>
      </c>
      <c r="AJ583" s="53">
        <v>2057</v>
      </c>
      <c r="AK583" s="53">
        <v>2058</v>
      </c>
      <c r="AL583" s="53">
        <v>2059</v>
      </c>
      <c r="AM583" s="53">
        <v>2060</v>
      </c>
      <c r="AN583" s="53">
        <v>2061</v>
      </c>
      <c r="AO583" s="53">
        <v>2062</v>
      </c>
      <c r="AP583" s="53">
        <v>2063</v>
      </c>
      <c r="AQ583" s="53">
        <v>2064</v>
      </c>
      <c r="AR583" s="53">
        <v>2065</v>
      </c>
      <c r="AS583" s="53">
        <v>2066</v>
      </c>
      <c r="AT583" s="53">
        <v>2067</v>
      </c>
      <c r="AU583" s="53">
        <v>2068</v>
      </c>
      <c r="AV583" s="53">
        <v>2069</v>
      </c>
      <c r="AW583" s="53">
        <v>2070</v>
      </c>
      <c r="AX583" s="53">
        <v>2071</v>
      </c>
      <c r="AY583" s="53">
        <v>2072</v>
      </c>
      <c r="AZ583" s="53">
        <v>2073</v>
      </c>
      <c r="BA583" s="53">
        <v>2074</v>
      </c>
      <c r="BB583" s="53">
        <v>2075</v>
      </c>
      <c r="BC583" s="53">
        <v>2076</v>
      </c>
      <c r="BD583" s="53">
        <v>2077</v>
      </c>
      <c r="BE583" s="53">
        <v>2078</v>
      </c>
      <c r="BF583" s="53">
        <v>2079</v>
      </c>
      <c r="BG583" s="53">
        <v>2080</v>
      </c>
      <c r="BH583" s="53">
        <v>2081</v>
      </c>
      <c r="BI583" s="53">
        <v>2082</v>
      </c>
      <c r="BJ583" s="53">
        <v>2083</v>
      </c>
      <c r="BK583" s="53">
        <v>2084</v>
      </c>
      <c r="BL583" s="53">
        <v>2085</v>
      </c>
      <c r="BM583" s="53">
        <v>2086</v>
      </c>
      <c r="BN583" s="53">
        <v>2087</v>
      </c>
      <c r="BO583" s="53">
        <v>2088</v>
      </c>
      <c r="BP583" s="53">
        <v>2089</v>
      </c>
      <c r="BQ583" s="53">
        <v>2090</v>
      </c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G583" s="53"/>
      <c r="CH583" s="53"/>
    </row>
    <row r="584" spans="1:86">
      <c r="A584" s="2" t="s">
        <v>682</v>
      </c>
      <c r="B584" s="262">
        <f>SNKS!R86</f>
        <v>78309</v>
      </c>
      <c r="C584" s="262">
        <f>SNKS!S86</f>
        <v>62578</v>
      </c>
      <c r="D584" s="262">
        <f>SNKS!T86</f>
        <v>37768.1</v>
      </c>
      <c r="E584" s="262">
        <f>SNKS!U86</f>
        <v>25804.6</v>
      </c>
      <c r="F584" s="262">
        <f>SNKS!V86</f>
        <v>13754.373600000003</v>
      </c>
      <c r="G584" s="262">
        <f>SNKS!W86</f>
        <v>13831.600912755104</v>
      </c>
      <c r="H584" s="262">
        <f>SNKS!X86</f>
        <v>13895.068347959188</v>
      </c>
      <c r="I584" s="262">
        <f>SNKS!Y86</f>
        <v>13904.184266836739</v>
      </c>
      <c r="J584" s="262">
        <f>SNKS!Z86</f>
        <v>14565.091117058424</v>
      </c>
      <c r="K584" s="262">
        <f>SNKS!AA86</f>
        <v>15246.872567582244</v>
      </c>
      <c r="L584" s="262">
        <f>SNKS!AB86</f>
        <v>15950.099239680194</v>
      </c>
      <c r="M584" s="262">
        <f>SNKS!AC86</f>
        <v>16675.356229635025</v>
      </c>
      <c r="N584" s="262">
        <f>SNKS!AD86</f>
        <v>17423.276285741453</v>
      </c>
      <c r="O584" s="262">
        <f>SNKS!AE86</f>
        <v>17771.741811456279</v>
      </c>
      <c r="P584" s="262">
        <f>SNKS!AF86</f>
        <v>18127.176647685406</v>
      </c>
      <c r="Q584" s="262">
        <f>SNKS!AG86</f>
        <v>18489.720180639113</v>
      </c>
      <c r="R584" s="262">
        <f>SNKS!AH86</f>
        <v>18859.514584251898</v>
      </c>
      <c r="S584" s="262">
        <f>SNKS!AI86</f>
        <v>19236.704875936935</v>
      </c>
      <c r="T584" s="262">
        <f>SNKS!AJ86</f>
        <v>19621.438973455675</v>
      </c>
      <c r="U584" s="262">
        <f>SNKS!AK86</f>
        <v>20013.867752924791</v>
      </c>
      <c r="V584" s="262">
        <f>SNKS!AL86</f>
        <v>20414.145107983288</v>
      </c>
      <c r="W584" s="262">
        <f>SNKS!AM86</f>
        <v>20822.42801014295</v>
      </c>
      <c r="X584" s="262">
        <f>SNKS!AN86</f>
        <v>21238.876570345808</v>
      </c>
      <c r="Y584" s="262">
        <f>SNKS!AO86</f>
        <v>21663.654101752727</v>
      </c>
      <c r="Z584" s="262">
        <f>SNKS!AP86</f>
        <v>22096.927183787782</v>
      </c>
      <c r="AA584" s="262">
        <f>SNKS!AQ86</f>
        <v>22538.865727463537</v>
      </c>
      <c r="AB584" s="262">
        <f>SNKS!AR86</f>
        <v>22989.643042012813</v>
      </c>
      <c r="AC584" s="262">
        <f>SNKS!AS86</f>
        <v>23449.435902853067</v>
      </c>
      <c r="AD584" s="262">
        <f>SNKS!AT86</f>
        <v>23918.424620910126</v>
      </c>
      <c r="AE584" s="262">
        <f>SNKS!AU86</f>
        <v>24396.793113328327</v>
      </c>
      <c r="AF584" s="262">
        <f>SNKS!AV86</f>
        <v>24884.728975594895</v>
      </c>
      <c r="AG584" s="262">
        <f>SNKS!AW86</f>
        <v>25382.423555106798</v>
      </c>
      <c r="AH584" s="262">
        <f>SNKS!AX86</f>
        <v>25890.072026208934</v>
      </c>
      <c r="AI584" s="262">
        <f>SNKS!AY86</f>
        <v>26407.873466733115</v>
      </c>
      <c r="AJ584" s="262">
        <f>SNKS!AZ86</f>
        <v>26936.030936067778</v>
      </c>
      <c r="AK584" s="262">
        <f>SNKS!BA86</f>
        <v>27474.751554789134</v>
      </c>
      <c r="AL584" s="262">
        <f>SNKS!BB86</f>
        <v>28024.246585884917</v>
      </c>
      <c r="AM584" s="262">
        <f>SNKS!BC86</f>
        <v>28584.73151760261</v>
      </c>
      <c r="AN584" s="262">
        <f>SNKS!BD86</f>
        <v>27942.616767469561</v>
      </c>
      <c r="AO584" s="262">
        <f>SNKS!BE86</f>
        <v>27268.131610755492</v>
      </c>
      <c r="AP584" s="262">
        <f>SNKS!BF86</f>
        <v>26560.477195338557</v>
      </c>
      <c r="AQ584" s="262">
        <f>SNKS!BG86</f>
        <v>25818.846942416105</v>
      </c>
      <c r="AR584" s="262">
        <f>SNKS!BH86</f>
        <v>25042.427066952681</v>
      </c>
      <c r="AS584" s="262">
        <f>SNKS!BI86</f>
        <v>24230.397144398554</v>
      </c>
      <c r="AT584" s="262">
        <f>SNKS!BJ86</f>
        <v>23381.930726278752</v>
      </c>
      <c r="AU584" s="262">
        <f>SNKS!BK86</f>
        <v>22496.196007379131</v>
      </c>
      <c r="AV584" s="262">
        <f>SNKS!BL86</f>
        <v>21572.356547386404</v>
      </c>
      <c r="AW584" s="262">
        <f>SNKS!BM86</f>
        <v>20609.572049977396</v>
      </c>
      <c r="AX584" s="262">
        <f>SNKS!BN86</f>
        <v>19606.999202495259</v>
      </c>
      <c r="AY584" s="262">
        <f>SNKS!BO86</f>
        <v>18563.792579501041</v>
      </c>
      <c r="AZ584" s="262">
        <f>SNKS!BP86</f>
        <v>17479.105613645068</v>
      </c>
      <c r="BA584" s="262">
        <f>SNKS!BQ86</f>
        <v>16352.091637466678</v>
      </c>
      <c r="BB584" s="262">
        <f>SNKS!BR86</f>
        <v>15181.904999900406</v>
      </c>
      <c r="BC584" s="262">
        <f>SNKS!BS86</f>
        <v>13967.702261447659</v>
      </c>
      <c r="BD584" s="262">
        <f>SNKS!BT86</f>
        <v>12708.643472155587</v>
      </c>
      <c r="BE584" s="262">
        <f>SNKS!BU86</f>
        <v>11403.893536743664</v>
      </c>
      <c r="BF584" s="262">
        <f>SNKS!BV86</f>
        <v>10052.623671418009</v>
      </c>
      <c r="BG584" s="262">
        <f>SNKS!BW86</f>
        <v>8654.0129571275211</v>
      </c>
      <c r="BH584" s="262">
        <f>SNKS!BX86</f>
        <v>7207.2499942383056</v>
      </c>
      <c r="BI584" s="262">
        <f>SNKS!BY86</f>
        <v>5711.5346638308411</v>
      </c>
      <c r="BJ584" s="262">
        <f>SNKS!BZ86</f>
        <v>4166.0800010702815</v>
      </c>
      <c r="BK584" s="262">
        <f>SNKS!CA86</f>
        <v>2570.114186348213</v>
      </c>
      <c r="BL584" s="262">
        <f>SNKS!CB86</f>
        <v>922.88266016035311</v>
      </c>
      <c r="BM584" s="262">
        <f>SNKS!CC86</f>
        <v>-776.34963204195594</v>
      </c>
      <c r="BN584" s="262">
        <f>SNKS!CD86</f>
        <v>-2528.29585850282</v>
      </c>
      <c r="BO584" s="262">
        <f>SNKS!CE86</f>
        <v>-4333.6447764899413</v>
      </c>
      <c r="BP584" s="262">
        <f>SNKS!CF86</f>
        <v>-6193.0580571650598</v>
      </c>
      <c r="BQ584" s="262">
        <f>SNKS!CG86</f>
        <v>-8107.1674525338049</v>
      </c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</row>
    <row r="585" spans="1:86">
      <c r="A585" s="2" t="s">
        <v>671</v>
      </c>
      <c r="B585" s="656">
        <v>78309</v>
      </c>
      <c r="C585" s="656">
        <v>62578</v>
      </c>
      <c r="D585" s="656">
        <v>37800</v>
      </c>
      <c r="E585" s="656">
        <v>31407.200000000001</v>
      </c>
      <c r="F585" s="656">
        <v>14704.720481632659</v>
      </c>
      <c r="G585" s="656">
        <v>14736.292316326533</v>
      </c>
      <c r="H585" s="656">
        <v>14788.542779591835</v>
      </c>
      <c r="I585" s="656">
        <v>14853.71738571429</v>
      </c>
      <c r="J585" s="656">
        <v>15509.69234373417</v>
      </c>
      <c r="K585" s="656">
        <v>16185.964813120554</v>
      </c>
      <c r="L585" s="656">
        <v>16883.084304344906</v>
      </c>
      <c r="M585" s="656">
        <v>17601.614189292981</v>
      </c>
      <c r="N585" s="656">
        <v>18342.824094697109</v>
      </c>
      <c r="O585" s="656">
        <v>18709.68057659105</v>
      </c>
      <c r="P585" s="656">
        <v>19083.874188122871</v>
      </c>
      <c r="Q585" s="656">
        <v>19465.551671885332</v>
      </c>
      <c r="R585" s="656">
        <v>19854.862705323038</v>
      </c>
      <c r="S585" s="656">
        <v>20251.9599594295</v>
      </c>
      <c r="T585" s="656">
        <v>20656.999158618088</v>
      </c>
      <c r="U585" s="656">
        <v>21070.139141790445</v>
      </c>
      <c r="V585" s="656">
        <v>21491.541924626257</v>
      </c>
      <c r="W585" s="656">
        <v>21921.372763118783</v>
      </c>
      <c r="X585" s="656">
        <v>22359.800218381159</v>
      </c>
      <c r="Y585" s="656">
        <v>22806.996222748781</v>
      </c>
      <c r="Z585" s="656">
        <v>23263.136147203757</v>
      </c>
      <c r="AA585" s="656">
        <v>23728.398870147834</v>
      </c>
      <c r="AB585" s="656">
        <v>24202.96684755079</v>
      </c>
      <c r="AC585" s="656">
        <v>24687.026184501807</v>
      </c>
      <c r="AD585" s="656">
        <v>25180.766708191844</v>
      </c>
      <c r="AE585" s="656">
        <v>25684.382042355679</v>
      </c>
      <c r="AF585" s="656">
        <v>26198.069683202793</v>
      </c>
      <c r="AG585" s="656">
        <v>26722.03107686685</v>
      </c>
      <c r="AH585" s="656">
        <v>27256.471698404192</v>
      </c>
      <c r="AI585" s="656">
        <v>27801.601132372274</v>
      </c>
      <c r="AJ585" s="656">
        <v>28357.633155019721</v>
      </c>
      <c r="AK585" s="656">
        <v>28924.785818120119</v>
      </c>
      <c r="AL585" s="656">
        <v>29503.281534482521</v>
      </c>
      <c r="AM585" s="656">
        <v>30093.34716517217</v>
      </c>
      <c r="AN585" s="656">
        <v>29611.310232569027</v>
      </c>
      <c r="AO585" s="656">
        <v>29102.692881249593</v>
      </c>
      <c r="AP585" s="656">
        <v>28566.854772503833</v>
      </c>
      <c r="AQ585" s="656">
        <v>28003.15120896776</v>
      </c>
      <c r="AR585" s="656">
        <v>27410.933690149646</v>
      </c>
      <c r="AS585" s="656">
        <v>26789.550512498921</v>
      </c>
      <c r="AT585" s="656">
        <v>26138.347416452205</v>
      </c>
      <c r="AU585" s="656">
        <v>25456.668283008185</v>
      </c>
      <c r="AV585" s="656">
        <v>24743.855882502809</v>
      </c>
      <c r="AW585" s="656">
        <v>23999.252678384575</v>
      </c>
      <c r="AX585" s="656">
        <v>23222.201688921166</v>
      </c>
      <c r="AY585" s="656">
        <v>22412.047409907173</v>
      </c>
      <c r="AZ585" s="656">
        <v>21568.136801587101</v>
      </c>
      <c r="BA585" s="656">
        <v>20689.820343158721</v>
      </c>
      <c r="BB585" s="656">
        <v>19776.45315837891</v>
      </c>
      <c r="BC585" s="656">
        <v>18827.396215959201</v>
      </c>
      <c r="BD585" s="656">
        <v>17842.017608609018</v>
      </c>
      <c r="BE585" s="656">
        <v>16819.693914764594</v>
      </c>
      <c r="BF585" s="656">
        <v>15759.81164722806</v>
      </c>
      <c r="BG585" s="656">
        <v>14661.768793137033</v>
      </c>
      <c r="BH585" s="656">
        <v>13524.976449887545</v>
      </c>
      <c r="BI585" s="656">
        <v>12348.860561848176</v>
      </c>
      <c r="BJ585" s="656">
        <v>11132.863762922952</v>
      </c>
      <c r="BK585" s="656">
        <v>9876.4473302534225</v>
      </c>
      <c r="BL585" s="656">
        <v>8579.0932545924734</v>
      </c>
      <c r="BM585" s="656">
        <v>7240.3064331335818</v>
      </c>
      <c r="BN585" s="656">
        <v>5859.6169908440879</v>
      </c>
      <c r="BO585" s="656">
        <v>4436.5827366239864</v>
      </c>
      <c r="BP585" s="656">
        <v>2970.7917609004498</v>
      </c>
      <c r="BQ585" s="656">
        <v>1461.8651815648634</v>
      </c>
      <c r="BR585" s="656"/>
      <c r="BS585" s="656"/>
      <c r="BT585" s="656"/>
      <c r="BU585" s="656"/>
      <c r="BV585" s="656"/>
      <c r="BW585" s="656"/>
      <c r="BX585" s="656"/>
      <c r="BY585" s="656"/>
      <c r="BZ585" s="656"/>
      <c r="CA585" s="656"/>
    </row>
    <row r="586" spans="1:86">
      <c r="B586" s="656"/>
      <c r="C586" s="656"/>
      <c r="D586" s="656"/>
      <c r="E586" s="656"/>
      <c r="F586" s="656"/>
      <c r="G586" s="656"/>
      <c r="H586" s="656"/>
      <c r="I586" s="656"/>
      <c r="J586" s="656"/>
      <c r="K586" s="656"/>
      <c r="L586" s="656"/>
      <c r="M586" s="656"/>
      <c r="N586" s="656"/>
      <c r="O586" s="656"/>
      <c r="P586" s="656"/>
      <c r="Q586" s="656"/>
      <c r="R586" s="656"/>
      <c r="S586" s="656"/>
      <c r="T586" s="656"/>
      <c r="U586" s="656"/>
      <c r="V586" s="656"/>
      <c r="W586" s="656"/>
      <c r="X586" s="656"/>
      <c r="Y586" s="656"/>
      <c r="Z586" s="656"/>
      <c r="AA586" s="656"/>
      <c r="AB586" s="656"/>
      <c r="AC586" s="656"/>
      <c r="AD586" s="656"/>
      <c r="AE586" s="656"/>
      <c r="AF586" s="656"/>
      <c r="AG586" s="656"/>
      <c r="AH586" s="656"/>
      <c r="AI586" s="656"/>
      <c r="AJ586" s="656"/>
      <c r="AK586" s="656"/>
      <c r="AL586" s="656"/>
      <c r="AM586" s="656"/>
      <c r="AN586" s="656"/>
      <c r="AO586" s="656"/>
      <c r="AP586" s="656"/>
      <c r="AQ586" s="656"/>
      <c r="AR586" s="656"/>
      <c r="AS586" s="656"/>
      <c r="AT586" s="656"/>
      <c r="AU586" s="656"/>
      <c r="AV586" s="656"/>
      <c r="AW586" s="656"/>
      <c r="AX586" s="656"/>
      <c r="AY586" s="656"/>
      <c r="AZ586" s="656"/>
      <c r="BA586" s="656"/>
      <c r="BB586" s="656"/>
      <c r="BC586" s="656"/>
      <c r="BD586" s="656"/>
      <c r="BE586" s="656"/>
      <c r="BF586" s="656"/>
      <c r="BG586" s="656"/>
      <c r="BH586" s="656"/>
      <c r="BI586" s="656"/>
      <c r="BJ586" s="656"/>
      <c r="BK586" s="656"/>
      <c r="BL586" s="656"/>
      <c r="BM586" s="656"/>
      <c r="BN586" s="656"/>
      <c r="BO586" s="656"/>
      <c r="BP586" s="656"/>
      <c r="BQ586" s="656"/>
      <c r="BR586" s="656"/>
      <c r="BS586" s="656"/>
      <c r="BT586" s="656"/>
      <c r="BU586" s="656"/>
      <c r="BV586" s="656"/>
      <c r="BW586" s="656"/>
      <c r="BX586" s="656"/>
      <c r="BY586" s="656"/>
      <c r="BZ586" s="656"/>
      <c r="CA586" s="656"/>
    </row>
    <row r="621" spans="1:86">
      <c r="A621" s="2" t="s">
        <v>543</v>
      </c>
    </row>
    <row r="623" spans="1:86" s="365" customFormat="1">
      <c r="A623" s="53"/>
      <c r="B623" s="53">
        <v>2023</v>
      </c>
      <c r="C623" s="53">
        <v>2024</v>
      </c>
      <c r="D623" s="53">
        <v>2025</v>
      </c>
      <c r="E623" s="53">
        <v>2026</v>
      </c>
      <c r="F623" s="53">
        <v>2027</v>
      </c>
      <c r="G623" s="53">
        <v>2028</v>
      </c>
      <c r="H623" s="53">
        <v>2029</v>
      </c>
      <c r="I623" s="53">
        <v>2030</v>
      </c>
      <c r="J623" s="53">
        <v>2031</v>
      </c>
      <c r="K623" s="53">
        <v>2032</v>
      </c>
      <c r="L623" s="53">
        <v>2033</v>
      </c>
      <c r="M623" s="53">
        <v>2034</v>
      </c>
      <c r="N623" s="53">
        <v>2035</v>
      </c>
      <c r="O623" s="53">
        <v>2036</v>
      </c>
      <c r="P623" s="53">
        <v>2037</v>
      </c>
      <c r="Q623" s="53">
        <v>2038</v>
      </c>
      <c r="R623" s="53">
        <v>2039</v>
      </c>
      <c r="S623" s="53">
        <v>2040</v>
      </c>
      <c r="T623" s="53">
        <v>2041</v>
      </c>
      <c r="U623" s="53">
        <v>2042</v>
      </c>
      <c r="V623" s="53">
        <v>2043</v>
      </c>
      <c r="W623" s="53">
        <v>2044</v>
      </c>
      <c r="X623" s="53">
        <v>2045</v>
      </c>
      <c r="Y623" s="53">
        <v>2046</v>
      </c>
      <c r="Z623" s="53">
        <v>2047</v>
      </c>
      <c r="AA623" s="53">
        <v>2048</v>
      </c>
      <c r="AB623" s="53">
        <v>2049</v>
      </c>
      <c r="AC623" s="53">
        <v>2050</v>
      </c>
      <c r="AD623" s="53">
        <v>2051</v>
      </c>
      <c r="AE623" s="53">
        <v>2052</v>
      </c>
      <c r="AF623" s="53">
        <v>2053</v>
      </c>
      <c r="AG623" s="53">
        <v>2054</v>
      </c>
      <c r="AH623" s="53">
        <v>2055</v>
      </c>
      <c r="AI623" s="53">
        <v>2056</v>
      </c>
      <c r="AJ623" s="53">
        <v>2057</v>
      </c>
      <c r="AK623" s="53">
        <v>2058</v>
      </c>
      <c r="AL623" s="53">
        <v>2059</v>
      </c>
      <c r="AM623" s="53">
        <v>2060</v>
      </c>
      <c r="AN623" s="53">
        <v>2061</v>
      </c>
      <c r="AO623" s="53">
        <v>2062</v>
      </c>
      <c r="AP623" s="53">
        <v>2063</v>
      </c>
      <c r="AQ623" s="53">
        <v>2064</v>
      </c>
      <c r="AR623" s="53">
        <v>2065</v>
      </c>
      <c r="AS623" s="53">
        <v>2066</v>
      </c>
      <c r="AT623" s="53">
        <v>2067</v>
      </c>
      <c r="AU623" s="53">
        <v>2068</v>
      </c>
      <c r="AV623" s="53">
        <v>2069</v>
      </c>
      <c r="AW623" s="53">
        <v>2070</v>
      </c>
      <c r="AX623" s="53">
        <v>2071</v>
      </c>
      <c r="AY623" s="53">
        <v>2072</v>
      </c>
      <c r="AZ623" s="53">
        <v>2073</v>
      </c>
      <c r="BA623" s="53">
        <v>2074</v>
      </c>
      <c r="BB623" s="53">
        <v>2075</v>
      </c>
      <c r="BC623" s="53">
        <v>2076</v>
      </c>
      <c r="BD623" s="53">
        <v>2077</v>
      </c>
      <c r="BE623" s="53">
        <v>2078</v>
      </c>
      <c r="BF623" s="53">
        <v>2079</v>
      </c>
      <c r="BG623" s="53">
        <v>2080</v>
      </c>
      <c r="BH623" s="53">
        <v>2081</v>
      </c>
      <c r="BI623" s="53">
        <v>2082</v>
      </c>
      <c r="BJ623" s="53">
        <v>2083</v>
      </c>
      <c r="BK623" s="53">
        <v>2084</v>
      </c>
      <c r="BL623" s="53">
        <v>2085</v>
      </c>
      <c r="BM623" s="53">
        <v>2086</v>
      </c>
      <c r="BN623" s="53">
        <v>2087</v>
      </c>
      <c r="BO623" s="53">
        <v>2088</v>
      </c>
      <c r="BP623" s="53">
        <v>2089</v>
      </c>
      <c r="BQ623" s="53">
        <v>2090</v>
      </c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G623" s="53"/>
      <c r="CH623" s="53"/>
    </row>
    <row r="624" spans="1:86">
      <c r="A624" s="2" t="s">
        <v>682</v>
      </c>
      <c r="B624" s="726">
        <f>Formue!Y86</f>
        <v>1.0737094803916403</v>
      </c>
      <c r="C624" s="726">
        <f>Formue!Z86</f>
        <v>0.90570361601127158</v>
      </c>
      <c r="D624" s="726">
        <f>Formue!AA86</f>
        <v>0.92322990590312681</v>
      </c>
      <c r="E624" s="726">
        <f>Formue!AB86</f>
        <v>0.97096902680551178</v>
      </c>
      <c r="F624" s="726">
        <f>Formue!AC86</f>
        <v>0.90265886750679014</v>
      </c>
      <c r="G624" s="726">
        <f>Formue!AD86</f>
        <v>0.89670673310214222</v>
      </c>
      <c r="H624" s="726">
        <f>Formue!AE86</f>
        <v>0.89874439911884541</v>
      </c>
      <c r="I624" s="726">
        <f>Formue!AF86</f>
        <v>1.0054268752399733</v>
      </c>
      <c r="J624" s="726">
        <f>Formue!AG86</f>
        <v>0.86771721576752181</v>
      </c>
      <c r="K624" s="726">
        <f>Formue!AH86</f>
        <v>0.88483534758752025</v>
      </c>
      <c r="L624" s="726">
        <f>Formue!AI86</f>
        <v>0.90729890940803293</v>
      </c>
      <c r="M624" s="726">
        <f>Formue!AJ86</f>
        <v>0.87678571459144394</v>
      </c>
      <c r="N624" s="726">
        <f>Formue!AK86</f>
        <v>0.87942715585600328</v>
      </c>
      <c r="O624" s="726">
        <f>Formue!AL86</f>
        <v>0.88640258383144932</v>
      </c>
      <c r="P624" s="726">
        <f>Formue!AM86</f>
        <v>0.91068913503500837</v>
      </c>
      <c r="Q624" s="726">
        <f>Formue!AN86</f>
        <v>0.93187631666334525</v>
      </c>
      <c r="R624" s="726">
        <f>Formue!AO86</f>
        <v>0.92017441494322505</v>
      </c>
      <c r="S624" s="726">
        <f>Formue!AP86</f>
        <v>0.93035927242163197</v>
      </c>
      <c r="T624" s="726">
        <f>Formue!AQ86</f>
        <v>0.93509742327163103</v>
      </c>
      <c r="U624" s="726">
        <f>Formue!AR86</f>
        <v>0.96254883318947226</v>
      </c>
      <c r="V624" s="726">
        <f>Formue!AS86</f>
        <v>0.93962693686860776</v>
      </c>
      <c r="W624" s="726">
        <f>Formue!AT86</f>
        <v>0.96267672925515491</v>
      </c>
      <c r="X624" s="726">
        <f>Formue!AU86</f>
        <v>0.96972592379606359</v>
      </c>
      <c r="Y624" s="726">
        <f>Formue!AV86</f>
        <v>0.95860134371544015</v>
      </c>
      <c r="Z624" s="726">
        <f>Formue!AW86</f>
        <v>0.98825265102227755</v>
      </c>
      <c r="AA624" s="726">
        <f>Formue!AX86</f>
        <v>0.99103360842264543</v>
      </c>
      <c r="AB624" s="726">
        <f>Formue!AY86</f>
        <v>1.0075972222052354</v>
      </c>
      <c r="AC624" s="726">
        <f>Formue!AZ86</f>
        <v>0.96769237090454518</v>
      </c>
      <c r="AD624" s="726">
        <f>Formue!BA86</f>
        <v>0.98491111279660293</v>
      </c>
      <c r="AE624" s="726">
        <f>Formue!BB86</f>
        <v>1.0280789526832392</v>
      </c>
      <c r="AF624" s="726">
        <f>Formue!BC86</f>
        <v>1.0402552814879182</v>
      </c>
      <c r="AG624" s="726">
        <f>Formue!BD86</f>
        <v>1.076141104393926</v>
      </c>
      <c r="AH624" s="726">
        <f>Formue!BE86</f>
        <v>1.0546676502678907</v>
      </c>
      <c r="AI624" s="726">
        <f>Formue!BF86</f>
        <v>1.0235502945000803</v>
      </c>
      <c r="AJ624" s="726">
        <f>Formue!BG86</f>
        <v>1.0708008497256485</v>
      </c>
      <c r="AK624" s="726">
        <f>Formue!BH86</f>
        <v>1.1447624840900208</v>
      </c>
      <c r="AL624" s="726">
        <f>Formue!BI86</f>
        <v>1.1222623447113622</v>
      </c>
      <c r="AM624" s="726">
        <f>Formue!BJ86</f>
        <v>1.1712489519898164</v>
      </c>
      <c r="AN624" s="726">
        <f>Formue!BK86</f>
        <v>1.1612489519898164</v>
      </c>
      <c r="AO624" s="726">
        <f>Formue!BL86</f>
        <v>1.1512489519898164</v>
      </c>
      <c r="AP624" s="726">
        <f>Formue!BM86</f>
        <v>1.1412489519898164</v>
      </c>
      <c r="AQ624" s="726">
        <f>Formue!BN86</f>
        <v>1.1312489519898163</v>
      </c>
      <c r="AR624" s="726">
        <f>Formue!BO86</f>
        <v>1.1212489519898163</v>
      </c>
      <c r="AS624" s="726">
        <f>Formue!BP86</f>
        <v>1.1112489519898163</v>
      </c>
      <c r="AT624" s="726">
        <f>Formue!BQ86</f>
        <v>1.1012489519898163</v>
      </c>
      <c r="AU624" s="726">
        <f>Formue!BR86</f>
        <v>1.0912489519898163</v>
      </c>
      <c r="AV624" s="726">
        <f>Formue!BS86</f>
        <v>1.0812489519898163</v>
      </c>
      <c r="AW624" s="726">
        <f>Formue!BT86</f>
        <v>1.0712489519898163</v>
      </c>
      <c r="AX624" s="726">
        <f>Formue!BU86</f>
        <v>1.0612489519898163</v>
      </c>
      <c r="AY624" s="726">
        <f>Formue!BV86</f>
        <v>1.0512489519898163</v>
      </c>
      <c r="AZ624" s="726">
        <f>Formue!BW86</f>
        <v>1.0412489519898163</v>
      </c>
      <c r="BA624" s="726">
        <f>Formue!BX86</f>
        <v>1.0312489519898163</v>
      </c>
      <c r="BB624" s="726">
        <f>Formue!BY86</f>
        <v>1.0212489519898162</v>
      </c>
      <c r="BC624" s="726">
        <f>Formue!BZ86</f>
        <v>1.0112489519898162</v>
      </c>
      <c r="BD624" s="726">
        <f>Formue!CA86</f>
        <v>1.0012489519898162</v>
      </c>
      <c r="BE624" s="726">
        <f>Formue!CB86</f>
        <v>0.99124895198981622</v>
      </c>
      <c r="BF624" s="726">
        <f>Formue!CC86</f>
        <v>0.98124895198981621</v>
      </c>
      <c r="BG624" s="726">
        <f>Formue!CD86</f>
        <v>0.9712489519898162</v>
      </c>
      <c r="BH624" s="726">
        <f>Formue!CE86</f>
        <v>0.96124895198981619</v>
      </c>
      <c r="BI624" s="726">
        <f>Formue!CF86</f>
        <v>0.95124895198981618</v>
      </c>
      <c r="BJ624" s="726">
        <f>Formue!CG86</f>
        <v>0.94124895198981617</v>
      </c>
      <c r="BK624" s="726">
        <f>Formue!CH86</f>
        <v>0.93124895198981616</v>
      </c>
      <c r="BL624" s="726">
        <f>Formue!CI86</f>
        <v>0.92124895198981616</v>
      </c>
      <c r="BM624" s="726">
        <f>Formue!CJ86</f>
        <v>0.91124895198981615</v>
      </c>
      <c r="BN624" s="726">
        <f>Formue!CK86</f>
        <v>0.90124895198981614</v>
      </c>
      <c r="BO624" s="726">
        <f>Formue!CL86</f>
        <v>0.89124895198981613</v>
      </c>
      <c r="BP624" s="726">
        <f>Formue!CM86</f>
        <v>0.88124895198981612</v>
      </c>
      <c r="BQ624" s="726">
        <f>Formue!CN86</f>
        <v>0.87124895198981611</v>
      </c>
      <c r="BR624" s="726"/>
      <c r="BS624" s="726"/>
      <c r="BT624" s="726"/>
      <c r="BU624" s="726"/>
      <c r="BV624" s="726"/>
      <c r="BW624" s="726"/>
      <c r="BX624" s="726"/>
      <c r="BY624" s="726"/>
      <c r="BZ624" s="726"/>
      <c r="CA624" s="726"/>
      <c r="CG624" s="726"/>
      <c r="CH624" s="726"/>
    </row>
    <row r="625" spans="2:69"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  <c r="R625" s="336"/>
      <c r="S625" s="336"/>
      <c r="T625" s="336"/>
      <c r="U625" s="336"/>
      <c r="V625" s="336"/>
      <c r="W625" s="336"/>
      <c r="X625" s="336"/>
      <c r="Y625" s="336"/>
      <c r="Z625" s="336"/>
      <c r="AA625" s="336"/>
      <c r="AB625" s="336"/>
      <c r="AC625" s="336"/>
      <c r="AD625" s="336"/>
      <c r="AE625" s="336"/>
      <c r="AF625" s="336"/>
      <c r="AG625" s="336"/>
      <c r="AH625" s="336"/>
      <c r="AI625" s="336"/>
      <c r="AJ625" s="336"/>
      <c r="AK625" s="336"/>
      <c r="AL625" s="336"/>
      <c r="AM625" s="336"/>
      <c r="AN625" s="336"/>
      <c r="AO625" s="336"/>
      <c r="AP625" s="336"/>
      <c r="AQ625" s="336"/>
      <c r="AR625" s="336"/>
      <c r="AS625" s="336"/>
      <c r="AT625" s="336"/>
      <c r="AU625" s="336"/>
      <c r="AV625" s="336"/>
      <c r="AW625" s="336"/>
      <c r="AX625" s="336"/>
      <c r="AY625" s="336"/>
      <c r="AZ625" s="336"/>
      <c r="BA625" s="336"/>
      <c r="BB625" s="336"/>
      <c r="BC625" s="336"/>
      <c r="BD625" s="336"/>
      <c r="BE625" s="336"/>
      <c r="BF625" s="336"/>
      <c r="BG625" s="336"/>
      <c r="BH625" s="336"/>
      <c r="BI625" s="336"/>
      <c r="BJ625" s="336"/>
      <c r="BK625" s="336"/>
      <c r="BL625" s="336"/>
      <c r="BM625" s="336"/>
      <c r="BN625" s="336"/>
      <c r="BO625" s="336"/>
      <c r="BP625" s="336"/>
      <c r="BQ625" s="336"/>
    </row>
    <row r="626" spans="2:69"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  <c r="R626" s="336"/>
      <c r="S626" s="336"/>
      <c r="T626" s="336"/>
      <c r="U626" s="336"/>
      <c r="V626" s="336"/>
      <c r="W626" s="336"/>
      <c r="X626" s="336"/>
      <c r="Y626" s="336"/>
      <c r="Z626" s="336"/>
      <c r="AA626" s="336"/>
      <c r="AB626" s="336"/>
      <c r="AC626" s="336"/>
      <c r="AD626" s="336"/>
      <c r="AE626" s="336"/>
      <c r="AF626" s="336"/>
      <c r="AG626" s="336"/>
      <c r="AH626" s="336"/>
      <c r="AI626" s="336"/>
      <c r="AJ626" s="336"/>
      <c r="AK626" s="336"/>
      <c r="AL626" s="336"/>
      <c r="AM626" s="336"/>
      <c r="AN626" s="336"/>
      <c r="AO626" s="336"/>
      <c r="AP626" s="336"/>
      <c r="AQ626" s="336"/>
      <c r="AR626" s="336"/>
      <c r="AS626" s="336"/>
      <c r="AT626" s="336"/>
      <c r="AU626" s="336"/>
      <c r="AV626" s="336"/>
      <c r="AW626" s="336"/>
      <c r="AX626" s="336"/>
      <c r="AY626" s="336"/>
      <c r="AZ626" s="336"/>
      <c r="BA626" s="336"/>
      <c r="BB626" s="336"/>
      <c r="BC626" s="336"/>
      <c r="BD626" s="336"/>
      <c r="BE626" s="336"/>
      <c r="BF626" s="336"/>
      <c r="BG626" s="336"/>
      <c r="BH626" s="336"/>
      <c r="BI626" s="336"/>
      <c r="BJ626" s="336"/>
      <c r="BK626" s="336"/>
      <c r="BL626" s="336"/>
      <c r="BM626" s="336"/>
      <c r="BN626" s="336"/>
      <c r="BO626" s="336"/>
      <c r="BP626" s="336"/>
      <c r="BQ626" s="336"/>
    </row>
  </sheetData>
  <phoneticPr fontId="54" type="noConversion"/>
  <pageMargins left="0.7" right="0.7" top="0.78740157499999996" bottom="0.78740157499999996" header="0.3" footer="0.3"/>
  <pageSetup paperSize="9" scale="1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6">
    <pageSetUpPr fitToPage="1"/>
  </sheetPr>
  <dimension ref="A1:CQ452"/>
  <sheetViews>
    <sheetView tabSelected="1" zoomScaleNormal="100" workbookViewId="0">
      <pane xSplit="1" ySplit="1" topLeftCell="B52" activePane="bottomRight" state="frozen"/>
      <selection activeCell="C29" sqref="C29"/>
      <selection pane="topRight" activeCell="C29" sqref="C29"/>
      <selection pane="bottomLeft" activeCell="C29" sqref="C29"/>
      <selection pane="bottomRight" activeCell="B64" sqref="B64"/>
    </sheetView>
  </sheetViews>
  <sheetFormatPr baseColWidth="10" defaultColWidth="11.42578125" defaultRowHeight="15" outlineLevelRow="1"/>
  <cols>
    <col min="1" max="1" width="57.140625" style="79" customWidth="1"/>
    <col min="2" max="55" width="8.5703125" style="79" customWidth="1"/>
    <col min="56" max="75" width="9.7109375" style="79" customWidth="1"/>
    <col min="76" max="88" width="11.42578125" style="79" customWidth="1"/>
    <col min="89" max="89" width="12.28515625" style="79" customWidth="1"/>
    <col min="90" max="95" width="9.140625" style="79" customWidth="1"/>
    <col min="96" max="16384" width="11.42578125" style="79"/>
  </cols>
  <sheetData>
    <row r="1" spans="1:95">
      <c r="B1" s="436">
        <v>1997</v>
      </c>
      <c r="C1" s="436">
        <v>1998</v>
      </c>
      <c r="D1" s="436">
        <v>1999</v>
      </c>
      <c r="E1" s="436">
        <v>2000</v>
      </c>
      <c r="F1" s="436">
        <v>2001</v>
      </c>
      <c r="G1" s="436">
        <v>2002</v>
      </c>
      <c r="H1" s="436">
        <v>2003</v>
      </c>
      <c r="I1" s="436">
        <v>2004</v>
      </c>
      <c r="J1" s="436">
        <v>2005</v>
      </c>
      <c r="K1" s="436">
        <v>2006</v>
      </c>
      <c r="L1" s="436">
        <v>2007</v>
      </c>
      <c r="M1" s="436">
        <v>2008</v>
      </c>
      <c r="N1" s="436">
        <v>2009</v>
      </c>
      <c r="O1" s="436">
        <v>2010</v>
      </c>
      <c r="P1" s="436">
        <v>2011</v>
      </c>
      <c r="Q1" s="436">
        <v>2012</v>
      </c>
      <c r="R1" s="436">
        <v>2013</v>
      </c>
      <c r="S1" s="436">
        <v>2014</v>
      </c>
      <c r="T1" s="436">
        <v>2015</v>
      </c>
      <c r="U1" s="436">
        <v>2016</v>
      </c>
      <c r="V1" s="436">
        <v>2017</v>
      </c>
      <c r="W1" s="436">
        <v>2018</v>
      </c>
      <c r="X1" s="436">
        <v>2019</v>
      </c>
      <c r="Y1" s="436">
        <v>2020</v>
      </c>
      <c r="Z1" s="436">
        <v>2021</v>
      </c>
      <c r="AA1" s="436">
        <v>2022</v>
      </c>
      <c r="AB1" s="436">
        <v>2023</v>
      </c>
      <c r="AC1" s="436">
        <v>2024</v>
      </c>
      <c r="AD1" s="436">
        <v>2025</v>
      </c>
      <c r="AE1" s="436">
        <v>2026</v>
      </c>
      <c r="AF1" s="436">
        <v>2027</v>
      </c>
      <c r="AG1" s="436">
        <v>2028</v>
      </c>
      <c r="AH1" s="436">
        <v>2029</v>
      </c>
      <c r="AI1" s="436">
        <v>2030</v>
      </c>
      <c r="AJ1" s="436">
        <v>2031</v>
      </c>
      <c r="AK1" s="436">
        <v>2032</v>
      </c>
      <c r="AL1" s="436">
        <v>2033</v>
      </c>
      <c r="AM1" s="436">
        <v>2034</v>
      </c>
      <c r="AN1" s="436">
        <v>2035</v>
      </c>
      <c r="AO1" s="436">
        <v>2036</v>
      </c>
      <c r="AP1" s="436">
        <v>2037</v>
      </c>
      <c r="AQ1" s="436">
        <v>2038</v>
      </c>
      <c r="AR1" s="436">
        <v>2039</v>
      </c>
      <c r="AS1" s="436">
        <v>2040</v>
      </c>
      <c r="AT1" s="436">
        <v>2041</v>
      </c>
      <c r="AU1" s="436">
        <v>2042</v>
      </c>
      <c r="AV1" s="436">
        <v>2043</v>
      </c>
      <c r="AW1" s="436">
        <v>2044</v>
      </c>
      <c r="AX1" s="436">
        <v>2045</v>
      </c>
      <c r="AY1" s="436">
        <v>2046</v>
      </c>
      <c r="AZ1" s="436">
        <v>2047</v>
      </c>
      <c r="BA1" s="436">
        <v>2048</v>
      </c>
      <c r="BB1" s="436">
        <v>2049</v>
      </c>
      <c r="BC1" s="436">
        <v>2050</v>
      </c>
      <c r="BD1" s="436">
        <v>2051</v>
      </c>
      <c r="BE1" s="436">
        <v>2052</v>
      </c>
      <c r="BF1" s="436">
        <v>2053</v>
      </c>
      <c r="BG1" s="436">
        <v>2054</v>
      </c>
      <c r="BH1" s="436">
        <v>2055</v>
      </c>
      <c r="BI1" s="436">
        <v>2056</v>
      </c>
      <c r="BJ1" s="436">
        <v>2057</v>
      </c>
      <c r="BK1" s="436">
        <v>2058</v>
      </c>
      <c r="BL1" s="436">
        <v>2059</v>
      </c>
      <c r="BM1" s="436">
        <v>2060</v>
      </c>
      <c r="BN1" s="436">
        <v>2061</v>
      </c>
      <c r="BO1" s="436">
        <v>2062</v>
      </c>
      <c r="BP1" s="436">
        <v>2063</v>
      </c>
      <c r="BQ1" s="436">
        <v>2064</v>
      </c>
      <c r="BR1" s="436">
        <v>2065</v>
      </c>
      <c r="BS1" s="436">
        <v>2066</v>
      </c>
      <c r="BT1" s="436">
        <v>2067</v>
      </c>
      <c r="BU1" s="436">
        <v>2068</v>
      </c>
      <c r="BV1" s="436">
        <v>2069</v>
      </c>
      <c r="BW1" s="436">
        <v>2070</v>
      </c>
      <c r="BX1" s="436">
        <v>2071</v>
      </c>
      <c r="BY1" s="436">
        <v>2072</v>
      </c>
      <c r="BZ1" s="436">
        <v>2073</v>
      </c>
      <c r="CA1" s="436">
        <v>2074</v>
      </c>
      <c r="CB1" s="436">
        <v>2075</v>
      </c>
      <c r="CC1" s="436">
        <v>2076</v>
      </c>
      <c r="CD1" s="436">
        <v>2077</v>
      </c>
      <c r="CE1" s="436">
        <v>2078</v>
      </c>
      <c r="CF1" s="436">
        <v>2079</v>
      </c>
      <c r="CG1" s="436">
        <v>2080</v>
      </c>
      <c r="CH1" s="436">
        <v>2081</v>
      </c>
      <c r="CI1" s="436">
        <v>2082</v>
      </c>
      <c r="CJ1" s="436">
        <v>2083</v>
      </c>
      <c r="CK1" s="436">
        <v>2084</v>
      </c>
      <c r="CL1" s="436">
        <v>2085</v>
      </c>
      <c r="CM1" s="436">
        <v>2086</v>
      </c>
      <c r="CN1" s="436">
        <v>2087</v>
      </c>
      <c r="CO1" s="436">
        <v>2088</v>
      </c>
      <c r="CP1" s="436">
        <v>2089</v>
      </c>
      <c r="CQ1" s="436">
        <v>2090</v>
      </c>
    </row>
    <row r="3" spans="1:95">
      <c r="A3" s="78" t="s">
        <v>162</v>
      </c>
      <c r="M3" s="90"/>
      <c r="S3" s="78"/>
    </row>
    <row r="4" spans="1:95">
      <c r="D4" s="87"/>
      <c r="E4" s="87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266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</row>
    <row r="5" spans="1:95">
      <c r="A5" s="79" t="s">
        <v>1</v>
      </c>
      <c r="B5" s="475">
        <v>135.60233638135111</v>
      </c>
      <c r="C5" s="475">
        <v>96.551733568561829</v>
      </c>
      <c r="D5" s="475">
        <v>134.66374567067433</v>
      </c>
      <c r="E5" s="475">
        <v>251</v>
      </c>
      <c r="F5" s="475">
        <v>223</v>
      </c>
      <c r="G5" s="475">
        <v>198</v>
      </c>
      <c r="H5" s="475">
        <v>201</v>
      </c>
      <c r="I5" s="475">
        <v>255</v>
      </c>
      <c r="J5" s="475">
        <v>355</v>
      </c>
      <c r="K5" s="475">
        <v>423</v>
      </c>
      <c r="L5" s="475">
        <v>425</v>
      </c>
      <c r="M5" s="475">
        <v>556</v>
      </c>
      <c r="N5" s="475">
        <v>391</v>
      </c>
      <c r="O5" s="315">
        <v>485</v>
      </c>
      <c r="P5" s="315">
        <v>622</v>
      </c>
      <c r="Q5" s="315">
        <v>650</v>
      </c>
      <c r="R5" s="315">
        <v>639</v>
      </c>
      <c r="S5" s="315">
        <v>627</v>
      </c>
      <c r="T5" s="315">
        <v>431</v>
      </c>
      <c r="U5" s="315">
        <v>379</v>
      </c>
      <c r="V5" s="315">
        <v>452</v>
      </c>
      <c r="W5" s="315">
        <v>583</v>
      </c>
      <c r="X5" s="315">
        <v>564</v>
      </c>
      <c r="Y5" s="315">
        <v>407</v>
      </c>
      <c r="Z5" s="315">
        <v>609</v>
      </c>
      <c r="AA5" s="312">
        <v>951</v>
      </c>
      <c r="AB5" s="315">
        <v>867</v>
      </c>
      <c r="AC5" s="315">
        <v>856</v>
      </c>
      <c r="AD5" s="92">
        <f t="shared" ref="AD5:AZ5" si="0">AD24*AD13</f>
        <v>724.01362043224276</v>
      </c>
      <c r="AE5" s="92">
        <f t="shared" si="0"/>
        <v>674.49526567499993</v>
      </c>
      <c r="AF5" s="92">
        <f t="shared" si="0"/>
        <v>673.96430640000017</v>
      </c>
      <c r="AG5" s="92">
        <f t="shared" si="0"/>
        <v>677.74844472500013</v>
      </c>
      <c r="AH5" s="92">
        <f t="shared" si="0"/>
        <v>680.85834905000024</v>
      </c>
      <c r="AI5" s="92">
        <f t="shared" si="0"/>
        <v>681.30502907500022</v>
      </c>
      <c r="AJ5" s="92">
        <f t="shared" si="0"/>
        <v>713.68946473586277</v>
      </c>
      <c r="AK5" s="92">
        <f t="shared" si="0"/>
        <v>747.09675581152999</v>
      </c>
      <c r="AL5" s="92">
        <f t="shared" si="0"/>
        <v>781.55486274432951</v>
      </c>
      <c r="AM5" s="92">
        <f t="shared" si="0"/>
        <v>817.09245525211622</v>
      </c>
      <c r="AN5" s="92">
        <f t="shared" si="0"/>
        <v>853.74053800133117</v>
      </c>
      <c r="AO5" s="92">
        <f t="shared" si="0"/>
        <v>870.81534876135777</v>
      </c>
      <c r="AP5" s="92">
        <f t="shared" si="0"/>
        <v>888.23165573658491</v>
      </c>
      <c r="AQ5" s="92">
        <f t="shared" si="0"/>
        <v>905.99628885131665</v>
      </c>
      <c r="AR5" s="92">
        <f t="shared" si="0"/>
        <v>924.11621462834307</v>
      </c>
      <c r="AS5" s="92">
        <f t="shared" si="0"/>
        <v>942.59853892090985</v>
      </c>
      <c r="AT5" s="92">
        <f t="shared" si="0"/>
        <v>961.45050969932811</v>
      </c>
      <c r="AU5" s="92">
        <f t="shared" si="0"/>
        <v>980.6795198933147</v>
      </c>
      <c r="AV5" s="92">
        <f t="shared" si="0"/>
        <v>1000.2931102911811</v>
      </c>
      <c r="AW5" s="92">
        <f t="shared" si="0"/>
        <v>1020.2989724970047</v>
      </c>
      <c r="AX5" s="92">
        <f t="shared" si="0"/>
        <v>1040.7049519469447</v>
      </c>
      <c r="AY5" s="92">
        <f t="shared" si="0"/>
        <v>1061.5190509858837</v>
      </c>
      <c r="AZ5" s="92">
        <f t="shared" si="0"/>
        <v>1082.7494320056014</v>
      </c>
      <c r="BA5" s="92">
        <f t="shared" ref="BA5:CF5" si="1">BA24*BA13</f>
        <v>1104.4044206457133</v>
      </c>
      <c r="BB5" s="92">
        <f t="shared" si="1"/>
        <v>1126.4925090586278</v>
      </c>
      <c r="BC5" s="92">
        <f t="shared" si="1"/>
        <v>1149.0223592398004</v>
      </c>
      <c r="BD5" s="92">
        <f t="shared" si="1"/>
        <v>1172.0028064245962</v>
      </c>
      <c r="BE5" s="92">
        <f t="shared" si="1"/>
        <v>1195.4428625530882</v>
      </c>
      <c r="BF5" s="92">
        <f t="shared" si="1"/>
        <v>1219.35171980415</v>
      </c>
      <c r="BG5" s="92">
        <f t="shared" si="1"/>
        <v>1243.7387542002332</v>
      </c>
      <c r="BH5" s="92">
        <f t="shared" si="1"/>
        <v>1268.6135292842378</v>
      </c>
      <c r="BI5" s="92">
        <f t="shared" si="1"/>
        <v>1293.9857998699226</v>
      </c>
      <c r="BJ5" s="92">
        <f t="shared" si="1"/>
        <v>1319.8655158673212</v>
      </c>
      <c r="BK5" s="92">
        <f t="shared" si="1"/>
        <v>1346.2628261846676</v>
      </c>
      <c r="BL5" s="92">
        <f t="shared" si="1"/>
        <v>1373.188082708361</v>
      </c>
      <c r="BM5" s="92">
        <f t="shared" si="1"/>
        <v>1400.651844362528</v>
      </c>
      <c r="BN5" s="92">
        <f t="shared" si="1"/>
        <v>1428.6648812497785</v>
      </c>
      <c r="BO5" s="92">
        <f t="shared" si="1"/>
        <v>1457.2381788747741</v>
      </c>
      <c r="BP5" s="92">
        <f t="shared" si="1"/>
        <v>1486.3829424522694</v>
      </c>
      <c r="BQ5" s="92">
        <f t="shared" si="1"/>
        <v>1516.110601301315</v>
      </c>
      <c r="BR5" s="92">
        <f t="shared" si="1"/>
        <v>1546.4328133273411</v>
      </c>
      <c r="BS5" s="92">
        <f t="shared" si="1"/>
        <v>1577.3614695938882</v>
      </c>
      <c r="BT5" s="92">
        <f t="shared" si="1"/>
        <v>1608.9086989857658</v>
      </c>
      <c r="BU5" s="92">
        <f t="shared" si="1"/>
        <v>1641.086872965481</v>
      </c>
      <c r="BV5" s="92">
        <f t="shared" si="1"/>
        <v>1673.9086104247908</v>
      </c>
      <c r="BW5" s="92">
        <f t="shared" si="1"/>
        <v>1707.3867826332867</v>
      </c>
      <c r="BX5" s="92">
        <f t="shared" si="1"/>
        <v>1741.5345182859523</v>
      </c>
      <c r="BY5" s="92">
        <f t="shared" si="1"/>
        <v>1776.3652086516715</v>
      </c>
      <c r="BZ5" s="92">
        <f t="shared" si="1"/>
        <v>1811.8925128247051</v>
      </c>
      <c r="CA5" s="92">
        <f t="shared" si="1"/>
        <v>1848.1303630811992</v>
      </c>
      <c r="CB5" s="92">
        <f t="shared" si="1"/>
        <v>1885.0929703428233</v>
      </c>
      <c r="CC5" s="92">
        <f t="shared" si="1"/>
        <v>1922.7948297496798</v>
      </c>
      <c r="CD5" s="92">
        <f t="shared" si="1"/>
        <v>1961.2507263446735</v>
      </c>
      <c r="CE5" s="92">
        <f t="shared" si="1"/>
        <v>2000.475740871567</v>
      </c>
      <c r="CF5" s="92">
        <f t="shared" si="1"/>
        <v>2040.4852556889982</v>
      </c>
      <c r="CG5" s="92">
        <f t="shared" ref="CG5:CL5" si="2">CG24*CG13</f>
        <v>2081.2949608027784</v>
      </c>
      <c r="CH5" s="92">
        <f t="shared" si="2"/>
        <v>2122.920860018834</v>
      </c>
      <c r="CI5" s="92">
        <f t="shared" si="2"/>
        <v>2165.3792772192105</v>
      </c>
      <c r="CJ5" s="92">
        <f t="shared" si="2"/>
        <v>2208.6868627635949</v>
      </c>
      <c r="CK5" s="92">
        <f t="shared" si="2"/>
        <v>2252.860600018867</v>
      </c>
      <c r="CL5" s="92">
        <f t="shared" si="2"/>
        <v>2297.9178120192441</v>
      </c>
      <c r="CM5" s="92">
        <f t="shared" ref="CM5:CQ5" si="3">CM24*CM13</f>
        <v>2343.8761682596291</v>
      </c>
      <c r="CN5" s="92">
        <f t="shared" si="3"/>
        <v>2390.7536916248218</v>
      </c>
      <c r="CO5" s="92">
        <f t="shared" si="3"/>
        <v>2438.5687654573185</v>
      </c>
      <c r="CP5" s="92">
        <f t="shared" si="3"/>
        <v>2487.3401407664651</v>
      </c>
      <c r="CQ5" s="92">
        <f t="shared" si="3"/>
        <v>2537.086943581794</v>
      </c>
    </row>
    <row r="6" spans="1:95">
      <c r="A6" s="79" t="s">
        <v>157</v>
      </c>
      <c r="B6" s="312">
        <v>0.65</v>
      </c>
      <c r="C6" s="312">
        <v>0.64</v>
      </c>
      <c r="D6" s="312">
        <v>0.55000000000000004</v>
      </c>
      <c r="E6" s="312">
        <v>0.99</v>
      </c>
      <c r="F6" s="312">
        <v>1.21</v>
      </c>
      <c r="G6" s="312">
        <v>0.92</v>
      </c>
      <c r="H6" s="312">
        <v>0.88</v>
      </c>
      <c r="I6" s="312">
        <v>0.97</v>
      </c>
      <c r="J6" s="312">
        <v>1.25</v>
      </c>
      <c r="K6" s="312">
        <v>1.74</v>
      </c>
      <c r="L6" s="312">
        <v>1.57</v>
      </c>
      <c r="M6" s="312">
        <v>2.2200000000000002</v>
      </c>
      <c r="N6" s="312">
        <v>1.67</v>
      </c>
      <c r="O6" s="312">
        <v>1.59</v>
      </c>
      <c r="P6" s="312">
        <v>2</v>
      </c>
      <c r="Q6" s="312">
        <v>2.21</v>
      </c>
      <c r="R6" s="312">
        <v>2.31</v>
      </c>
      <c r="S6" s="312">
        <v>2.0499999999999998</v>
      </c>
      <c r="T6" s="312">
        <v>1.92</v>
      </c>
      <c r="U6" s="312">
        <v>1.4</v>
      </c>
      <c r="V6" s="312">
        <v>1.65</v>
      </c>
      <c r="W6" s="312">
        <v>2.2000000000000002</v>
      </c>
      <c r="X6" s="312">
        <v>1.57</v>
      </c>
      <c r="Y6" s="312">
        <v>1.1300307556703999</v>
      </c>
      <c r="Z6" s="312">
        <v>4.6073909850236996</v>
      </c>
      <c r="AA6" s="312">
        <v>12.048440218974299</v>
      </c>
      <c r="AB6" s="312">
        <v>5.4428395581100304</v>
      </c>
      <c r="AC6" s="92">
        <f t="shared" ref="AC6:AZ6" si="4">AC25*AC13</f>
        <v>4.4258198654952086</v>
      </c>
      <c r="AD6" s="92">
        <f t="shared" si="4"/>
        <v>5.1640215323355099</v>
      </c>
      <c r="AE6" s="92">
        <f t="shared" si="4"/>
        <v>3.98713055344958</v>
      </c>
      <c r="AF6" s="92">
        <f t="shared" si="4"/>
        <v>3.2488596585670932</v>
      </c>
      <c r="AG6" s="92">
        <f t="shared" si="4"/>
        <v>3.3170857113970018</v>
      </c>
      <c r="AH6" s="92">
        <f t="shared" si="4"/>
        <v>3.3867445113363384</v>
      </c>
      <c r="AI6" s="92">
        <f t="shared" si="4"/>
        <v>2.7459873620351436</v>
      </c>
      <c r="AJ6" s="92">
        <f t="shared" si="4"/>
        <v>2.7635615232499826</v>
      </c>
      <c r="AK6" s="92">
        <f t="shared" si="4"/>
        <v>2.7807402559686127</v>
      </c>
      <c r="AL6" s="92">
        <f t="shared" si="4"/>
        <v>2.7975007133866758</v>
      </c>
      <c r="AM6" s="92">
        <f t="shared" si="4"/>
        <v>2.8138192929990864</v>
      </c>
      <c r="AN6" s="92">
        <f t="shared" si="4"/>
        <v>2.8296716155106378</v>
      </c>
      <c r="AO6" s="92">
        <f t="shared" si="4"/>
        <v>2.8450325032054407</v>
      </c>
      <c r="AP6" s="92">
        <f t="shared" si="4"/>
        <v>2.8598759577618429</v>
      </c>
      <c r="AQ6" s="92">
        <f t="shared" si="4"/>
        <v>2.8741751374992073</v>
      </c>
      <c r="AR6" s="92">
        <f t="shared" si="4"/>
        <v>2.8879023340429737</v>
      </c>
      <c r="AS6" s="92">
        <f t="shared" si="4"/>
        <v>2.9010308354706975</v>
      </c>
      <c r="AT6" s="92">
        <f t="shared" si="4"/>
        <v>2.9590514521801112</v>
      </c>
      <c r="AU6" s="92">
        <f t="shared" si="4"/>
        <v>3.018232481223714</v>
      </c>
      <c r="AV6" s="92">
        <f t="shared" si="4"/>
        <v>3.0785971308481881</v>
      </c>
      <c r="AW6" s="92">
        <f t="shared" si="4"/>
        <v>3.1401690734651519</v>
      </c>
      <c r="AX6" s="92">
        <f t="shared" si="4"/>
        <v>3.2029724549344549</v>
      </c>
      <c r="AY6" s="92">
        <f t="shared" si="4"/>
        <v>3.2670319040331441</v>
      </c>
      <c r="AZ6" s="92">
        <f t="shared" si="4"/>
        <v>3.3323725421138075</v>
      </c>
      <c r="BA6" s="92">
        <f t="shared" ref="BA6:CF6" si="5">BA25*BA13</f>
        <v>3.3990199929560836</v>
      </c>
      <c r="BB6" s="92">
        <f t="shared" si="5"/>
        <v>3.4670003928152049</v>
      </c>
      <c r="BC6" s="92">
        <f t="shared" si="5"/>
        <v>3.5363404006715093</v>
      </c>
      <c r="BD6" s="92">
        <f t="shared" si="5"/>
        <v>3.6070672086849394</v>
      </c>
      <c r="BE6" s="92">
        <f t="shared" si="5"/>
        <v>3.679208552858638</v>
      </c>
      <c r="BF6" s="92">
        <f t="shared" si="5"/>
        <v>3.7527927239158112</v>
      </c>
      <c r="BG6" s="92">
        <f t="shared" si="5"/>
        <v>3.8278485783941276</v>
      </c>
      <c r="BH6" s="92">
        <f t="shared" si="5"/>
        <v>3.9044055499620103</v>
      </c>
      <c r="BI6" s="92">
        <f t="shared" si="5"/>
        <v>3.9824936609612509</v>
      </c>
      <c r="BJ6" s="92">
        <f t="shared" si="5"/>
        <v>4.0621435341804757</v>
      </c>
      <c r="BK6" s="92">
        <f t="shared" si="5"/>
        <v>4.1433864048640849</v>
      </c>
      <c r="BL6" s="92">
        <f t="shared" si="5"/>
        <v>4.2262541329613672</v>
      </c>
      <c r="BM6" s="92">
        <f t="shared" si="5"/>
        <v>4.3107792156205944</v>
      </c>
      <c r="BN6" s="96">
        <f t="shared" si="5"/>
        <v>4.3969947999330055</v>
      </c>
      <c r="BO6" s="96">
        <f t="shared" si="5"/>
        <v>4.484934695931666</v>
      </c>
      <c r="BP6" s="96">
        <f t="shared" si="5"/>
        <v>4.5746333898502991</v>
      </c>
      <c r="BQ6" s="96">
        <f t="shared" si="5"/>
        <v>4.6661260576473049</v>
      </c>
      <c r="BR6" s="96">
        <f t="shared" si="5"/>
        <v>4.7594485788002512</v>
      </c>
      <c r="BS6" s="96">
        <f t="shared" si="5"/>
        <v>4.854637550376256</v>
      </c>
      <c r="BT6" s="96">
        <f t="shared" si="5"/>
        <v>4.9517303013837815</v>
      </c>
      <c r="BU6" s="96">
        <f t="shared" si="5"/>
        <v>5.0507649074114571</v>
      </c>
      <c r="BV6" s="96">
        <f t="shared" si="5"/>
        <v>5.1517802055596862</v>
      </c>
      <c r="BW6" s="96">
        <f t="shared" si="5"/>
        <v>5.2548158096708804</v>
      </c>
      <c r="BX6" s="96">
        <f t="shared" si="5"/>
        <v>5.3599121258642981</v>
      </c>
      <c r="BY6" s="96">
        <f t="shared" si="5"/>
        <v>5.4671103683815838</v>
      </c>
      <c r="BZ6" s="96">
        <f t="shared" si="5"/>
        <v>5.576452575749216</v>
      </c>
      <c r="CA6" s="96">
        <f t="shared" si="5"/>
        <v>5.6879816272642012</v>
      </c>
      <c r="CB6" s="96">
        <f t="shared" si="5"/>
        <v>5.8017412598094849</v>
      </c>
      <c r="CC6" s="96">
        <f t="shared" si="5"/>
        <v>5.9177760850056753</v>
      </c>
      <c r="CD6" s="96">
        <f t="shared" si="5"/>
        <v>6.036131606705788</v>
      </c>
      <c r="CE6" s="96">
        <f t="shared" si="5"/>
        <v>6.1568542388399043</v>
      </c>
      <c r="CF6" s="96">
        <f t="shared" si="5"/>
        <v>6.2799913236167022</v>
      </c>
      <c r="CG6" s="96">
        <f t="shared" ref="CG6:CL6" si="6">CG25*CG13</f>
        <v>6.4055911500890366</v>
      </c>
      <c r="CH6" s="96">
        <f t="shared" si="6"/>
        <v>6.5337029730908167</v>
      </c>
      <c r="CI6" s="96">
        <f t="shared" si="6"/>
        <v>6.6643770325526335</v>
      </c>
      <c r="CJ6" s="96">
        <f t="shared" si="6"/>
        <v>6.7976645732036864</v>
      </c>
      <c r="CK6" s="96">
        <f t="shared" si="6"/>
        <v>6.9336178646677604</v>
      </c>
      <c r="CL6" s="96">
        <f t="shared" si="6"/>
        <v>7.0722902219611159</v>
      </c>
      <c r="CM6" s="96">
        <f t="shared" ref="CM6:CQ6" si="7">CM25*CM13</f>
        <v>7.2137360264003387</v>
      </c>
      <c r="CN6" s="96">
        <f t="shared" si="7"/>
        <v>7.358010746928346</v>
      </c>
      <c r="CO6" s="96">
        <f t="shared" si="7"/>
        <v>7.5051709618669129</v>
      </c>
      <c r="CP6" s="96">
        <f t="shared" si="7"/>
        <v>7.6552743811042516</v>
      </c>
      <c r="CQ6" s="96">
        <f t="shared" si="7"/>
        <v>7.8083798687263357</v>
      </c>
    </row>
    <row r="7" spans="1:95">
      <c r="A7" s="79" t="s">
        <v>239</v>
      </c>
      <c r="B7" s="87"/>
      <c r="C7" s="87"/>
      <c r="D7" s="87"/>
      <c r="E7" s="87"/>
      <c r="F7" s="87"/>
      <c r="G7" s="87"/>
      <c r="H7" s="87">
        <v>0.61</v>
      </c>
      <c r="I7" s="102">
        <v>0.61</v>
      </c>
      <c r="J7" s="102">
        <v>0.79</v>
      </c>
      <c r="K7" s="87">
        <v>1.05</v>
      </c>
      <c r="L7" s="87">
        <v>0.95</v>
      </c>
      <c r="M7" s="87">
        <v>1.42</v>
      </c>
      <c r="N7" s="123">
        <v>1.94</v>
      </c>
      <c r="O7" s="123">
        <v>1.76</v>
      </c>
      <c r="P7" s="462">
        <v>2.2000000000000002</v>
      </c>
      <c r="Q7" s="463">
        <v>1.3</v>
      </c>
      <c r="R7" s="463">
        <v>1.3</v>
      </c>
      <c r="S7" s="87">
        <v>0</v>
      </c>
      <c r="T7" s="87">
        <v>0</v>
      </c>
      <c r="U7" s="87">
        <v>0</v>
      </c>
      <c r="V7" s="87">
        <v>0</v>
      </c>
      <c r="W7" s="87">
        <v>0</v>
      </c>
      <c r="X7" s="87">
        <v>0</v>
      </c>
      <c r="Y7" s="87">
        <v>0</v>
      </c>
      <c r="Z7" s="87">
        <v>0</v>
      </c>
      <c r="AA7" s="87">
        <v>0</v>
      </c>
      <c r="AB7" s="87">
        <v>0</v>
      </c>
      <c r="AC7" s="87">
        <v>0</v>
      </c>
      <c r="AD7" s="87">
        <v>0</v>
      </c>
      <c r="AE7" s="87">
        <v>0</v>
      </c>
      <c r="AF7" s="87">
        <v>0</v>
      </c>
      <c r="AG7" s="87">
        <v>0</v>
      </c>
      <c r="AH7" s="87">
        <v>0</v>
      </c>
      <c r="AI7" s="87">
        <v>0</v>
      </c>
      <c r="AJ7" s="87">
        <v>0</v>
      </c>
      <c r="AK7" s="87">
        <v>0</v>
      </c>
      <c r="AL7" s="87">
        <v>0</v>
      </c>
      <c r="AM7" s="87">
        <v>0</v>
      </c>
      <c r="AN7" s="87">
        <v>0</v>
      </c>
      <c r="AO7" s="87">
        <v>0</v>
      </c>
      <c r="AP7" s="87">
        <v>0</v>
      </c>
      <c r="AQ7" s="87">
        <v>0</v>
      </c>
      <c r="AR7" s="87">
        <v>0</v>
      </c>
      <c r="AS7" s="87">
        <v>0</v>
      </c>
      <c r="AT7" s="87">
        <v>0</v>
      </c>
      <c r="AU7" s="87">
        <v>0</v>
      </c>
      <c r="AV7" s="87">
        <v>0</v>
      </c>
      <c r="AW7" s="87">
        <v>0</v>
      </c>
      <c r="AX7" s="87">
        <v>0</v>
      </c>
      <c r="AY7" s="87">
        <v>0</v>
      </c>
      <c r="AZ7" s="87">
        <v>0</v>
      </c>
      <c r="BA7" s="87">
        <v>0</v>
      </c>
      <c r="BB7" s="87">
        <v>0</v>
      </c>
      <c r="BC7" s="87">
        <v>0</v>
      </c>
      <c r="BD7" s="87">
        <v>0</v>
      </c>
      <c r="BE7" s="87">
        <v>0</v>
      </c>
      <c r="BF7" s="87">
        <v>0</v>
      </c>
      <c r="BG7" s="87">
        <v>0</v>
      </c>
      <c r="BH7" s="87">
        <v>0</v>
      </c>
      <c r="BI7" s="87">
        <v>0</v>
      </c>
      <c r="BJ7" s="87">
        <v>0</v>
      </c>
      <c r="BK7" s="87">
        <v>0</v>
      </c>
      <c r="BL7" s="87">
        <v>0</v>
      </c>
      <c r="BM7" s="87">
        <v>0</v>
      </c>
    </row>
    <row r="8" spans="1:95" s="80" customFormat="1">
      <c r="A8" s="80" t="s">
        <v>393</v>
      </c>
      <c r="B8" s="80">
        <v>993.63</v>
      </c>
      <c r="C8" s="80">
        <v>615.23</v>
      </c>
      <c r="D8" s="80">
        <v>1017.97</v>
      </c>
      <c r="E8" s="80">
        <v>1717.27</v>
      </c>
      <c r="F8" s="80">
        <v>1526.37</v>
      </c>
      <c r="G8" s="103">
        <v>1377.1</v>
      </c>
      <c r="H8" s="103">
        <v>1093.168880455408</v>
      </c>
      <c r="I8" s="103">
        <v>1332.1279554937412</v>
      </c>
      <c r="J8" s="103">
        <v>1847.0464135021098</v>
      </c>
      <c r="K8" s="103">
        <v>1965.5889145496537</v>
      </c>
      <c r="L8" s="80">
        <v>1814.6525679758308</v>
      </c>
      <c r="M8" s="80">
        <v>2521.089109</v>
      </c>
      <c r="N8" s="104">
        <v>1763.5173058933583</v>
      </c>
      <c r="O8" s="104">
        <v>2199.1357397051347</v>
      </c>
      <c r="P8" s="104">
        <v>2796</v>
      </c>
      <c r="Q8" s="104">
        <v>2896</v>
      </c>
      <c r="R8" s="105">
        <f>'NGL-pris'!B8</f>
        <v>2814.8571428571427</v>
      </c>
      <c r="S8" s="105">
        <f>'NGL-pris'!C8</f>
        <v>2352.3148148148148</v>
      </c>
      <c r="T8" s="105">
        <f>'NGL-pris'!D8</f>
        <v>1629.3665158371039</v>
      </c>
      <c r="U8" s="105">
        <f>'NGL-pris'!E8</f>
        <v>1482.9411764705881</v>
      </c>
      <c r="V8" s="105">
        <f>'NGL-pris'!F8</f>
        <v>1912.648243289148</v>
      </c>
      <c r="W8" s="105">
        <f>'NGL-pris'!G8</f>
        <v>2249.6672970570885</v>
      </c>
      <c r="X8" s="105">
        <f>'NGL-pris'!H8</f>
        <v>2119.4390364718961</v>
      </c>
      <c r="Y8" s="105">
        <f>'NGL-pris'!I8</f>
        <v>1565.0008201623934</v>
      </c>
      <c r="Z8" s="105">
        <f>'NGL-pris'!J8</f>
        <v>2189.4402544698478</v>
      </c>
      <c r="AA8" s="105">
        <f>'NGL-pris'!K8</f>
        <v>3997.5777844693371</v>
      </c>
      <c r="AB8" s="105">
        <f>'NGL-pris'!L8</f>
        <v>3735.5320071846963</v>
      </c>
      <c r="AC8" s="105">
        <f>'NGL-pris'!M8</f>
        <v>3257.9392335584689</v>
      </c>
      <c r="AD8" s="105">
        <f>'NGL-pris'!N8</f>
        <v>2753.619577819039</v>
      </c>
      <c r="AE8" s="105">
        <f>'NGL-pris'!O8</f>
        <v>2600.894571229383</v>
      </c>
      <c r="AF8" s="105">
        <f>'NGL-pris'!P8</f>
        <v>2599.9826149409701</v>
      </c>
      <c r="AG8" s="105">
        <f>'NGL-pris'!Q8</f>
        <v>2612.5432378289061</v>
      </c>
      <c r="AH8" s="105">
        <f>'NGL-pris'!R8</f>
        <v>2633.4456543407628</v>
      </c>
      <c r="AI8" s="105">
        <f>'NGL-pris'!S8</f>
        <v>2645.4081839097844</v>
      </c>
      <c r="AJ8" s="105">
        <f>'NGL-pris'!T8</f>
        <v>2770.3475727055761</v>
      </c>
      <c r="AK8" s="105">
        <f>'NGL-pris'!U8</f>
        <v>2899.4132325623177</v>
      </c>
      <c r="AL8" s="105">
        <f>'NGL-pris'!V8</f>
        <v>3040.5100391145429</v>
      </c>
      <c r="AM8" s="105">
        <f>'NGL-pris'!W8</f>
        <v>3183.8804366594845</v>
      </c>
      <c r="AN8" s="105">
        <f>'NGL-pris'!X8</f>
        <v>3342.8223587181874</v>
      </c>
      <c r="AO8" s="105">
        <f>'NGL-pris'!Y8</f>
        <v>3439.1886355841784</v>
      </c>
      <c r="AP8" s="105">
        <f>'NGL-pris'!Z8</f>
        <v>3541.3229742118929</v>
      </c>
      <c r="AQ8" s="105">
        <f>'NGL-pris'!AA8</f>
        <v>3653.2207199937156</v>
      </c>
      <c r="AR8" s="105">
        <f>'NGL-pris'!AB8</f>
        <v>3746.1660460368284</v>
      </c>
      <c r="AS8" s="105">
        <f>'NGL-pris'!AC8</f>
        <v>3827.3329056736761</v>
      </c>
      <c r="AT8" s="105">
        <f>'NGL-pris'!AD8</f>
        <v>3847.4155129319984</v>
      </c>
      <c r="AU8" s="105">
        <f>'NGL-pris'!AE8</f>
        <v>3955.3670813373474</v>
      </c>
      <c r="AV8" s="105">
        <f>'NGL-pris'!AF8</f>
        <v>4083.7542797920105</v>
      </c>
      <c r="AW8" s="105">
        <f>'NGL-pris'!AG8</f>
        <v>4238.7768991037792</v>
      </c>
      <c r="AX8" s="105">
        <f>'NGL-pris'!AH8</f>
        <v>4361.0718513470219</v>
      </c>
      <c r="AY8" s="105">
        <f>'NGL-pris'!AI8</f>
        <v>4546.2958406868756</v>
      </c>
      <c r="AZ8" s="105">
        <f>'NGL-pris'!AJ8</f>
        <v>4697.6805241495067</v>
      </c>
      <c r="BA8" s="105">
        <f>'NGL-pris'!AK8</f>
        <v>4930.9582977080781</v>
      </c>
      <c r="BB8" s="105">
        <f>'NGL-pris'!AL8</f>
        <v>5138.0869040623429</v>
      </c>
      <c r="BC8" s="105">
        <f>'NGL-pris'!AM8</f>
        <v>5167.5008284776004</v>
      </c>
      <c r="BD8" s="105">
        <f>'NGL-pris'!AN8</f>
        <v>5209.7747075960888</v>
      </c>
      <c r="BE8" s="105">
        <f>'NGL-pris'!AO8</f>
        <v>5366.1531934633458</v>
      </c>
      <c r="BF8" s="105">
        <f>'NGL-pris'!AP8</f>
        <v>5406.9253159230066</v>
      </c>
      <c r="BG8" s="105">
        <f>'NGL-pris'!AQ8</f>
        <v>5430.8373646684122</v>
      </c>
      <c r="BH8" s="105">
        <f>'NGL-pris'!AR8</f>
        <v>5402.4369854675278</v>
      </c>
      <c r="BI8" s="105">
        <f>'NGL-pris'!AS8</f>
        <v>5473.3324210275114</v>
      </c>
      <c r="BJ8" s="105">
        <f>'NGL-pris'!AT8</f>
        <v>4816.6444516674801</v>
      </c>
      <c r="BK8" s="105">
        <f>'NGL-pris'!AU8</f>
        <v>4912.9773407008288</v>
      </c>
      <c r="BL8" s="105">
        <f>'NGL-pris'!AV8</f>
        <v>5011.2368875148395</v>
      </c>
      <c r="BM8" s="105">
        <f>'NGL-pris'!AW8</f>
        <v>5111.4616252651495</v>
      </c>
    </row>
    <row r="9" spans="1:95">
      <c r="B9" s="90"/>
      <c r="C9" s="90"/>
      <c r="D9" s="90"/>
      <c r="E9" s="90"/>
      <c r="F9" s="90"/>
      <c r="G9" s="106"/>
      <c r="H9" s="107"/>
      <c r="I9" s="107"/>
      <c r="J9" s="107"/>
      <c r="K9" s="107"/>
      <c r="L9" s="107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</row>
    <row r="10" spans="1:95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10"/>
      <c r="O10" s="111"/>
      <c r="P10" s="112"/>
      <c r="Q10" s="88"/>
      <c r="R10" s="88"/>
      <c r="S10" s="88"/>
      <c r="T10" s="88"/>
      <c r="U10" s="88"/>
      <c r="V10" s="88"/>
      <c r="W10" s="101"/>
      <c r="X10" s="101"/>
      <c r="Y10" s="101"/>
      <c r="Z10" s="101"/>
      <c r="AA10" s="673"/>
      <c r="AB10" s="782"/>
      <c r="AC10" s="673"/>
      <c r="AD10" s="673"/>
      <c r="AE10" s="673"/>
      <c r="AF10" s="673"/>
      <c r="AG10" s="673"/>
      <c r="AH10" s="673"/>
      <c r="AI10" s="673"/>
      <c r="AJ10" s="673"/>
      <c r="AK10" s="673"/>
      <c r="AL10" s="673"/>
      <c r="AM10" s="673"/>
      <c r="AN10" s="673"/>
      <c r="AO10" s="673"/>
      <c r="AP10" s="673"/>
      <c r="AQ10" s="673"/>
      <c r="AR10" s="673"/>
      <c r="AS10" s="673"/>
      <c r="AT10" s="673"/>
      <c r="AU10" s="673"/>
      <c r="AV10" s="673"/>
      <c r="AW10" s="673"/>
      <c r="AX10" s="673"/>
      <c r="AY10" s="673"/>
      <c r="AZ10" s="673"/>
      <c r="BA10" s="673"/>
      <c r="BB10" s="673"/>
      <c r="BC10" s="673"/>
      <c r="BD10" s="673"/>
      <c r="BE10" s="673"/>
      <c r="BF10" s="673"/>
      <c r="BG10" s="673"/>
      <c r="BH10" s="673"/>
      <c r="BI10" s="673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</row>
    <row r="11" spans="1:95">
      <c r="A11" s="79" t="s">
        <v>387</v>
      </c>
      <c r="B11" s="312">
        <v>7.0525000000000002</v>
      </c>
      <c r="C11" s="312">
        <v>7.55</v>
      </c>
      <c r="D11" s="312">
        <v>7.83</v>
      </c>
      <c r="E11" s="312">
        <v>8.8000000000000007</v>
      </c>
      <c r="F11" s="476">
        <v>8.9827436669489931</v>
      </c>
      <c r="G11" s="476">
        <v>7.9774941898017433</v>
      </c>
      <c r="H11" s="476">
        <v>7.0767602827184897</v>
      </c>
      <c r="I11" s="476">
        <v>6.7374084804567405</v>
      </c>
      <c r="J11" s="476">
        <v>6.4424777407616531</v>
      </c>
      <c r="K11" s="312">
        <v>6.412290333772507</v>
      </c>
      <c r="L11" s="312">
        <v>5.8556680812002</v>
      </c>
      <c r="M11" s="477">
        <v>5.6433415712246697</v>
      </c>
      <c r="N11" s="478">
        <v>6.2858000897170463</v>
      </c>
      <c r="O11" s="315">
        <v>6.0403247810402165</v>
      </c>
      <c r="P11" s="479">
        <v>5.6</v>
      </c>
      <c r="Q11" s="316">
        <v>5.82</v>
      </c>
      <c r="R11" s="316">
        <v>5.88</v>
      </c>
      <c r="S11" s="316">
        <v>6.3</v>
      </c>
      <c r="T11" s="316">
        <v>8.07</v>
      </c>
      <c r="U11" s="316">
        <v>8.4039726613965744</v>
      </c>
      <c r="V11" s="316">
        <v>8.27</v>
      </c>
      <c r="W11" s="316">
        <v>8.140061631532717</v>
      </c>
      <c r="X11" s="316">
        <v>8.8036999999999992</v>
      </c>
      <c r="Y11" s="465">
        <v>9.4003999999999994</v>
      </c>
      <c r="Z11" s="465">
        <v>8.5952988505747072</v>
      </c>
      <c r="AA11" s="465">
        <v>9.6161888461538467</v>
      </c>
      <c r="AB11" s="465">
        <v>10.563540769230769</v>
      </c>
      <c r="AC11" s="465">
        <v>10.750507251908397</v>
      </c>
      <c r="AD11" s="465">
        <v>10.403697892720308</v>
      </c>
      <c r="AE11" s="465">
        <v>10.113510000000002</v>
      </c>
      <c r="AF11" s="465">
        <v>10.113510000000002</v>
      </c>
      <c r="AG11" s="465">
        <v>10.113510000000002</v>
      </c>
      <c r="AH11" s="465">
        <v>10.113510000000002</v>
      </c>
      <c r="AI11" s="465">
        <v>10.113510000000002</v>
      </c>
      <c r="AJ11" s="96">
        <f t="shared" ref="AJ11:CL11" si="8">AI11</f>
        <v>10.113510000000002</v>
      </c>
      <c r="AK11" s="96">
        <f t="shared" si="8"/>
        <v>10.113510000000002</v>
      </c>
      <c r="AL11" s="96">
        <f t="shared" si="8"/>
        <v>10.113510000000002</v>
      </c>
      <c r="AM11" s="96">
        <f t="shared" si="8"/>
        <v>10.113510000000002</v>
      </c>
      <c r="AN11" s="96">
        <f t="shared" si="8"/>
        <v>10.113510000000002</v>
      </c>
      <c r="AO11" s="96">
        <f t="shared" si="8"/>
        <v>10.113510000000002</v>
      </c>
      <c r="AP11" s="96">
        <f t="shared" si="8"/>
        <v>10.113510000000002</v>
      </c>
      <c r="AQ11" s="96">
        <f t="shared" si="8"/>
        <v>10.113510000000002</v>
      </c>
      <c r="AR11" s="96">
        <f t="shared" si="8"/>
        <v>10.113510000000002</v>
      </c>
      <c r="AS11" s="96">
        <f t="shared" si="8"/>
        <v>10.113510000000002</v>
      </c>
      <c r="AT11" s="96">
        <f t="shared" si="8"/>
        <v>10.113510000000002</v>
      </c>
      <c r="AU11" s="96">
        <f t="shared" si="8"/>
        <v>10.113510000000002</v>
      </c>
      <c r="AV11" s="96">
        <f t="shared" si="8"/>
        <v>10.113510000000002</v>
      </c>
      <c r="AW11" s="96">
        <f t="shared" si="8"/>
        <v>10.113510000000002</v>
      </c>
      <c r="AX11" s="96">
        <f t="shared" si="8"/>
        <v>10.113510000000002</v>
      </c>
      <c r="AY11" s="96">
        <f t="shared" si="8"/>
        <v>10.113510000000002</v>
      </c>
      <c r="AZ11" s="96">
        <f t="shared" si="8"/>
        <v>10.113510000000002</v>
      </c>
      <c r="BA11" s="96">
        <f t="shared" si="8"/>
        <v>10.113510000000002</v>
      </c>
      <c r="BB11" s="96">
        <f t="shared" si="8"/>
        <v>10.113510000000002</v>
      </c>
      <c r="BC11" s="96">
        <f t="shared" si="8"/>
        <v>10.113510000000002</v>
      </c>
      <c r="BD11" s="96">
        <f t="shared" si="8"/>
        <v>10.113510000000002</v>
      </c>
      <c r="BE11" s="96">
        <f t="shared" si="8"/>
        <v>10.113510000000002</v>
      </c>
      <c r="BF11" s="96">
        <f t="shared" si="8"/>
        <v>10.113510000000002</v>
      </c>
      <c r="BG11" s="96">
        <f t="shared" si="8"/>
        <v>10.113510000000002</v>
      </c>
      <c r="BH11" s="96">
        <f t="shared" si="8"/>
        <v>10.113510000000002</v>
      </c>
      <c r="BI11" s="96">
        <f t="shared" si="8"/>
        <v>10.113510000000002</v>
      </c>
      <c r="BJ11" s="96">
        <f t="shared" si="8"/>
        <v>10.113510000000002</v>
      </c>
      <c r="BK11" s="96">
        <f t="shared" si="8"/>
        <v>10.113510000000002</v>
      </c>
      <c r="BL11" s="96">
        <f t="shared" si="8"/>
        <v>10.113510000000002</v>
      </c>
      <c r="BM11" s="96">
        <f t="shared" si="8"/>
        <v>10.113510000000002</v>
      </c>
      <c r="BN11" s="96">
        <f t="shared" si="8"/>
        <v>10.113510000000002</v>
      </c>
      <c r="BO11" s="96">
        <f t="shared" si="8"/>
        <v>10.113510000000002</v>
      </c>
      <c r="BP11" s="96">
        <f t="shared" si="8"/>
        <v>10.113510000000002</v>
      </c>
      <c r="BQ11" s="96">
        <f t="shared" si="8"/>
        <v>10.113510000000002</v>
      </c>
      <c r="BR11" s="96">
        <f t="shared" si="8"/>
        <v>10.113510000000002</v>
      </c>
      <c r="BS11" s="96">
        <f t="shared" si="8"/>
        <v>10.113510000000002</v>
      </c>
      <c r="BT11" s="96">
        <f t="shared" si="8"/>
        <v>10.113510000000002</v>
      </c>
      <c r="BU11" s="96">
        <f t="shared" si="8"/>
        <v>10.113510000000002</v>
      </c>
      <c r="BV11" s="96">
        <f t="shared" si="8"/>
        <v>10.113510000000002</v>
      </c>
      <c r="BW11" s="96">
        <f t="shared" si="8"/>
        <v>10.113510000000002</v>
      </c>
      <c r="BX11" s="96">
        <f t="shared" si="8"/>
        <v>10.113510000000002</v>
      </c>
      <c r="BY11" s="96">
        <f t="shared" si="8"/>
        <v>10.113510000000002</v>
      </c>
      <c r="BZ11" s="96">
        <f t="shared" si="8"/>
        <v>10.113510000000002</v>
      </c>
      <c r="CA11" s="96">
        <f t="shared" si="8"/>
        <v>10.113510000000002</v>
      </c>
      <c r="CB11" s="96">
        <f t="shared" si="8"/>
        <v>10.113510000000002</v>
      </c>
      <c r="CC11" s="96">
        <f t="shared" si="8"/>
        <v>10.113510000000002</v>
      </c>
      <c r="CD11" s="96">
        <f t="shared" si="8"/>
        <v>10.113510000000002</v>
      </c>
      <c r="CE11" s="96">
        <f t="shared" si="8"/>
        <v>10.113510000000002</v>
      </c>
      <c r="CF11" s="96">
        <f t="shared" si="8"/>
        <v>10.113510000000002</v>
      </c>
      <c r="CG11" s="96">
        <f t="shared" si="8"/>
        <v>10.113510000000002</v>
      </c>
      <c r="CH11" s="96">
        <f t="shared" si="8"/>
        <v>10.113510000000002</v>
      </c>
      <c r="CI11" s="96">
        <f t="shared" si="8"/>
        <v>10.113510000000002</v>
      </c>
      <c r="CJ11" s="96">
        <f t="shared" si="8"/>
        <v>10.113510000000002</v>
      </c>
      <c r="CK11" s="96">
        <f t="shared" si="8"/>
        <v>10.113510000000002</v>
      </c>
      <c r="CL11" s="96">
        <f t="shared" si="8"/>
        <v>10.113510000000002</v>
      </c>
      <c r="CM11" s="96">
        <f t="shared" ref="CM11" si="9">CL11</f>
        <v>10.113510000000002</v>
      </c>
      <c r="CN11" s="96">
        <f t="shared" ref="CN11" si="10">CM11</f>
        <v>10.113510000000002</v>
      </c>
      <c r="CO11" s="96">
        <f t="shared" ref="CO11" si="11">CN11</f>
        <v>10.113510000000002</v>
      </c>
      <c r="CP11" s="96">
        <f t="shared" ref="CP11" si="12">CO11</f>
        <v>10.113510000000002</v>
      </c>
      <c r="CQ11" s="96">
        <f t="shared" ref="CQ11" si="13">CP11</f>
        <v>10.113510000000002</v>
      </c>
    </row>
    <row r="12" spans="1:95">
      <c r="A12" s="79" t="s">
        <v>470</v>
      </c>
      <c r="B12" s="316">
        <v>2.3376899373074078</v>
      </c>
      <c r="C12" s="316">
        <v>1.5522790987436252</v>
      </c>
      <c r="D12" s="316">
        <v>2.1880271969735743</v>
      </c>
      <c r="E12" s="316">
        <v>3.3768572714993228</v>
      </c>
      <c r="F12" s="316">
        <v>2.8261711188540595</v>
      </c>
      <c r="G12" s="316">
        <v>1.5860316265060126</v>
      </c>
      <c r="H12" s="316">
        <v>2.2700949733611253</v>
      </c>
      <c r="I12" s="316">
        <v>2.6772366930917224</v>
      </c>
      <c r="J12" s="316">
        <v>3.3927468454954646</v>
      </c>
      <c r="K12" s="316">
        <v>3.2259441007040701</v>
      </c>
      <c r="L12" s="316">
        <v>2.8526724815013837</v>
      </c>
      <c r="M12" s="316">
        <v>3.8391002966509991</v>
      </c>
      <c r="N12" s="316">
        <v>-0.3555462662997444</v>
      </c>
      <c r="O12" s="316">
        <v>1.6400434423899046</v>
      </c>
      <c r="P12" s="312">
        <v>3.1568415686220375</v>
      </c>
      <c r="Q12" s="312">
        <v>2.0693372652606179</v>
      </c>
      <c r="R12" s="312">
        <v>1.4648326556271352</v>
      </c>
      <c r="S12" s="312">
        <v>1.6222229774082164</v>
      </c>
      <c r="T12" s="312">
        <v>0.11862713555246263</v>
      </c>
      <c r="U12" s="312">
        <v>1.26158320570533</v>
      </c>
      <c r="V12" s="312">
        <v>2.1301100036596132</v>
      </c>
      <c r="W12" s="312">
        <v>2.4425832969282135</v>
      </c>
      <c r="X12" s="312">
        <v>1.8122100752601344</v>
      </c>
      <c r="Y12" s="312">
        <v>1.2335843963063864</v>
      </c>
      <c r="Z12" s="465">
        <v>4.6978588636374052</v>
      </c>
      <c r="AA12" s="312">
        <v>8.002799820521167</v>
      </c>
      <c r="AB12" s="312">
        <v>4.1163383837448997</v>
      </c>
      <c r="AC12" s="312">
        <v>2.949525204852077</v>
      </c>
      <c r="AD12" s="312">
        <v>3.6</v>
      </c>
      <c r="AE12" s="312">
        <v>3.1</v>
      </c>
      <c r="AF12" s="292">
        <v>2.1</v>
      </c>
      <c r="AG12" s="292">
        <v>2.1</v>
      </c>
      <c r="AH12" s="292">
        <v>2.1</v>
      </c>
      <c r="AI12" s="292">
        <v>2</v>
      </c>
      <c r="AJ12" s="292">
        <v>2</v>
      </c>
      <c r="AK12" s="292">
        <v>2</v>
      </c>
      <c r="AL12" s="292">
        <v>2</v>
      </c>
      <c r="AM12" s="292">
        <v>2</v>
      </c>
      <c r="AN12" s="292">
        <v>2</v>
      </c>
      <c r="AO12" s="292">
        <v>2</v>
      </c>
      <c r="AP12" s="292">
        <v>2</v>
      </c>
      <c r="AQ12" s="292">
        <v>2</v>
      </c>
      <c r="AR12" s="292">
        <v>2</v>
      </c>
      <c r="AS12" s="292">
        <v>2</v>
      </c>
      <c r="AT12" s="292">
        <v>2</v>
      </c>
      <c r="AU12" s="292">
        <v>2</v>
      </c>
      <c r="AV12" s="292">
        <v>2</v>
      </c>
      <c r="AW12" s="292">
        <v>2</v>
      </c>
      <c r="AX12" s="292">
        <v>2</v>
      </c>
      <c r="AY12" s="292">
        <v>2</v>
      </c>
      <c r="AZ12" s="292">
        <v>2</v>
      </c>
      <c r="BA12" s="292">
        <v>2</v>
      </c>
      <c r="BB12" s="292">
        <v>2</v>
      </c>
      <c r="BC12" s="292">
        <v>2</v>
      </c>
      <c r="BD12" s="292">
        <v>2</v>
      </c>
      <c r="BE12" s="292">
        <v>2</v>
      </c>
      <c r="BF12" s="292">
        <v>2</v>
      </c>
      <c r="BG12" s="292">
        <v>2</v>
      </c>
      <c r="BH12" s="292">
        <v>2</v>
      </c>
      <c r="BI12" s="292">
        <v>2</v>
      </c>
      <c r="BJ12" s="292">
        <v>2</v>
      </c>
      <c r="BK12" s="292">
        <v>2</v>
      </c>
      <c r="BL12" s="292">
        <v>2</v>
      </c>
      <c r="BM12" s="292">
        <v>2</v>
      </c>
      <c r="BN12" s="292">
        <v>2</v>
      </c>
      <c r="BO12" s="292">
        <v>2</v>
      </c>
      <c r="BP12" s="292">
        <v>2</v>
      </c>
      <c r="BQ12" s="292">
        <v>2</v>
      </c>
      <c r="BR12" s="292">
        <v>2</v>
      </c>
      <c r="BS12" s="292">
        <v>2</v>
      </c>
      <c r="BT12" s="292">
        <v>2</v>
      </c>
      <c r="BU12" s="292">
        <v>2</v>
      </c>
      <c r="BV12" s="292">
        <v>2</v>
      </c>
      <c r="BW12" s="292">
        <v>2</v>
      </c>
      <c r="BX12" s="292">
        <v>2</v>
      </c>
      <c r="BY12" s="292">
        <v>2</v>
      </c>
      <c r="BZ12" s="292">
        <v>2</v>
      </c>
      <c r="CA12" s="292">
        <v>2</v>
      </c>
      <c r="CB12" s="292">
        <v>2</v>
      </c>
      <c r="CC12" s="292">
        <v>2</v>
      </c>
      <c r="CD12" s="292">
        <v>2</v>
      </c>
      <c r="CE12" s="292">
        <v>2</v>
      </c>
      <c r="CF12" s="292">
        <v>2</v>
      </c>
      <c r="CG12" s="292">
        <v>2</v>
      </c>
      <c r="CH12" s="292">
        <v>2</v>
      </c>
      <c r="CI12" s="292">
        <v>2</v>
      </c>
      <c r="CJ12" s="292">
        <v>2</v>
      </c>
      <c r="CK12" s="292">
        <v>2</v>
      </c>
      <c r="CL12" s="292">
        <v>2</v>
      </c>
      <c r="CM12" s="292">
        <v>2</v>
      </c>
      <c r="CN12" s="292">
        <v>2</v>
      </c>
      <c r="CO12" s="292">
        <v>2</v>
      </c>
      <c r="CP12" s="292">
        <v>2</v>
      </c>
      <c r="CQ12" s="292">
        <v>2</v>
      </c>
    </row>
    <row r="13" spans="1:95">
      <c r="A13" s="79" t="s">
        <v>312</v>
      </c>
      <c r="B13" s="113">
        <f t="shared" ref="B13:X13" si="14">C13/(1+C12/100)</f>
        <v>0.47907405630625</v>
      </c>
      <c r="C13" s="113">
        <f t="shared" si="14"/>
        <v>0.48651062274979517</v>
      </c>
      <c r="D13" s="113">
        <f t="shared" si="14"/>
        <v>0.49715560749172621</v>
      </c>
      <c r="E13" s="113">
        <f t="shared" si="14"/>
        <v>0.5139438427739772</v>
      </c>
      <c r="F13" s="113">
        <f t="shared" si="14"/>
        <v>0.52846877522558411</v>
      </c>
      <c r="G13" s="113">
        <f t="shared" si="14"/>
        <v>0.53685045713687085</v>
      </c>
      <c r="H13" s="113">
        <f t="shared" si="14"/>
        <v>0.54903747237880118</v>
      </c>
      <c r="I13" s="113">
        <f t="shared" si="14"/>
        <v>0.56373650504814976</v>
      </c>
      <c r="J13" s="113">
        <f t="shared" si="14"/>
        <v>0.58286265754007727</v>
      </c>
      <c r="K13" s="113">
        <f t="shared" si="14"/>
        <v>0.60166548105619833</v>
      </c>
      <c r="L13" s="113">
        <f t="shared" si="14"/>
        <v>0.61882902666498141</v>
      </c>
      <c r="M13" s="113">
        <f t="shared" si="14"/>
        <v>0.64258649366343923</v>
      </c>
      <c r="N13" s="113">
        <f t="shared" si="14"/>
        <v>0.64030180137747239</v>
      </c>
      <c r="O13" s="113">
        <f t="shared" si="14"/>
        <v>0.65080302908246801</v>
      </c>
      <c r="P13" s="113">
        <f t="shared" si="14"/>
        <v>0.67134784963439476</v>
      </c>
      <c r="Q13" s="113">
        <f t="shared" si="14"/>
        <v>0.68524030086640508</v>
      </c>
      <c r="R13" s="113">
        <f t="shared" si="14"/>
        <v>0.69527792456301385</v>
      </c>
      <c r="S13" s="113">
        <f t="shared" si="14"/>
        <v>0.70655688281212203</v>
      </c>
      <c r="T13" s="113">
        <f t="shared" si="14"/>
        <v>0.70739505100325084</v>
      </c>
      <c r="U13" s="113">
        <f t="shared" si="14"/>
        <v>0.71631942816469851</v>
      </c>
      <c r="V13" s="113">
        <f t="shared" si="14"/>
        <v>0.73157781996219207</v>
      </c>
      <c r="W13" s="113">
        <f t="shared" si="14"/>
        <v>0.74944721759662014</v>
      </c>
      <c r="X13" s="113">
        <f t="shared" si="14"/>
        <v>0.7630287755826628</v>
      </c>
      <c r="Y13" s="113">
        <f t="shared" ref="Y13:AD13" si="15">Z13/(1+Z12/100)</f>
        <v>0.77244137949757818</v>
      </c>
      <c r="Z13" s="113">
        <f t="shared" si="15"/>
        <v>0.80872958531070815</v>
      </c>
      <c r="AA13" s="113">
        <f t="shared" si="15"/>
        <v>0.87345059511245504</v>
      </c>
      <c r="AB13" s="113">
        <f t="shared" si="15"/>
        <v>0.90940477722211732</v>
      </c>
      <c r="AC13" s="113">
        <f t="shared" si="15"/>
        <v>0.93622790034041259</v>
      </c>
      <c r="AD13" s="113">
        <f t="shared" si="15"/>
        <v>0.96993210475266745</v>
      </c>
      <c r="AE13" s="113">
        <v>1</v>
      </c>
      <c r="AF13" s="113">
        <f t="shared" ref="AF13:BA13" si="16">AE13*(1+AF12/100)</f>
        <v>1.0209999999999999</v>
      </c>
      <c r="AG13" s="113">
        <f t="shared" si="16"/>
        <v>1.0424409999999997</v>
      </c>
      <c r="AH13" s="113">
        <f t="shared" si="16"/>
        <v>1.0643322609999997</v>
      </c>
      <c r="AI13" s="113">
        <f t="shared" si="16"/>
        <v>1.0856189062199997</v>
      </c>
      <c r="AJ13" s="89">
        <f t="shared" si="16"/>
        <v>1.1073312843443996</v>
      </c>
      <c r="AK13" s="89">
        <f t="shared" si="16"/>
        <v>1.1294779100312877</v>
      </c>
      <c r="AL13" s="89">
        <f t="shared" si="16"/>
        <v>1.1520674682319134</v>
      </c>
      <c r="AM13" s="89">
        <f t="shared" si="16"/>
        <v>1.1751088175965516</v>
      </c>
      <c r="AN13" s="89">
        <f t="shared" si="16"/>
        <v>1.1986109939484826</v>
      </c>
      <c r="AO13" s="89">
        <f t="shared" si="16"/>
        <v>1.2225832138274522</v>
      </c>
      <c r="AP13" s="89">
        <f t="shared" si="16"/>
        <v>1.2470348781040013</v>
      </c>
      <c r="AQ13" s="89">
        <f t="shared" si="16"/>
        <v>1.2719755756660813</v>
      </c>
      <c r="AR13" s="89">
        <f t="shared" si="16"/>
        <v>1.297415087179403</v>
      </c>
      <c r="AS13" s="89">
        <f t="shared" si="16"/>
        <v>1.323363388922991</v>
      </c>
      <c r="AT13" s="89">
        <f t="shared" si="16"/>
        <v>1.3498306567014509</v>
      </c>
      <c r="AU13" s="89">
        <f t="shared" si="16"/>
        <v>1.37682726983548</v>
      </c>
      <c r="AV13" s="89">
        <f t="shared" si="16"/>
        <v>1.4043638152321896</v>
      </c>
      <c r="AW13" s="89">
        <f t="shared" si="16"/>
        <v>1.4324510915368334</v>
      </c>
      <c r="AX13" s="89">
        <f t="shared" si="16"/>
        <v>1.4611001133675701</v>
      </c>
      <c r="AY13" s="89">
        <f t="shared" si="16"/>
        <v>1.4903221156349216</v>
      </c>
      <c r="AZ13" s="89">
        <f t="shared" si="16"/>
        <v>1.52012855794762</v>
      </c>
      <c r="BA13" s="89">
        <f t="shared" si="16"/>
        <v>1.5505311291065724</v>
      </c>
      <c r="BB13" s="89">
        <f t="shared" ref="BB13:CG13" si="17">BA13*(1+BB12/100)</f>
        <v>1.5815417516887038</v>
      </c>
      <c r="BC13" s="89">
        <f t="shared" si="17"/>
        <v>1.613172586722478</v>
      </c>
      <c r="BD13" s="89">
        <f t="shared" si="17"/>
        <v>1.6454360384569275</v>
      </c>
      <c r="BE13" s="89">
        <f t="shared" si="17"/>
        <v>1.6783447592260661</v>
      </c>
      <c r="BF13" s="89">
        <f t="shared" si="17"/>
        <v>1.7119116544105875</v>
      </c>
      <c r="BG13" s="89">
        <f t="shared" si="17"/>
        <v>1.7461498874987993</v>
      </c>
      <c r="BH13" s="89">
        <f t="shared" si="17"/>
        <v>1.7810728852487754</v>
      </c>
      <c r="BI13" s="89">
        <f t="shared" si="17"/>
        <v>1.816694342953751</v>
      </c>
      <c r="BJ13" s="89">
        <f t="shared" si="17"/>
        <v>1.853028229812826</v>
      </c>
      <c r="BK13" s="89">
        <f t="shared" si="17"/>
        <v>1.8900887944090825</v>
      </c>
      <c r="BL13" s="89">
        <f t="shared" si="17"/>
        <v>1.9278905702972642</v>
      </c>
      <c r="BM13" s="89">
        <f t="shared" si="17"/>
        <v>1.9664483817032095</v>
      </c>
      <c r="BN13" s="89">
        <f t="shared" si="17"/>
        <v>2.0057773493372735</v>
      </c>
      <c r="BO13" s="89">
        <f t="shared" si="17"/>
        <v>2.0458928963240188</v>
      </c>
      <c r="BP13" s="89">
        <f t="shared" si="17"/>
        <v>2.0868107542504992</v>
      </c>
      <c r="BQ13" s="89">
        <f t="shared" si="17"/>
        <v>2.1285469693355092</v>
      </c>
      <c r="BR13" s="89">
        <f t="shared" si="17"/>
        <v>2.1711179087222194</v>
      </c>
      <c r="BS13" s="89">
        <f t="shared" si="17"/>
        <v>2.2145402668966638</v>
      </c>
      <c r="BT13" s="89">
        <f t="shared" si="17"/>
        <v>2.2588310722345972</v>
      </c>
      <c r="BU13" s="89">
        <f t="shared" si="17"/>
        <v>2.304007693679289</v>
      </c>
      <c r="BV13" s="89">
        <f t="shared" si="17"/>
        <v>2.3500878475528748</v>
      </c>
      <c r="BW13" s="89">
        <f t="shared" si="17"/>
        <v>2.3970896045039325</v>
      </c>
      <c r="BX13" s="89">
        <f t="shared" si="17"/>
        <v>2.4450313965940111</v>
      </c>
      <c r="BY13" s="89">
        <f t="shared" si="17"/>
        <v>2.4939320245258916</v>
      </c>
      <c r="BZ13" s="89">
        <f t="shared" si="17"/>
        <v>2.5438106650164096</v>
      </c>
      <c r="CA13" s="89">
        <f t="shared" si="17"/>
        <v>2.5946868783167378</v>
      </c>
      <c r="CB13" s="89">
        <f t="shared" si="17"/>
        <v>2.6465806158830727</v>
      </c>
      <c r="CC13" s="89">
        <f t="shared" si="17"/>
        <v>2.6995122282007342</v>
      </c>
      <c r="CD13" s="89">
        <f t="shared" si="17"/>
        <v>2.7535024727647488</v>
      </c>
      <c r="CE13" s="89">
        <f t="shared" si="17"/>
        <v>2.8085725222200439</v>
      </c>
      <c r="CF13" s="89">
        <f t="shared" si="17"/>
        <v>2.8647439726644448</v>
      </c>
      <c r="CG13" s="89">
        <f t="shared" si="17"/>
        <v>2.9220388521177338</v>
      </c>
      <c r="CH13" s="89">
        <f>CG13*(1+CH12/100)</f>
        <v>2.9804796291600884</v>
      </c>
      <c r="CI13" s="89">
        <f>CH13*(1+CI12/100)</f>
        <v>3.04008922174329</v>
      </c>
      <c r="CJ13" s="89">
        <f>CI13*(1+CJ12/100)</f>
        <v>3.1008910061781561</v>
      </c>
      <c r="CK13" s="89">
        <f>CJ13*(1+CK12/100)</f>
        <v>3.1629088263017193</v>
      </c>
      <c r="CL13" s="89">
        <f>CK13*(1+CL12/100)</f>
        <v>3.2261670028277538</v>
      </c>
      <c r="CM13" s="89">
        <f t="shared" ref="CM13:CQ13" si="18">CL13*(1+CM12/100)</f>
        <v>3.2906903428843091</v>
      </c>
      <c r="CN13" s="89">
        <f t="shared" si="18"/>
        <v>3.3565041497419954</v>
      </c>
      <c r="CO13" s="89">
        <f t="shared" si="18"/>
        <v>3.4236342327368354</v>
      </c>
      <c r="CP13" s="89">
        <f t="shared" si="18"/>
        <v>3.4921069173915722</v>
      </c>
      <c r="CQ13" s="89">
        <f t="shared" si="18"/>
        <v>3.5619490557394036</v>
      </c>
    </row>
    <row r="14" spans="1:95">
      <c r="A14" s="79" t="s">
        <v>391</v>
      </c>
      <c r="B14" s="217">
        <f>Investments!D31</f>
        <v>4.9000000000000004</v>
      </c>
      <c r="C14" s="217">
        <f>Investments!E31</f>
        <v>4.2</v>
      </c>
      <c r="D14" s="217">
        <f>Investments!F31</f>
        <v>2.6</v>
      </c>
      <c r="E14" s="217">
        <f>Investments!G31</f>
        <v>2.7</v>
      </c>
      <c r="F14" s="217">
        <f>Investments!H31</f>
        <v>6.5</v>
      </c>
      <c r="G14" s="217">
        <f>Investments!I31</f>
        <v>-0.1</v>
      </c>
      <c r="H14" s="217">
        <f>Investments!J31</f>
        <v>2.7</v>
      </c>
      <c r="I14" s="217">
        <f>Investments!K31</f>
        <v>1.7</v>
      </c>
      <c r="J14" s="217">
        <f>Investments!L31</f>
        <v>3.7</v>
      </c>
      <c r="K14" s="217">
        <f>Investments!M31</f>
        <v>4.0999999999999996</v>
      </c>
      <c r="L14" s="217">
        <f>Investments!N31</f>
        <v>6.8</v>
      </c>
      <c r="M14" s="217">
        <f>Investments!O31</f>
        <v>7.3</v>
      </c>
      <c r="N14" s="217">
        <f>Investments!P31</f>
        <v>6.2</v>
      </c>
      <c r="O14" s="217">
        <f>Investments!Q31</f>
        <v>2.2000000000000002</v>
      </c>
      <c r="P14" s="217">
        <f>Investments!R31</f>
        <v>4.4000000000000004</v>
      </c>
      <c r="Q14" s="217">
        <f>Investments!S31</f>
        <v>2.2999999999999998</v>
      </c>
      <c r="R14" s="217">
        <f>Investments!T31</f>
        <v>2.5</v>
      </c>
      <c r="S14" s="217">
        <f>Investments!U31</f>
        <v>4.3</v>
      </c>
      <c r="T14" s="217">
        <f>Investments!V31</f>
        <v>1.8</v>
      </c>
      <c r="U14" s="217">
        <f>Investments!W31</f>
        <v>-2.2999999999999998</v>
      </c>
      <c r="V14" s="217">
        <f>Investments!X31</f>
        <v>-4.3</v>
      </c>
      <c r="W14" s="217">
        <f>Investments!Y31</f>
        <v>1.4</v>
      </c>
      <c r="X14" s="217">
        <f>Investments!Z31</f>
        <v>2.2000000000000002</v>
      </c>
      <c r="Y14" s="217">
        <f>Investments!AA31</f>
        <v>4.2</v>
      </c>
      <c r="Z14" s="217">
        <f>Investments!AB31</f>
        <v>0.2</v>
      </c>
      <c r="AA14" s="217">
        <f>Investments!AC31</f>
        <v>5.9</v>
      </c>
      <c r="AB14" s="217">
        <f>Investments!AD31</f>
        <v>10.4</v>
      </c>
      <c r="AC14" s="217">
        <f>Investments!AE31</f>
        <v>6.4</v>
      </c>
      <c r="AD14" s="217">
        <f>Investments!AF31</f>
        <v>3.4</v>
      </c>
      <c r="AE14" s="217">
        <f>Investments!AG31</f>
        <v>2</v>
      </c>
      <c r="AF14" s="217">
        <f>Investments!AH31</f>
        <v>3.1699034994394193</v>
      </c>
      <c r="AG14" s="217">
        <f>Investments!AI31</f>
        <v>2.7980400030448882</v>
      </c>
      <c r="AH14" s="217">
        <f>Investments!AJ31</f>
        <v>1.9643596700442245</v>
      </c>
      <c r="AI14" s="217">
        <f>Investments!AK31</f>
        <v>2.0550769790026902</v>
      </c>
      <c r="AJ14" s="217">
        <f>Investments!AL31</f>
        <v>2.195115696922123</v>
      </c>
      <c r="AK14" s="217">
        <f>Investments!AM31</f>
        <v>2.2458922575121498</v>
      </c>
      <c r="AL14" s="217">
        <f>Investments!AN31</f>
        <v>2.1835748640399943</v>
      </c>
      <c r="AM14" s="217">
        <f>Investments!AO31</f>
        <v>2.1542670567028965</v>
      </c>
      <c r="AN14" s="217">
        <f>Investments!AP31</f>
        <v>2.1379694684519057</v>
      </c>
      <c r="AO14" s="217">
        <f>Investments!AQ31</f>
        <v>2.0910823148909241</v>
      </c>
      <c r="AP14" s="217">
        <f>Investments!AR31</f>
        <v>2.0540013765595999</v>
      </c>
      <c r="AQ14" s="217">
        <f>Investments!AS31</f>
        <v>2.107298799867996</v>
      </c>
      <c r="AR14" s="217">
        <f>Investments!AT31</f>
        <v>2</v>
      </c>
      <c r="AS14" s="217">
        <f>Investments!AU31</f>
        <v>2</v>
      </c>
      <c r="AT14" s="217">
        <f>Investments!AV31</f>
        <v>2</v>
      </c>
      <c r="AU14" s="217">
        <f>Investments!AW31</f>
        <v>2</v>
      </c>
      <c r="AV14" s="217">
        <f>Investments!AX31</f>
        <v>2</v>
      </c>
      <c r="AW14" s="217">
        <f>Investments!AY31</f>
        <v>2</v>
      </c>
      <c r="AX14" s="217">
        <f>Investments!AZ31</f>
        <v>2</v>
      </c>
      <c r="AY14" s="217">
        <f>Investments!BA31</f>
        <v>2</v>
      </c>
      <c r="AZ14" s="217">
        <f>Investments!BB31</f>
        <v>2</v>
      </c>
      <c r="BA14" s="217">
        <f>Investments!BC31</f>
        <v>2</v>
      </c>
      <c r="BB14" s="217">
        <f>Investments!BD31</f>
        <v>2</v>
      </c>
      <c r="BC14" s="217">
        <f>Investments!BE31</f>
        <v>2</v>
      </c>
      <c r="BD14" s="217">
        <f>Investments!BF31</f>
        <v>2</v>
      </c>
      <c r="BE14" s="217">
        <f>Investments!BG31</f>
        <v>2</v>
      </c>
      <c r="BF14" s="217">
        <f>Investments!BH31</f>
        <v>2</v>
      </c>
      <c r="BG14" s="217">
        <f>Investments!BI31</f>
        <v>2</v>
      </c>
      <c r="BH14" s="217">
        <f>Investments!BJ31</f>
        <v>2</v>
      </c>
      <c r="BI14" s="217">
        <f>Investments!BK31</f>
        <v>2</v>
      </c>
      <c r="BJ14" s="217">
        <f>Investments!BL31</f>
        <v>2</v>
      </c>
      <c r="BK14" s="217">
        <f>Investments!BM31</f>
        <v>2</v>
      </c>
      <c r="BL14" s="217">
        <f>Investments!BN31</f>
        <v>2</v>
      </c>
      <c r="BM14" s="217">
        <f>Investments!BO31</f>
        <v>2</v>
      </c>
      <c r="BN14" s="217">
        <f>Investments!BP31</f>
        <v>2</v>
      </c>
      <c r="BO14" s="217">
        <f>Investments!BQ31</f>
        <v>2</v>
      </c>
      <c r="BP14" s="217">
        <f>Investments!BR31</f>
        <v>2</v>
      </c>
      <c r="BQ14" s="217">
        <f>Investments!BS31</f>
        <v>2</v>
      </c>
      <c r="BR14" s="217">
        <f>Investments!BT31</f>
        <v>2</v>
      </c>
      <c r="BS14" s="217">
        <f>Investments!BU31</f>
        <v>2</v>
      </c>
      <c r="BT14" s="217">
        <f>Investments!BV31</f>
        <v>2</v>
      </c>
      <c r="BU14" s="217">
        <f>Investments!BW31</f>
        <v>2</v>
      </c>
      <c r="BV14" s="217">
        <f>Investments!BX31</f>
        <v>2</v>
      </c>
      <c r="BW14" s="217">
        <f>Investments!BY31</f>
        <v>2</v>
      </c>
      <c r="BX14" s="217">
        <f>Investments!BZ31</f>
        <v>2</v>
      </c>
      <c r="BY14" s="217">
        <f>Investments!CA31</f>
        <v>2</v>
      </c>
      <c r="BZ14" s="217">
        <f>Investments!CB31</f>
        <v>2</v>
      </c>
      <c r="CA14" s="217">
        <f>Investments!CC31</f>
        <v>2</v>
      </c>
      <c r="CB14" s="217">
        <f>Investments!CD31</f>
        <v>2</v>
      </c>
      <c r="CC14" s="217">
        <f>Investments!CE31</f>
        <v>2</v>
      </c>
      <c r="CD14" s="217">
        <f>Investments!CF31</f>
        <v>2</v>
      </c>
      <c r="CE14" s="217">
        <f>Investments!CG31</f>
        <v>2</v>
      </c>
      <c r="CF14" s="217">
        <f>Investments!CH31</f>
        <v>2</v>
      </c>
      <c r="CG14" s="217">
        <f>Investments!CI31</f>
        <v>2</v>
      </c>
      <c r="CH14" s="217">
        <f>Investments!CJ31</f>
        <v>2</v>
      </c>
      <c r="CI14" s="217">
        <f>Investments!CK31</f>
        <v>2</v>
      </c>
      <c r="CJ14" s="217">
        <f>Investments!CL31</f>
        <v>2</v>
      </c>
      <c r="CK14" s="217">
        <f>Investments!CM31</f>
        <v>2</v>
      </c>
      <c r="CL14" s="217">
        <f>Investments!CN31</f>
        <v>2</v>
      </c>
      <c r="CM14" s="217">
        <f>Investments!CO31</f>
        <v>2</v>
      </c>
      <c r="CN14" s="217">
        <f>Investments!CP31</f>
        <v>2</v>
      </c>
      <c r="CO14" s="217">
        <f>Investments!CQ31</f>
        <v>2</v>
      </c>
      <c r="CP14" s="217">
        <f>Investments!CR31</f>
        <v>2</v>
      </c>
      <c r="CQ14" s="217">
        <f>Investments!CS31</f>
        <v>2</v>
      </c>
    </row>
    <row r="15" spans="1:95">
      <c r="A15" s="79" t="s">
        <v>321</v>
      </c>
      <c r="B15" s="96">
        <f>Investments!D32</f>
        <v>0.49019996278935918</v>
      </c>
      <c r="C15" s="96">
        <f>Investments!E32</f>
        <v>0.51078836122651228</v>
      </c>
      <c r="D15" s="96">
        <f>Investments!F32</f>
        <v>0.52406885861840158</v>
      </c>
      <c r="E15" s="96">
        <f>Investments!G32</f>
        <v>0.53821871780109842</v>
      </c>
      <c r="F15" s="96">
        <f>Investments!H32</f>
        <v>0.57320293445816983</v>
      </c>
      <c r="G15" s="96">
        <f>Investments!I32</f>
        <v>0.57262973152371166</v>
      </c>
      <c r="H15" s="96">
        <f>Investments!J32</f>
        <v>0.58809073427485181</v>
      </c>
      <c r="I15" s="96">
        <f>Investments!K32</f>
        <v>0.59808827675752418</v>
      </c>
      <c r="J15" s="96">
        <f>Investments!L32</f>
        <v>0.6202175429975525</v>
      </c>
      <c r="K15" s="96">
        <f>Investments!M32</f>
        <v>0.64564646226045208</v>
      </c>
      <c r="L15" s="96">
        <f>Investments!N32</f>
        <v>0.68955042169416281</v>
      </c>
      <c r="M15" s="96">
        <f>Investments!O32</f>
        <v>0.73988760247783669</v>
      </c>
      <c r="N15" s="96">
        <f>Investments!P32</f>
        <v>0.78576063383146255</v>
      </c>
      <c r="O15" s="96">
        <f>Investments!Q32</f>
        <v>0.80304736777575469</v>
      </c>
      <c r="P15" s="96">
        <f>Investments!R32</f>
        <v>0.83838145195788794</v>
      </c>
      <c r="Q15" s="96">
        <f>Investments!S32</f>
        <v>0.85766422535291931</v>
      </c>
      <c r="R15" s="96">
        <f>Investments!T32</f>
        <v>0.87910583098674222</v>
      </c>
      <c r="S15" s="96">
        <f>Investments!U32</f>
        <v>0.91690738171917208</v>
      </c>
      <c r="T15" s="96">
        <f>Investments!V32</f>
        <v>0.93341171459011718</v>
      </c>
      <c r="U15" s="96">
        <f>Investments!W32</f>
        <v>0.9119432451545445</v>
      </c>
      <c r="V15" s="96">
        <f>Investments!X32</f>
        <v>0.8727296856128991</v>
      </c>
      <c r="W15" s="96">
        <f>Investments!Y32</f>
        <v>0.8849479012114797</v>
      </c>
      <c r="X15" s="96">
        <f>Investments!Z32</f>
        <v>0.90441675503813224</v>
      </c>
      <c r="Y15" s="96">
        <f>Investments!AA32</f>
        <v>0.94240225874973382</v>
      </c>
      <c r="Z15" s="96">
        <f>Investments!AB32</f>
        <v>0.94428706326723333</v>
      </c>
      <c r="AA15" s="96">
        <f>Investments!AC32</f>
        <v>1</v>
      </c>
      <c r="AB15" s="96">
        <f>Investments!AD32</f>
        <v>1.1040000000000001</v>
      </c>
      <c r="AC15" s="96">
        <f>Investments!AE32</f>
        <v>1.1746560000000001</v>
      </c>
      <c r="AD15" s="96">
        <f>Investments!AF32</f>
        <v>1.2145943040000002</v>
      </c>
      <c r="AE15" s="96">
        <f>Investments!AG32</f>
        <v>1.2388861900800003</v>
      </c>
      <c r="AF15" s="96">
        <f>Investments!AH32</f>
        <v>1.2781576867734179</v>
      </c>
      <c r="AG15" s="96">
        <f>Investments!AI32</f>
        <v>1.3139210501513312</v>
      </c>
      <c r="AH15" s="96">
        <f>Investments!AJ32</f>
        <v>1.3397311853567255</v>
      </c>
      <c r="AI15" s="96">
        <f>Investments!AK32</f>
        <v>1.3672636925275115</v>
      </c>
      <c r="AJ15" s="96">
        <f>Investments!AL32</f>
        <v>1.3972767124604999</v>
      </c>
      <c r="AK15" s="96">
        <f>Investments!AM32</f>
        <v>1.4286580419616706</v>
      </c>
      <c r="AL15" s="96">
        <f>Investments!AN32</f>
        <v>1.4598538598590316</v>
      </c>
      <c r="AM15" s="96">
        <f>Investments!AO32</f>
        <v>1.4913030106379803</v>
      </c>
      <c r="AN15" s="96">
        <f>Investments!AP32</f>
        <v>1.5231866136875245</v>
      </c>
      <c r="AO15" s="96">
        <f>Investments!AQ32</f>
        <v>1.5550376995891302</v>
      </c>
      <c r="AP15" s="96">
        <f>Investments!AR32</f>
        <v>1.5869781953447117</v>
      </c>
      <c r="AQ15" s="96">
        <f>Investments!AS32</f>
        <v>1.6204205678093777</v>
      </c>
      <c r="AR15" s="96">
        <f>Investments!AT32</f>
        <v>1.6528289791655653</v>
      </c>
      <c r="AS15" s="96">
        <f>Investments!AU32</f>
        <v>1.6858855587488766</v>
      </c>
      <c r="AT15" s="96">
        <f>Investments!AV32</f>
        <v>1.7196032699238541</v>
      </c>
      <c r="AU15" s="96">
        <f>Investments!AW32</f>
        <v>1.7539953353223312</v>
      </c>
      <c r="AV15" s="96">
        <f>Investments!AX32</f>
        <v>1.7890752420287779</v>
      </c>
      <c r="AW15" s="96">
        <f>Investments!AY32</f>
        <v>1.8248567468693535</v>
      </c>
      <c r="AX15" s="96">
        <f>Investments!AZ32</f>
        <v>1.8613538818067406</v>
      </c>
      <c r="AY15" s="96">
        <f>Investments!BA32</f>
        <v>1.8985809594428753</v>
      </c>
      <c r="AZ15" s="96">
        <f>Investments!BB32</f>
        <v>1.9365525786317328</v>
      </c>
      <c r="BA15" s="96">
        <f>Investments!BC32</f>
        <v>1.9752836302043675</v>
      </c>
      <c r="BB15" s="96">
        <f>Investments!BD32</f>
        <v>2.0147893028084547</v>
      </c>
      <c r="BC15" s="96">
        <f>Investments!BE32</f>
        <v>2.0550850888646237</v>
      </c>
      <c r="BD15" s="96">
        <f>Investments!BF32</f>
        <v>2.0961867906419163</v>
      </c>
      <c r="BE15" s="96">
        <f>Investments!BG32</f>
        <v>2.1381105264547546</v>
      </c>
      <c r="BF15" s="96">
        <f>Investments!BH32</f>
        <v>2.1808727369838499</v>
      </c>
      <c r="BG15" s="96">
        <f>Investments!BI32</f>
        <v>2.2244901917235267</v>
      </c>
      <c r="BH15" s="96">
        <f>Investments!BJ32</f>
        <v>2.2689799955579972</v>
      </c>
      <c r="BI15" s="96">
        <f>Investments!BK32</f>
        <v>2.3143595954691571</v>
      </c>
      <c r="BJ15" s="96">
        <f>Investments!BL32</f>
        <v>2.3606467873785402</v>
      </c>
      <c r="BK15" s="96">
        <f>Investments!BM32</f>
        <v>2.4078597231261112</v>
      </c>
      <c r="BL15" s="96">
        <f>Investments!BN32</f>
        <v>2.4560169175886335</v>
      </c>
      <c r="BM15" s="96">
        <f>Investments!BO32</f>
        <v>2.5051372559404061</v>
      </c>
      <c r="BN15" s="96">
        <f>Investments!BP32</f>
        <v>2.5552400010592144</v>
      </c>
      <c r="BO15" s="96">
        <f>Investments!BQ32</f>
        <v>2.6063448010803989</v>
      </c>
      <c r="BP15" s="96">
        <f>Investments!BR32</f>
        <v>2.6584716971020068</v>
      </c>
      <c r="BQ15" s="96">
        <f>Investments!BS32</f>
        <v>2.7116411310440469</v>
      </c>
      <c r="BR15" s="96">
        <f>Investments!BT32</f>
        <v>2.7658739536649279</v>
      </c>
      <c r="BS15" s="96">
        <f>Investments!BU32</f>
        <v>2.8211914327382264</v>
      </c>
      <c r="BT15" s="96">
        <f>Investments!BV32</f>
        <v>2.8776152613929908</v>
      </c>
      <c r="BU15" s="96">
        <f>Investments!BW32</f>
        <v>2.9351675666208505</v>
      </c>
      <c r="BV15" s="96">
        <f>Investments!BX32</f>
        <v>2.9938709179532674</v>
      </c>
      <c r="BW15" s="96">
        <f>Investments!BY32</f>
        <v>3.0537483363123328</v>
      </c>
      <c r="BX15" s="96">
        <f>Investments!BZ32</f>
        <v>3.1148233030385795</v>
      </c>
      <c r="BY15" s="96">
        <f>Investments!CA32</f>
        <v>3.1771197690993511</v>
      </c>
      <c r="BZ15" s="96">
        <f>Investments!CB32</f>
        <v>3.2406621644813383</v>
      </c>
      <c r="CA15" s="96">
        <f>Investments!CC32</f>
        <v>3.3054754077709649</v>
      </c>
      <c r="CB15" s="96">
        <f>Investments!CD32</f>
        <v>3.3715849159263844</v>
      </c>
      <c r="CC15" s="96">
        <f>Investments!CE32</f>
        <v>3.4390166142449123</v>
      </c>
      <c r="CD15" s="96">
        <f>Investments!CF32</f>
        <v>3.5077969465298104</v>
      </c>
      <c r="CE15" s="96">
        <f>Investments!CG32</f>
        <v>3.5779528854604066</v>
      </c>
      <c r="CF15" s="96">
        <f>Investments!CH32</f>
        <v>3.6495119431696148</v>
      </c>
      <c r="CG15" s="96">
        <f>Investments!CI32</f>
        <v>3.7225021820330073</v>
      </c>
      <c r="CH15" s="96">
        <f>Investments!CJ32</f>
        <v>3.7969522256736674</v>
      </c>
      <c r="CI15" s="96">
        <f>Investments!CK32</f>
        <v>3.8728912701871407</v>
      </c>
      <c r="CJ15" s="96">
        <f>Investments!CL32</f>
        <v>3.9503490955908838</v>
      </c>
      <c r="CK15" s="96">
        <f>Investments!CM32</f>
        <v>4.0293560775027011</v>
      </c>
      <c r="CL15" s="96">
        <f>Investments!CN32</f>
        <v>4.1099431990527551</v>
      </c>
      <c r="CM15" s="96">
        <f>Investments!CO32</f>
        <v>4.1921420630338107</v>
      </c>
      <c r="CN15" s="96">
        <f>Investments!CP32</f>
        <v>4.2759849042944866</v>
      </c>
      <c r="CO15" s="96">
        <f>Investments!CQ32</f>
        <v>4.3615046023803767</v>
      </c>
      <c r="CP15" s="96">
        <f>Investments!CR32</f>
        <v>4.4487346944279844</v>
      </c>
      <c r="CQ15" s="96">
        <f>Investments!CS32</f>
        <v>4.5377093883165438</v>
      </c>
    </row>
    <row r="16" spans="1:95">
      <c r="A16" s="79" t="s">
        <v>216</v>
      </c>
      <c r="B16" s="87">
        <v>6.2898100000000001</v>
      </c>
      <c r="C16" s="87">
        <v>6.2898100000000001</v>
      </c>
      <c r="D16" s="87">
        <v>6.2898100000000001</v>
      </c>
      <c r="E16" s="87">
        <v>6.2898100000000001</v>
      </c>
      <c r="F16" s="87">
        <v>6.2898100000000001</v>
      </c>
      <c r="G16" s="87">
        <v>6.2898100000000001</v>
      </c>
      <c r="H16" s="87">
        <v>6.2898100000000001</v>
      </c>
      <c r="I16" s="87">
        <v>6.2898100000000001</v>
      </c>
      <c r="J16" s="87">
        <v>6.2898100000000001</v>
      </c>
      <c r="K16" s="87">
        <v>6.2898100000000001</v>
      </c>
      <c r="L16" s="87">
        <v>6.2898100000000001</v>
      </c>
      <c r="M16" s="87">
        <v>6.2898100000000001</v>
      </c>
      <c r="N16" s="87">
        <v>6.2898100000000001</v>
      </c>
      <c r="O16" s="87">
        <v>6.2898100000000001</v>
      </c>
      <c r="P16" s="87">
        <v>6.2898100000000001</v>
      </c>
      <c r="Q16" s="87">
        <v>6.2898100000000001</v>
      </c>
      <c r="R16" s="87">
        <v>6.2898100000000001</v>
      </c>
      <c r="S16" s="87">
        <v>6.2898100000000001</v>
      </c>
      <c r="T16" s="87">
        <v>6.2898100000000001</v>
      </c>
      <c r="U16" s="87">
        <v>6.2898100000000001</v>
      </c>
      <c r="V16" s="87">
        <v>6.2898100000000001</v>
      </c>
      <c r="W16" s="87">
        <v>6.2898100000000001</v>
      </c>
      <c r="X16" s="87">
        <v>6.2898100000000001</v>
      </c>
      <c r="Y16" s="87">
        <v>6.2898100000000001</v>
      </c>
      <c r="Z16" s="87">
        <v>6.2898100000000001</v>
      </c>
      <c r="AA16" s="87">
        <v>6.2898100000000001</v>
      </c>
      <c r="AB16" s="87">
        <v>6.2898100000000001</v>
      </c>
      <c r="AC16" s="87">
        <v>6.2898100000000001</v>
      </c>
      <c r="AD16" s="87">
        <v>6.2898100000000001</v>
      </c>
      <c r="AE16" s="87">
        <v>6.2898100000000001</v>
      </c>
      <c r="AF16" s="87">
        <v>6.2898100000000001</v>
      </c>
      <c r="AG16" s="87">
        <v>6.2898100000000001</v>
      </c>
      <c r="AH16" s="87">
        <v>6.2898100000000001</v>
      </c>
      <c r="AI16" s="87">
        <v>6.2898100000000001</v>
      </c>
      <c r="AJ16" s="87">
        <v>6.2898100000000001</v>
      </c>
      <c r="AK16" s="87">
        <v>6.2898100000000001</v>
      </c>
      <c r="AL16" s="87">
        <v>6.2898100000000001</v>
      </c>
      <c r="AM16" s="87">
        <v>6.2898100000000001</v>
      </c>
      <c r="AN16" s="87">
        <v>6.2898100000000001</v>
      </c>
      <c r="AO16" s="87">
        <v>6.2898100000000001</v>
      </c>
      <c r="AP16" s="87">
        <v>6.2898100000000001</v>
      </c>
      <c r="AQ16" s="87">
        <v>6.2898100000000001</v>
      </c>
      <c r="AR16" s="87">
        <v>6.2898100000000001</v>
      </c>
      <c r="AS16" s="87">
        <v>6.2898100000000001</v>
      </c>
      <c r="AT16" s="87">
        <v>6.2898100000000001</v>
      </c>
      <c r="AU16" s="87">
        <v>6.2898100000000001</v>
      </c>
      <c r="AV16" s="87">
        <v>6.2898100000000001</v>
      </c>
      <c r="AW16" s="87">
        <v>6.2898100000000001</v>
      </c>
      <c r="AX16" s="87">
        <v>6.2898100000000001</v>
      </c>
      <c r="AY16" s="87">
        <v>6.2898100000000001</v>
      </c>
      <c r="AZ16" s="87">
        <v>6.2898100000000001</v>
      </c>
      <c r="BA16" s="87">
        <v>6.2898100000000001</v>
      </c>
      <c r="BB16" s="87">
        <v>6.2898100000000001</v>
      </c>
      <c r="BC16" s="87">
        <v>6.2898100000000001</v>
      </c>
      <c r="BD16" s="87">
        <v>6.2898100000000001</v>
      </c>
      <c r="BE16" s="87">
        <v>6.2898100000000001</v>
      </c>
      <c r="BF16" s="87">
        <v>6.2898100000000001</v>
      </c>
      <c r="BG16" s="87">
        <v>6.2898100000000001</v>
      </c>
      <c r="BH16" s="87">
        <v>6.2898100000000001</v>
      </c>
      <c r="BI16" s="87">
        <v>6.2898100000000001</v>
      </c>
      <c r="BJ16" s="87">
        <v>6.2898100000000001</v>
      </c>
      <c r="BK16" s="87">
        <v>6.2898100000000001</v>
      </c>
      <c r="BL16" s="87">
        <v>6.2898100000000001</v>
      </c>
      <c r="BM16" s="87">
        <v>6.2898100000000001</v>
      </c>
      <c r="BN16" s="87">
        <v>6.2898100000000001</v>
      </c>
      <c r="BO16" s="87">
        <v>6.2898100000000001</v>
      </c>
      <c r="BP16" s="87">
        <v>6.2898100000000001</v>
      </c>
      <c r="BQ16" s="87">
        <v>6.2898100000000001</v>
      </c>
      <c r="BR16" s="87">
        <v>6.2898100000000001</v>
      </c>
      <c r="BS16" s="87">
        <v>6.2898100000000001</v>
      </c>
      <c r="BT16" s="87">
        <v>6.2898100000000001</v>
      </c>
      <c r="BU16" s="87">
        <v>6.2898100000000001</v>
      </c>
      <c r="BV16" s="87">
        <v>6.2898100000000001</v>
      </c>
      <c r="BW16" s="87">
        <v>6.2898100000000001</v>
      </c>
      <c r="BX16" s="87">
        <v>6.2898100000000001</v>
      </c>
      <c r="BY16" s="87">
        <v>6.2898100000000001</v>
      </c>
      <c r="BZ16" s="87">
        <v>6.2898100000000001</v>
      </c>
      <c r="CA16" s="87">
        <v>6.2898100000000001</v>
      </c>
      <c r="CB16" s="87">
        <v>6.2898100000000001</v>
      </c>
      <c r="CC16" s="87">
        <v>6.2898100000000001</v>
      </c>
      <c r="CD16" s="87">
        <v>6.2898100000000001</v>
      </c>
      <c r="CE16" s="87">
        <v>6.2898100000000001</v>
      </c>
      <c r="CF16" s="87">
        <v>6.2898100000000001</v>
      </c>
      <c r="CG16" s="87">
        <v>6.2898100000000001</v>
      </c>
      <c r="CH16" s="87">
        <v>6.2898100000000001</v>
      </c>
      <c r="CI16" s="87">
        <v>6.2898100000000001</v>
      </c>
      <c r="CJ16" s="87">
        <v>6.2898100000000001</v>
      </c>
      <c r="CK16" s="87">
        <v>6.2898100000000001</v>
      </c>
      <c r="CL16" s="87">
        <v>6.2898100000000001</v>
      </c>
      <c r="CM16" s="87">
        <v>6.2898100000000001</v>
      </c>
      <c r="CN16" s="87">
        <v>6.2898100000000001</v>
      </c>
      <c r="CO16" s="87">
        <v>6.2898100000000001</v>
      </c>
      <c r="CP16" s="87">
        <v>6.2898100000000001</v>
      </c>
      <c r="CQ16" s="87">
        <v>6.2898100000000001</v>
      </c>
    </row>
    <row r="17" spans="1:95">
      <c r="A17" s="79" t="s">
        <v>236</v>
      </c>
      <c r="B17" s="87">
        <v>1.9</v>
      </c>
      <c r="C17" s="87">
        <v>1.9</v>
      </c>
      <c r="D17" s="87">
        <v>1.9</v>
      </c>
      <c r="E17" s="87">
        <v>1.9</v>
      </c>
      <c r="F17" s="87">
        <v>1.9</v>
      </c>
      <c r="G17" s="87">
        <v>1.9</v>
      </c>
      <c r="H17" s="87">
        <v>1.9</v>
      </c>
      <c r="I17" s="87">
        <v>1.9</v>
      </c>
      <c r="J17" s="87">
        <v>1.9</v>
      </c>
      <c r="K17" s="87">
        <v>1.9</v>
      </c>
      <c r="L17" s="87">
        <v>1.9</v>
      </c>
      <c r="M17" s="87">
        <v>1.9</v>
      </c>
      <c r="N17" s="87">
        <v>1.9</v>
      </c>
      <c r="O17" s="87">
        <v>1.9</v>
      </c>
      <c r="P17" s="87">
        <v>1.9</v>
      </c>
      <c r="Q17" s="87">
        <v>1.9</v>
      </c>
      <c r="R17" s="87">
        <v>1.9</v>
      </c>
      <c r="S17" s="87">
        <v>1.9</v>
      </c>
      <c r="T17" s="87">
        <v>1.9</v>
      </c>
      <c r="U17" s="87">
        <v>1.9</v>
      </c>
      <c r="V17" s="87">
        <v>1.9</v>
      </c>
      <c r="W17" s="87">
        <v>1.9</v>
      </c>
      <c r="X17" s="87">
        <v>1.9</v>
      </c>
      <c r="Y17" s="87">
        <v>1.9</v>
      </c>
      <c r="Z17" s="87">
        <v>1.9</v>
      </c>
      <c r="AA17" s="87">
        <v>1.9</v>
      </c>
      <c r="AB17" s="87">
        <v>1.9</v>
      </c>
      <c r="AC17" s="87">
        <v>1.9</v>
      </c>
      <c r="AD17" s="87">
        <v>1.9</v>
      </c>
      <c r="AE17" s="87">
        <v>1.9</v>
      </c>
      <c r="AF17" s="87">
        <v>1.9</v>
      </c>
      <c r="AG17" s="87">
        <v>1.9</v>
      </c>
      <c r="AH17" s="87">
        <v>1.9</v>
      </c>
      <c r="AI17" s="87">
        <v>1.9</v>
      </c>
      <c r="AJ17" s="87">
        <v>1.9</v>
      </c>
      <c r="AK17" s="87">
        <v>1.9</v>
      </c>
      <c r="AL17" s="87">
        <v>1.9</v>
      </c>
      <c r="AM17" s="87">
        <v>1.9</v>
      </c>
      <c r="AN17" s="87">
        <v>1.9</v>
      </c>
      <c r="AO17" s="87">
        <v>1.9</v>
      </c>
      <c r="AP17" s="87">
        <v>1.9</v>
      </c>
      <c r="AQ17" s="87">
        <v>1.9</v>
      </c>
      <c r="AR17" s="87">
        <v>1.9</v>
      </c>
      <c r="AS17" s="87">
        <v>1.9</v>
      </c>
      <c r="AT17" s="87">
        <v>1.9</v>
      </c>
      <c r="AU17" s="87">
        <v>1.9</v>
      </c>
      <c r="AV17" s="87">
        <v>1.9</v>
      </c>
      <c r="AW17" s="87">
        <v>1.9</v>
      </c>
      <c r="AX17" s="87">
        <v>1.9</v>
      </c>
      <c r="AY17" s="87">
        <v>1.9</v>
      </c>
      <c r="AZ17" s="87">
        <v>1.9</v>
      </c>
      <c r="BA17" s="87">
        <v>1.9</v>
      </c>
      <c r="BB17" s="87">
        <v>1.9</v>
      </c>
      <c r="BC17" s="87">
        <v>1.9</v>
      </c>
      <c r="BD17" s="87">
        <v>1.9</v>
      </c>
      <c r="BE17" s="87">
        <v>1.9</v>
      </c>
      <c r="BF17" s="87">
        <v>1.9</v>
      </c>
      <c r="BG17" s="87">
        <v>1.9</v>
      </c>
      <c r="BH17" s="87">
        <v>1.9</v>
      </c>
      <c r="BI17" s="87">
        <v>1.9</v>
      </c>
      <c r="BJ17" s="87">
        <v>1.9</v>
      </c>
      <c r="BK17" s="87">
        <v>1.9</v>
      </c>
      <c r="BL17" s="87">
        <v>1.9</v>
      </c>
      <c r="BM17" s="87">
        <v>1.9</v>
      </c>
      <c r="BN17" s="87">
        <v>1.9</v>
      </c>
      <c r="BO17" s="87">
        <v>1.9</v>
      </c>
      <c r="BP17" s="87">
        <v>1.9</v>
      </c>
      <c r="BQ17" s="87">
        <v>1.9</v>
      </c>
      <c r="BR17" s="87">
        <v>1.9</v>
      </c>
      <c r="BS17" s="87">
        <v>1.9</v>
      </c>
      <c r="BT17" s="87">
        <v>1.9</v>
      </c>
      <c r="BU17" s="87">
        <v>1.9</v>
      </c>
      <c r="BV17" s="87">
        <v>1.9</v>
      </c>
      <c r="BW17" s="87">
        <v>1.9</v>
      </c>
      <c r="BX17" s="87">
        <v>1.9</v>
      </c>
      <c r="BY17" s="87">
        <v>1.9</v>
      </c>
      <c r="BZ17" s="87">
        <v>1.9</v>
      </c>
      <c r="CA17" s="87">
        <v>1.9</v>
      </c>
      <c r="CB17" s="87">
        <v>1.9</v>
      </c>
      <c r="CC17" s="87">
        <v>1.9</v>
      </c>
      <c r="CD17" s="87">
        <v>1.9</v>
      </c>
      <c r="CE17" s="87">
        <v>1.9</v>
      </c>
      <c r="CF17" s="87">
        <v>1.9</v>
      </c>
      <c r="CG17" s="87">
        <v>1.9</v>
      </c>
      <c r="CH17" s="87">
        <v>1.9</v>
      </c>
      <c r="CI17" s="87">
        <v>1.9</v>
      </c>
      <c r="CJ17" s="87">
        <v>1.9</v>
      </c>
      <c r="CK17" s="87">
        <v>1.9</v>
      </c>
      <c r="CL17" s="87">
        <v>1.9</v>
      </c>
      <c r="CM17" s="87">
        <v>1.9</v>
      </c>
      <c r="CN17" s="87">
        <v>1.9</v>
      </c>
      <c r="CO17" s="87">
        <v>1.9</v>
      </c>
      <c r="CP17" s="87">
        <v>1.9</v>
      </c>
      <c r="CQ17" s="87">
        <v>1.9</v>
      </c>
    </row>
    <row r="18" spans="1:95">
      <c r="A18" s="79" t="s">
        <v>572</v>
      </c>
      <c r="B18" s="87">
        <v>8.1</v>
      </c>
      <c r="C18" s="87">
        <v>11.5</v>
      </c>
      <c r="D18" s="87">
        <v>13.4</v>
      </c>
      <c r="E18" s="87">
        <v>-2.9</v>
      </c>
      <c r="F18" s="87">
        <v>-7.4</v>
      </c>
      <c r="G18" s="87">
        <v>3.3</v>
      </c>
      <c r="H18" s="87">
        <v>27.9</v>
      </c>
      <c r="I18" s="87">
        <v>-32.799999999999997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  <c r="AG18" s="87">
        <v>0</v>
      </c>
      <c r="AH18" s="87">
        <v>0</v>
      </c>
      <c r="AI18" s="87">
        <v>0</v>
      </c>
      <c r="AJ18" s="87">
        <v>0</v>
      </c>
      <c r="AK18" s="87">
        <v>0</v>
      </c>
      <c r="AL18" s="87">
        <v>0</v>
      </c>
      <c r="AM18" s="87">
        <v>0</v>
      </c>
      <c r="AN18" s="87">
        <v>0</v>
      </c>
      <c r="AO18" s="87">
        <v>0</v>
      </c>
      <c r="AP18" s="87">
        <v>0</v>
      </c>
      <c r="AQ18" s="87">
        <v>0</v>
      </c>
      <c r="AR18" s="87">
        <v>0</v>
      </c>
      <c r="AS18" s="87">
        <v>0</v>
      </c>
      <c r="AT18" s="87">
        <v>0</v>
      </c>
      <c r="AU18" s="87">
        <v>0</v>
      </c>
      <c r="AV18" s="87">
        <v>0</v>
      </c>
      <c r="AW18" s="87">
        <v>0</v>
      </c>
      <c r="AX18" s="87">
        <v>0</v>
      </c>
      <c r="AY18" s="87">
        <v>0</v>
      </c>
      <c r="AZ18" s="87">
        <v>0</v>
      </c>
      <c r="BA18" s="87">
        <v>0</v>
      </c>
      <c r="BB18" s="87">
        <v>0</v>
      </c>
      <c r="BC18" s="87">
        <v>0</v>
      </c>
      <c r="BD18" s="87">
        <v>0</v>
      </c>
      <c r="BE18" s="87">
        <v>0</v>
      </c>
      <c r="BF18" s="87">
        <v>0</v>
      </c>
      <c r="BG18" s="87">
        <v>0</v>
      </c>
      <c r="BH18" s="87">
        <v>0</v>
      </c>
      <c r="BI18" s="87">
        <v>0</v>
      </c>
      <c r="BJ18" s="87">
        <v>0</v>
      </c>
      <c r="BK18" s="87">
        <v>0</v>
      </c>
      <c r="BL18" s="87">
        <v>0</v>
      </c>
      <c r="BM18" s="87">
        <v>0</v>
      </c>
      <c r="BN18" s="87">
        <v>0</v>
      </c>
      <c r="BO18" s="87">
        <v>0</v>
      </c>
      <c r="BP18" s="87">
        <v>0</v>
      </c>
      <c r="BQ18" s="87">
        <v>0</v>
      </c>
      <c r="BR18" s="87">
        <v>0</v>
      </c>
      <c r="BS18" s="87">
        <v>0</v>
      </c>
      <c r="BT18" s="87">
        <v>0</v>
      </c>
      <c r="BU18" s="87">
        <v>0</v>
      </c>
      <c r="BV18" s="87">
        <v>0</v>
      </c>
      <c r="BW18" s="87">
        <v>0</v>
      </c>
      <c r="BX18" s="87">
        <v>0</v>
      </c>
      <c r="BY18" s="87">
        <v>0</v>
      </c>
      <c r="BZ18" s="87">
        <v>0</v>
      </c>
      <c r="CA18" s="87">
        <v>0</v>
      </c>
      <c r="CB18" s="87">
        <v>0</v>
      </c>
      <c r="CC18" s="87">
        <v>0</v>
      </c>
      <c r="CD18" s="87">
        <v>0</v>
      </c>
      <c r="CE18" s="87">
        <v>0</v>
      </c>
      <c r="CF18" s="87">
        <v>0</v>
      </c>
      <c r="CG18" s="87">
        <v>0</v>
      </c>
      <c r="CH18" s="87">
        <v>0</v>
      </c>
      <c r="CI18" s="87">
        <v>0</v>
      </c>
      <c r="CJ18" s="87">
        <v>0</v>
      </c>
      <c r="CK18" s="87">
        <v>0</v>
      </c>
      <c r="CL18" s="87">
        <v>0</v>
      </c>
      <c r="CM18" s="87">
        <v>0</v>
      </c>
      <c r="CN18" s="87">
        <v>0</v>
      </c>
      <c r="CO18" s="87">
        <v>0</v>
      </c>
      <c r="CP18" s="87">
        <v>0</v>
      </c>
      <c r="CQ18" s="87">
        <v>0</v>
      </c>
    </row>
    <row r="19" spans="1:95">
      <c r="A19" s="79" t="s">
        <v>165</v>
      </c>
      <c r="B19" s="96">
        <f t="shared" ref="B19:H19" si="19">C19/(1+C18/100)</f>
        <v>0.9906989949720757</v>
      </c>
      <c r="C19" s="96">
        <f t="shared" si="19"/>
        <v>1.1046293793938644</v>
      </c>
      <c r="D19" s="96">
        <f t="shared" si="19"/>
        <v>1.2526497162326422</v>
      </c>
      <c r="E19" s="96">
        <f t="shared" si="19"/>
        <v>1.2163228744618955</v>
      </c>
      <c r="F19" s="96">
        <f t="shared" si="19"/>
        <v>1.1263149817517151</v>
      </c>
      <c r="G19" s="96">
        <f t="shared" si="19"/>
        <v>1.1634833761495216</v>
      </c>
      <c r="H19" s="96">
        <f t="shared" si="19"/>
        <v>1.4880952380952379</v>
      </c>
      <c r="I19" s="96">
        <f>J19/(1+J18/100)</f>
        <v>1</v>
      </c>
      <c r="J19" s="96">
        <f>K19/(1+K18/100)</f>
        <v>1</v>
      </c>
      <c r="K19" s="96">
        <f t="shared" ref="K19:P19" si="20">L19/(1+L18/100)</f>
        <v>1</v>
      </c>
      <c r="L19" s="96">
        <f t="shared" si="20"/>
        <v>1</v>
      </c>
      <c r="M19" s="96">
        <f t="shared" si="20"/>
        <v>1</v>
      </c>
      <c r="N19" s="96">
        <f t="shared" si="20"/>
        <v>1</v>
      </c>
      <c r="O19" s="96">
        <f t="shared" si="20"/>
        <v>1</v>
      </c>
      <c r="P19" s="96">
        <f t="shared" si="20"/>
        <v>1</v>
      </c>
      <c r="Q19" s="96">
        <f>R19/(1+R18/100)</f>
        <v>1</v>
      </c>
      <c r="R19" s="96">
        <v>1</v>
      </c>
      <c r="S19" s="96">
        <f>R19*(1+S18/100)</f>
        <v>1</v>
      </c>
      <c r="T19" s="96">
        <f>S19*(1+T18/100)</f>
        <v>1</v>
      </c>
      <c r="U19" s="96">
        <f t="shared" ref="U19:AI19" si="21">T19*(1+U18/100)</f>
        <v>1</v>
      </c>
      <c r="V19" s="96">
        <f t="shared" si="21"/>
        <v>1</v>
      </c>
      <c r="W19" s="96">
        <f t="shared" si="21"/>
        <v>1</v>
      </c>
      <c r="X19" s="96">
        <f t="shared" si="21"/>
        <v>1</v>
      </c>
      <c r="Y19" s="96">
        <f t="shared" si="21"/>
        <v>1</v>
      </c>
      <c r="Z19" s="96">
        <f t="shared" si="21"/>
        <v>1</v>
      </c>
      <c r="AA19" s="96">
        <f t="shared" si="21"/>
        <v>1</v>
      </c>
      <c r="AB19" s="96">
        <f t="shared" si="21"/>
        <v>1</v>
      </c>
      <c r="AC19" s="96">
        <f t="shared" si="21"/>
        <v>1</v>
      </c>
      <c r="AD19" s="96">
        <f t="shared" si="21"/>
        <v>1</v>
      </c>
      <c r="AE19" s="96">
        <f t="shared" si="21"/>
        <v>1</v>
      </c>
      <c r="AF19" s="96">
        <f t="shared" si="21"/>
        <v>1</v>
      </c>
      <c r="AG19" s="96">
        <f t="shared" si="21"/>
        <v>1</v>
      </c>
      <c r="AH19" s="96">
        <f t="shared" si="21"/>
        <v>1</v>
      </c>
      <c r="AI19" s="96">
        <f t="shared" si="21"/>
        <v>1</v>
      </c>
      <c r="AJ19" s="96">
        <f t="shared" ref="AJ19:BC19" si="22">AI19*(1+AJ18/100)</f>
        <v>1</v>
      </c>
      <c r="AK19" s="96">
        <f t="shared" si="22"/>
        <v>1</v>
      </c>
      <c r="AL19" s="96">
        <f t="shared" si="22"/>
        <v>1</v>
      </c>
      <c r="AM19" s="96">
        <f t="shared" si="22"/>
        <v>1</v>
      </c>
      <c r="AN19" s="96">
        <f t="shared" si="22"/>
        <v>1</v>
      </c>
      <c r="AO19" s="96">
        <f t="shared" si="22"/>
        <v>1</v>
      </c>
      <c r="AP19" s="96">
        <f t="shared" si="22"/>
        <v>1</v>
      </c>
      <c r="AQ19" s="96">
        <f t="shared" si="22"/>
        <v>1</v>
      </c>
      <c r="AR19" s="96">
        <f t="shared" si="22"/>
        <v>1</v>
      </c>
      <c r="AS19" s="96">
        <f t="shared" si="22"/>
        <v>1</v>
      </c>
      <c r="AT19" s="96">
        <f t="shared" si="22"/>
        <v>1</v>
      </c>
      <c r="AU19" s="96">
        <f t="shared" si="22"/>
        <v>1</v>
      </c>
      <c r="AV19" s="96">
        <f t="shared" si="22"/>
        <v>1</v>
      </c>
      <c r="AW19" s="96">
        <f t="shared" si="22"/>
        <v>1</v>
      </c>
      <c r="AX19" s="96">
        <f t="shared" si="22"/>
        <v>1</v>
      </c>
      <c r="AY19" s="96">
        <f t="shared" si="22"/>
        <v>1</v>
      </c>
      <c r="AZ19" s="96">
        <f t="shared" si="22"/>
        <v>1</v>
      </c>
      <c r="BA19" s="96">
        <f t="shared" si="22"/>
        <v>1</v>
      </c>
      <c r="BB19" s="96">
        <f t="shared" si="22"/>
        <v>1</v>
      </c>
      <c r="BC19" s="96">
        <f t="shared" si="22"/>
        <v>1</v>
      </c>
      <c r="BD19" s="96">
        <f t="shared" ref="BD19:CI19" si="23">BC19*(1+BD18/100)</f>
        <v>1</v>
      </c>
      <c r="BE19" s="96">
        <f t="shared" si="23"/>
        <v>1</v>
      </c>
      <c r="BF19" s="96">
        <f t="shared" si="23"/>
        <v>1</v>
      </c>
      <c r="BG19" s="96">
        <f t="shared" si="23"/>
        <v>1</v>
      </c>
      <c r="BH19" s="96">
        <f t="shared" si="23"/>
        <v>1</v>
      </c>
      <c r="BI19" s="96">
        <f t="shared" si="23"/>
        <v>1</v>
      </c>
      <c r="BJ19" s="96">
        <f t="shared" si="23"/>
        <v>1</v>
      </c>
      <c r="BK19" s="96">
        <f t="shared" si="23"/>
        <v>1</v>
      </c>
      <c r="BL19" s="96">
        <f t="shared" si="23"/>
        <v>1</v>
      </c>
      <c r="BM19" s="96">
        <f t="shared" si="23"/>
        <v>1</v>
      </c>
      <c r="BN19" s="96">
        <f t="shared" si="23"/>
        <v>1</v>
      </c>
      <c r="BO19" s="96">
        <f t="shared" si="23"/>
        <v>1</v>
      </c>
      <c r="BP19" s="96">
        <f t="shared" si="23"/>
        <v>1</v>
      </c>
      <c r="BQ19" s="96">
        <f t="shared" si="23"/>
        <v>1</v>
      </c>
      <c r="BR19" s="96">
        <f t="shared" si="23"/>
        <v>1</v>
      </c>
      <c r="BS19" s="96">
        <f t="shared" si="23"/>
        <v>1</v>
      </c>
      <c r="BT19" s="96">
        <f t="shared" si="23"/>
        <v>1</v>
      </c>
      <c r="BU19" s="96">
        <f t="shared" si="23"/>
        <v>1</v>
      </c>
      <c r="BV19" s="96">
        <f t="shared" si="23"/>
        <v>1</v>
      </c>
      <c r="BW19" s="96">
        <f t="shared" si="23"/>
        <v>1</v>
      </c>
      <c r="BX19" s="96">
        <f t="shared" si="23"/>
        <v>1</v>
      </c>
      <c r="BY19" s="96">
        <f t="shared" si="23"/>
        <v>1</v>
      </c>
      <c r="BZ19" s="96">
        <f t="shared" si="23"/>
        <v>1</v>
      </c>
      <c r="CA19" s="96">
        <f t="shared" si="23"/>
        <v>1</v>
      </c>
      <c r="CB19" s="96">
        <f t="shared" si="23"/>
        <v>1</v>
      </c>
      <c r="CC19" s="96">
        <f t="shared" si="23"/>
        <v>1</v>
      </c>
      <c r="CD19" s="96">
        <f t="shared" si="23"/>
        <v>1</v>
      </c>
      <c r="CE19" s="96">
        <f t="shared" si="23"/>
        <v>1</v>
      </c>
      <c r="CF19" s="96">
        <f t="shared" si="23"/>
        <v>1</v>
      </c>
      <c r="CG19" s="96">
        <f t="shared" si="23"/>
        <v>1</v>
      </c>
      <c r="CH19" s="96">
        <f t="shared" si="23"/>
        <v>1</v>
      </c>
      <c r="CI19" s="96">
        <f t="shared" si="23"/>
        <v>1</v>
      </c>
      <c r="CJ19" s="96">
        <f>CI19*(1+CJ18/100)</f>
        <v>1</v>
      </c>
      <c r="CK19" s="96">
        <f>CJ19*(1+CK18/100)</f>
        <v>1</v>
      </c>
      <c r="CL19" s="96">
        <f>CK19*(1+CL18/100)</f>
        <v>1</v>
      </c>
      <c r="CM19" s="96">
        <f t="shared" ref="CM19:CQ19" si="24">CL19*(1+CM18/100)</f>
        <v>1</v>
      </c>
      <c r="CN19" s="96">
        <f t="shared" si="24"/>
        <v>1</v>
      </c>
      <c r="CO19" s="96">
        <f t="shared" si="24"/>
        <v>1</v>
      </c>
      <c r="CP19" s="96">
        <f t="shared" si="24"/>
        <v>1</v>
      </c>
      <c r="CQ19" s="96">
        <f t="shared" si="24"/>
        <v>1</v>
      </c>
    </row>
    <row r="20" spans="1:95">
      <c r="A20" s="298"/>
      <c r="B20" s="95"/>
      <c r="C20" s="95"/>
      <c r="D20" s="95"/>
      <c r="E20" s="95"/>
      <c r="F20" s="95"/>
      <c r="G20" s="95"/>
      <c r="H20" s="95"/>
      <c r="I20" s="95"/>
      <c r="J20" s="96"/>
      <c r="K20" s="96"/>
      <c r="L20" s="96"/>
      <c r="M20" s="96"/>
      <c r="N20" s="96"/>
      <c r="O20" s="96"/>
      <c r="P20" s="96"/>
      <c r="Q20" s="96"/>
      <c r="R20" s="96"/>
      <c r="S20" s="82"/>
      <c r="T20" s="82"/>
      <c r="U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</row>
    <row r="21" spans="1:95"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</row>
    <row r="22" spans="1:95">
      <c r="A22" s="245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115"/>
      <c r="AI22" s="115"/>
    </row>
    <row r="23" spans="1:95">
      <c r="A23" s="245"/>
      <c r="E23" s="87"/>
      <c r="F23" s="87"/>
      <c r="G23" s="87"/>
      <c r="H23" s="115"/>
      <c r="I23" s="102"/>
      <c r="J23" s="102"/>
      <c r="K23" s="102"/>
      <c r="L23" s="102"/>
      <c r="M23" s="102"/>
      <c r="N23" s="102"/>
      <c r="O23" s="102"/>
      <c r="P23" s="115"/>
      <c r="Q23" s="115"/>
      <c r="R23" s="115"/>
      <c r="T23" s="88"/>
      <c r="W23" s="295"/>
      <c r="X23" s="116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</row>
    <row r="24" spans="1:95">
      <c r="A24" s="79" t="s">
        <v>632</v>
      </c>
      <c r="B24" s="92">
        <f t="shared" ref="B24:AC24" si="25">B5/B13</f>
        <v>283.05088659333865</v>
      </c>
      <c r="C24" s="92">
        <f t="shared" si="25"/>
        <v>198.45760617279856</v>
      </c>
      <c r="D24" s="92">
        <f t="shared" si="25"/>
        <v>270.86840345638751</v>
      </c>
      <c r="E24" s="92">
        <f t="shared" si="25"/>
        <v>488.38020637672093</v>
      </c>
      <c r="F24" s="92">
        <f t="shared" si="25"/>
        <v>421.97384302376128</v>
      </c>
      <c r="G24" s="92">
        <f t="shared" si="25"/>
        <v>368.81779156149548</v>
      </c>
      <c r="H24" s="92">
        <f t="shared" si="25"/>
        <v>366.09523049334359</v>
      </c>
      <c r="I24" s="92">
        <f t="shared" si="25"/>
        <v>452.3389876591724</v>
      </c>
      <c r="J24" s="92">
        <f t="shared" si="25"/>
        <v>609.06286482350333</v>
      </c>
      <c r="K24" s="92">
        <f t="shared" si="25"/>
        <v>703.04847680049943</v>
      </c>
      <c r="L24" s="92">
        <f t="shared" si="25"/>
        <v>686.78097129739911</v>
      </c>
      <c r="M24" s="92">
        <f t="shared" si="25"/>
        <v>865.25316900172857</v>
      </c>
      <c r="N24" s="92">
        <f t="shared" si="25"/>
        <v>610.64953926234023</v>
      </c>
      <c r="O24" s="92">
        <f t="shared" si="25"/>
        <v>745.23316322570793</v>
      </c>
      <c r="P24" s="92">
        <f t="shared" si="25"/>
        <v>926.49436553454541</v>
      </c>
      <c r="Q24" s="92">
        <f t="shared" si="25"/>
        <v>948.57234634062252</v>
      </c>
      <c r="R24" s="92">
        <f t="shared" si="25"/>
        <v>919.05693741335904</v>
      </c>
      <c r="S24" s="92">
        <f t="shared" si="25"/>
        <v>887.40201284929424</v>
      </c>
      <c r="T24" s="92">
        <f t="shared" si="25"/>
        <v>609.27765806212767</v>
      </c>
      <c r="U24" s="92">
        <f t="shared" si="25"/>
        <v>529.09356510271709</v>
      </c>
      <c r="V24" s="92">
        <f t="shared" si="25"/>
        <v>617.84267875064791</v>
      </c>
      <c r="W24" s="92">
        <f t="shared" si="25"/>
        <v>777.90668416864003</v>
      </c>
      <c r="X24" s="92">
        <f t="shared" si="25"/>
        <v>739.15954161665695</v>
      </c>
      <c r="Y24" s="92">
        <f t="shared" si="25"/>
        <v>526.90082484282038</v>
      </c>
      <c r="Z24" s="92">
        <f t="shared" si="25"/>
        <v>753.03291861893058</v>
      </c>
      <c r="AA24" s="92">
        <f t="shared" si="25"/>
        <v>1088.785107390717</v>
      </c>
      <c r="AB24" s="92">
        <f t="shared" si="25"/>
        <v>953.37084400232902</v>
      </c>
      <c r="AC24" s="92">
        <f t="shared" si="25"/>
        <v>914.30729599999984</v>
      </c>
      <c r="AD24" s="680">
        <f t="shared" ref="AD24:BG24" si="26">AD31*AD11</f>
        <v>746.45804266564221</v>
      </c>
      <c r="AE24" s="680">
        <f t="shared" si="26"/>
        <v>674.49526567499993</v>
      </c>
      <c r="AF24" s="680">
        <f t="shared" si="26"/>
        <v>660.10216101860942</v>
      </c>
      <c r="AG24" s="680">
        <f t="shared" si="26"/>
        <v>650.1552075609078</v>
      </c>
      <c r="AH24" s="680">
        <f t="shared" si="26"/>
        <v>639.70469936737209</v>
      </c>
      <c r="AI24" s="680">
        <f t="shared" si="26"/>
        <v>627.57292192637476</v>
      </c>
      <c r="AJ24" s="680">
        <f t="shared" si="26"/>
        <v>644.51305117637469</v>
      </c>
      <c r="AK24" s="680">
        <f t="shared" si="26"/>
        <v>661.45318042637473</v>
      </c>
      <c r="AL24" s="680">
        <f t="shared" si="26"/>
        <v>678.39330967637477</v>
      </c>
      <c r="AM24" s="680">
        <f t="shared" si="26"/>
        <v>695.3334389263747</v>
      </c>
      <c r="AN24" s="680">
        <f t="shared" si="26"/>
        <v>712.27491013487713</v>
      </c>
      <c r="AO24" s="680">
        <f t="shared" si="26"/>
        <v>712.27491013487713</v>
      </c>
      <c r="AP24" s="680">
        <f t="shared" si="26"/>
        <v>712.27491013487713</v>
      </c>
      <c r="AQ24" s="680">
        <f t="shared" si="26"/>
        <v>712.27491013487713</v>
      </c>
      <c r="AR24" s="680">
        <f t="shared" si="26"/>
        <v>712.27491013487713</v>
      </c>
      <c r="AS24" s="680">
        <f t="shared" si="26"/>
        <v>712.27491013487713</v>
      </c>
      <c r="AT24" s="680">
        <f t="shared" si="26"/>
        <v>712.27491013487713</v>
      </c>
      <c r="AU24" s="680">
        <f t="shared" si="26"/>
        <v>712.27491013487713</v>
      </c>
      <c r="AV24" s="680">
        <f t="shared" si="26"/>
        <v>712.27491013487713</v>
      </c>
      <c r="AW24" s="680">
        <f t="shared" si="26"/>
        <v>712.27491013487713</v>
      </c>
      <c r="AX24" s="680">
        <f t="shared" si="26"/>
        <v>712.27491013487713</v>
      </c>
      <c r="AY24" s="680">
        <f t="shared" si="26"/>
        <v>712.27491013487713</v>
      </c>
      <c r="AZ24" s="680">
        <f t="shared" si="26"/>
        <v>712.27491013487713</v>
      </c>
      <c r="BA24" s="680">
        <f t="shared" si="26"/>
        <v>712.27491013487713</v>
      </c>
      <c r="BB24" s="680">
        <f t="shared" si="26"/>
        <v>712.27491013487713</v>
      </c>
      <c r="BC24" s="680">
        <f t="shared" si="26"/>
        <v>712.27491013487713</v>
      </c>
      <c r="BD24" s="680">
        <f t="shared" si="26"/>
        <v>712.27491013487713</v>
      </c>
      <c r="BE24" s="680">
        <f t="shared" si="26"/>
        <v>712.27491013487713</v>
      </c>
      <c r="BF24" s="680">
        <f t="shared" si="26"/>
        <v>712.27491013487713</v>
      </c>
      <c r="BG24" s="680">
        <f t="shared" si="26"/>
        <v>712.27491013487713</v>
      </c>
      <c r="BH24" s="680">
        <f t="shared" ref="BH24:CQ24" si="27">BH31*BH11</f>
        <v>712.27491013487713</v>
      </c>
      <c r="BI24" s="680">
        <f t="shared" si="27"/>
        <v>712.27491013487713</v>
      </c>
      <c r="BJ24" s="680">
        <f t="shared" si="27"/>
        <v>712.27491013487713</v>
      </c>
      <c r="BK24" s="680">
        <f t="shared" si="27"/>
        <v>712.27491013487713</v>
      </c>
      <c r="BL24" s="680">
        <f t="shared" si="27"/>
        <v>712.27491013487713</v>
      </c>
      <c r="BM24" s="680">
        <f t="shared" si="27"/>
        <v>712.27491013487713</v>
      </c>
      <c r="BN24" s="680">
        <f t="shared" si="27"/>
        <v>712.27491013487713</v>
      </c>
      <c r="BO24" s="680">
        <f t="shared" si="27"/>
        <v>712.27491013487713</v>
      </c>
      <c r="BP24" s="680">
        <f t="shared" si="27"/>
        <v>712.27491013487713</v>
      </c>
      <c r="BQ24" s="680">
        <f t="shared" si="27"/>
        <v>712.27491013487713</v>
      </c>
      <c r="BR24" s="680">
        <f t="shared" si="27"/>
        <v>712.27491013487713</v>
      </c>
      <c r="BS24" s="680">
        <f t="shared" si="27"/>
        <v>712.27491013487713</v>
      </c>
      <c r="BT24" s="680">
        <f t="shared" si="27"/>
        <v>712.27491013487713</v>
      </c>
      <c r="BU24" s="680">
        <f t="shared" si="27"/>
        <v>712.27491013487713</v>
      </c>
      <c r="BV24" s="680">
        <f t="shared" si="27"/>
        <v>712.27491013487713</v>
      </c>
      <c r="BW24" s="680">
        <f t="shared" si="27"/>
        <v>712.27491013487713</v>
      </c>
      <c r="BX24" s="680">
        <f t="shared" si="27"/>
        <v>712.27491013487713</v>
      </c>
      <c r="BY24" s="680">
        <f t="shared" si="27"/>
        <v>712.27491013487713</v>
      </c>
      <c r="BZ24" s="680">
        <f t="shared" si="27"/>
        <v>712.27491013487713</v>
      </c>
      <c r="CA24" s="680">
        <f t="shared" si="27"/>
        <v>712.27491013487713</v>
      </c>
      <c r="CB24" s="680">
        <f t="shared" si="27"/>
        <v>712.27491013487713</v>
      </c>
      <c r="CC24" s="680">
        <f t="shared" si="27"/>
        <v>712.27491013487713</v>
      </c>
      <c r="CD24" s="680">
        <f t="shared" si="27"/>
        <v>712.27491013487713</v>
      </c>
      <c r="CE24" s="680">
        <f t="shared" si="27"/>
        <v>712.27491013487713</v>
      </c>
      <c r="CF24" s="680">
        <f t="shared" si="27"/>
        <v>712.27491013487713</v>
      </c>
      <c r="CG24" s="680">
        <f t="shared" si="27"/>
        <v>712.27491013487713</v>
      </c>
      <c r="CH24" s="680">
        <f t="shared" si="27"/>
        <v>712.27491013487713</v>
      </c>
      <c r="CI24" s="680">
        <f t="shared" si="27"/>
        <v>712.27491013487713</v>
      </c>
      <c r="CJ24" s="680">
        <f t="shared" si="27"/>
        <v>712.27491013487713</v>
      </c>
      <c r="CK24" s="680">
        <f t="shared" si="27"/>
        <v>712.27491013487713</v>
      </c>
      <c r="CL24" s="680">
        <f t="shared" si="27"/>
        <v>712.27491013487713</v>
      </c>
      <c r="CM24" s="680">
        <f t="shared" si="27"/>
        <v>712.27491013487713</v>
      </c>
      <c r="CN24" s="680">
        <f t="shared" si="27"/>
        <v>712.27491013487713</v>
      </c>
      <c r="CO24" s="680">
        <f t="shared" si="27"/>
        <v>712.27491013487713</v>
      </c>
      <c r="CP24" s="680">
        <f t="shared" si="27"/>
        <v>712.27491013487713</v>
      </c>
      <c r="CQ24" s="680">
        <f t="shared" si="27"/>
        <v>712.27491013487713</v>
      </c>
    </row>
    <row r="25" spans="1:95">
      <c r="A25" s="79" t="s">
        <v>633</v>
      </c>
      <c r="B25" s="96">
        <f t="shared" ref="B25:AB25" si="28">B6/B13</f>
        <v>1.356783969918181</v>
      </c>
      <c r="C25" s="96">
        <f t="shared" si="28"/>
        <v>1.3154902895699814</v>
      </c>
      <c r="D25" s="96">
        <f t="shared" si="28"/>
        <v>1.1062934656915306</v>
      </c>
      <c r="E25" s="96">
        <f t="shared" si="28"/>
        <v>1.926280495270732</v>
      </c>
      <c r="F25" s="96">
        <f t="shared" si="28"/>
        <v>2.2896338567657</v>
      </c>
      <c r="G25" s="96">
        <f t="shared" si="28"/>
        <v>1.7136988294776558</v>
      </c>
      <c r="H25" s="96">
        <f t="shared" si="28"/>
        <v>1.602804989224589</v>
      </c>
      <c r="I25" s="96">
        <f t="shared" si="28"/>
        <v>1.7206620314878323</v>
      </c>
      <c r="J25" s="96">
        <f t="shared" si="28"/>
        <v>2.1445875521954343</v>
      </c>
      <c r="K25" s="96">
        <f t="shared" si="28"/>
        <v>2.8919724577609198</v>
      </c>
      <c r="L25" s="96">
        <f t="shared" si="28"/>
        <v>2.5370497057339212</v>
      </c>
      <c r="M25" s="96">
        <f t="shared" si="28"/>
        <v>3.4547878330644561</v>
      </c>
      <c r="N25" s="96">
        <f t="shared" si="28"/>
        <v>2.6081450909670285</v>
      </c>
      <c r="O25" s="96">
        <f t="shared" si="28"/>
        <v>2.4431355248018054</v>
      </c>
      <c r="P25" s="96">
        <f t="shared" si="28"/>
        <v>2.9790815612043264</v>
      </c>
      <c r="Q25" s="96">
        <f t="shared" si="28"/>
        <v>3.2251459775581166</v>
      </c>
      <c r="R25" s="96">
        <f t="shared" si="28"/>
        <v>3.3224124028558051</v>
      </c>
      <c r="S25" s="96">
        <f t="shared" si="28"/>
        <v>2.9013941408948214</v>
      </c>
      <c r="T25" s="96">
        <f t="shared" si="28"/>
        <v>2.7141835347547216</v>
      </c>
      <c r="U25" s="96">
        <f t="shared" si="28"/>
        <v>1.9544353328332558</v>
      </c>
      <c r="V25" s="96">
        <f t="shared" si="28"/>
        <v>2.2553991591561262</v>
      </c>
      <c r="W25" s="96">
        <f t="shared" si="28"/>
        <v>2.9354969213910946</v>
      </c>
      <c r="X25" s="96">
        <f t="shared" si="28"/>
        <v>2.0575895041456587</v>
      </c>
      <c r="Y25" s="96">
        <f t="shared" si="28"/>
        <v>1.4629339981830205</v>
      </c>
      <c r="Z25" s="96">
        <f t="shared" si="28"/>
        <v>5.6970723820540989</v>
      </c>
      <c r="AA25" s="96">
        <f t="shared" si="28"/>
        <v>13.794071795695652</v>
      </c>
      <c r="AB25" s="96">
        <f t="shared" si="28"/>
        <v>5.9850571433501996</v>
      </c>
      <c r="AC25" s="312">
        <v>4.72728901145328</v>
      </c>
      <c r="AD25" s="312">
        <v>5.3241061998379102</v>
      </c>
      <c r="AE25" s="312">
        <v>3.98713055344958</v>
      </c>
      <c r="AF25" s="312">
        <v>3.18203688400303</v>
      </c>
      <c r="AG25" s="312">
        <v>3.18203688400303</v>
      </c>
      <c r="AH25" s="312">
        <v>3.18203688400303</v>
      </c>
      <c r="AI25" s="312">
        <v>2.52942109454998</v>
      </c>
      <c r="AJ25" s="312">
        <v>2.4956953373589199</v>
      </c>
      <c r="AK25" s="312">
        <v>2.46196958016787</v>
      </c>
      <c r="AL25" s="312">
        <v>2.42824382297681</v>
      </c>
      <c r="AM25" s="312">
        <v>2.3945180657857601</v>
      </c>
      <c r="AN25" s="312">
        <v>2.3607923085947098</v>
      </c>
      <c r="AO25" s="312">
        <v>2.3270665514036502</v>
      </c>
      <c r="AP25" s="312">
        <v>2.2933407942125998</v>
      </c>
      <c r="AQ25" s="312">
        <v>2.2596150370215402</v>
      </c>
      <c r="AR25" s="312">
        <v>2.2258892798304899</v>
      </c>
      <c r="AS25" s="312">
        <v>2.1921649486099799</v>
      </c>
      <c r="AT25" s="312">
        <v>2.1921649486099799</v>
      </c>
      <c r="AU25" s="312">
        <v>2.1921649486099799</v>
      </c>
      <c r="AV25" s="312">
        <v>2.1921649486099799</v>
      </c>
      <c r="AW25" s="312">
        <v>2.1921649486099799</v>
      </c>
      <c r="AX25" s="312">
        <v>2.1921649486099799</v>
      </c>
      <c r="AY25" s="312">
        <v>2.1921649486099799</v>
      </c>
      <c r="AZ25" s="312">
        <v>2.1921649486099799</v>
      </c>
      <c r="BA25" s="312">
        <v>2.1921649486099799</v>
      </c>
      <c r="BB25" s="312">
        <v>2.1921649486099799</v>
      </c>
      <c r="BC25" s="312">
        <v>2.1921649486099799</v>
      </c>
      <c r="BD25" s="312">
        <v>2.1921649486099799</v>
      </c>
      <c r="BE25" s="312">
        <v>2.1921649486099799</v>
      </c>
      <c r="BF25" s="312">
        <v>2.1921649486099799</v>
      </c>
      <c r="BG25" s="312">
        <v>2.1921649486099799</v>
      </c>
      <c r="BH25" s="312">
        <v>2.1921649486099799</v>
      </c>
      <c r="BI25" s="312">
        <v>2.1921649486099799</v>
      </c>
      <c r="BJ25" s="312">
        <v>2.1921649486099799</v>
      </c>
      <c r="BK25" s="312">
        <v>2.1921649486099799</v>
      </c>
      <c r="BL25" s="312">
        <v>2.1921649486099799</v>
      </c>
      <c r="BM25" s="312">
        <v>2.1921649486099799</v>
      </c>
      <c r="BN25" s="313">
        <f t="shared" ref="BN25:CQ25" si="29">BM25</f>
        <v>2.1921649486099799</v>
      </c>
      <c r="BO25" s="313">
        <f t="shared" si="29"/>
        <v>2.1921649486099799</v>
      </c>
      <c r="BP25" s="313">
        <f t="shared" si="29"/>
        <v>2.1921649486099799</v>
      </c>
      <c r="BQ25" s="313">
        <f t="shared" si="29"/>
        <v>2.1921649486099799</v>
      </c>
      <c r="BR25" s="313">
        <f t="shared" si="29"/>
        <v>2.1921649486099799</v>
      </c>
      <c r="BS25" s="313">
        <f t="shared" si="29"/>
        <v>2.1921649486099799</v>
      </c>
      <c r="BT25" s="313">
        <f t="shared" si="29"/>
        <v>2.1921649486099799</v>
      </c>
      <c r="BU25" s="313">
        <f t="shared" si="29"/>
        <v>2.1921649486099799</v>
      </c>
      <c r="BV25" s="313">
        <f t="shared" si="29"/>
        <v>2.1921649486099799</v>
      </c>
      <c r="BW25" s="313">
        <f t="shared" si="29"/>
        <v>2.1921649486099799</v>
      </c>
      <c r="BX25" s="313">
        <f t="shared" si="29"/>
        <v>2.1921649486099799</v>
      </c>
      <c r="BY25" s="313">
        <f t="shared" si="29"/>
        <v>2.1921649486099799</v>
      </c>
      <c r="BZ25" s="313">
        <f t="shared" si="29"/>
        <v>2.1921649486099799</v>
      </c>
      <c r="CA25" s="313">
        <f t="shared" si="29"/>
        <v>2.1921649486099799</v>
      </c>
      <c r="CB25" s="313">
        <f t="shared" si="29"/>
        <v>2.1921649486099799</v>
      </c>
      <c r="CC25" s="313">
        <f t="shared" si="29"/>
        <v>2.1921649486099799</v>
      </c>
      <c r="CD25" s="313">
        <f t="shared" si="29"/>
        <v>2.1921649486099799</v>
      </c>
      <c r="CE25" s="313">
        <f t="shared" si="29"/>
        <v>2.1921649486099799</v>
      </c>
      <c r="CF25" s="313">
        <f t="shared" si="29"/>
        <v>2.1921649486099799</v>
      </c>
      <c r="CG25" s="313">
        <f t="shared" si="29"/>
        <v>2.1921649486099799</v>
      </c>
      <c r="CH25" s="313">
        <f t="shared" si="29"/>
        <v>2.1921649486099799</v>
      </c>
      <c r="CI25" s="313">
        <f t="shared" si="29"/>
        <v>2.1921649486099799</v>
      </c>
      <c r="CJ25" s="313">
        <f t="shared" si="29"/>
        <v>2.1921649486099799</v>
      </c>
      <c r="CK25" s="313">
        <f t="shared" si="29"/>
        <v>2.1921649486099799</v>
      </c>
      <c r="CL25" s="313">
        <f t="shared" si="29"/>
        <v>2.1921649486099799</v>
      </c>
      <c r="CM25" s="313">
        <f t="shared" si="29"/>
        <v>2.1921649486099799</v>
      </c>
      <c r="CN25" s="313">
        <f t="shared" si="29"/>
        <v>2.1921649486099799</v>
      </c>
      <c r="CO25" s="313">
        <f t="shared" si="29"/>
        <v>2.1921649486099799</v>
      </c>
      <c r="CP25" s="313">
        <f t="shared" si="29"/>
        <v>2.1921649486099799</v>
      </c>
      <c r="CQ25" s="313">
        <f t="shared" si="29"/>
        <v>2.1921649486099799</v>
      </c>
    </row>
    <row r="26" spans="1:95">
      <c r="A26" s="79" t="s">
        <v>662</v>
      </c>
      <c r="B26" s="91">
        <f t="shared" ref="B26:AG26" si="30">B8/B$13</f>
        <v>2074.0634708150801</v>
      </c>
      <c r="C26" s="91">
        <f t="shared" si="30"/>
        <v>1264.5767044564682</v>
      </c>
      <c r="D26" s="91">
        <f t="shared" si="30"/>
        <v>2047.5882895818315</v>
      </c>
      <c r="E26" s="91">
        <f t="shared" si="30"/>
        <v>3341.3572789025957</v>
      </c>
      <c r="F26" s="91">
        <f t="shared" si="30"/>
        <v>2888.2879586375716</v>
      </c>
      <c r="G26" s="91">
        <f t="shared" si="30"/>
        <v>2565.1463674713909</v>
      </c>
      <c r="H26" s="91">
        <f t="shared" si="30"/>
        <v>1991.0642450670298</v>
      </c>
      <c r="I26" s="91">
        <f t="shared" si="30"/>
        <v>2363.0329836098899</v>
      </c>
      <c r="J26" s="91">
        <f t="shared" si="30"/>
        <v>3168.9221973790764</v>
      </c>
      <c r="K26" s="91">
        <f t="shared" si="30"/>
        <v>3266.9132207803336</v>
      </c>
      <c r="L26" s="91">
        <f t="shared" si="30"/>
        <v>2932.3973016512014</v>
      </c>
      <c r="M26" s="91">
        <f t="shared" si="30"/>
        <v>3923.3459368668964</v>
      </c>
      <c r="N26" s="91">
        <f t="shared" si="30"/>
        <v>2754.1970085036901</v>
      </c>
      <c r="O26" s="91">
        <f t="shared" si="30"/>
        <v>3379.1111003364217</v>
      </c>
      <c r="P26" s="91">
        <f t="shared" si="30"/>
        <v>4164.756022563648</v>
      </c>
      <c r="Q26" s="91">
        <f t="shared" si="30"/>
        <v>4226.2546384652969</v>
      </c>
      <c r="R26" s="91">
        <f t="shared" si="30"/>
        <v>4048.5351877471107</v>
      </c>
      <c r="S26" s="91">
        <f t="shared" si="30"/>
        <v>3329.2645957286786</v>
      </c>
      <c r="T26" s="91">
        <f t="shared" si="30"/>
        <v>2303.3332132113205</v>
      </c>
      <c r="U26" s="91">
        <f t="shared" si="30"/>
        <v>2070.2233084338814</v>
      </c>
      <c r="V26" s="91">
        <f t="shared" si="30"/>
        <v>2614.4152967732039</v>
      </c>
      <c r="W26" s="91">
        <f t="shared" si="30"/>
        <v>3001.7688293933215</v>
      </c>
      <c r="X26" s="91">
        <f t="shared" si="30"/>
        <v>2777.6659338351342</v>
      </c>
      <c r="Y26" s="91">
        <f t="shared" si="30"/>
        <v>2026.0447740129127</v>
      </c>
      <c r="Z26" s="91">
        <f t="shared" si="30"/>
        <v>2707.2587602055887</v>
      </c>
      <c r="AA26" s="91">
        <f t="shared" si="30"/>
        <v>4576.7646239392134</v>
      </c>
      <c r="AB26" s="91">
        <f t="shared" si="30"/>
        <v>4107.6670155563879</v>
      </c>
      <c r="AC26" s="91">
        <f t="shared" si="30"/>
        <v>3479.8570223915372</v>
      </c>
      <c r="AD26" s="91">
        <f t="shared" si="30"/>
        <v>2838.9817847314289</v>
      </c>
      <c r="AE26" s="91">
        <f t="shared" si="30"/>
        <v>2600.894571229383</v>
      </c>
      <c r="AF26" s="91">
        <f t="shared" si="30"/>
        <v>2546.5059891684332</v>
      </c>
      <c r="AG26" s="91">
        <f t="shared" si="30"/>
        <v>2506.1785154545023</v>
      </c>
      <c r="AH26" s="91">
        <f t="shared" ref="AH26:BM26" si="31">AH8/AH$13</f>
        <v>2474.2702545410898</v>
      </c>
      <c r="AI26" s="91">
        <f t="shared" si="31"/>
        <v>2436.7742388724528</v>
      </c>
      <c r="AJ26" s="91">
        <f t="shared" si="31"/>
        <v>2501.8236293628897</v>
      </c>
      <c r="AK26" s="91">
        <f t="shared" si="31"/>
        <v>2567.0384580447449</v>
      </c>
      <c r="AL26" s="91">
        <f t="shared" si="31"/>
        <v>2639.1770646738569</v>
      </c>
      <c r="AM26" s="91">
        <f t="shared" si="31"/>
        <v>2709.4345553218386</v>
      </c>
      <c r="AN26" s="91">
        <f t="shared" si="31"/>
        <v>2788.9134803496263</v>
      </c>
      <c r="AO26" s="91">
        <f t="shared" si="31"/>
        <v>2813.0507573528357</v>
      </c>
      <c r="AP26" s="91">
        <f t="shared" si="31"/>
        <v>2839.7946492051128</v>
      </c>
      <c r="AQ26" s="91">
        <f t="shared" si="31"/>
        <v>2872.0840162993491</v>
      </c>
      <c r="AR26" s="91">
        <f t="shared" si="31"/>
        <v>2887.407494374866</v>
      </c>
      <c r="AS26" s="91">
        <f t="shared" si="31"/>
        <v>2892.1254265531111</v>
      </c>
      <c r="AT26" s="91">
        <f t="shared" si="31"/>
        <v>2850.2949565050153</v>
      </c>
      <c r="AU26" s="91">
        <f t="shared" si="31"/>
        <v>2872.8128560454666</v>
      </c>
      <c r="AV26" s="91">
        <f t="shared" si="31"/>
        <v>2907.9033762464364</v>
      </c>
      <c r="AW26" s="91">
        <f t="shared" si="31"/>
        <v>2959.1075912798697</v>
      </c>
      <c r="AX26" s="91">
        <f t="shared" si="31"/>
        <v>2984.7864711306775</v>
      </c>
      <c r="AY26" s="91">
        <f t="shared" si="31"/>
        <v>3050.5457799973788</v>
      </c>
      <c r="AZ26" s="91">
        <f t="shared" si="31"/>
        <v>3090.3179205395713</v>
      </c>
      <c r="BA26" s="91">
        <f t="shared" si="31"/>
        <v>3180.173687031574</v>
      </c>
      <c r="BB26" s="91">
        <f t="shared" si="31"/>
        <v>3248.7835990267786</v>
      </c>
      <c r="BC26" s="91">
        <f t="shared" si="31"/>
        <v>3203.3155478897256</v>
      </c>
      <c r="BD26" s="91">
        <f t="shared" si="31"/>
        <v>3166.1970358214348</v>
      </c>
      <c r="BE26" s="91">
        <f t="shared" si="31"/>
        <v>3197.2889741305812</v>
      </c>
      <c r="BF26" s="91">
        <f t="shared" si="31"/>
        <v>3158.4137545839744</v>
      </c>
      <c r="BG26" s="91">
        <f t="shared" si="31"/>
        <v>3110.1782289993398</v>
      </c>
      <c r="BH26" s="91">
        <f t="shared" si="31"/>
        <v>3033.2486841002751</v>
      </c>
      <c r="BI26" s="91">
        <f t="shared" si="31"/>
        <v>3012.7976355826909</v>
      </c>
      <c r="BJ26" s="91">
        <f t="shared" si="31"/>
        <v>2599.3367905431255</v>
      </c>
      <c r="BK26" s="91">
        <f t="shared" si="31"/>
        <v>2599.3367905431251</v>
      </c>
      <c r="BL26" s="91">
        <f t="shared" si="31"/>
        <v>2599.3367905431219</v>
      </c>
      <c r="BM26" s="91">
        <f t="shared" si="31"/>
        <v>2599.3367905431287</v>
      </c>
      <c r="BN26" s="91">
        <f t="shared" ref="BN26:CL26" si="32">BN8/BN$13</f>
        <v>0</v>
      </c>
      <c r="BO26" s="91">
        <f t="shared" si="32"/>
        <v>0</v>
      </c>
      <c r="BP26" s="91">
        <f t="shared" si="32"/>
        <v>0</v>
      </c>
      <c r="BQ26" s="91">
        <f t="shared" si="32"/>
        <v>0</v>
      </c>
      <c r="BR26" s="91">
        <f t="shared" si="32"/>
        <v>0</v>
      </c>
      <c r="BS26" s="91">
        <f t="shared" si="32"/>
        <v>0</v>
      </c>
      <c r="BT26" s="91">
        <f t="shared" si="32"/>
        <v>0</v>
      </c>
      <c r="BU26" s="91">
        <f t="shared" si="32"/>
        <v>0</v>
      </c>
      <c r="BV26" s="91">
        <f t="shared" si="32"/>
        <v>0</v>
      </c>
      <c r="BW26" s="91">
        <f t="shared" si="32"/>
        <v>0</v>
      </c>
      <c r="BX26" s="91">
        <f t="shared" si="32"/>
        <v>0</v>
      </c>
      <c r="BY26" s="91">
        <f t="shared" si="32"/>
        <v>0</v>
      </c>
      <c r="BZ26" s="91">
        <f t="shared" si="32"/>
        <v>0</v>
      </c>
      <c r="CA26" s="91">
        <f t="shared" si="32"/>
        <v>0</v>
      </c>
      <c r="CB26" s="91">
        <f t="shared" si="32"/>
        <v>0</v>
      </c>
      <c r="CC26" s="91">
        <f t="shared" si="32"/>
        <v>0</v>
      </c>
      <c r="CD26" s="91">
        <f t="shared" si="32"/>
        <v>0</v>
      </c>
      <c r="CE26" s="91">
        <f t="shared" si="32"/>
        <v>0</v>
      </c>
      <c r="CF26" s="91">
        <f t="shared" si="32"/>
        <v>0</v>
      </c>
      <c r="CG26" s="91">
        <f t="shared" si="32"/>
        <v>0</v>
      </c>
      <c r="CH26" s="91">
        <f t="shared" si="32"/>
        <v>0</v>
      </c>
      <c r="CI26" s="91">
        <f t="shared" si="32"/>
        <v>0</v>
      </c>
      <c r="CJ26" s="91">
        <f t="shared" si="32"/>
        <v>0</v>
      </c>
      <c r="CK26" s="91">
        <f t="shared" si="32"/>
        <v>0</v>
      </c>
      <c r="CL26" s="91">
        <f t="shared" si="32"/>
        <v>0</v>
      </c>
      <c r="CM26" s="91">
        <f t="shared" ref="CM26:CQ26" si="33">CM8/CM$13</f>
        <v>0</v>
      </c>
      <c r="CN26" s="91">
        <f t="shared" si="33"/>
        <v>0</v>
      </c>
      <c r="CO26" s="91">
        <f t="shared" si="33"/>
        <v>0</v>
      </c>
      <c r="CP26" s="91">
        <f t="shared" si="33"/>
        <v>0</v>
      </c>
      <c r="CQ26" s="91">
        <f t="shared" si="33"/>
        <v>0</v>
      </c>
    </row>
    <row r="27" spans="1:95">
      <c r="A27" s="79" t="s">
        <v>634</v>
      </c>
      <c r="B27" s="96">
        <f>(26.38/B11)*B25</f>
        <v>5.0750742469254329</v>
      </c>
      <c r="C27" s="96">
        <f t="shared" ref="C27:BC27" si="34">(26.38/C11)*C25</f>
        <v>4.5963753428948486</v>
      </c>
      <c r="D27" s="96">
        <f t="shared" si="34"/>
        <v>3.7272058269403034</v>
      </c>
      <c r="E27" s="96">
        <f t="shared" si="34"/>
        <v>5.7744635755956715</v>
      </c>
      <c r="F27" s="96">
        <f t="shared" si="34"/>
        <v>6.7240637583499394</v>
      </c>
      <c r="G27" s="96">
        <f t="shared" si="34"/>
        <v>5.6668640610748033</v>
      </c>
      <c r="H27" s="96">
        <f t="shared" si="34"/>
        <v>5.9747672559995646</v>
      </c>
      <c r="I27" s="96">
        <f t="shared" si="34"/>
        <v>6.7371697177505672</v>
      </c>
      <c r="J27" s="96">
        <f t="shared" si="34"/>
        <v>8.7814381210771781</v>
      </c>
      <c r="K27" s="96">
        <f t="shared" si="34"/>
        <v>11.897501433134524</v>
      </c>
      <c r="L27" s="96">
        <f t="shared" si="34"/>
        <v>11.42950220353732</v>
      </c>
      <c r="M27" s="96">
        <f t="shared" si="34"/>
        <v>16.149528056382117</v>
      </c>
      <c r="N27" s="96">
        <f t="shared" si="34"/>
        <v>10.945761321977924</v>
      </c>
      <c r="O27" s="96">
        <f t="shared" si="34"/>
        <v>10.669942011491074</v>
      </c>
      <c r="P27" s="96">
        <f t="shared" si="34"/>
        <v>14.033602068673236</v>
      </c>
      <c r="Q27" s="96">
        <f t="shared" si="34"/>
        <v>14.61844516975655</v>
      </c>
      <c r="R27" s="96">
        <f t="shared" si="34"/>
        <v>14.905652923016348</v>
      </c>
      <c r="S27" s="96">
        <f t="shared" si="34"/>
        <v>12.149012291556412</v>
      </c>
      <c r="T27" s="96">
        <f t="shared" si="34"/>
        <v>8.8723868211684707</v>
      </c>
      <c r="U27" s="96">
        <f t="shared" si="34"/>
        <v>6.1349561876815244</v>
      </c>
      <c r="V27" s="96">
        <f t="shared" si="34"/>
        <v>7.1943687809599286</v>
      </c>
      <c r="W27" s="96">
        <f t="shared" si="34"/>
        <v>9.5132460037303144</v>
      </c>
      <c r="X27" s="96">
        <f t="shared" si="34"/>
        <v>6.1654998602136013</v>
      </c>
      <c r="Y27" s="96">
        <f t="shared" si="34"/>
        <v>4.1053783745444958</v>
      </c>
      <c r="Z27" s="96">
        <f t="shared" si="34"/>
        <v>17.484996397599179</v>
      </c>
      <c r="AA27" s="96">
        <f t="shared" si="34"/>
        <v>37.841146819406951</v>
      </c>
      <c r="AB27" s="96">
        <f t="shared" si="34"/>
        <v>14.946296028076521</v>
      </c>
      <c r="AC27" s="96">
        <f t="shared" si="34"/>
        <v>11.600000000000012</v>
      </c>
      <c r="AD27" s="96">
        <f t="shared" si="34"/>
        <v>13.499999999999993</v>
      </c>
      <c r="AE27" s="96">
        <f t="shared" si="34"/>
        <v>10.399999999999991</v>
      </c>
      <c r="AF27" s="96">
        <f t="shared" si="34"/>
        <v>8.2999999999999918</v>
      </c>
      <c r="AG27" s="96">
        <f t="shared" si="34"/>
        <v>8.2999999999999918</v>
      </c>
      <c r="AH27" s="96">
        <f t="shared" si="34"/>
        <v>8.2999999999999918</v>
      </c>
      <c r="AI27" s="96">
        <f t="shared" si="34"/>
        <v>6.5977221038223588</v>
      </c>
      <c r="AJ27" s="96">
        <f t="shared" si="34"/>
        <v>6.5097521038223425</v>
      </c>
      <c r="AK27" s="96">
        <f t="shared" si="34"/>
        <v>6.4217821038223528</v>
      </c>
      <c r="AL27" s="96">
        <f t="shared" si="34"/>
        <v>6.3338121038223365</v>
      </c>
      <c r="AM27" s="96">
        <f t="shared" si="34"/>
        <v>6.2458421038223468</v>
      </c>
      <c r="AN27" s="96">
        <f t="shared" si="34"/>
        <v>6.1578721038223563</v>
      </c>
      <c r="AO27" s="96">
        <f t="shared" si="34"/>
        <v>6.0699021038223409</v>
      </c>
      <c r="AP27" s="96">
        <f t="shared" si="34"/>
        <v>5.9819321038223503</v>
      </c>
      <c r="AQ27" s="96">
        <f t="shared" si="34"/>
        <v>5.8939621038223349</v>
      </c>
      <c r="AR27" s="96">
        <f t="shared" si="34"/>
        <v>5.8059921038223443</v>
      </c>
      <c r="AS27" s="96">
        <f t="shared" si="34"/>
        <v>5.7180258233127033</v>
      </c>
      <c r="AT27" s="96">
        <f t="shared" si="34"/>
        <v>5.7180258233127033</v>
      </c>
      <c r="AU27" s="96">
        <f t="shared" si="34"/>
        <v>5.7180258233127033</v>
      </c>
      <c r="AV27" s="96">
        <f t="shared" si="34"/>
        <v>5.7180258233127033</v>
      </c>
      <c r="AW27" s="96">
        <f t="shared" si="34"/>
        <v>5.7180258233127033</v>
      </c>
      <c r="AX27" s="96">
        <f t="shared" si="34"/>
        <v>5.7180258233127033</v>
      </c>
      <c r="AY27" s="96">
        <f t="shared" si="34"/>
        <v>5.7180258233127033</v>
      </c>
      <c r="AZ27" s="96">
        <f t="shared" si="34"/>
        <v>5.7180258233127033</v>
      </c>
      <c r="BA27" s="96">
        <f t="shared" si="34"/>
        <v>5.7180258233127033</v>
      </c>
      <c r="BB27" s="96">
        <f t="shared" si="34"/>
        <v>5.7180258233127033</v>
      </c>
      <c r="BC27" s="96">
        <f t="shared" si="34"/>
        <v>5.7180258233127033</v>
      </c>
      <c r="BD27" s="96">
        <f t="shared" ref="BD27:BM27" si="35">(26.38/BD11)*BD25</f>
        <v>5.7180258233127033</v>
      </c>
      <c r="BE27" s="96">
        <f t="shared" si="35"/>
        <v>5.7180258233127033</v>
      </c>
      <c r="BF27" s="96">
        <f t="shared" si="35"/>
        <v>5.7180258233127033</v>
      </c>
      <c r="BG27" s="96">
        <f t="shared" si="35"/>
        <v>5.7180258233127033</v>
      </c>
      <c r="BH27" s="96">
        <f t="shared" si="35"/>
        <v>5.7180258233127033</v>
      </c>
      <c r="BI27" s="96">
        <f t="shared" si="35"/>
        <v>5.7180258233127033</v>
      </c>
      <c r="BJ27" s="96">
        <f t="shared" si="35"/>
        <v>5.7180258233127033</v>
      </c>
      <c r="BK27" s="96">
        <f t="shared" si="35"/>
        <v>5.7180258233127033</v>
      </c>
      <c r="BL27" s="96">
        <f t="shared" si="35"/>
        <v>5.7180258233127033</v>
      </c>
      <c r="BM27" s="96">
        <f t="shared" si="35"/>
        <v>5.7180258233127033</v>
      </c>
      <c r="BN27" s="96">
        <f t="shared" ref="BN27:CQ27" si="36">(26.38/BN11)*BN25</f>
        <v>5.7180258233127033</v>
      </c>
      <c r="BO27" s="96">
        <f t="shared" si="36"/>
        <v>5.7180258233127033</v>
      </c>
      <c r="BP27" s="96">
        <f t="shared" si="36"/>
        <v>5.7180258233127033</v>
      </c>
      <c r="BQ27" s="96">
        <f t="shared" si="36"/>
        <v>5.7180258233127033</v>
      </c>
      <c r="BR27" s="96">
        <f t="shared" si="36"/>
        <v>5.7180258233127033</v>
      </c>
      <c r="BS27" s="96">
        <f t="shared" si="36"/>
        <v>5.7180258233127033</v>
      </c>
      <c r="BT27" s="96">
        <f t="shared" si="36"/>
        <v>5.7180258233127033</v>
      </c>
      <c r="BU27" s="96">
        <f t="shared" si="36"/>
        <v>5.7180258233127033</v>
      </c>
      <c r="BV27" s="96">
        <f t="shared" si="36"/>
        <v>5.7180258233127033</v>
      </c>
      <c r="BW27" s="96">
        <f t="shared" si="36"/>
        <v>5.7180258233127033</v>
      </c>
      <c r="BX27" s="96">
        <f t="shared" si="36"/>
        <v>5.7180258233127033</v>
      </c>
      <c r="BY27" s="96">
        <f t="shared" si="36"/>
        <v>5.7180258233127033</v>
      </c>
      <c r="BZ27" s="96">
        <f t="shared" si="36"/>
        <v>5.7180258233127033</v>
      </c>
      <c r="CA27" s="96">
        <f t="shared" si="36"/>
        <v>5.7180258233127033</v>
      </c>
      <c r="CB27" s="96">
        <f t="shared" si="36"/>
        <v>5.7180258233127033</v>
      </c>
      <c r="CC27" s="96">
        <f t="shared" si="36"/>
        <v>5.7180258233127033</v>
      </c>
      <c r="CD27" s="96">
        <f t="shared" si="36"/>
        <v>5.7180258233127033</v>
      </c>
      <c r="CE27" s="96">
        <f t="shared" si="36"/>
        <v>5.7180258233127033</v>
      </c>
      <c r="CF27" s="96">
        <f t="shared" si="36"/>
        <v>5.7180258233127033</v>
      </c>
      <c r="CG27" s="96">
        <f t="shared" si="36"/>
        <v>5.7180258233127033</v>
      </c>
      <c r="CH27" s="96">
        <f t="shared" si="36"/>
        <v>5.7180258233127033</v>
      </c>
      <c r="CI27" s="96">
        <f t="shared" si="36"/>
        <v>5.7180258233127033</v>
      </c>
      <c r="CJ27" s="96">
        <f t="shared" si="36"/>
        <v>5.7180258233127033</v>
      </c>
      <c r="CK27" s="96">
        <f t="shared" si="36"/>
        <v>5.7180258233127033</v>
      </c>
      <c r="CL27" s="96">
        <f t="shared" si="36"/>
        <v>5.7180258233127033</v>
      </c>
      <c r="CM27" s="96">
        <f t="shared" si="36"/>
        <v>5.7180258233127033</v>
      </c>
      <c r="CN27" s="96">
        <f t="shared" si="36"/>
        <v>5.7180258233127033</v>
      </c>
      <c r="CO27" s="96">
        <f t="shared" si="36"/>
        <v>5.7180258233127033</v>
      </c>
      <c r="CP27" s="96">
        <f t="shared" si="36"/>
        <v>5.7180258233127033</v>
      </c>
      <c r="CQ27" s="96">
        <f t="shared" si="36"/>
        <v>5.7180258233127033</v>
      </c>
    </row>
    <row r="28" spans="1:95">
      <c r="A28" s="79" t="s">
        <v>648</v>
      </c>
      <c r="B28" s="96">
        <f>(26.38/B11)*B6</f>
        <v>2.431336405529954</v>
      </c>
      <c r="C28" s="96">
        <f t="shared" ref="C28:BC28" si="37">(26.38/C11)*C6</f>
        <v>2.2361854304635762</v>
      </c>
      <c r="D28" s="96">
        <f t="shared" si="37"/>
        <v>1.8530012771392081</v>
      </c>
      <c r="E28" s="96">
        <f t="shared" si="37"/>
        <v>2.9677499999999997</v>
      </c>
      <c r="F28" s="96">
        <f t="shared" si="37"/>
        <v>3.5534577389139304</v>
      </c>
      <c r="G28" s="96">
        <f t="shared" si="37"/>
        <v>3.0422585617205127</v>
      </c>
      <c r="H28" s="96">
        <f t="shared" si="37"/>
        <v>3.2803711122856267</v>
      </c>
      <c r="I28" s="96">
        <f t="shared" si="37"/>
        <v>3.7979885106009341</v>
      </c>
      <c r="J28" s="96">
        <f t="shared" si="37"/>
        <v>5.1183723602747868</v>
      </c>
      <c r="K28" s="96">
        <f t="shared" si="37"/>
        <v>7.1583159231336921</v>
      </c>
      <c r="L28" s="96">
        <f t="shared" si="37"/>
        <v>7.0729077238802605</v>
      </c>
      <c r="M28" s="96">
        <f t="shared" si="37"/>
        <v>10.377468608069922</v>
      </c>
      <c r="N28" s="96">
        <f t="shared" si="37"/>
        <v>7.008590691910328</v>
      </c>
      <c r="O28" s="96">
        <f t="shared" si="37"/>
        <v>6.9440305812126724</v>
      </c>
      <c r="P28" s="96">
        <f t="shared" si="37"/>
        <v>9.4214285714285708</v>
      </c>
      <c r="Q28" s="96">
        <f t="shared" si="37"/>
        <v>10.017147766323024</v>
      </c>
      <c r="R28" s="96">
        <f t="shared" si="37"/>
        <v>10.363571428571428</v>
      </c>
      <c r="S28" s="96">
        <f t="shared" si="37"/>
        <v>8.5839682539682531</v>
      </c>
      <c r="T28" s="96">
        <f t="shared" si="37"/>
        <v>6.2762825278810404</v>
      </c>
      <c r="U28" s="96">
        <f t="shared" si="37"/>
        <v>4.3945883081755079</v>
      </c>
      <c r="V28" s="96">
        <f t="shared" si="37"/>
        <v>5.2632406287787177</v>
      </c>
      <c r="W28" s="96">
        <f t="shared" si="37"/>
        <v>7.1296757478078492</v>
      </c>
      <c r="X28" s="96">
        <f t="shared" si="37"/>
        <v>4.7044538091938621</v>
      </c>
      <c r="Y28" s="96">
        <f t="shared" si="37"/>
        <v>3.1711641349926758</v>
      </c>
      <c r="Z28" s="96">
        <f t="shared" si="37"/>
        <v>14.14063388578961</v>
      </c>
      <c r="AA28" s="96">
        <f t="shared" si="37"/>
        <v>33.052372209148793</v>
      </c>
      <c r="AB28" s="113">
        <f t="shared" si="37"/>
        <v>13.592233009708746</v>
      </c>
      <c r="AC28" s="96">
        <f t="shared" si="37"/>
        <v>10.860243643948795</v>
      </c>
      <c r="AD28" s="96">
        <f t="shared" si="37"/>
        <v>13.094083414161002</v>
      </c>
      <c r="AE28" s="96">
        <f t="shared" si="37"/>
        <v>10.399999999999991</v>
      </c>
      <c r="AF28" s="96">
        <f t="shared" si="37"/>
        <v>8.4742999999999906</v>
      </c>
      <c r="AG28" s="96">
        <f t="shared" si="37"/>
        <v>8.6522602999999894</v>
      </c>
      <c r="AH28" s="96">
        <f t="shared" si="37"/>
        <v>8.8339577662999886</v>
      </c>
      <c r="AI28" s="96">
        <f t="shared" si="37"/>
        <v>7.162611853895144</v>
      </c>
      <c r="AJ28" s="96">
        <f t="shared" si="37"/>
        <v>7.2084521578892522</v>
      </c>
      <c r="AK28" s="96">
        <f t="shared" si="37"/>
        <v>7.2532610293015969</v>
      </c>
      <c r="AL28" s="96">
        <f t="shared" si="37"/>
        <v>7.2969788747072482</v>
      </c>
      <c r="AM28" s="96">
        <f t="shared" si="37"/>
        <v>7.3395441295174368</v>
      </c>
      <c r="AN28" s="96">
        <f t="shared" si="37"/>
        <v>7.3808932029701477</v>
      </c>
      <c r="AO28" s="96">
        <f t="shared" si="37"/>
        <v>7.4209604217091307</v>
      </c>
      <c r="AP28" s="96">
        <f t="shared" si="37"/>
        <v>7.4596779719165163</v>
      </c>
      <c r="AQ28" s="96">
        <f t="shared" si="37"/>
        <v>7.4969758399634818</v>
      </c>
      <c r="AR28" s="96">
        <f t="shared" si="37"/>
        <v>7.5327817515435926</v>
      </c>
      <c r="AS28" s="96">
        <f t="shared" si="37"/>
        <v>7.5670260314882754</v>
      </c>
      <c r="AT28" s="96">
        <f t="shared" si="37"/>
        <v>7.7183665521180407</v>
      </c>
      <c r="AU28" s="96">
        <f t="shared" si="37"/>
        <v>7.8727338831604028</v>
      </c>
      <c r="AV28" s="96">
        <f t="shared" si="37"/>
        <v>8.0301885608236105</v>
      </c>
      <c r="AW28" s="96">
        <f t="shared" si="37"/>
        <v>8.1907923320400826</v>
      </c>
      <c r="AX28" s="96">
        <f t="shared" si="37"/>
        <v>8.3546081786808841</v>
      </c>
      <c r="AY28" s="96">
        <f t="shared" si="37"/>
        <v>8.521700342254503</v>
      </c>
      <c r="AZ28" s="96">
        <f t="shared" si="37"/>
        <v>8.692134349099593</v>
      </c>
      <c r="BA28" s="96">
        <f t="shared" si="37"/>
        <v>8.8659770360815848</v>
      </c>
      <c r="BB28" s="96">
        <f t="shared" si="37"/>
        <v>9.0432965768032165</v>
      </c>
      <c r="BC28" s="96">
        <f t="shared" si="37"/>
        <v>9.2241625083392815</v>
      </c>
      <c r="BD28" s="96">
        <f t="shared" ref="BD28:BM28" si="38">(26.38/BD11)*BD6</f>
        <v>9.4086457585060668</v>
      </c>
      <c r="BE28" s="96">
        <f t="shared" si="38"/>
        <v>9.5968186736761876</v>
      </c>
      <c r="BF28" s="96">
        <f t="shared" si="38"/>
        <v>9.7887550471497118</v>
      </c>
      <c r="BG28" s="96">
        <f t="shared" si="38"/>
        <v>9.9845301480927073</v>
      </c>
      <c r="BH28" s="96">
        <f t="shared" si="38"/>
        <v>10.184220751054561</v>
      </c>
      <c r="BI28" s="96">
        <f t="shared" si="38"/>
        <v>10.387905166075655</v>
      </c>
      <c r="BJ28" s="96">
        <f t="shared" si="38"/>
        <v>10.595663269397166</v>
      </c>
      <c r="BK28" s="96">
        <f t="shared" si="38"/>
        <v>10.80757653478511</v>
      </c>
      <c r="BL28" s="96">
        <f t="shared" si="38"/>
        <v>11.023728065480812</v>
      </c>
      <c r="BM28" s="96">
        <f t="shared" si="38"/>
        <v>11.244202626790429</v>
      </c>
      <c r="BN28" s="96">
        <f t="shared" ref="BN28:CQ28" si="39">(26.38/BN11)*BN6</f>
        <v>11.469086679326235</v>
      </c>
      <c r="BO28" s="96">
        <f t="shared" si="39"/>
        <v>11.69846841291276</v>
      </c>
      <c r="BP28" s="96">
        <f t="shared" si="39"/>
        <v>11.932437781171014</v>
      </c>
      <c r="BQ28" s="96">
        <f t="shared" si="39"/>
        <v>12.171086536794435</v>
      </c>
      <c r="BR28" s="96">
        <f t="shared" si="39"/>
        <v>12.414508267530325</v>
      </c>
      <c r="BS28" s="96">
        <f t="shared" si="39"/>
        <v>12.66279843288093</v>
      </c>
      <c r="BT28" s="96">
        <f t="shared" si="39"/>
        <v>12.916054401538549</v>
      </c>
      <c r="BU28" s="96">
        <f t="shared" si="39"/>
        <v>13.174375489569321</v>
      </c>
      <c r="BV28" s="96">
        <f t="shared" si="39"/>
        <v>13.437862999360707</v>
      </c>
      <c r="BW28" s="96">
        <f t="shared" si="39"/>
        <v>13.706620259347922</v>
      </c>
      <c r="BX28" s="96">
        <f t="shared" si="39"/>
        <v>13.980752664534881</v>
      </c>
      <c r="BY28" s="96">
        <f t="shared" si="39"/>
        <v>14.260367717825577</v>
      </c>
      <c r="BZ28" s="96">
        <f t="shared" si="39"/>
        <v>14.545575072182091</v>
      </c>
      <c r="CA28" s="96">
        <f t="shared" si="39"/>
        <v>14.836486573625734</v>
      </c>
      <c r="CB28" s="96">
        <f t="shared" si="39"/>
        <v>15.133216305098248</v>
      </c>
      <c r="CC28" s="96">
        <f t="shared" si="39"/>
        <v>15.435880631200215</v>
      </c>
      <c r="CD28" s="96">
        <f t="shared" si="39"/>
        <v>15.744598243824218</v>
      </c>
      <c r="CE28" s="96">
        <f t="shared" si="39"/>
        <v>16.059490208700705</v>
      </c>
      <c r="CF28" s="96">
        <f t="shared" si="39"/>
        <v>16.380680012874716</v>
      </c>
      <c r="CG28" s="96">
        <f t="shared" si="39"/>
        <v>16.708293613132213</v>
      </c>
      <c r="CH28" s="96">
        <f t="shared" si="39"/>
        <v>17.042459485394854</v>
      </c>
      <c r="CI28" s="96">
        <f t="shared" si="39"/>
        <v>17.383308675102754</v>
      </c>
      <c r="CJ28" s="96">
        <f t="shared" si="39"/>
        <v>17.730974848604809</v>
      </c>
      <c r="CK28" s="96">
        <f t="shared" si="39"/>
        <v>18.085594345576904</v>
      </c>
      <c r="CL28" s="96">
        <f t="shared" si="39"/>
        <v>18.447306232488444</v>
      </c>
      <c r="CM28" s="96">
        <f t="shared" si="39"/>
        <v>18.816252357138215</v>
      </c>
      <c r="CN28" s="96">
        <f t="shared" si="39"/>
        <v>19.192577404280982</v>
      </c>
      <c r="CO28" s="96">
        <f t="shared" si="39"/>
        <v>19.576428952366602</v>
      </c>
      <c r="CP28" s="96">
        <f t="shared" si="39"/>
        <v>19.967957531413933</v>
      </c>
      <c r="CQ28" s="96">
        <f t="shared" si="39"/>
        <v>20.367316682042208</v>
      </c>
    </row>
    <row r="29" spans="1:95">
      <c r="E29" s="91"/>
      <c r="F29" s="91"/>
      <c r="G29" s="91"/>
      <c r="S29" s="88"/>
    </row>
    <row r="30" spans="1:95">
      <c r="A30" s="79" t="s">
        <v>118</v>
      </c>
      <c r="B30" s="92">
        <f t="shared" ref="B30:W30" si="40">B5/B11</f>
        <v>19.227555672648155</v>
      </c>
      <c r="C30" s="92">
        <f t="shared" si="40"/>
        <v>12.78830908192872</v>
      </c>
      <c r="D30" s="92">
        <f t="shared" si="40"/>
        <v>17.19843495155483</v>
      </c>
      <c r="E30" s="92">
        <f t="shared" si="40"/>
        <v>28.52272727272727</v>
      </c>
      <c r="F30" s="92">
        <f t="shared" si="40"/>
        <v>24.82537721971336</v>
      </c>
      <c r="G30" s="92">
        <f t="shared" si="40"/>
        <v>24.819823780394469</v>
      </c>
      <c r="H30" s="92">
        <f t="shared" si="40"/>
        <v>28.402827278301874</v>
      </c>
      <c r="I30" s="92">
        <f t="shared" si="40"/>
        <v>37.848380536771778</v>
      </c>
      <c r="J30" s="92">
        <f t="shared" si="40"/>
        <v>55.103023135634551</v>
      </c>
      <c r="K30" s="92">
        <f t="shared" si="40"/>
        <v>65.967069172168749</v>
      </c>
      <c r="L30" s="92">
        <f t="shared" si="40"/>
        <v>72.579250412856453</v>
      </c>
      <c r="M30" s="92">
        <f t="shared" si="40"/>
        <v>98.523187544598983</v>
      </c>
      <c r="N30" s="92">
        <f t="shared" si="40"/>
        <v>62.203696334478998</v>
      </c>
      <c r="O30" s="92">
        <f t="shared" si="40"/>
        <v>80.293695716884471</v>
      </c>
      <c r="P30" s="92">
        <f t="shared" si="40"/>
        <v>111.07142857142858</v>
      </c>
      <c r="Q30" s="92">
        <f t="shared" si="40"/>
        <v>111.68384879725086</v>
      </c>
      <c r="R30" s="92">
        <f t="shared" si="40"/>
        <v>108.67346938775511</v>
      </c>
      <c r="S30" s="92">
        <f t="shared" si="40"/>
        <v>99.523809523809533</v>
      </c>
      <c r="T30" s="92">
        <f t="shared" si="40"/>
        <v>53.407682775712516</v>
      </c>
      <c r="U30" s="92">
        <f t="shared" si="40"/>
        <v>45.097719289464905</v>
      </c>
      <c r="V30" s="92">
        <f t="shared" si="40"/>
        <v>54.655380894800487</v>
      </c>
      <c r="W30" s="92">
        <f t="shared" si="40"/>
        <v>71.621079346818803</v>
      </c>
      <c r="X30" s="92">
        <f t="shared" ref="X30:BC30" si="41">X31*X13</f>
        <v>64.063973102218398</v>
      </c>
      <c r="Y30" s="92">
        <f t="shared" si="41"/>
        <v>43.296029956172077</v>
      </c>
      <c r="Z30" s="92">
        <f t="shared" si="41"/>
        <v>70.852684774221714</v>
      </c>
      <c r="AA30" s="92">
        <f t="shared" si="41"/>
        <v>98.895728361279865</v>
      </c>
      <c r="AB30" s="92">
        <f t="shared" si="41"/>
        <v>82.074753053008223</v>
      </c>
      <c r="AC30" s="92">
        <f t="shared" si="41"/>
        <v>79.62414981377232</v>
      </c>
      <c r="AD30" s="92">
        <f t="shared" si="41"/>
        <v>69.591949698851863</v>
      </c>
      <c r="AE30" s="92">
        <f t="shared" si="41"/>
        <v>66.692499999999981</v>
      </c>
      <c r="AF30" s="92">
        <f t="shared" si="41"/>
        <v>66.64</v>
      </c>
      <c r="AG30" s="92">
        <f t="shared" si="41"/>
        <v>67.014166666666668</v>
      </c>
      <c r="AH30" s="96">
        <f t="shared" si="41"/>
        <v>67.321666666666673</v>
      </c>
      <c r="AI30" s="96">
        <f t="shared" si="41"/>
        <v>67.365833333333342</v>
      </c>
      <c r="AJ30" s="92">
        <f t="shared" si="41"/>
        <v>70.567929901276869</v>
      </c>
      <c r="AK30" s="92">
        <f t="shared" si="41"/>
        <v>73.871163998604828</v>
      </c>
      <c r="AL30" s="92">
        <f t="shared" si="41"/>
        <v>77.278300287865378</v>
      </c>
      <c r="AM30" s="92">
        <f t="shared" si="41"/>
        <v>80.792173563096895</v>
      </c>
      <c r="AN30" s="92">
        <f t="shared" si="41"/>
        <v>84.415849492543245</v>
      </c>
      <c r="AO30" s="92">
        <f t="shared" si="41"/>
        <v>86.104166482394106</v>
      </c>
      <c r="AP30" s="92">
        <f t="shared" si="41"/>
        <v>87.826249812041993</v>
      </c>
      <c r="AQ30" s="92">
        <f t="shared" si="41"/>
        <v>89.582774808282835</v>
      </c>
      <c r="AR30" s="92">
        <f t="shared" si="41"/>
        <v>91.374430304448495</v>
      </c>
      <c r="AS30" s="92">
        <f t="shared" si="41"/>
        <v>93.201918910537458</v>
      </c>
      <c r="AT30" s="92">
        <f t="shared" si="41"/>
        <v>95.065957288748208</v>
      </c>
      <c r="AU30" s="92">
        <f t="shared" si="41"/>
        <v>96.967276434523185</v>
      </c>
      <c r="AV30" s="92">
        <f t="shared" si="41"/>
        <v>98.906621963213652</v>
      </c>
      <c r="AW30" s="92">
        <f t="shared" si="41"/>
        <v>100.88475440247792</v>
      </c>
      <c r="AX30" s="92">
        <f t="shared" si="41"/>
        <v>102.90244949052749</v>
      </c>
      <c r="AY30" s="92">
        <f t="shared" si="41"/>
        <v>104.96049848033803</v>
      </c>
      <c r="AZ30" s="92">
        <f t="shared" si="41"/>
        <v>107.05970844994481</v>
      </c>
      <c r="BA30" s="92">
        <f t="shared" si="41"/>
        <v>109.2009026189437</v>
      </c>
      <c r="BB30" s="92">
        <f t="shared" si="41"/>
        <v>111.38492067132256</v>
      </c>
      <c r="BC30" s="92">
        <f t="shared" si="41"/>
        <v>113.61261908474903</v>
      </c>
      <c r="BD30" s="92">
        <f t="shared" ref="BD30:CI30" si="42">BD31*BD13</f>
        <v>115.88487146644401</v>
      </c>
      <c r="BE30" s="92">
        <f t="shared" si="42"/>
        <v>118.20256889577288</v>
      </c>
      <c r="BF30" s="92">
        <f t="shared" si="42"/>
        <v>120.56662027368834</v>
      </c>
      <c r="BG30" s="92">
        <f t="shared" si="42"/>
        <v>122.97795267916212</v>
      </c>
      <c r="BH30" s="92">
        <f t="shared" si="42"/>
        <v>125.43751173274536</v>
      </c>
      <c r="BI30" s="92">
        <f t="shared" si="42"/>
        <v>127.94626196740029</v>
      </c>
      <c r="BJ30" s="92">
        <f t="shared" si="42"/>
        <v>130.50518720674827</v>
      </c>
      <c r="BK30" s="92">
        <f t="shared" si="42"/>
        <v>133.11529095088326</v>
      </c>
      <c r="BL30" s="92">
        <f t="shared" si="42"/>
        <v>135.77759676990092</v>
      </c>
      <c r="BM30" s="92">
        <f t="shared" si="42"/>
        <v>138.49314870529895</v>
      </c>
      <c r="BN30" s="92">
        <f t="shared" si="42"/>
        <v>141.26301167940491</v>
      </c>
      <c r="BO30" s="92">
        <f t="shared" si="42"/>
        <v>144.08827191299298</v>
      </c>
      <c r="BP30" s="92">
        <f t="shared" si="42"/>
        <v>146.97003735125284</v>
      </c>
      <c r="BQ30" s="92">
        <f t="shared" si="42"/>
        <v>149.90943809827792</v>
      </c>
      <c r="BR30" s="92">
        <f t="shared" si="42"/>
        <v>152.90762686024348</v>
      </c>
      <c r="BS30" s="92">
        <f t="shared" si="42"/>
        <v>155.96577939744833</v>
      </c>
      <c r="BT30" s="92">
        <f t="shared" si="42"/>
        <v>159.08509498539732</v>
      </c>
      <c r="BU30" s="92">
        <f t="shared" si="42"/>
        <v>162.26679688510526</v>
      </c>
      <c r="BV30" s="92">
        <f t="shared" si="42"/>
        <v>165.51213282280736</v>
      </c>
      <c r="BW30" s="92">
        <f t="shared" si="42"/>
        <v>168.82237547926351</v>
      </c>
      <c r="BX30" s="92">
        <f t="shared" si="42"/>
        <v>172.1988229888488</v>
      </c>
      <c r="BY30" s="92">
        <f t="shared" si="42"/>
        <v>175.64279944862579</v>
      </c>
      <c r="BZ30" s="92">
        <f t="shared" si="42"/>
        <v>179.15565543759831</v>
      </c>
      <c r="CA30" s="92">
        <f t="shared" si="42"/>
        <v>182.73876854635029</v>
      </c>
      <c r="CB30" s="92">
        <f t="shared" si="42"/>
        <v>186.3935439172773</v>
      </c>
      <c r="CC30" s="92">
        <f t="shared" si="42"/>
        <v>190.12141479562285</v>
      </c>
      <c r="CD30" s="92">
        <f t="shared" si="42"/>
        <v>193.9238430915353</v>
      </c>
      <c r="CE30" s="92">
        <f t="shared" si="42"/>
        <v>197.80231995336601</v>
      </c>
      <c r="CF30" s="92">
        <f t="shared" si="42"/>
        <v>201.75836635243334</v>
      </c>
      <c r="CG30" s="92">
        <f t="shared" si="42"/>
        <v>205.79353367948201</v>
      </c>
      <c r="CH30" s="92">
        <f t="shared" si="42"/>
        <v>209.90940435307164</v>
      </c>
      <c r="CI30" s="92">
        <f t="shared" si="42"/>
        <v>214.10759244013306</v>
      </c>
      <c r="CJ30" s="92">
        <f t="shared" ref="CJ30:CQ30" si="43">CJ31*CJ13</f>
        <v>218.38974428893573</v>
      </c>
      <c r="CK30" s="92">
        <f t="shared" si="43"/>
        <v>222.75753917471445</v>
      </c>
      <c r="CL30" s="92">
        <f t="shared" si="43"/>
        <v>227.21268995820876</v>
      </c>
      <c r="CM30" s="92">
        <f t="shared" si="43"/>
        <v>231.75694375737294</v>
      </c>
      <c r="CN30" s="92">
        <f t="shared" si="43"/>
        <v>236.39208263252041</v>
      </c>
      <c r="CO30" s="92">
        <f t="shared" si="43"/>
        <v>241.11992428517084</v>
      </c>
      <c r="CP30" s="92">
        <f t="shared" si="43"/>
        <v>245.94232277087426</v>
      </c>
      <c r="CQ30" s="92">
        <f t="shared" si="43"/>
        <v>250.86116922629174</v>
      </c>
    </row>
    <row r="31" spans="1:95">
      <c r="A31" s="79" t="s">
        <v>484</v>
      </c>
      <c r="B31" s="92">
        <f t="shared" ref="B31:AC31" si="44">B24/B11</f>
        <v>40.13482971901292</v>
      </c>
      <c r="C31" s="92">
        <f t="shared" si="44"/>
        <v>26.285775652026299</v>
      </c>
      <c r="D31" s="92">
        <f t="shared" si="44"/>
        <v>34.593665830956262</v>
      </c>
      <c r="E31" s="92">
        <f t="shared" si="44"/>
        <v>55.497750724627373</v>
      </c>
      <c r="F31" s="92">
        <f t="shared" si="44"/>
        <v>46.976053048955087</v>
      </c>
      <c r="G31" s="92">
        <f t="shared" si="44"/>
        <v>46.232285826417048</v>
      </c>
      <c r="H31" s="92">
        <f t="shared" si="44"/>
        <v>51.732037806530109</v>
      </c>
      <c r="I31" s="92">
        <f t="shared" si="44"/>
        <v>67.138424064872424</v>
      </c>
      <c r="J31" s="92">
        <f t="shared" si="44"/>
        <v>94.538606004015108</v>
      </c>
      <c r="K31" s="92">
        <f t="shared" si="44"/>
        <v>109.64077423282842</v>
      </c>
      <c r="L31" s="92">
        <f t="shared" si="44"/>
        <v>117.28481904606755</v>
      </c>
      <c r="M31" s="92">
        <f t="shared" si="44"/>
        <v>153.32284216387751</v>
      </c>
      <c r="N31" s="92">
        <f t="shared" si="44"/>
        <v>97.147464212440212</v>
      </c>
      <c r="O31" s="92">
        <f t="shared" si="44"/>
        <v>123.37633988902328</v>
      </c>
      <c r="P31" s="92">
        <f t="shared" si="44"/>
        <v>165.44542241688313</v>
      </c>
      <c r="Q31" s="92">
        <f t="shared" si="44"/>
        <v>162.98493923378393</v>
      </c>
      <c r="R31" s="92">
        <f t="shared" si="44"/>
        <v>156.3022002403672</v>
      </c>
      <c r="S31" s="92">
        <f t="shared" si="44"/>
        <v>140.85746235703084</v>
      </c>
      <c r="T31" s="92">
        <f t="shared" si="44"/>
        <v>75.499090218355349</v>
      </c>
      <c r="U31" s="92">
        <f t="shared" si="44"/>
        <v>62.95755429251863</v>
      </c>
      <c r="V31" s="92">
        <f t="shared" si="44"/>
        <v>74.708909159691402</v>
      </c>
      <c r="W31" s="92">
        <f t="shared" si="44"/>
        <v>95.565208149679037</v>
      </c>
      <c r="X31" s="92">
        <f t="shared" si="44"/>
        <v>83.960101050314876</v>
      </c>
      <c r="Y31" s="92">
        <f t="shared" si="44"/>
        <v>56.050894094168378</v>
      </c>
      <c r="Z31" s="92">
        <f t="shared" si="44"/>
        <v>87.609858797240136</v>
      </c>
      <c r="AA31" s="92">
        <f t="shared" si="44"/>
        <v>113.22418109812752</v>
      </c>
      <c r="AB31" s="92">
        <f t="shared" si="44"/>
        <v>90.251068730598831</v>
      </c>
      <c r="AC31" s="92">
        <f t="shared" si="44"/>
        <v>85.047828402487227</v>
      </c>
      <c r="AD31" s="315">
        <v>71.749300139516265</v>
      </c>
      <c r="AE31" s="315">
        <v>66.692499999999981</v>
      </c>
      <c r="AF31" s="315">
        <v>65.269343780607258</v>
      </c>
      <c r="AG31" s="315">
        <v>64.285812498421194</v>
      </c>
      <c r="AH31" s="315">
        <v>63.252490912390648</v>
      </c>
      <c r="AI31" s="315">
        <v>62.052929391118873</v>
      </c>
      <c r="AJ31" s="312">
        <v>63.72792939111887</v>
      </c>
      <c r="AK31" s="315">
        <v>65.402929391118874</v>
      </c>
      <c r="AL31" s="315">
        <v>67.077929391118872</v>
      </c>
      <c r="AM31" s="315">
        <v>68.752929391118869</v>
      </c>
      <c r="AN31" s="315">
        <v>70.428062080808445</v>
      </c>
      <c r="AO31" s="718">
        <f>AN31</f>
        <v>70.428062080808445</v>
      </c>
      <c r="AP31" s="718">
        <f t="shared" ref="AP31:BM31" si="45">AO31</f>
        <v>70.428062080808445</v>
      </c>
      <c r="AQ31" s="718">
        <f t="shared" si="45"/>
        <v>70.428062080808445</v>
      </c>
      <c r="AR31" s="718">
        <f t="shared" si="45"/>
        <v>70.428062080808445</v>
      </c>
      <c r="AS31" s="718">
        <f t="shared" si="45"/>
        <v>70.428062080808445</v>
      </c>
      <c r="AT31" s="718">
        <f t="shared" si="45"/>
        <v>70.428062080808445</v>
      </c>
      <c r="AU31" s="718">
        <f t="shared" si="45"/>
        <v>70.428062080808445</v>
      </c>
      <c r="AV31" s="718">
        <f t="shared" si="45"/>
        <v>70.428062080808445</v>
      </c>
      <c r="AW31" s="718">
        <f t="shared" si="45"/>
        <v>70.428062080808445</v>
      </c>
      <c r="AX31" s="718">
        <f t="shared" si="45"/>
        <v>70.428062080808445</v>
      </c>
      <c r="AY31" s="718">
        <f t="shared" si="45"/>
        <v>70.428062080808445</v>
      </c>
      <c r="AZ31" s="718">
        <f t="shared" si="45"/>
        <v>70.428062080808445</v>
      </c>
      <c r="BA31" s="718">
        <f t="shared" si="45"/>
        <v>70.428062080808445</v>
      </c>
      <c r="BB31" s="718">
        <f t="shared" si="45"/>
        <v>70.428062080808445</v>
      </c>
      <c r="BC31" s="718">
        <f t="shared" si="45"/>
        <v>70.428062080808445</v>
      </c>
      <c r="BD31" s="718">
        <f t="shared" si="45"/>
        <v>70.428062080808445</v>
      </c>
      <c r="BE31" s="718">
        <f t="shared" si="45"/>
        <v>70.428062080808445</v>
      </c>
      <c r="BF31" s="718">
        <f t="shared" si="45"/>
        <v>70.428062080808445</v>
      </c>
      <c r="BG31" s="718">
        <f t="shared" si="45"/>
        <v>70.428062080808445</v>
      </c>
      <c r="BH31" s="718">
        <f t="shared" si="45"/>
        <v>70.428062080808445</v>
      </c>
      <c r="BI31" s="718">
        <f t="shared" si="45"/>
        <v>70.428062080808445</v>
      </c>
      <c r="BJ31" s="718">
        <f t="shared" si="45"/>
        <v>70.428062080808445</v>
      </c>
      <c r="BK31" s="718">
        <f t="shared" si="45"/>
        <v>70.428062080808445</v>
      </c>
      <c r="BL31" s="718">
        <f t="shared" si="45"/>
        <v>70.428062080808445</v>
      </c>
      <c r="BM31" s="718">
        <f t="shared" si="45"/>
        <v>70.428062080808445</v>
      </c>
      <c r="BN31" s="92">
        <f t="shared" ref="BN31:CQ31" si="46">BM31</f>
        <v>70.428062080808445</v>
      </c>
      <c r="BO31" s="92">
        <f t="shared" si="46"/>
        <v>70.428062080808445</v>
      </c>
      <c r="BP31" s="92">
        <f t="shared" si="46"/>
        <v>70.428062080808445</v>
      </c>
      <c r="BQ31" s="92">
        <f t="shared" si="46"/>
        <v>70.428062080808445</v>
      </c>
      <c r="BR31" s="92">
        <f t="shared" si="46"/>
        <v>70.428062080808445</v>
      </c>
      <c r="BS31" s="92">
        <f t="shared" si="46"/>
        <v>70.428062080808445</v>
      </c>
      <c r="BT31" s="92">
        <f t="shared" si="46"/>
        <v>70.428062080808445</v>
      </c>
      <c r="BU31" s="92">
        <f t="shared" si="46"/>
        <v>70.428062080808445</v>
      </c>
      <c r="BV31" s="92">
        <f t="shared" si="46"/>
        <v>70.428062080808445</v>
      </c>
      <c r="BW31" s="92">
        <f t="shared" si="46"/>
        <v>70.428062080808445</v>
      </c>
      <c r="BX31" s="92">
        <f t="shared" si="46"/>
        <v>70.428062080808445</v>
      </c>
      <c r="BY31" s="92">
        <f t="shared" si="46"/>
        <v>70.428062080808445</v>
      </c>
      <c r="BZ31" s="92">
        <f t="shared" si="46"/>
        <v>70.428062080808445</v>
      </c>
      <c r="CA31" s="92">
        <f t="shared" si="46"/>
        <v>70.428062080808445</v>
      </c>
      <c r="CB31" s="92">
        <f t="shared" si="46"/>
        <v>70.428062080808445</v>
      </c>
      <c r="CC31" s="92">
        <f t="shared" si="46"/>
        <v>70.428062080808445</v>
      </c>
      <c r="CD31" s="92">
        <f t="shared" si="46"/>
        <v>70.428062080808445</v>
      </c>
      <c r="CE31" s="92">
        <f t="shared" si="46"/>
        <v>70.428062080808445</v>
      </c>
      <c r="CF31" s="92">
        <f t="shared" si="46"/>
        <v>70.428062080808445</v>
      </c>
      <c r="CG31" s="92">
        <f t="shared" si="46"/>
        <v>70.428062080808445</v>
      </c>
      <c r="CH31" s="92">
        <f t="shared" si="46"/>
        <v>70.428062080808445</v>
      </c>
      <c r="CI31" s="92">
        <f t="shared" si="46"/>
        <v>70.428062080808445</v>
      </c>
      <c r="CJ31" s="92">
        <f t="shared" si="46"/>
        <v>70.428062080808445</v>
      </c>
      <c r="CK31" s="92">
        <f t="shared" si="46"/>
        <v>70.428062080808445</v>
      </c>
      <c r="CL31" s="92">
        <f t="shared" si="46"/>
        <v>70.428062080808445</v>
      </c>
      <c r="CM31" s="92">
        <f t="shared" si="46"/>
        <v>70.428062080808445</v>
      </c>
      <c r="CN31" s="92">
        <f t="shared" si="46"/>
        <v>70.428062080808445</v>
      </c>
      <c r="CO31" s="92">
        <f t="shared" si="46"/>
        <v>70.428062080808445</v>
      </c>
      <c r="CP31" s="92">
        <f t="shared" si="46"/>
        <v>70.428062080808445</v>
      </c>
      <c r="CQ31" s="92">
        <f t="shared" si="46"/>
        <v>70.428062080808445</v>
      </c>
    </row>
    <row r="32" spans="1:95">
      <c r="I32" s="90"/>
    </row>
    <row r="33" spans="1:95">
      <c r="A33" s="79" t="s">
        <v>158</v>
      </c>
      <c r="B33" s="86">
        <f t="shared" ref="B33:AG33" si="47">B5*B16</f>
        <v>852.91293139478603</v>
      </c>
      <c r="C33" s="86">
        <f t="shared" si="47"/>
        <v>607.29205931687591</v>
      </c>
      <c r="D33" s="86">
        <f t="shared" si="47"/>
        <v>847.00937415686417</v>
      </c>
      <c r="E33" s="86">
        <f t="shared" si="47"/>
        <v>1578.7423100000001</v>
      </c>
      <c r="F33" s="86">
        <f t="shared" si="47"/>
        <v>1402.62763</v>
      </c>
      <c r="G33" s="86">
        <f t="shared" si="47"/>
        <v>1245.38238</v>
      </c>
      <c r="H33" s="86">
        <f t="shared" si="47"/>
        <v>1264.25181</v>
      </c>
      <c r="I33" s="86">
        <f t="shared" si="47"/>
        <v>1603.90155</v>
      </c>
      <c r="J33" s="86">
        <f t="shared" si="47"/>
        <v>2232.8825500000003</v>
      </c>
      <c r="K33" s="86">
        <f t="shared" si="47"/>
        <v>2660.5896299999999</v>
      </c>
      <c r="L33" s="86">
        <f t="shared" si="47"/>
        <v>2673.1692499999999</v>
      </c>
      <c r="M33" s="86">
        <f t="shared" si="47"/>
        <v>3497.13436</v>
      </c>
      <c r="N33" s="86">
        <f t="shared" si="47"/>
        <v>2459.3157099999999</v>
      </c>
      <c r="O33" s="86">
        <f t="shared" si="47"/>
        <v>3050.5578500000001</v>
      </c>
      <c r="P33" s="86">
        <f t="shared" si="47"/>
        <v>3912.2618200000002</v>
      </c>
      <c r="Q33" s="86">
        <f t="shared" si="47"/>
        <v>4088.3765000000003</v>
      </c>
      <c r="R33" s="86">
        <f t="shared" si="47"/>
        <v>4019.1885900000002</v>
      </c>
      <c r="S33" s="86">
        <f t="shared" si="47"/>
        <v>3943.7108699999999</v>
      </c>
      <c r="T33" s="86">
        <f t="shared" si="47"/>
        <v>2710.9081099999999</v>
      </c>
      <c r="U33" s="86">
        <f t="shared" si="47"/>
        <v>2383.83799</v>
      </c>
      <c r="V33" s="86">
        <f t="shared" si="47"/>
        <v>2842.9941199999998</v>
      </c>
      <c r="W33" s="86">
        <f t="shared" si="47"/>
        <v>3666.9592299999999</v>
      </c>
      <c r="X33" s="86">
        <f t="shared" si="47"/>
        <v>3547.4528399999999</v>
      </c>
      <c r="Y33" s="86">
        <f t="shared" si="47"/>
        <v>2559.9526700000001</v>
      </c>
      <c r="Z33" s="86">
        <f t="shared" si="47"/>
        <v>3830.4942900000001</v>
      </c>
      <c r="AA33" s="86">
        <f t="shared" si="47"/>
        <v>5981.6093099999998</v>
      </c>
      <c r="AB33" s="86">
        <f t="shared" si="47"/>
        <v>5453.2652699999999</v>
      </c>
      <c r="AC33" s="86">
        <f t="shared" si="47"/>
        <v>5384.0773600000002</v>
      </c>
      <c r="AD33" s="86">
        <f t="shared" si="47"/>
        <v>4553.9081099309251</v>
      </c>
      <c r="AE33" s="86">
        <f t="shared" si="47"/>
        <v>4242.4470669952716</v>
      </c>
      <c r="AF33" s="86">
        <f t="shared" si="47"/>
        <v>4239.1074340377854</v>
      </c>
      <c r="AG33" s="86">
        <f t="shared" si="47"/>
        <v>4262.9089451157533</v>
      </c>
      <c r="AH33" s="86">
        <f t="shared" ref="AH33:BC33" si="48">AH5*AH16</f>
        <v>4282.4696524381825</v>
      </c>
      <c r="AI33" s="86">
        <f t="shared" si="48"/>
        <v>4285.2791849262276</v>
      </c>
      <c r="AJ33" s="86">
        <f t="shared" si="48"/>
        <v>4488.9711321902769</v>
      </c>
      <c r="AK33" s="86">
        <f t="shared" si="48"/>
        <v>4699.0966456709193</v>
      </c>
      <c r="AL33" s="86">
        <f t="shared" si="48"/>
        <v>4915.8315912379112</v>
      </c>
      <c r="AM33" s="86">
        <f t="shared" si="48"/>
        <v>5139.3562959693136</v>
      </c>
      <c r="AN33" s="86">
        <f t="shared" si="48"/>
        <v>5369.8657733261525</v>
      </c>
      <c r="AO33" s="86">
        <f t="shared" si="48"/>
        <v>5477.2630887926762</v>
      </c>
      <c r="AP33" s="86">
        <f t="shared" si="48"/>
        <v>5586.808350568529</v>
      </c>
      <c r="AQ33" s="86">
        <f t="shared" si="48"/>
        <v>5698.5445175799005</v>
      </c>
      <c r="AR33" s="86">
        <f t="shared" si="48"/>
        <v>5812.5154079314989</v>
      </c>
      <c r="AS33" s="86">
        <f t="shared" si="48"/>
        <v>5928.7657160901281</v>
      </c>
      <c r="AT33" s="86">
        <f t="shared" si="48"/>
        <v>6047.3410304119307</v>
      </c>
      <c r="AU33" s="86">
        <f t="shared" si="48"/>
        <v>6168.2878510201699</v>
      </c>
      <c r="AV33" s="86">
        <f t="shared" si="48"/>
        <v>6291.653608040574</v>
      </c>
      <c r="AW33" s="86">
        <f t="shared" si="48"/>
        <v>6417.4866802013848</v>
      </c>
      <c r="AX33" s="86">
        <f t="shared" si="48"/>
        <v>6545.8364138054121</v>
      </c>
      <c r="AY33" s="86">
        <f t="shared" si="48"/>
        <v>6676.7531420815212</v>
      </c>
      <c r="AZ33" s="86">
        <f t="shared" si="48"/>
        <v>6810.2882049231521</v>
      </c>
      <c r="BA33" s="86">
        <f t="shared" si="48"/>
        <v>6946.4939690216142</v>
      </c>
      <c r="BB33" s="86">
        <f t="shared" si="48"/>
        <v>7085.423848402048</v>
      </c>
      <c r="BC33" s="86">
        <f t="shared" si="48"/>
        <v>7227.1323253700893</v>
      </c>
      <c r="BD33" s="86">
        <f t="shared" ref="BD33:BM33" si="49">BD5*BD16</f>
        <v>7371.67497187749</v>
      </c>
      <c r="BE33" s="86">
        <f t="shared" si="49"/>
        <v>7519.1084713150394</v>
      </c>
      <c r="BF33" s="86">
        <f t="shared" si="49"/>
        <v>7669.4906407413409</v>
      </c>
      <c r="BG33" s="86">
        <f t="shared" si="49"/>
        <v>7822.8804535561685</v>
      </c>
      <c r="BH33" s="86">
        <f t="shared" si="49"/>
        <v>7979.3380626272919</v>
      </c>
      <c r="BI33" s="86">
        <f t="shared" si="49"/>
        <v>8138.9248238798382</v>
      </c>
      <c r="BJ33" s="86">
        <f t="shared" si="49"/>
        <v>8301.7033203574356</v>
      </c>
      <c r="BK33" s="86">
        <f t="shared" si="49"/>
        <v>8467.7373867645838</v>
      </c>
      <c r="BL33" s="86">
        <f t="shared" si="49"/>
        <v>8637.0921344998769</v>
      </c>
      <c r="BM33" s="86">
        <f t="shared" si="49"/>
        <v>8809.8339771898718</v>
      </c>
      <c r="BN33" s="117">
        <f t="shared" ref="BN33:CL33" si="50">BM33*(1+$AI$12/100)</f>
        <v>8986.0306567336702</v>
      </c>
      <c r="BO33" s="117">
        <f t="shared" si="50"/>
        <v>9165.751269868344</v>
      </c>
      <c r="BP33" s="117">
        <f t="shared" si="50"/>
        <v>9349.0662952657112</v>
      </c>
      <c r="BQ33" s="117">
        <f t="shared" si="50"/>
        <v>9536.0476211710247</v>
      </c>
      <c r="BR33" s="117">
        <f t="shared" si="50"/>
        <v>9726.7685735944451</v>
      </c>
      <c r="BS33" s="117">
        <f t="shared" si="50"/>
        <v>9921.3039450663346</v>
      </c>
      <c r="BT33" s="117">
        <f t="shared" si="50"/>
        <v>10119.730023967661</v>
      </c>
      <c r="BU33" s="117">
        <f t="shared" si="50"/>
        <v>10322.124624447015</v>
      </c>
      <c r="BV33" s="117">
        <f t="shared" si="50"/>
        <v>10528.567116935956</v>
      </c>
      <c r="BW33" s="117">
        <f t="shared" si="50"/>
        <v>10739.138459274674</v>
      </c>
      <c r="BX33" s="117">
        <f t="shared" si="50"/>
        <v>10953.921228460169</v>
      </c>
      <c r="BY33" s="117">
        <f t="shared" si="50"/>
        <v>11172.999653029372</v>
      </c>
      <c r="BZ33" s="117">
        <f t="shared" si="50"/>
        <v>11396.459646089959</v>
      </c>
      <c r="CA33" s="117">
        <f t="shared" si="50"/>
        <v>11624.388839011759</v>
      </c>
      <c r="CB33" s="117">
        <f t="shared" si="50"/>
        <v>11856.876615791994</v>
      </c>
      <c r="CC33" s="117">
        <f t="shared" si="50"/>
        <v>12094.014148107835</v>
      </c>
      <c r="CD33" s="117">
        <f t="shared" si="50"/>
        <v>12335.894431069992</v>
      </c>
      <c r="CE33" s="117">
        <f t="shared" si="50"/>
        <v>12582.612319691392</v>
      </c>
      <c r="CF33" s="117">
        <f t="shared" si="50"/>
        <v>12834.264566085219</v>
      </c>
      <c r="CG33" s="117">
        <f t="shared" si="50"/>
        <v>13090.949857406924</v>
      </c>
      <c r="CH33" s="117">
        <f t="shared" si="50"/>
        <v>13352.768854555063</v>
      </c>
      <c r="CI33" s="117">
        <f t="shared" si="50"/>
        <v>13619.824231646164</v>
      </c>
      <c r="CJ33" s="117">
        <f t="shared" si="50"/>
        <v>13892.220716279087</v>
      </c>
      <c r="CK33" s="117">
        <f t="shared" si="50"/>
        <v>14170.065130604669</v>
      </c>
      <c r="CL33" s="117">
        <f t="shared" si="50"/>
        <v>14453.466433216763</v>
      </c>
      <c r="CM33" s="117">
        <f t="shared" ref="CM33:CM36" si="51">CL33*(1+$AI$12/100)</f>
        <v>14742.535761881099</v>
      </c>
      <c r="CN33" s="117">
        <f t="shared" ref="CN33:CN36" si="52">CM33*(1+$AI$12/100)</f>
        <v>15037.386477118722</v>
      </c>
      <c r="CO33" s="117">
        <f t="shared" ref="CO33:CO36" si="53">CN33*(1+$AI$12/100)</f>
        <v>15338.134206661096</v>
      </c>
      <c r="CP33" s="117">
        <f t="shared" ref="CP33:CP36" si="54">CO33*(1+$AI$12/100)</f>
        <v>15644.896890794318</v>
      </c>
      <c r="CQ33" s="117">
        <f t="shared" ref="CQ33:CQ36" si="55">CP33*(1+$AI$12/100)</f>
        <v>15957.794828610206</v>
      </c>
    </row>
    <row r="34" spans="1:95">
      <c r="A34" s="79" t="s">
        <v>159</v>
      </c>
      <c r="B34" s="86">
        <f t="shared" ref="B34:AG34" si="56">B6*1000</f>
        <v>650</v>
      </c>
      <c r="C34" s="86">
        <f t="shared" si="56"/>
        <v>640</v>
      </c>
      <c r="D34" s="86">
        <f t="shared" si="56"/>
        <v>550</v>
      </c>
      <c r="E34" s="86">
        <f t="shared" si="56"/>
        <v>990</v>
      </c>
      <c r="F34" s="86">
        <f t="shared" si="56"/>
        <v>1210</v>
      </c>
      <c r="G34" s="86">
        <f t="shared" si="56"/>
        <v>920</v>
      </c>
      <c r="H34" s="86">
        <f t="shared" si="56"/>
        <v>880</v>
      </c>
      <c r="I34" s="86">
        <f t="shared" si="56"/>
        <v>970</v>
      </c>
      <c r="J34" s="86">
        <f t="shared" si="56"/>
        <v>1250</v>
      </c>
      <c r="K34" s="86">
        <f t="shared" si="56"/>
        <v>1740</v>
      </c>
      <c r="L34" s="86">
        <f t="shared" si="56"/>
        <v>1570</v>
      </c>
      <c r="M34" s="86">
        <f t="shared" si="56"/>
        <v>2220</v>
      </c>
      <c r="N34" s="86">
        <f t="shared" si="56"/>
        <v>1670</v>
      </c>
      <c r="O34" s="86">
        <f t="shared" si="56"/>
        <v>1590</v>
      </c>
      <c r="P34" s="86">
        <f t="shared" si="56"/>
        <v>2000</v>
      </c>
      <c r="Q34" s="86">
        <f t="shared" si="56"/>
        <v>2210</v>
      </c>
      <c r="R34" s="86">
        <f t="shared" si="56"/>
        <v>2310</v>
      </c>
      <c r="S34" s="86">
        <f t="shared" si="56"/>
        <v>2050</v>
      </c>
      <c r="T34" s="86">
        <f t="shared" si="56"/>
        <v>1920</v>
      </c>
      <c r="U34" s="86">
        <f t="shared" si="56"/>
        <v>1400</v>
      </c>
      <c r="V34" s="86">
        <f t="shared" si="56"/>
        <v>1650</v>
      </c>
      <c r="W34" s="86">
        <f t="shared" si="56"/>
        <v>2200</v>
      </c>
      <c r="X34" s="86">
        <f t="shared" si="56"/>
        <v>1570</v>
      </c>
      <c r="Y34" s="86">
        <f t="shared" si="56"/>
        <v>1130.0307556703999</v>
      </c>
      <c r="Z34" s="86">
        <f t="shared" si="56"/>
        <v>4607.3909850236996</v>
      </c>
      <c r="AA34" s="86">
        <f t="shared" si="56"/>
        <v>12048.4402189743</v>
      </c>
      <c r="AB34" s="86">
        <f t="shared" si="56"/>
        <v>5442.8395581100303</v>
      </c>
      <c r="AC34" s="86">
        <f t="shared" si="56"/>
        <v>4425.8198654952084</v>
      </c>
      <c r="AD34" s="86">
        <f t="shared" si="56"/>
        <v>5164.0215323355096</v>
      </c>
      <c r="AE34" s="86">
        <f t="shared" si="56"/>
        <v>3987.13055344958</v>
      </c>
      <c r="AF34" s="86">
        <f t="shared" si="56"/>
        <v>3248.8596585670934</v>
      </c>
      <c r="AG34" s="86">
        <f t="shared" si="56"/>
        <v>3317.0857113970019</v>
      </c>
      <c r="AH34" s="86">
        <f t="shared" ref="AH34:BC34" si="57">AH6*1000</f>
        <v>3386.7445113363383</v>
      </c>
      <c r="AI34" s="86">
        <f t="shared" si="57"/>
        <v>2745.9873620351436</v>
      </c>
      <c r="AJ34" s="86">
        <f t="shared" si="57"/>
        <v>2763.5615232499827</v>
      </c>
      <c r="AK34" s="86">
        <f t="shared" si="57"/>
        <v>2780.7402559686129</v>
      </c>
      <c r="AL34" s="86">
        <f t="shared" si="57"/>
        <v>2797.5007133866757</v>
      </c>
      <c r="AM34" s="86">
        <f t="shared" si="57"/>
        <v>2813.8192929990864</v>
      </c>
      <c r="AN34" s="86">
        <f t="shared" si="57"/>
        <v>2829.6716155106378</v>
      </c>
      <c r="AO34" s="86">
        <f t="shared" si="57"/>
        <v>2845.0325032054407</v>
      </c>
      <c r="AP34" s="86">
        <f t="shared" si="57"/>
        <v>2859.875957761843</v>
      </c>
      <c r="AQ34" s="86">
        <f t="shared" si="57"/>
        <v>2874.1751374992073</v>
      </c>
      <c r="AR34" s="86">
        <f t="shared" si="57"/>
        <v>2887.9023340429735</v>
      </c>
      <c r="AS34" s="86">
        <f t="shared" si="57"/>
        <v>2901.0308354706976</v>
      </c>
      <c r="AT34" s="86">
        <f t="shared" si="57"/>
        <v>2959.051452180111</v>
      </c>
      <c r="AU34" s="86">
        <f t="shared" si="57"/>
        <v>3018.2324812237139</v>
      </c>
      <c r="AV34" s="86">
        <f t="shared" si="57"/>
        <v>3078.597130848188</v>
      </c>
      <c r="AW34" s="86">
        <f t="shared" si="57"/>
        <v>3140.169073465152</v>
      </c>
      <c r="AX34" s="86">
        <f t="shared" si="57"/>
        <v>3202.9724549344551</v>
      </c>
      <c r="AY34" s="86">
        <f t="shared" si="57"/>
        <v>3267.0319040331442</v>
      </c>
      <c r="AZ34" s="86">
        <f t="shared" si="57"/>
        <v>3332.3725421138074</v>
      </c>
      <c r="BA34" s="86">
        <f t="shared" si="57"/>
        <v>3399.0199929560836</v>
      </c>
      <c r="BB34" s="86">
        <f t="shared" si="57"/>
        <v>3467.000392815205</v>
      </c>
      <c r="BC34" s="86">
        <f t="shared" si="57"/>
        <v>3536.3404006715095</v>
      </c>
      <c r="BD34" s="86">
        <f t="shared" ref="BD34:BM34" si="58">BD6*1000</f>
        <v>3607.0672086849395</v>
      </c>
      <c r="BE34" s="86">
        <f t="shared" si="58"/>
        <v>3679.2085528586381</v>
      </c>
      <c r="BF34" s="86">
        <f t="shared" si="58"/>
        <v>3752.7927239158112</v>
      </c>
      <c r="BG34" s="86">
        <f t="shared" si="58"/>
        <v>3827.8485783941278</v>
      </c>
      <c r="BH34" s="86">
        <f t="shared" si="58"/>
        <v>3904.4055499620104</v>
      </c>
      <c r="BI34" s="86">
        <f t="shared" si="58"/>
        <v>3982.493660961251</v>
      </c>
      <c r="BJ34" s="86">
        <f t="shared" si="58"/>
        <v>4062.1435341804759</v>
      </c>
      <c r="BK34" s="86">
        <f t="shared" si="58"/>
        <v>4143.3864048640853</v>
      </c>
      <c r="BL34" s="86">
        <f t="shared" si="58"/>
        <v>4226.2541329613668</v>
      </c>
      <c r="BM34" s="86">
        <f t="shared" si="58"/>
        <v>4310.7792156205942</v>
      </c>
      <c r="BN34" s="117">
        <f t="shared" ref="BN34:CL35" si="59">BM34*(1+$AI$12/100)</f>
        <v>4396.9947999330061</v>
      </c>
      <c r="BO34" s="117">
        <f t="shared" si="59"/>
        <v>4484.9346959316663</v>
      </c>
      <c r="BP34" s="117">
        <f t="shared" si="59"/>
        <v>4574.6333898502999</v>
      </c>
      <c r="BQ34" s="117">
        <f t="shared" si="59"/>
        <v>4666.126057647306</v>
      </c>
      <c r="BR34" s="117">
        <f t="shared" si="59"/>
        <v>4759.4485788002521</v>
      </c>
      <c r="BS34" s="117">
        <f t="shared" si="59"/>
        <v>4854.6375503762574</v>
      </c>
      <c r="BT34" s="117">
        <f t="shared" si="59"/>
        <v>4951.7303013837827</v>
      </c>
      <c r="BU34" s="117">
        <f t="shared" si="59"/>
        <v>5050.7649074114588</v>
      </c>
      <c r="BV34" s="117">
        <f t="shared" si="59"/>
        <v>5151.7802055596885</v>
      </c>
      <c r="BW34" s="117">
        <f t="shared" si="59"/>
        <v>5254.8158096708821</v>
      </c>
      <c r="BX34" s="117">
        <f t="shared" si="59"/>
        <v>5359.9121258642999</v>
      </c>
      <c r="BY34" s="117">
        <f t="shared" si="59"/>
        <v>5467.1103683815863</v>
      </c>
      <c r="BZ34" s="117">
        <f t="shared" si="59"/>
        <v>5576.4525757492183</v>
      </c>
      <c r="CA34" s="117">
        <f t="shared" si="59"/>
        <v>5687.9816272642029</v>
      </c>
      <c r="CB34" s="117">
        <f t="shared" si="59"/>
        <v>5801.741259809487</v>
      </c>
      <c r="CC34" s="117">
        <f t="shared" si="59"/>
        <v>5917.7760850056766</v>
      </c>
      <c r="CD34" s="117">
        <f t="shared" si="59"/>
        <v>6036.1316067057905</v>
      </c>
      <c r="CE34" s="117">
        <f t="shared" si="59"/>
        <v>6156.8542388399064</v>
      </c>
      <c r="CF34" s="117">
        <f t="shared" si="59"/>
        <v>6279.9913236167049</v>
      </c>
      <c r="CG34" s="117">
        <f t="shared" si="59"/>
        <v>6405.5911500890388</v>
      </c>
      <c r="CH34" s="117">
        <f t="shared" si="59"/>
        <v>6533.7029730908198</v>
      </c>
      <c r="CI34" s="117">
        <f t="shared" si="59"/>
        <v>6664.3770325526366</v>
      </c>
      <c r="CJ34" s="117">
        <f t="shared" si="59"/>
        <v>6797.6645732036895</v>
      </c>
      <c r="CK34" s="117">
        <f t="shared" si="59"/>
        <v>6933.6178646677636</v>
      </c>
      <c r="CL34" s="117">
        <f t="shared" si="59"/>
        <v>7072.2902219611187</v>
      </c>
      <c r="CM34" s="117">
        <f t="shared" si="51"/>
        <v>7213.736026400341</v>
      </c>
      <c r="CN34" s="117">
        <f t="shared" si="52"/>
        <v>7358.0107469283475</v>
      </c>
      <c r="CO34" s="117">
        <f t="shared" si="53"/>
        <v>7505.1709618669147</v>
      </c>
      <c r="CP34" s="117">
        <f t="shared" si="54"/>
        <v>7655.2743811042528</v>
      </c>
      <c r="CQ34" s="117">
        <f t="shared" si="55"/>
        <v>7808.3798687263379</v>
      </c>
    </row>
    <row r="35" spans="1:95">
      <c r="A35" s="79" t="s">
        <v>240</v>
      </c>
      <c r="B35" s="86">
        <f t="shared" ref="B35:AG35" si="60">B7*1000</f>
        <v>0</v>
      </c>
      <c r="C35" s="86">
        <f t="shared" si="60"/>
        <v>0</v>
      </c>
      <c r="D35" s="86">
        <f t="shared" si="60"/>
        <v>0</v>
      </c>
      <c r="E35" s="86">
        <f t="shared" si="60"/>
        <v>0</v>
      </c>
      <c r="F35" s="86">
        <f t="shared" si="60"/>
        <v>0</v>
      </c>
      <c r="G35" s="86">
        <f t="shared" si="60"/>
        <v>0</v>
      </c>
      <c r="H35" s="86">
        <f t="shared" si="60"/>
        <v>610</v>
      </c>
      <c r="I35" s="86">
        <f t="shared" si="60"/>
        <v>610</v>
      </c>
      <c r="J35" s="86">
        <f t="shared" si="60"/>
        <v>790</v>
      </c>
      <c r="K35" s="86">
        <f t="shared" si="60"/>
        <v>1050</v>
      </c>
      <c r="L35" s="86">
        <f t="shared" si="60"/>
        <v>950</v>
      </c>
      <c r="M35" s="86">
        <f t="shared" si="60"/>
        <v>1420</v>
      </c>
      <c r="N35" s="86">
        <f t="shared" si="60"/>
        <v>1940</v>
      </c>
      <c r="O35" s="86">
        <f t="shared" si="60"/>
        <v>1760</v>
      </c>
      <c r="P35" s="86">
        <f t="shared" si="60"/>
        <v>2200</v>
      </c>
      <c r="Q35" s="86">
        <f t="shared" si="60"/>
        <v>1300</v>
      </c>
      <c r="R35" s="86">
        <f t="shared" si="60"/>
        <v>1300</v>
      </c>
      <c r="S35" s="86">
        <f t="shared" si="60"/>
        <v>0</v>
      </c>
      <c r="T35" s="86">
        <f t="shared" si="60"/>
        <v>0</v>
      </c>
      <c r="U35" s="86">
        <f t="shared" si="60"/>
        <v>0</v>
      </c>
      <c r="V35" s="86">
        <f t="shared" si="60"/>
        <v>0</v>
      </c>
      <c r="W35" s="86">
        <f t="shared" si="60"/>
        <v>0</v>
      </c>
      <c r="X35" s="86">
        <f t="shared" si="60"/>
        <v>0</v>
      </c>
      <c r="Y35" s="86">
        <f t="shared" si="60"/>
        <v>0</v>
      </c>
      <c r="Z35" s="86">
        <f t="shared" si="60"/>
        <v>0</v>
      </c>
      <c r="AA35" s="86">
        <f t="shared" si="60"/>
        <v>0</v>
      </c>
      <c r="AB35" s="86">
        <f t="shared" si="60"/>
        <v>0</v>
      </c>
      <c r="AC35" s="86">
        <f t="shared" si="60"/>
        <v>0</v>
      </c>
      <c r="AD35" s="86">
        <f t="shared" si="60"/>
        <v>0</v>
      </c>
      <c r="AE35" s="86">
        <f t="shared" si="60"/>
        <v>0</v>
      </c>
      <c r="AF35" s="86">
        <f t="shared" si="60"/>
        <v>0</v>
      </c>
      <c r="AG35" s="86">
        <f t="shared" si="60"/>
        <v>0</v>
      </c>
      <c r="AH35" s="86">
        <f t="shared" ref="AH35:BC35" si="61">AH7*1000</f>
        <v>0</v>
      </c>
      <c r="AI35" s="86">
        <f t="shared" si="61"/>
        <v>0</v>
      </c>
      <c r="AJ35" s="86">
        <f t="shared" si="61"/>
        <v>0</v>
      </c>
      <c r="AK35" s="86">
        <f t="shared" si="61"/>
        <v>0</v>
      </c>
      <c r="AL35" s="86">
        <f t="shared" si="61"/>
        <v>0</v>
      </c>
      <c r="AM35" s="86">
        <f t="shared" si="61"/>
        <v>0</v>
      </c>
      <c r="AN35" s="86">
        <f t="shared" si="61"/>
        <v>0</v>
      </c>
      <c r="AO35" s="86">
        <f t="shared" si="61"/>
        <v>0</v>
      </c>
      <c r="AP35" s="86">
        <f t="shared" si="61"/>
        <v>0</v>
      </c>
      <c r="AQ35" s="86">
        <f t="shared" si="61"/>
        <v>0</v>
      </c>
      <c r="AR35" s="86">
        <f t="shared" si="61"/>
        <v>0</v>
      </c>
      <c r="AS35" s="86">
        <f t="shared" si="61"/>
        <v>0</v>
      </c>
      <c r="AT35" s="86">
        <f t="shared" si="61"/>
        <v>0</v>
      </c>
      <c r="AU35" s="86">
        <f t="shared" si="61"/>
        <v>0</v>
      </c>
      <c r="AV35" s="86">
        <f t="shared" si="61"/>
        <v>0</v>
      </c>
      <c r="AW35" s="86">
        <f t="shared" si="61"/>
        <v>0</v>
      </c>
      <c r="AX35" s="86">
        <f t="shared" si="61"/>
        <v>0</v>
      </c>
      <c r="AY35" s="86">
        <f t="shared" si="61"/>
        <v>0</v>
      </c>
      <c r="AZ35" s="86">
        <f t="shared" si="61"/>
        <v>0</v>
      </c>
      <c r="BA35" s="86">
        <f t="shared" si="61"/>
        <v>0</v>
      </c>
      <c r="BB35" s="86">
        <f t="shared" si="61"/>
        <v>0</v>
      </c>
      <c r="BC35" s="86">
        <f t="shared" si="61"/>
        <v>0</v>
      </c>
      <c r="BD35" s="86">
        <f t="shared" ref="BD35:BM35" si="62">BD7*1000</f>
        <v>0</v>
      </c>
      <c r="BE35" s="86">
        <f t="shared" si="62"/>
        <v>0</v>
      </c>
      <c r="BF35" s="86">
        <f t="shared" si="62"/>
        <v>0</v>
      </c>
      <c r="BG35" s="86">
        <f t="shared" si="62"/>
        <v>0</v>
      </c>
      <c r="BH35" s="86">
        <f t="shared" si="62"/>
        <v>0</v>
      </c>
      <c r="BI35" s="86">
        <f t="shared" si="62"/>
        <v>0</v>
      </c>
      <c r="BJ35" s="86">
        <f t="shared" si="62"/>
        <v>0</v>
      </c>
      <c r="BK35" s="86">
        <f t="shared" si="62"/>
        <v>0</v>
      </c>
      <c r="BL35" s="86">
        <f t="shared" si="62"/>
        <v>0</v>
      </c>
      <c r="BM35" s="86">
        <f t="shared" si="62"/>
        <v>0</v>
      </c>
      <c r="BN35" s="80">
        <f t="shared" si="59"/>
        <v>0</v>
      </c>
      <c r="BO35" s="80">
        <f t="shared" si="59"/>
        <v>0</v>
      </c>
      <c r="BP35" s="80">
        <f t="shared" si="59"/>
        <v>0</v>
      </c>
      <c r="BQ35" s="80">
        <f t="shared" si="59"/>
        <v>0</v>
      </c>
      <c r="BR35" s="80">
        <f t="shared" si="59"/>
        <v>0</v>
      </c>
      <c r="BS35" s="80">
        <f t="shared" si="59"/>
        <v>0</v>
      </c>
      <c r="BT35" s="80">
        <f t="shared" si="59"/>
        <v>0</v>
      </c>
      <c r="BU35" s="80">
        <f t="shared" si="59"/>
        <v>0</v>
      </c>
      <c r="BV35" s="80">
        <f t="shared" si="59"/>
        <v>0</v>
      </c>
      <c r="BW35" s="80">
        <f t="shared" si="59"/>
        <v>0</v>
      </c>
      <c r="BX35" s="80">
        <f t="shared" si="59"/>
        <v>0</v>
      </c>
      <c r="BY35" s="80">
        <f t="shared" si="59"/>
        <v>0</v>
      </c>
      <c r="BZ35" s="80">
        <f t="shared" si="59"/>
        <v>0</v>
      </c>
      <c r="CA35" s="80">
        <f t="shared" si="59"/>
        <v>0</v>
      </c>
      <c r="CB35" s="80">
        <f t="shared" si="59"/>
        <v>0</v>
      </c>
      <c r="CC35" s="80">
        <f t="shared" si="59"/>
        <v>0</v>
      </c>
      <c r="CD35" s="80">
        <f t="shared" si="59"/>
        <v>0</v>
      </c>
      <c r="CE35" s="80">
        <f t="shared" si="59"/>
        <v>0</v>
      </c>
      <c r="CF35" s="80">
        <f t="shared" si="59"/>
        <v>0</v>
      </c>
      <c r="CG35" s="80">
        <f t="shared" si="59"/>
        <v>0</v>
      </c>
      <c r="CH35" s="80">
        <f t="shared" si="59"/>
        <v>0</v>
      </c>
      <c r="CI35" s="80">
        <f t="shared" si="59"/>
        <v>0</v>
      </c>
      <c r="CJ35" s="80">
        <f t="shared" si="59"/>
        <v>0</v>
      </c>
      <c r="CK35" s="80">
        <f t="shared" si="59"/>
        <v>0</v>
      </c>
      <c r="CL35" s="80">
        <f t="shared" si="59"/>
        <v>0</v>
      </c>
      <c r="CM35" s="80">
        <f t="shared" si="51"/>
        <v>0</v>
      </c>
      <c r="CN35" s="80">
        <f t="shared" si="52"/>
        <v>0</v>
      </c>
      <c r="CO35" s="80">
        <f t="shared" si="53"/>
        <v>0</v>
      </c>
      <c r="CP35" s="80">
        <f t="shared" si="54"/>
        <v>0</v>
      </c>
      <c r="CQ35" s="80">
        <f t="shared" si="55"/>
        <v>0</v>
      </c>
    </row>
    <row r="36" spans="1:95">
      <c r="A36" s="79" t="s">
        <v>160</v>
      </c>
      <c r="B36" s="86">
        <f t="shared" ref="B36:AG36" si="63">B8</f>
        <v>993.63</v>
      </c>
      <c r="C36" s="86">
        <f t="shared" si="63"/>
        <v>615.23</v>
      </c>
      <c r="D36" s="86">
        <f t="shared" si="63"/>
        <v>1017.97</v>
      </c>
      <c r="E36" s="86">
        <f t="shared" si="63"/>
        <v>1717.27</v>
      </c>
      <c r="F36" s="86">
        <f t="shared" si="63"/>
        <v>1526.37</v>
      </c>
      <c r="G36" s="86">
        <f t="shared" si="63"/>
        <v>1377.1</v>
      </c>
      <c r="H36" s="86">
        <f t="shared" si="63"/>
        <v>1093.168880455408</v>
      </c>
      <c r="I36" s="86">
        <f t="shared" si="63"/>
        <v>1332.1279554937412</v>
      </c>
      <c r="J36" s="86">
        <f t="shared" si="63"/>
        <v>1847.0464135021098</v>
      </c>
      <c r="K36" s="86">
        <f t="shared" si="63"/>
        <v>1965.5889145496537</v>
      </c>
      <c r="L36" s="86">
        <f t="shared" si="63"/>
        <v>1814.6525679758308</v>
      </c>
      <c r="M36" s="86">
        <f t="shared" si="63"/>
        <v>2521.089109</v>
      </c>
      <c r="N36" s="86">
        <f t="shared" si="63"/>
        <v>1763.5173058933583</v>
      </c>
      <c r="O36" s="86">
        <f t="shared" si="63"/>
        <v>2199.1357397051347</v>
      </c>
      <c r="P36" s="86">
        <f t="shared" si="63"/>
        <v>2796</v>
      </c>
      <c r="Q36" s="86">
        <f t="shared" si="63"/>
        <v>2896</v>
      </c>
      <c r="R36" s="86">
        <f t="shared" si="63"/>
        <v>2814.8571428571427</v>
      </c>
      <c r="S36" s="86">
        <f t="shared" si="63"/>
        <v>2352.3148148148148</v>
      </c>
      <c r="T36" s="86">
        <f t="shared" si="63"/>
        <v>1629.3665158371039</v>
      </c>
      <c r="U36" s="86">
        <f t="shared" si="63"/>
        <v>1482.9411764705881</v>
      </c>
      <c r="V36" s="86">
        <f t="shared" si="63"/>
        <v>1912.648243289148</v>
      </c>
      <c r="W36" s="86">
        <f t="shared" si="63"/>
        <v>2249.6672970570885</v>
      </c>
      <c r="X36" s="86">
        <f t="shared" si="63"/>
        <v>2119.4390364718961</v>
      </c>
      <c r="Y36" s="86">
        <f t="shared" si="63"/>
        <v>1565.0008201623934</v>
      </c>
      <c r="Z36" s="86">
        <f t="shared" si="63"/>
        <v>2189.4402544698478</v>
      </c>
      <c r="AA36" s="86">
        <f t="shared" si="63"/>
        <v>3997.5777844693371</v>
      </c>
      <c r="AB36" s="86">
        <f t="shared" si="63"/>
        <v>3735.5320071846963</v>
      </c>
      <c r="AC36" s="86">
        <f t="shared" si="63"/>
        <v>3257.9392335584689</v>
      </c>
      <c r="AD36" s="86">
        <f t="shared" si="63"/>
        <v>2753.619577819039</v>
      </c>
      <c r="AE36" s="86">
        <f t="shared" si="63"/>
        <v>2600.894571229383</v>
      </c>
      <c r="AF36" s="86">
        <f t="shared" si="63"/>
        <v>2599.9826149409701</v>
      </c>
      <c r="AG36" s="86">
        <f t="shared" si="63"/>
        <v>2612.5432378289061</v>
      </c>
      <c r="AH36" s="86">
        <f t="shared" ref="AH36:BC36" si="64">AH8</f>
        <v>2633.4456543407628</v>
      </c>
      <c r="AI36" s="86">
        <f t="shared" si="64"/>
        <v>2645.4081839097844</v>
      </c>
      <c r="AJ36" s="86">
        <f t="shared" si="64"/>
        <v>2770.3475727055761</v>
      </c>
      <c r="AK36" s="86">
        <f t="shared" si="64"/>
        <v>2899.4132325623177</v>
      </c>
      <c r="AL36" s="86">
        <f t="shared" si="64"/>
        <v>3040.5100391145429</v>
      </c>
      <c r="AM36" s="86">
        <f t="shared" si="64"/>
        <v>3183.8804366594845</v>
      </c>
      <c r="AN36" s="86">
        <f t="shared" si="64"/>
        <v>3342.8223587181874</v>
      </c>
      <c r="AO36" s="86">
        <f t="shared" si="64"/>
        <v>3439.1886355841784</v>
      </c>
      <c r="AP36" s="86">
        <f t="shared" si="64"/>
        <v>3541.3229742118929</v>
      </c>
      <c r="AQ36" s="86">
        <f t="shared" si="64"/>
        <v>3653.2207199937156</v>
      </c>
      <c r="AR36" s="86">
        <f t="shared" si="64"/>
        <v>3746.1660460368284</v>
      </c>
      <c r="AS36" s="86">
        <f t="shared" si="64"/>
        <v>3827.3329056736761</v>
      </c>
      <c r="AT36" s="86">
        <f t="shared" si="64"/>
        <v>3847.4155129319984</v>
      </c>
      <c r="AU36" s="86">
        <f t="shared" si="64"/>
        <v>3955.3670813373474</v>
      </c>
      <c r="AV36" s="86">
        <f t="shared" si="64"/>
        <v>4083.7542797920105</v>
      </c>
      <c r="AW36" s="86">
        <f t="shared" si="64"/>
        <v>4238.7768991037792</v>
      </c>
      <c r="AX36" s="86">
        <f t="shared" si="64"/>
        <v>4361.0718513470219</v>
      </c>
      <c r="AY36" s="86">
        <f t="shared" si="64"/>
        <v>4546.2958406868756</v>
      </c>
      <c r="AZ36" s="86">
        <f t="shared" si="64"/>
        <v>4697.6805241495067</v>
      </c>
      <c r="BA36" s="86">
        <f t="shared" si="64"/>
        <v>4930.9582977080781</v>
      </c>
      <c r="BB36" s="86">
        <f t="shared" si="64"/>
        <v>5138.0869040623429</v>
      </c>
      <c r="BC36" s="86">
        <f t="shared" si="64"/>
        <v>5167.5008284776004</v>
      </c>
      <c r="BD36" s="86">
        <f t="shared" ref="BD36:BM36" si="65">BD8</f>
        <v>5209.7747075960888</v>
      </c>
      <c r="BE36" s="86">
        <f t="shared" si="65"/>
        <v>5366.1531934633458</v>
      </c>
      <c r="BF36" s="86">
        <f t="shared" si="65"/>
        <v>5406.9253159230066</v>
      </c>
      <c r="BG36" s="86">
        <f t="shared" si="65"/>
        <v>5430.8373646684122</v>
      </c>
      <c r="BH36" s="86">
        <f t="shared" si="65"/>
        <v>5402.4369854675278</v>
      </c>
      <c r="BI36" s="86">
        <f t="shared" si="65"/>
        <v>5473.3324210275114</v>
      </c>
      <c r="BJ36" s="86">
        <f t="shared" si="65"/>
        <v>4816.6444516674801</v>
      </c>
      <c r="BK36" s="86">
        <f t="shared" si="65"/>
        <v>4912.9773407008288</v>
      </c>
      <c r="BL36" s="86">
        <f t="shared" si="65"/>
        <v>5011.2368875148395</v>
      </c>
      <c r="BM36" s="86">
        <f t="shared" si="65"/>
        <v>5111.4616252651495</v>
      </c>
      <c r="BN36" s="117">
        <f t="shared" ref="BN36:CL36" si="66">BM36*(1+$AI$12/100)</f>
        <v>5213.6908577704526</v>
      </c>
      <c r="BO36" s="117">
        <f t="shared" si="66"/>
        <v>5317.9646749258618</v>
      </c>
      <c r="BP36" s="117">
        <f t="shared" si="66"/>
        <v>5424.323968424379</v>
      </c>
      <c r="BQ36" s="117">
        <f t="shared" si="66"/>
        <v>5532.8104477928664</v>
      </c>
      <c r="BR36" s="117">
        <f t="shared" si="66"/>
        <v>5643.4666567487238</v>
      </c>
      <c r="BS36" s="117">
        <f t="shared" si="66"/>
        <v>5756.3359898836989</v>
      </c>
      <c r="BT36" s="117">
        <f t="shared" si="66"/>
        <v>5871.4627096813729</v>
      </c>
      <c r="BU36" s="117">
        <f t="shared" si="66"/>
        <v>5988.8919638750003</v>
      </c>
      <c r="BV36" s="117">
        <f t="shared" si="66"/>
        <v>6108.6698031525002</v>
      </c>
      <c r="BW36" s="117">
        <f t="shared" si="66"/>
        <v>6230.8431992155502</v>
      </c>
      <c r="BX36" s="117">
        <f t="shared" si="66"/>
        <v>6355.460063199861</v>
      </c>
      <c r="BY36" s="117">
        <f t="shared" si="66"/>
        <v>6482.5692644638584</v>
      </c>
      <c r="BZ36" s="117">
        <f t="shared" si="66"/>
        <v>6612.2206497531361</v>
      </c>
      <c r="CA36" s="117">
        <f t="shared" si="66"/>
        <v>6744.4650627481988</v>
      </c>
      <c r="CB36" s="117">
        <f t="shared" si="66"/>
        <v>6879.354364003163</v>
      </c>
      <c r="CC36" s="117">
        <f t="shared" si="66"/>
        <v>7016.9414512832263</v>
      </c>
      <c r="CD36" s="117">
        <f t="shared" si="66"/>
        <v>7157.2802803088907</v>
      </c>
      <c r="CE36" s="117">
        <f t="shared" si="66"/>
        <v>7300.4258859150686</v>
      </c>
      <c r="CF36" s="117">
        <f t="shared" si="66"/>
        <v>7446.4344036333705</v>
      </c>
      <c r="CG36" s="117">
        <f t="shared" si="66"/>
        <v>7595.3630917060382</v>
      </c>
      <c r="CH36" s="117">
        <f t="shared" si="66"/>
        <v>7747.2703535401588</v>
      </c>
      <c r="CI36" s="117">
        <f t="shared" si="66"/>
        <v>7902.2157606109622</v>
      </c>
      <c r="CJ36" s="117">
        <f t="shared" si="66"/>
        <v>8060.260075823182</v>
      </c>
      <c r="CK36" s="117">
        <f t="shared" si="66"/>
        <v>8221.4652773396465</v>
      </c>
      <c r="CL36" s="117">
        <f t="shared" si="66"/>
        <v>8385.8945828864398</v>
      </c>
      <c r="CM36" s="117">
        <f t="shared" si="51"/>
        <v>8553.6124745441684</v>
      </c>
      <c r="CN36" s="117">
        <f t="shared" si="52"/>
        <v>8724.6847240350526</v>
      </c>
      <c r="CO36" s="117">
        <f t="shared" si="53"/>
        <v>8899.1784185157539</v>
      </c>
      <c r="CP36" s="117">
        <f t="shared" si="54"/>
        <v>9077.1619868860689</v>
      </c>
      <c r="CQ36" s="117">
        <f t="shared" si="55"/>
        <v>9258.7052266237897</v>
      </c>
    </row>
    <row r="37" spans="1:95">
      <c r="A37" s="79" t="s">
        <v>161</v>
      </c>
      <c r="B37" s="86">
        <f t="shared" ref="B37:AH37" si="67">(B80+B82)/(B62+B64)</f>
        <v>862.90788583468964</v>
      </c>
      <c r="C37" s="86">
        <f t="shared" si="67"/>
        <v>607.83708626299619</v>
      </c>
      <c r="D37" s="86">
        <f t="shared" si="67"/>
        <v>858.8036664634991</v>
      </c>
      <c r="E37" s="86">
        <f t="shared" si="67"/>
        <v>1587.7764138159118</v>
      </c>
      <c r="F37" s="86">
        <f t="shared" si="67"/>
        <v>1413.0235682098544</v>
      </c>
      <c r="G37" s="86">
        <f t="shared" si="67"/>
        <v>1258.4468656274316</v>
      </c>
      <c r="H37" s="86">
        <f t="shared" si="67"/>
        <v>1243.1598906860786</v>
      </c>
      <c r="I37" s="86">
        <f t="shared" si="67"/>
        <v>1571.1430601116506</v>
      </c>
      <c r="J37" s="86">
        <f>(J80+J82)/(J62+J64)</f>
        <v>2179.5523196149516</v>
      </c>
      <c r="K37" s="86">
        <f t="shared" si="67"/>
        <v>2555.503759594761</v>
      </c>
      <c r="L37" s="86">
        <f t="shared" si="67"/>
        <v>2558.5766423480304</v>
      </c>
      <c r="M37" s="86">
        <f>(M80+M82)/(M62+M64)</f>
        <v>3355.2704808482449</v>
      </c>
      <c r="N37" s="86">
        <f t="shared" si="67"/>
        <v>2350.1028168807234</v>
      </c>
      <c r="O37" s="86">
        <f t="shared" si="67"/>
        <v>2915.2742788533178</v>
      </c>
      <c r="P37" s="86">
        <f t="shared" si="67"/>
        <v>3715.2300547291934</v>
      </c>
      <c r="Q37" s="86">
        <f t="shared" si="67"/>
        <v>3849.2172772898375</v>
      </c>
      <c r="R37" s="86">
        <f t="shared" si="67"/>
        <v>3774.0311993064097</v>
      </c>
      <c r="S37" s="86">
        <f>(S80+S82)/(S62+S64)</f>
        <v>3626.1869765503088</v>
      </c>
      <c r="T37" s="86">
        <f>(T80+T82)/(T62+T64)</f>
        <v>2499.5228551011769</v>
      </c>
      <c r="U37" s="86">
        <f>(U80+U82)/(U62+U64)</f>
        <v>2212.1387524589668</v>
      </c>
      <c r="V37" s="86">
        <f t="shared" si="67"/>
        <v>2663.2367858916787</v>
      </c>
      <c r="W37" s="86">
        <f t="shared" si="67"/>
        <v>3387.6957320439178</v>
      </c>
      <c r="X37" s="86">
        <f t="shared" si="67"/>
        <v>3281.0875709481261</v>
      </c>
      <c r="Y37" s="86">
        <f t="shared" si="67"/>
        <v>2404.4115421985921</v>
      </c>
      <c r="Z37" s="86">
        <f t="shared" si="67"/>
        <v>3616.9773588878502</v>
      </c>
      <c r="AA37" s="86">
        <f t="shared" si="67"/>
        <v>5756.3064731783643</v>
      </c>
      <c r="AB37" s="86">
        <f t="shared" si="67"/>
        <v>5262.7645009060807</v>
      </c>
      <c r="AC37" s="86">
        <f t="shared" si="67"/>
        <v>5127.9676042972678</v>
      </c>
      <c r="AD37" s="86">
        <f t="shared" si="67"/>
        <v>4335.4603429003146</v>
      </c>
      <c r="AE37" s="86">
        <f t="shared" si="67"/>
        <v>4026.7887200173968</v>
      </c>
      <c r="AF37" s="86">
        <f t="shared" si="67"/>
        <v>4013.4638101501359</v>
      </c>
      <c r="AG37" s="86">
        <f t="shared" si="67"/>
        <v>4015.075751767994</v>
      </c>
      <c r="AH37" s="86">
        <f t="shared" si="67"/>
        <v>4017.069626367771</v>
      </c>
      <c r="AI37" s="86">
        <f t="shared" ref="AI37:BC37" si="68">(AI80+AI82)/(AI62+AI64)</f>
        <v>4016.6222791278237</v>
      </c>
      <c r="AJ37" s="86">
        <f t="shared" si="68"/>
        <v>4225.041450052976</v>
      </c>
      <c r="AK37" s="86">
        <f t="shared" si="68"/>
        <v>4436.1308459002721</v>
      </c>
      <c r="AL37" s="86">
        <f t="shared" si="68"/>
        <v>4665.2040485383677</v>
      </c>
      <c r="AM37" s="86">
        <f t="shared" si="68"/>
        <v>4903.1670115730931</v>
      </c>
      <c r="AN37" s="86">
        <f t="shared" si="68"/>
        <v>5149.8270558995673</v>
      </c>
      <c r="AO37" s="86">
        <f t="shared" si="68"/>
        <v>5271.446688621435</v>
      </c>
      <c r="AP37" s="86">
        <f t="shared" si="68"/>
        <v>5403.2021953032663</v>
      </c>
      <c r="AQ37" s="86">
        <f t="shared" si="68"/>
        <v>5535.8968457557694</v>
      </c>
      <c r="AR37" s="86">
        <f t="shared" si="68"/>
        <v>5661.0079166685719</v>
      </c>
      <c r="AS37" s="86">
        <f t="shared" si="68"/>
        <v>5784.0794180609701</v>
      </c>
      <c r="AT37" s="86">
        <f t="shared" si="68"/>
        <v>5908.7419321288107</v>
      </c>
      <c r="AU37" s="86">
        <f t="shared" si="68"/>
        <v>6038.2960398502264</v>
      </c>
      <c r="AV37" s="86">
        <f t="shared" si="68"/>
        <v>6170.8512062351083</v>
      </c>
      <c r="AW37" s="86">
        <f t="shared" si="68"/>
        <v>6310.5846142944765</v>
      </c>
      <c r="AX37" s="86">
        <f t="shared" si="68"/>
        <v>6445.5528891925596</v>
      </c>
      <c r="AY37" s="86">
        <f t="shared" si="68"/>
        <v>6592.654768686496</v>
      </c>
      <c r="AZ37" s="86">
        <f t="shared" si="68"/>
        <v>6729.2632518498385</v>
      </c>
      <c r="BA37" s="86">
        <f t="shared" si="68"/>
        <v>6884.8059932203632</v>
      </c>
      <c r="BB37" s="86">
        <f t="shared" si="68"/>
        <v>7037.0404678989789</v>
      </c>
      <c r="BC37" s="86">
        <f t="shared" si="68"/>
        <v>7182.7407858776251</v>
      </c>
      <c r="BD37" s="86">
        <f t="shared" ref="BD37:BM37" si="69">(BD80+BD82)/(BD62+BD64)</f>
        <v>7332.2415655531277</v>
      </c>
      <c r="BE37" s="86">
        <f t="shared" si="69"/>
        <v>7491.0955453401648</v>
      </c>
      <c r="BF37" s="86">
        <f t="shared" si="69"/>
        <v>7645.1800315167511</v>
      </c>
      <c r="BG37" s="86">
        <f t="shared" si="69"/>
        <v>7803.6751276618643</v>
      </c>
      <c r="BH37" s="86">
        <f t="shared" si="69"/>
        <v>7964.5093371865787</v>
      </c>
      <c r="BI37" s="86">
        <f t="shared" si="69"/>
        <v>8128.1875621971221</v>
      </c>
      <c r="BJ37" s="86">
        <f t="shared" si="69"/>
        <v>8293.6282541051896</v>
      </c>
      <c r="BK37" s="86">
        <f t="shared" si="69"/>
        <v>8459.5347815603182</v>
      </c>
      <c r="BL37" s="86">
        <f t="shared" si="69"/>
        <v>8628.8697912884745</v>
      </c>
      <c r="BM37" s="86">
        <f t="shared" si="69"/>
        <v>8803.6546315495525</v>
      </c>
      <c r="BN37" s="117">
        <f>(BN80+BN82)/(Formue!BK30+Formue!BK32)</f>
        <v>8979.7277241805441</v>
      </c>
      <c r="BO37" s="117">
        <f>(BO80+BO82)/(Formue!BL30+Formue!BL32)</f>
        <v>9159.3222786641563</v>
      </c>
      <c r="BP37" s="117">
        <f>(BP80+BP82)/(Formue!BM30+Formue!BM32)</f>
        <v>9342.5087242374375</v>
      </c>
      <c r="BQ37" s="117">
        <f>(BQ80+BQ82)/(Formue!BN30+Formue!BN32)</f>
        <v>9529.3588987221883</v>
      </c>
      <c r="BR37" s="117">
        <f>(BR80+BR82)/(Formue!BO30+Formue!BO32)</f>
        <v>9719.9460766966295</v>
      </c>
      <c r="BS37" s="117">
        <f>(BS80+BS82)/(Formue!BP30+Formue!BP32)</f>
        <v>9914.3449982305647</v>
      </c>
      <c r="BT37" s="117">
        <f>(BT80+BT82)/(Formue!BQ30+Formue!BQ32)</f>
        <v>10112.631898195174</v>
      </c>
      <c r="BU37" s="117">
        <f>(BU80+BU82)/(Formue!BR30+Formue!BR32)</f>
        <v>10314.884536159081</v>
      </c>
      <c r="BV37" s="117">
        <f>(BV80+BV82)/(Formue!BS30+Formue!BS32)</f>
        <v>10521.182226882262</v>
      </c>
      <c r="BW37" s="117">
        <f>(BW80+BW82)/(Formue!BT30+Formue!BT32)</f>
        <v>10731.605871419908</v>
      </c>
      <c r="BX37" s="117">
        <f>(BX80+BX82)/(Formue!BU30+Formue!BU32)</f>
        <v>10946.237988848305</v>
      </c>
      <c r="BY37" s="117">
        <f>(BY80+BY82)/(Formue!BV30+Formue!BV32)</f>
        <v>11165.162748625271</v>
      </c>
      <c r="BZ37" s="117">
        <f>(BZ80+BZ82)/(Formue!BW30+Formue!BW32)</f>
        <v>11388.466003597778</v>
      </c>
      <c r="CA37" s="117">
        <f>(CA80+CA82)/(Formue!BX30+Formue!BX32)</f>
        <v>11616.235323669731</v>
      </c>
      <c r="CB37" s="117">
        <f>(CB80+CB82)/(Formue!BY30+Formue!BY32)</f>
        <v>11848.560030143124</v>
      </c>
      <c r="CC37" s="117">
        <f>(CC80+CC82)/(Formue!BZ30+Formue!BZ32)</f>
        <v>12085.53123074599</v>
      </c>
      <c r="CD37" s="117">
        <f>(CD80+CD82)/(Formue!CA30+Formue!CA32)</f>
        <v>12327.241855360911</v>
      </c>
      <c r="CE37" s="117">
        <f>(CE80+CE82)/(Formue!CB30+Formue!CB32)</f>
        <v>12573.786692468128</v>
      </c>
      <c r="CF37" s="117">
        <f>(CF80+CF82)/(Formue!CC30+Formue!CC32)</f>
        <v>12825.262426317491</v>
      </c>
      <c r="CG37" s="117">
        <f>(CG80+CG82)/(Formue!CD30+Formue!CD32)</f>
        <v>13081.767674843843</v>
      </c>
      <c r="CH37" s="117">
        <f>(CH80+CH82)/(Formue!CE30+Formue!CE32)</f>
        <v>13343.403028340719</v>
      </c>
      <c r="CI37" s="117">
        <f>(CI80+CI82)/(Formue!CF30+Formue!CF32)</f>
        <v>13610.27108890753</v>
      </c>
      <c r="CJ37" s="117">
        <f>(CJ80+CJ82)/(Formue!CG30+Formue!CG32)</f>
        <v>13882.476510685681</v>
      </c>
      <c r="CK37" s="117">
        <f>(CK80+CK82)/(Formue!CH30+Formue!CH32)</f>
        <v>14160.126040899397</v>
      </c>
      <c r="CL37" s="117">
        <f>(CL80+CL82)/(Formue!CI30+Formue!CI32)</f>
        <v>14443.32856171739</v>
      </c>
      <c r="CM37" s="117">
        <f>(CM80+CM82)/(Formue!CJ30+Formue!CJ32)</f>
        <v>14732.195132951738</v>
      </c>
      <c r="CN37" s="117">
        <f>(CN80+CN82)/(Formue!CK30+Formue!CK32)</f>
        <v>15026.839035610772</v>
      </c>
      <c r="CO37" s="117">
        <f>(CO80+CO82)/(Formue!CL30+Formue!CL32)</f>
        <v>15327.375816322989</v>
      </c>
      <c r="CP37" s="117">
        <f>(CP80+CP82)/(Formue!CM30+Formue!CM32)</f>
        <v>15633.92333264945</v>
      </c>
      <c r="CQ37" s="117">
        <f>(CQ80+CQ82)/(Formue!CN30+Formue!CN32)</f>
        <v>15946.601799302438</v>
      </c>
    </row>
    <row r="38" spans="1:95">
      <c r="B38" s="91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</row>
    <row r="39" spans="1:95">
      <c r="A39" s="78" t="s">
        <v>462</v>
      </c>
      <c r="B39" s="118"/>
      <c r="C39" s="96"/>
      <c r="D39" s="96"/>
      <c r="E39" s="96"/>
      <c r="F39" s="96"/>
      <c r="G39" s="96"/>
      <c r="H39" s="89"/>
      <c r="I39" s="89"/>
      <c r="J39" s="89"/>
      <c r="K39" s="89"/>
      <c r="L39" s="89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</row>
    <row r="40" spans="1:95">
      <c r="A40" s="79" t="s">
        <v>8</v>
      </c>
      <c r="B40" s="118"/>
      <c r="C40" s="91"/>
      <c r="D40" s="91"/>
      <c r="E40" s="91"/>
      <c r="F40" s="89"/>
      <c r="G40" s="89">
        <f t="shared" ref="G40:Q40" si="70">G33/$S$33</f>
        <v>0.31578947368421056</v>
      </c>
      <c r="H40" s="89">
        <f t="shared" si="70"/>
        <v>0.32057416267942584</v>
      </c>
      <c r="I40" s="89">
        <f t="shared" si="70"/>
        <v>0.40669856459330145</v>
      </c>
      <c r="J40" s="89">
        <f t="shared" si="70"/>
        <v>0.56618819776714524</v>
      </c>
      <c r="K40" s="89">
        <f t="shared" si="70"/>
        <v>0.67464114832535882</v>
      </c>
      <c r="L40" s="89">
        <f t="shared" si="70"/>
        <v>0.67783094098883567</v>
      </c>
      <c r="M40" s="89">
        <f t="shared" si="70"/>
        <v>0.88676236044657097</v>
      </c>
      <c r="N40" s="89">
        <f t="shared" si="70"/>
        <v>0.62360446570972883</v>
      </c>
      <c r="O40" s="89">
        <f t="shared" si="70"/>
        <v>0.77352472089314206</v>
      </c>
      <c r="P40" s="89">
        <f t="shared" si="70"/>
        <v>0.99202551834130792</v>
      </c>
      <c r="Q40" s="89">
        <f t="shared" si="70"/>
        <v>1.0366826156299842</v>
      </c>
      <c r="R40" s="89">
        <f>R33/$S$33</f>
        <v>1.0191387559808613</v>
      </c>
      <c r="S40" s="89">
        <f t="shared" ref="S40" si="71">S33/$S$33</f>
        <v>1</v>
      </c>
      <c r="T40" s="89">
        <f>T33/$S$33</f>
        <v>0.68740031897926634</v>
      </c>
      <c r="U40" s="89">
        <f>U33/$S$33</f>
        <v>0.6044657097288676</v>
      </c>
      <c r="V40" s="89">
        <f>V33/$S$33</f>
        <v>0.72089314194577347</v>
      </c>
      <c r="W40" s="89">
        <f t="shared" ref="W40:CE40" si="72">W33/$S$33</f>
        <v>0.92982456140350878</v>
      </c>
      <c r="X40" s="89">
        <f t="shared" si="72"/>
        <v>0.8995215311004785</v>
      </c>
      <c r="Y40" s="89">
        <f t="shared" si="72"/>
        <v>0.64912280701754388</v>
      </c>
      <c r="Z40" s="89">
        <f t="shared" si="72"/>
        <v>0.97129186602870821</v>
      </c>
      <c r="AA40" s="89">
        <f t="shared" si="72"/>
        <v>1.5167464114832536</v>
      </c>
      <c r="AB40" s="89">
        <f t="shared" si="72"/>
        <v>1.3827751196172249</v>
      </c>
      <c r="AC40" s="89">
        <f t="shared" si="72"/>
        <v>1.3652312599681022</v>
      </c>
      <c r="AD40" s="89">
        <f t="shared" si="72"/>
        <v>1.1547266673560492</v>
      </c>
      <c r="AE40" s="89">
        <f t="shared" si="72"/>
        <v>1.0757500250000001</v>
      </c>
      <c r="AF40" s="89">
        <f t="shared" si="72"/>
        <v>1.0749032000000005</v>
      </c>
      <c r="AG40" s="89">
        <f t="shared" si="72"/>
        <v>1.0809385083333336</v>
      </c>
      <c r="AH40" s="89">
        <f t="shared" si="72"/>
        <v>1.0858984833333338</v>
      </c>
      <c r="AI40" s="89">
        <f t="shared" si="72"/>
        <v>1.0866108916666672</v>
      </c>
      <c r="AJ40" s="89">
        <f t="shared" si="72"/>
        <v>1.138260709307596</v>
      </c>
      <c r="AK40" s="89">
        <f t="shared" si="72"/>
        <v>1.191541875297496</v>
      </c>
      <c r="AL40" s="89">
        <f t="shared" si="72"/>
        <v>1.2464989836432687</v>
      </c>
      <c r="AM40" s="89">
        <f t="shared" si="72"/>
        <v>1.3031777595727534</v>
      </c>
      <c r="AN40" s="89">
        <f t="shared" si="72"/>
        <v>1.3616276523147228</v>
      </c>
      <c r="AO40" s="89">
        <f t="shared" si="72"/>
        <v>1.3888602053610173</v>
      </c>
      <c r="AP40" s="89">
        <f t="shared" si="72"/>
        <v>1.4166374094682375</v>
      </c>
      <c r="AQ40" s="89">
        <f t="shared" si="72"/>
        <v>1.4449701576576024</v>
      </c>
      <c r="AR40" s="89">
        <f t="shared" si="72"/>
        <v>1.4738695608107546</v>
      </c>
      <c r="AS40" s="89">
        <f t="shared" si="72"/>
        <v>1.5033469520269696</v>
      </c>
      <c r="AT40" s="89">
        <f t="shared" si="72"/>
        <v>1.533413891067509</v>
      </c>
      <c r="AU40" s="89">
        <f t="shared" si="72"/>
        <v>1.5640821688888593</v>
      </c>
      <c r="AV40" s="89">
        <f t="shared" si="72"/>
        <v>1.5953638122666367</v>
      </c>
      <c r="AW40" s="89">
        <f t="shared" si="72"/>
        <v>1.6272710885119692</v>
      </c>
      <c r="AX40" s="89">
        <f t="shared" si="72"/>
        <v>1.6598165102822084</v>
      </c>
      <c r="AY40" s="89">
        <f t="shared" si="72"/>
        <v>1.6930128404878528</v>
      </c>
      <c r="AZ40" s="89">
        <f t="shared" si="72"/>
        <v>1.7268730972976101</v>
      </c>
      <c r="BA40" s="89">
        <f t="shared" si="72"/>
        <v>1.761410559243562</v>
      </c>
      <c r="BB40" s="89">
        <f t="shared" si="72"/>
        <v>1.7966387704284337</v>
      </c>
      <c r="BC40" s="89">
        <f t="shared" si="72"/>
        <v>1.8325715458370024</v>
      </c>
      <c r="BD40" s="89">
        <f t="shared" si="72"/>
        <v>1.869222976753742</v>
      </c>
      <c r="BE40" s="89">
        <f t="shared" si="72"/>
        <v>1.9066074362888168</v>
      </c>
      <c r="BF40" s="89">
        <f t="shared" si="72"/>
        <v>1.9447395850145934</v>
      </c>
      <c r="BG40" s="89">
        <f t="shared" si="72"/>
        <v>1.9836343767148854</v>
      </c>
      <c r="BH40" s="89">
        <f t="shared" si="72"/>
        <v>2.0233070642491833</v>
      </c>
      <c r="BI40" s="89">
        <f t="shared" si="72"/>
        <v>2.0637732055341669</v>
      </c>
      <c r="BJ40" s="89">
        <f t="shared" si="72"/>
        <v>2.1050486696448503</v>
      </c>
      <c r="BK40" s="89">
        <f t="shared" si="72"/>
        <v>2.1471496430377472</v>
      </c>
      <c r="BL40" s="89">
        <f t="shared" si="72"/>
        <v>2.1900926358985027</v>
      </c>
      <c r="BM40" s="89">
        <f t="shared" si="72"/>
        <v>2.233894488616472</v>
      </c>
      <c r="BN40" s="89">
        <f t="shared" si="72"/>
        <v>2.2785723783888017</v>
      </c>
      <c r="BO40" s="89">
        <f t="shared" si="72"/>
        <v>2.3241438259565776</v>
      </c>
      <c r="BP40" s="89">
        <f t="shared" si="72"/>
        <v>2.3706267024757097</v>
      </c>
      <c r="BQ40" s="89">
        <f t="shared" si="72"/>
        <v>2.4180392365252237</v>
      </c>
      <c r="BR40" s="89">
        <f t="shared" si="72"/>
        <v>2.466400021255728</v>
      </c>
      <c r="BS40" s="89">
        <f t="shared" si="72"/>
        <v>2.5157280216808426</v>
      </c>
      <c r="BT40" s="89">
        <f t="shared" si="72"/>
        <v>2.5660425821144592</v>
      </c>
      <c r="BU40" s="89">
        <f t="shared" si="72"/>
        <v>2.6173634337567488</v>
      </c>
      <c r="BV40" s="89">
        <f t="shared" si="72"/>
        <v>2.669710702431884</v>
      </c>
      <c r="BW40" s="89">
        <f t="shared" si="72"/>
        <v>2.7231049164805214</v>
      </c>
      <c r="BX40" s="89">
        <f t="shared" si="72"/>
        <v>2.7775670148101321</v>
      </c>
      <c r="BY40" s="89">
        <f t="shared" si="72"/>
        <v>2.8331183551063348</v>
      </c>
      <c r="BZ40" s="89">
        <f t="shared" si="72"/>
        <v>2.8897807222084615</v>
      </c>
      <c r="CA40" s="89">
        <f t="shared" si="72"/>
        <v>2.9475763366526309</v>
      </c>
      <c r="CB40" s="89">
        <f t="shared" si="72"/>
        <v>3.0065278633856836</v>
      </c>
      <c r="CC40" s="89">
        <f t="shared" si="72"/>
        <v>3.0666584206533973</v>
      </c>
      <c r="CD40" s="89">
        <f t="shared" si="72"/>
        <v>3.1279915890664651</v>
      </c>
      <c r="CE40" s="89">
        <f t="shared" si="72"/>
        <v>3.1905514208477945</v>
      </c>
      <c r="CF40" s="89">
        <f t="shared" ref="CF40:CL40" si="73">CF33/$S$33</f>
        <v>3.2543624492647503</v>
      </c>
      <c r="CG40" s="89">
        <f t="shared" si="73"/>
        <v>3.3194496982500454</v>
      </c>
      <c r="CH40" s="89">
        <f t="shared" si="73"/>
        <v>3.3858386922150463</v>
      </c>
      <c r="CI40" s="89">
        <f t="shared" si="73"/>
        <v>3.4535554660593473</v>
      </c>
      <c r="CJ40" s="89">
        <f t="shared" si="73"/>
        <v>3.5226265753805341</v>
      </c>
      <c r="CK40" s="89">
        <f t="shared" si="73"/>
        <v>3.5930791068881449</v>
      </c>
      <c r="CL40" s="89">
        <f t="shared" si="73"/>
        <v>3.664940689025908</v>
      </c>
      <c r="CM40" s="89">
        <f t="shared" ref="CM40:CQ40" si="74">CM33/$S$33</f>
        <v>3.7382395028064264</v>
      </c>
      <c r="CN40" s="89">
        <f t="shared" si="74"/>
        <v>3.8130042928625554</v>
      </c>
      <c r="CO40" s="89">
        <f t="shared" si="74"/>
        <v>3.889264378719806</v>
      </c>
      <c r="CP40" s="89">
        <f t="shared" si="74"/>
        <v>3.9670496662942023</v>
      </c>
      <c r="CQ40" s="89">
        <f t="shared" si="74"/>
        <v>4.0463906596200863</v>
      </c>
    </row>
    <row r="41" spans="1:95">
      <c r="A41" s="79" t="s">
        <v>9</v>
      </c>
      <c r="B41" s="118"/>
      <c r="C41" s="91"/>
      <c r="D41" s="91"/>
      <c r="E41" s="91"/>
      <c r="F41" s="89"/>
      <c r="G41" s="89">
        <f t="shared" ref="G41:Q41" si="75">G34/$S$34</f>
        <v>0.44878048780487806</v>
      </c>
      <c r="H41" s="89">
        <f t="shared" si="75"/>
        <v>0.42926829268292682</v>
      </c>
      <c r="I41" s="89">
        <f t="shared" si="75"/>
        <v>0.47317073170731705</v>
      </c>
      <c r="J41" s="89">
        <f t="shared" si="75"/>
        <v>0.6097560975609756</v>
      </c>
      <c r="K41" s="89">
        <f t="shared" si="75"/>
        <v>0.84878048780487803</v>
      </c>
      <c r="L41" s="89">
        <f t="shared" si="75"/>
        <v>0.76585365853658538</v>
      </c>
      <c r="M41" s="89">
        <f t="shared" si="75"/>
        <v>1.0829268292682928</v>
      </c>
      <c r="N41" s="89">
        <f t="shared" si="75"/>
        <v>0.81463414634146336</v>
      </c>
      <c r="O41" s="89">
        <f t="shared" si="75"/>
        <v>0.775609756097561</v>
      </c>
      <c r="P41" s="89">
        <f t="shared" si="75"/>
        <v>0.97560975609756095</v>
      </c>
      <c r="Q41" s="89">
        <f t="shared" si="75"/>
        <v>1.0780487804878049</v>
      </c>
      <c r="R41" s="89">
        <f t="shared" ref="R41:S41" si="76">R34/$S$34</f>
        <v>1.1268292682926828</v>
      </c>
      <c r="S41" s="89">
        <f t="shared" si="76"/>
        <v>1</v>
      </c>
      <c r="T41" s="89">
        <f t="shared" ref="T41:CE41" si="77">T34/$S$34</f>
        <v>0.93658536585365859</v>
      </c>
      <c r="U41" s="89">
        <f>U34/$S$34</f>
        <v>0.68292682926829273</v>
      </c>
      <c r="V41" s="89">
        <f t="shared" si="77"/>
        <v>0.80487804878048785</v>
      </c>
      <c r="W41" s="89">
        <f t="shared" si="77"/>
        <v>1.0731707317073171</v>
      </c>
      <c r="X41" s="89">
        <f t="shared" si="77"/>
        <v>0.76585365853658538</v>
      </c>
      <c r="Y41" s="89">
        <f t="shared" si="77"/>
        <v>0.55123451496117071</v>
      </c>
      <c r="Z41" s="89">
        <f t="shared" si="77"/>
        <v>2.2475077975725366</v>
      </c>
      <c r="AA41" s="89">
        <f t="shared" si="77"/>
        <v>5.87728791169478</v>
      </c>
      <c r="AB41" s="89">
        <f t="shared" si="77"/>
        <v>2.6550436868829417</v>
      </c>
      <c r="AC41" s="89">
        <f t="shared" si="77"/>
        <v>2.1589365197537602</v>
      </c>
      <c r="AD41" s="89">
        <f t="shared" si="77"/>
        <v>2.5190348938221998</v>
      </c>
      <c r="AE41" s="89">
        <f t="shared" si="77"/>
        <v>1.944941733390039</v>
      </c>
      <c r="AF41" s="89">
        <f t="shared" si="77"/>
        <v>1.5848095895449237</v>
      </c>
      <c r="AG41" s="89">
        <f t="shared" si="77"/>
        <v>1.6180905909253667</v>
      </c>
      <c r="AH41" s="89">
        <f t="shared" si="77"/>
        <v>1.6520704933347992</v>
      </c>
      <c r="AI41" s="89">
        <f t="shared" si="77"/>
        <v>1.3395060302610458</v>
      </c>
      <c r="AJ41" s="89">
        <f t="shared" si="77"/>
        <v>1.3480787918292598</v>
      </c>
      <c r="AK41" s="89">
        <f t="shared" si="77"/>
        <v>1.3564586614481038</v>
      </c>
      <c r="AL41" s="89">
        <f t="shared" si="77"/>
        <v>1.3646344943349638</v>
      </c>
      <c r="AM41" s="89">
        <f t="shared" si="77"/>
        <v>1.3725947770727251</v>
      </c>
      <c r="AN41" s="89">
        <f t="shared" si="77"/>
        <v>1.3803276173222623</v>
      </c>
      <c r="AO41" s="89">
        <f t="shared" si="77"/>
        <v>1.3878207332709467</v>
      </c>
      <c r="AP41" s="89">
        <f t="shared" si="77"/>
        <v>1.3950614428106551</v>
      </c>
      <c r="AQ41" s="89">
        <f t="shared" si="77"/>
        <v>1.4020366524386376</v>
      </c>
      <c r="AR41" s="89">
        <f t="shared" si="77"/>
        <v>1.4087328458746213</v>
      </c>
      <c r="AS41" s="89">
        <f t="shared" si="77"/>
        <v>1.4151369929125355</v>
      </c>
      <c r="AT41" s="89">
        <f t="shared" si="77"/>
        <v>1.443439732770786</v>
      </c>
      <c r="AU41" s="89">
        <f t="shared" si="77"/>
        <v>1.472308527426202</v>
      </c>
      <c r="AV41" s="89">
        <f t="shared" si="77"/>
        <v>1.5017546979747258</v>
      </c>
      <c r="AW41" s="89">
        <f t="shared" si="77"/>
        <v>1.5317897919342205</v>
      </c>
      <c r="AX41" s="89">
        <f t="shared" si="77"/>
        <v>1.562425587772905</v>
      </c>
      <c r="AY41" s="89">
        <f t="shared" si="77"/>
        <v>1.5936740995283629</v>
      </c>
      <c r="AZ41" s="89">
        <f t="shared" si="77"/>
        <v>1.6255475815189304</v>
      </c>
      <c r="BA41" s="89">
        <f t="shared" si="77"/>
        <v>1.658058533149309</v>
      </c>
      <c r="BB41" s="89">
        <f t="shared" si="77"/>
        <v>1.6912197038122951</v>
      </c>
      <c r="BC41" s="89">
        <f t="shared" si="77"/>
        <v>1.7250440978885413</v>
      </c>
      <c r="BD41" s="89">
        <f t="shared" si="77"/>
        <v>1.7595449798463119</v>
      </c>
      <c r="BE41" s="89">
        <f t="shared" si="77"/>
        <v>1.794735879443238</v>
      </c>
      <c r="BF41" s="89">
        <f t="shared" si="77"/>
        <v>1.8306305970321031</v>
      </c>
      <c r="BG41" s="89">
        <f t="shared" si="77"/>
        <v>1.8672432089727453</v>
      </c>
      <c r="BH41" s="89">
        <f t="shared" si="77"/>
        <v>1.9045880731522002</v>
      </c>
      <c r="BI41" s="89">
        <f t="shared" si="77"/>
        <v>1.9426798346152443</v>
      </c>
      <c r="BJ41" s="89">
        <f t="shared" si="77"/>
        <v>1.9815334313075492</v>
      </c>
      <c r="BK41" s="89">
        <f t="shared" si="77"/>
        <v>2.0211640999337002</v>
      </c>
      <c r="BL41" s="89">
        <f t="shared" si="77"/>
        <v>2.061587381932374</v>
      </c>
      <c r="BM41" s="89">
        <f t="shared" si="77"/>
        <v>2.1028191295710217</v>
      </c>
      <c r="BN41" s="89">
        <f t="shared" si="77"/>
        <v>2.1448755121624421</v>
      </c>
      <c r="BO41" s="89">
        <f t="shared" si="77"/>
        <v>2.187773022405691</v>
      </c>
      <c r="BP41" s="89">
        <f t="shared" si="77"/>
        <v>2.2315284828538049</v>
      </c>
      <c r="BQ41" s="89">
        <f t="shared" si="77"/>
        <v>2.2761590525108808</v>
      </c>
      <c r="BR41" s="89">
        <f t="shared" si="77"/>
        <v>2.3216822335610985</v>
      </c>
      <c r="BS41" s="89">
        <f t="shared" si="77"/>
        <v>2.3681158782323206</v>
      </c>
      <c r="BT41" s="89">
        <f t="shared" si="77"/>
        <v>2.4154781957969673</v>
      </c>
      <c r="BU41" s="89">
        <f t="shared" si="77"/>
        <v>2.4637877597129068</v>
      </c>
      <c r="BV41" s="89">
        <f t="shared" si="77"/>
        <v>2.5130635149071652</v>
      </c>
      <c r="BW41" s="89">
        <f t="shared" si="77"/>
        <v>2.5633247852053085</v>
      </c>
      <c r="BX41" s="89">
        <f t="shared" si="77"/>
        <v>2.6145912809094147</v>
      </c>
      <c r="BY41" s="89">
        <f t="shared" si="77"/>
        <v>2.6668831065276031</v>
      </c>
      <c r="BZ41" s="89">
        <f t="shared" si="77"/>
        <v>2.7202207686581552</v>
      </c>
      <c r="CA41" s="89">
        <f t="shared" si="77"/>
        <v>2.7746251840313185</v>
      </c>
      <c r="CB41" s="89">
        <f t="shared" si="77"/>
        <v>2.8301176877119447</v>
      </c>
      <c r="CC41" s="89">
        <f t="shared" si="77"/>
        <v>2.8867200414661838</v>
      </c>
      <c r="CD41" s="89">
        <f t="shared" si="77"/>
        <v>2.9444544422955077</v>
      </c>
      <c r="CE41" s="89">
        <f t="shared" si="77"/>
        <v>3.0033435311414176</v>
      </c>
      <c r="CF41" s="89">
        <f t="shared" ref="CF41:CL41" si="78">CF34/$S$34</f>
        <v>3.0634104017642465</v>
      </c>
      <c r="CG41" s="89">
        <f t="shared" si="78"/>
        <v>3.1246786097995312</v>
      </c>
      <c r="CH41" s="89">
        <f t="shared" si="78"/>
        <v>3.1871721819955217</v>
      </c>
      <c r="CI41" s="89">
        <f t="shared" si="78"/>
        <v>3.2509156256354323</v>
      </c>
      <c r="CJ41" s="89">
        <f t="shared" si="78"/>
        <v>3.3159339381481412</v>
      </c>
      <c r="CK41" s="89">
        <f t="shared" si="78"/>
        <v>3.3822526169111042</v>
      </c>
      <c r="CL41" s="89">
        <f t="shared" si="78"/>
        <v>3.4498976692493262</v>
      </c>
      <c r="CM41" s="89">
        <f t="shared" ref="CM41:CQ41" si="79">CM34/$S$34</f>
        <v>3.5188956226343127</v>
      </c>
      <c r="CN41" s="89">
        <f t="shared" si="79"/>
        <v>3.5892735350869986</v>
      </c>
      <c r="CO41" s="89">
        <f t="shared" si="79"/>
        <v>3.6610590057887387</v>
      </c>
      <c r="CP41" s="89">
        <f t="shared" si="79"/>
        <v>3.7342801859045136</v>
      </c>
      <c r="CQ41" s="89">
        <f t="shared" si="79"/>
        <v>3.8089657896226039</v>
      </c>
    </row>
    <row r="42" spans="1:95">
      <c r="A42" s="79" t="s">
        <v>10</v>
      </c>
      <c r="B42" s="118"/>
      <c r="C42" s="91"/>
      <c r="D42" s="91"/>
      <c r="E42" s="91"/>
      <c r="F42" s="89"/>
      <c r="G42" s="89">
        <f t="shared" ref="G42:Q42" si="80">G36/$S$36</f>
        <v>0.5854233418618382</v>
      </c>
      <c r="H42" s="89">
        <f t="shared" si="80"/>
        <v>0.46472048450771136</v>
      </c>
      <c r="I42" s="89">
        <f t="shared" si="80"/>
        <v>0.56630513360883306</v>
      </c>
      <c r="J42" s="89">
        <f t="shared" si="80"/>
        <v>0.78520374988477804</v>
      </c>
      <c r="K42" s="89">
        <f t="shared" si="80"/>
        <v>0.83559772789357456</v>
      </c>
      <c r="L42" s="89">
        <f t="shared" si="80"/>
        <v>0.77143269963152816</v>
      </c>
      <c r="M42" s="89">
        <f t="shared" si="80"/>
        <v>1.0717481746585318</v>
      </c>
      <c r="N42" s="89">
        <f t="shared" si="80"/>
        <v>0.74969442643764106</v>
      </c>
      <c r="O42" s="89">
        <f t="shared" si="80"/>
        <v>0.9348815583080281</v>
      </c>
      <c r="P42" s="89">
        <f t="shared" si="80"/>
        <v>1.1886164140917141</v>
      </c>
      <c r="Q42" s="89">
        <f t="shared" si="80"/>
        <v>1.231127730761661</v>
      </c>
      <c r="R42" s="89">
        <f t="shared" ref="R42:S42" si="81">R36/$S$36</f>
        <v>1.1966328338066183</v>
      </c>
      <c r="S42" s="89">
        <f t="shared" si="81"/>
        <v>1</v>
      </c>
      <c r="T42" s="89">
        <f t="shared" ref="T42:CE42" si="82">T36/$S$36</f>
        <v>0.69266515926159111</v>
      </c>
      <c r="U42" s="89">
        <f t="shared" si="82"/>
        <v>0.63041781955844722</v>
      </c>
      <c r="V42" s="89">
        <f t="shared" si="82"/>
        <v>0.81309195148682534</v>
      </c>
      <c r="W42" s="89">
        <f t="shared" si="82"/>
        <v>0.95636318867217307</v>
      </c>
      <c r="X42" s="89">
        <f t="shared" si="82"/>
        <v>0.90100144042103836</v>
      </c>
      <c r="Y42" s="89">
        <f t="shared" si="82"/>
        <v>0.66530245454650061</v>
      </c>
      <c r="Z42" s="89">
        <f t="shared" si="82"/>
        <v>0.9307598798769674</v>
      </c>
      <c r="AA42" s="89">
        <f t="shared" si="82"/>
        <v>1.6994229510832057</v>
      </c>
      <c r="AB42" s="89">
        <f t="shared" si="82"/>
        <v>1.5880238408815084</v>
      </c>
      <c r="AC42" s="89">
        <f t="shared" si="82"/>
        <v>1.3849928644924805</v>
      </c>
      <c r="AD42" s="89">
        <f t="shared" si="82"/>
        <v>1.1705999386123056</v>
      </c>
      <c r="AE42" s="89">
        <f t="shared" si="82"/>
        <v>1.1056745274267796</v>
      </c>
      <c r="AF42" s="89">
        <f t="shared" si="82"/>
        <v>1.1052868428011209</v>
      </c>
      <c r="AG42" s="89">
        <f t="shared" si="82"/>
        <v>1.1106265289727293</v>
      </c>
      <c r="AH42" s="89">
        <f t="shared" si="82"/>
        <v>1.1195124214477559</v>
      </c>
      <c r="AI42" s="89">
        <f t="shared" si="82"/>
        <v>1.1245978502745786</v>
      </c>
      <c r="AJ42" s="89">
        <f t="shared" si="82"/>
        <v>1.1777112294910539</v>
      </c>
      <c r="AK42" s="89">
        <f t="shared" si="82"/>
        <v>1.2325787408649098</v>
      </c>
      <c r="AL42" s="89">
        <f t="shared" si="82"/>
        <v>1.2925608511095086</v>
      </c>
      <c r="AM42" s="89">
        <f t="shared" si="82"/>
        <v>1.3535094948208004</v>
      </c>
      <c r="AN42" s="89">
        <f t="shared" si="82"/>
        <v>1.4210777986284757</v>
      </c>
      <c r="AO42" s="89">
        <f t="shared" si="82"/>
        <v>1.4620443717500149</v>
      </c>
      <c r="AP42" s="89">
        <f t="shared" si="82"/>
        <v>1.5054630238727984</v>
      </c>
      <c r="AQ42" s="89">
        <f t="shared" si="82"/>
        <v>1.5530322289286411</v>
      </c>
      <c r="AR42" s="89">
        <f t="shared" si="82"/>
        <v>1.5925445108127434</v>
      </c>
      <c r="AS42" s="89">
        <f t="shared" si="82"/>
        <v>1.6270496115440152</v>
      </c>
      <c r="AT42" s="89">
        <f t="shared" si="82"/>
        <v>1.6355869923111821</v>
      </c>
      <c r="AU42" s="89">
        <f t="shared" si="82"/>
        <v>1.6814786254061544</v>
      </c>
      <c r="AV42" s="89">
        <f t="shared" si="82"/>
        <v>1.7360577139048894</v>
      </c>
      <c r="AW42" s="89">
        <f t="shared" si="82"/>
        <v>1.8019598705105615</v>
      </c>
      <c r="AX42" s="89">
        <f t="shared" si="82"/>
        <v>1.8539490649300467</v>
      </c>
      <c r="AY42" s="89">
        <f t="shared" si="82"/>
        <v>1.9326902215870205</v>
      </c>
      <c r="AZ42" s="89">
        <f t="shared" si="82"/>
        <v>1.9970458437636163</v>
      </c>
      <c r="BA42" s="89">
        <f t="shared" si="82"/>
        <v>2.0962152968017023</v>
      </c>
      <c r="BB42" s="89">
        <f t="shared" si="82"/>
        <v>2.1842683945630115</v>
      </c>
      <c r="BC42" s="89">
        <f t="shared" si="82"/>
        <v>2.1967726411162403</v>
      </c>
      <c r="BD42" s="89">
        <f t="shared" si="82"/>
        <v>2.2147438237369714</v>
      </c>
      <c r="BE42" s="89">
        <f t="shared" si="82"/>
        <v>2.2812223770676692</v>
      </c>
      <c r="BF42" s="89">
        <f t="shared" si="82"/>
        <v>2.2985551431595539</v>
      </c>
      <c r="BG42" s="89">
        <f t="shared" si="82"/>
        <v>2.3087204699239856</v>
      </c>
      <c r="BH42" s="89">
        <f t="shared" si="82"/>
        <v>2.2966470947864317</v>
      </c>
      <c r="BI42" s="89">
        <f t="shared" si="82"/>
        <v>2.3267856779018747</v>
      </c>
      <c r="BJ42" s="89">
        <f t="shared" si="82"/>
        <v>2.0476189757137879</v>
      </c>
      <c r="BK42" s="89">
        <f t="shared" si="82"/>
        <v>2.0885713552280634</v>
      </c>
      <c r="BL42" s="89">
        <f t="shared" si="82"/>
        <v>2.1303427823326224</v>
      </c>
      <c r="BM42" s="89">
        <f t="shared" si="82"/>
        <v>2.1729496379792801</v>
      </c>
      <c r="BN42" s="89">
        <f t="shared" si="82"/>
        <v>2.216408630738866</v>
      </c>
      <c r="BO42" s="89">
        <f t="shared" si="82"/>
        <v>2.2607368033536432</v>
      </c>
      <c r="BP42" s="89">
        <f t="shared" si="82"/>
        <v>2.305951539420716</v>
      </c>
      <c r="BQ42" s="89">
        <f t="shared" si="82"/>
        <v>2.3520705702091305</v>
      </c>
      <c r="BR42" s="89">
        <f t="shared" si="82"/>
        <v>2.3991119816133128</v>
      </c>
      <c r="BS42" s="89">
        <f t="shared" si="82"/>
        <v>2.4470942212455795</v>
      </c>
      <c r="BT42" s="89">
        <f t="shared" si="82"/>
        <v>2.4960361056704912</v>
      </c>
      <c r="BU42" s="89">
        <f t="shared" si="82"/>
        <v>2.5459568277839009</v>
      </c>
      <c r="BV42" s="89">
        <f t="shared" si="82"/>
        <v>2.5968759643395791</v>
      </c>
      <c r="BW42" s="89">
        <f t="shared" si="82"/>
        <v>2.6488134836263706</v>
      </c>
      <c r="BX42" s="89">
        <f t="shared" si="82"/>
        <v>2.7017897532988977</v>
      </c>
      <c r="BY42" s="89">
        <f t="shared" si="82"/>
        <v>2.7558255483648759</v>
      </c>
      <c r="BZ42" s="89">
        <f t="shared" si="82"/>
        <v>2.8109420593321737</v>
      </c>
      <c r="CA42" s="89">
        <f t="shared" si="82"/>
        <v>2.867160900518817</v>
      </c>
      <c r="CB42" s="89">
        <f t="shared" si="82"/>
        <v>2.9245041185291933</v>
      </c>
      <c r="CC42" s="89">
        <f t="shared" si="82"/>
        <v>2.9829942008997774</v>
      </c>
      <c r="CD42" s="89">
        <f t="shared" si="82"/>
        <v>3.042654084917773</v>
      </c>
      <c r="CE42" s="89">
        <f t="shared" si="82"/>
        <v>3.1035071666161285</v>
      </c>
      <c r="CF42" s="89">
        <f t="shared" ref="CF42:CL42" si="83">CF36/$S$36</f>
        <v>3.1655773099484512</v>
      </c>
      <c r="CG42" s="89">
        <f t="shared" si="83"/>
        <v>3.2288888561474205</v>
      </c>
      <c r="CH42" s="89">
        <f t="shared" si="83"/>
        <v>3.2934666332703686</v>
      </c>
      <c r="CI42" s="89">
        <f t="shared" si="83"/>
        <v>3.359335965935776</v>
      </c>
      <c r="CJ42" s="89">
        <f t="shared" si="83"/>
        <v>3.4265226852544921</v>
      </c>
      <c r="CK42" s="89">
        <f t="shared" si="83"/>
        <v>3.495053138959582</v>
      </c>
      <c r="CL42" s="89">
        <f t="shared" si="83"/>
        <v>3.5649542017387739</v>
      </c>
      <c r="CM42" s="89">
        <f t="shared" ref="CM42:CQ42" si="84">CM36/$S$36</f>
        <v>3.6362532857735492</v>
      </c>
      <c r="CN42" s="89">
        <f t="shared" si="84"/>
        <v>3.7089783514890207</v>
      </c>
      <c r="CO42" s="89">
        <f t="shared" si="84"/>
        <v>3.7831579185188011</v>
      </c>
      <c r="CP42" s="89">
        <f t="shared" si="84"/>
        <v>3.8588210768891771</v>
      </c>
      <c r="CQ42" s="89">
        <f t="shared" si="84"/>
        <v>3.9359974984269606</v>
      </c>
    </row>
    <row r="43" spans="1:95">
      <c r="A43" s="79" t="s">
        <v>241</v>
      </c>
      <c r="B43" s="118"/>
      <c r="C43" s="91"/>
      <c r="D43" s="91"/>
      <c r="E43" s="91"/>
      <c r="F43" s="89"/>
      <c r="G43" s="89">
        <f t="shared" ref="G43:Q43" si="85">G37/$S$37</f>
        <v>0.34704411928163359</v>
      </c>
      <c r="H43" s="89">
        <f t="shared" si="85"/>
        <v>0.3428284031477965</v>
      </c>
      <c r="I43" s="89">
        <f t="shared" si="85"/>
        <v>0.43327690223142384</v>
      </c>
      <c r="J43" s="89">
        <f t="shared" si="85"/>
        <v>0.60105900046235883</v>
      </c>
      <c r="K43" s="89">
        <f t="shared" si="85"/>
        <v>0.70473579440900258</v>
      </c>
      <c r="L43" s="89">
        <f t="shared" si="85"/>
        <v>0.70558320872413327</v>
      </c>
      <c r="M43" s="89">
        <f t="shared" si="85"/>
        <v>0.92528887852335895</v>
      </c>
      <c r="N43" s="89">
        <f t="shared" si="85"/>
        <v>0.64809201292660334</v>
      </c>
      <c r="O43" s="89">
        <f t="shared" si="85"/>
        <v>0.80395034721201775</v>
      </c>
      <c r="P43" s="89">
        <f t="shared" si="85"/>
        <v>1.0245555672541722</v>
      </c>
      <c r="Q43" s="89">
        <f t="shared" si="85"/>
        <v>1.0615054607448025</v>
      </c>
      <c r="R43" s="89">
        <f t="shared" ref="R43" si="86">R37/$S$37</f>
        <v>1.040771262958081</v>
      </c>
      <c r="S43" s="89">
        <f>S37/$S$37</f>
        <v>1</v>
      </c>
      <c r="T43" s="89">
        <f t="shared" ref="T43:CE43" si="87">T37/$S$37</f>
        <v>0.68929784130410221</v>
      </c>
      <c r="U43" s="89">
        <f t="shared" si="87"/>
        <v>0.61004541871788287</v>
      </c>
      <c r="V43" s="89">
        <f t="shared" si="87"/>
        <v>0.73444552173238709</v>
      </c>
      <c r="W43" s="89">
        <f t="shared" si="87"/>
        <v>0.93423084743046692</v>
      </c>
      <c r="X43" s="89">
        <f t="shared" si="87"/>
        <v>0.90483132617433715</v>
      </c>
      <c r="Y43" s="89">
        <f t="shared" si="87"/>
        <v>0.66306882622086261</v>
      </c>
      <c r="Z43" s="89">
        <f t="shared" si="87"/>
        <v>0.99746024743842088</v>
      </c>
      <c r="AA43" s="89">
        <f t="shared" si="87"/>
        <v>1.5874268233830835</v>
      </c>
      <c r="AB43" s="89">
        <f t="shared" si="87"/>
        <v>1.4513218802392516</v>
      </c>
      <c r="AC43" s="89">
        <f t="shared" si="87"/>
        <v>1.41414870150343</v>
      </c>
      <c r="AD43" s="89">
        <f t="shared" si="87"/>
        <v>1.1955975714812028</v>
      </c>
      <c r="AE43" s="89">
        <f t="shared" si="87"/>
        <v>1.1104746517644248</v>
      </c>
      <c r="AF43" s="89">
        <f t="shared" si="87"/>
        <v>1.1068000177884523</v>
      </c>
      <c r="AG43" s="89">
        <f t="shared" si="87"/>
        <v>1.1072445457811571</v>
      </c>
      <c r="AH43" s="89">
        <f t="shared" si="87"/>
        <v>1.1077944001082149</v>
      </c>
      <c r="AI43" s="89">
        <f t="shared" si="87"/>
        <v>1.1076710343681579</v>
      </c>
      <c r="AJ43" s="89">
        <f t="shared" si="87"/>
        <v>1.1651471579858725</v>
      </c>
      <c r="AK43" s="89">
        <f t="shared" si="87"/>
        <v>1.223359654256021</v>
      </c>
      <c r="AL43" s="89">
        <f t="shared" si="87"/>
        <v>1.2865315767518708</v>
      </c>
      <c r="AM43" s="89">
        <f t="shared" si="87"/>
        <v>1.3521550442050316</v>
      </c>
      <c r="AN43" s="89">
        <f t="shared" si="87"/>
        <v>1.4201769211577553</v>
      </c>
      <c r="AO43" s="89">
        <f t="shared" si="87"/>
        <v>1.4537161825108937</v>
      </c>
      <c r="AP43" s="89">
        <f t="shared" si="87"/>
        <v>1.4900506317640247</v>
      </c>
      <c r="AQ43" s="89">
        <f t="shared" si="87"/>
        <v>1.5266440703568518</v>
      </c>
      <c r="AR43" s="89">
        <f t="shared" si="87"/>
        <v>1.5611461717989081</v>
      </c>
      <c r="AS43" s="89">
        <f t="shared" si="87"/>
        <v>1.5950858175447764</v>
      </c>
      <c r="AT43" s="89">
        <f t="shared" si="87"/>
        <v>1.6294642196718601</v>
      </c>
      <c r="AU43" s="89">
        <f t="shared" si="87"/>
        <v>1.6651915852377317</v>
      </c>
      <c r="AV43" s="89">
        <f t="shared" si="87"/>
        <v>1.7017465580623778</v>
      </c>
      <c r="AW43" s="89">
        <f t="shared" si="87"/>
        <v>1.7402810872973542</v>
      </c>
      <c r="AX43" s="89">
        <f t="shared" si="87"/>
        <v>1.7775015273273058</v>
      </c>
      <c r="AY43" s="89">
        <f t="shared" si="87"/>
        <v>1.818068072970211</v>
      </c>
      <c r="AZ43" s="89">
        <f t="shared" si="87"/>
        <v>1.8557408361362466</v>
      </c>
      <c r="BA43" s="89">
        <f t="shared" si="87"/>
        <v>1.8986351331971492</v>
      </c>
      <c r="BB43" s="89">
        <f t="shared" si="87"/>
        <v>1.9406171036975894</v>
      </c>
      <c r="BC43" s="89">
        <f t="shared" si="87"/>
        <v>1.980797138240997</v>
      </c>
      <c r="BD43" s="89">
        <f t="shared" si="87"/>
        <v>2.0220252328324477</v>
      </c>
      <c r="BE43" s="89">
        <f t="shared" si="87"/>
        <v>2.0658326759715653</v>
      </c>
      <c r="BF43" s="89">
        <f t="shared" si="87"/>
        <v>2.1083248274168755</v>
      </c>
      <c r="BG43" s="89">
        <f t="shared" si="87"/>
        <v>2.1520333005789225</v>
      </c>
      <c r="BH43" s="89">
        <f t="shared" si="87"/>
        <v>2.1963868351773286</v>
      </c>
      <c r="BI43" s="89">
        <f t="shared" si="87"/>
        <v>2.2415246689594839</v>
      </c>
      <c r="BJ43" s="89">
        <f t="shared" si="87"/>
        <v>2.2871485413571104</v>
      </c>
      <c r="BK43" s="89">
        <f t="shared" si="87"/>
        <v>2.3329008780479672</v>
      </c>
      <c r="BL43" s="89">
        <f t="shared" si="87"/>
        <v>2.3795986933628432</v>
      </c>
      <c r="BM43" s="89">
        <f t="shared" si="87"/>
        <v>2.4277994180886697</v>
      </c>
      <c r="BN43" s="89">
        <f t="shared" si="87"/>
        <v>2.4763554064504434</v>
      </c>
      <c r="BO43" s="89">
        <f t="shared" si="87"/>
        <v>2.5258825145794526</v>
      </c>
      <c r="BP43" s="89">
        <f t="shared" si="87"/>
        <v>2.5764001648710408</v>
      </c>
      <c r="BQ43" s="89">
        <f t="shared" si="87"/>
        <v>2.6279281681684625</v>
      </c>
      <c r="BR43" s="89">
        <f t="shared" si="87"/>
        <v>2.6804867315318308</v>
      </c>
      <c r="BS43" s="89">
        <f t="shared" si="87"/>
        <v>2.7340964661624683</v>
      </c>
      <c r="BT43" s="89">
        <f t="shared" si="87"/>
        <v>2.7887783954857168</v>
      </c>
      <c r="BU43" s="89">
        <f t="shared" si="87"/>
        <v>2.8445539633954326</v>
      </c>
      <c r="BV43" s="89">
        <f t="shared" si="87"/>
        <v>2.9014450426633407</v>
      </c>
      <c r="BW43" s="89">
        <f t="shared" si="87"/>
        <v>2.959473943516608</v>
      </c>
      <c r="BX43" s="89">
        <f t="shared" si="87"/>
        <v>3.0186634223869397</v>
      </c>
      <c r="BY43" s="89">
        <f t="shared" si="87"/>
        <v>3.0790366908346787</v>
      </c>
      <c r="BZ43" s="89">
        <f t="shared" si="87"/>
        <v>3.1406174246513725</v>
      </c>
      <c r="CA43" s="89">
        <f t="shared" si="87"/>
        <v>3.2034297731443995</v>
      </c>
      <c r="CB43" s="89">
        <f t="shared" si="87"/>
        <v>3.2674983686072867</v>
      </c>
      <c r="CC43" s="89">
        <f t="shared" si="87"/>
        <v>3.3328483359794334</v>
      </c>
      <c r="CD43" s="89">
        <f t="shared" si="87"/>
        <v>3.3995053026990227</v>
      </c>
      <c r="CE43" s="89">
        <f t="shared" si="87"/>
        <v>3.4674954087530026</v>
      </c>
      <c r="CF43" s="89">
        <f t="shared" ref="CF43:CL43" si="88">CF37/$S$37</f>
        <v>3.5368453169280629</v>
      </c>
      <c r="CG43" s="89">
        <f t="shared" si="88"/>
        <v>3.6075822232666246</v>
      </c>
      <c r="CH43" s="89">
        <f t="shared" si="88"/>
        <v>3.6797338677319571</v>
      </c>
      <c r="CI43" s="89">
        <f t="shared" si="88"/>
        <v>3.7533285450865952</v>
      </c>
      <c r="CJ43" s="89">
        <f t="shared" si="88"/>
        <v>3.8283951159883274</v>
      </c>
      <c r="CK43" s="89">
        <f t="shared" si="88"/>
        <v>3.9049630183080941</v>
      </c>
      <c r="CL43" s="89">
        <f t="shared" si="88"/>
        <v>3.9830622786742578</v>
      </c>
      <c r="CM43" s="89">
        <f t="shared" ref="CM43:CQ43" si="89">CM37/$S$37</f>
        <v>4.0627235242477431</v>
      </c>
      <c r="CN43" s="89">
        <f t="shared" si="89"/>
        <v>4.1439779947326976</v>
      </c>
      <c r="CO43" s="89">
        <f t="shared" si="89"/>
        <v>4.2268575546273519</v>
      </c>
      <c r="CP43" s="89">
        <f t="shared" si="89"/>
        <v>4.3113947057198994</v>
      </c>
      <c r="CQ43" s="89">
        <f t="shared" si="89"/>
        <v>4.397622599834297</v>
      </c>
    </row>
    <row r="44" spans="1:95">
      <c r="B44" s="118"/>
      <c r="C44" s="91"/>
      <c r="D44" s="91"/>
      <c r="E44" s="91"/>
    </row>
    <row r="45" spans="1:95">
      <c r="B45" s="118"/>
      <c r="C45" s="91"/>
      <c r="D45" s="91"/>
      <c r="E45" s="91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</row>
    <row r="46" spans="1:95">
      <c r="A46" s="78" t="s">
        <v>126</v>
      </c>
      <c r="B46" s="118"/>
      <c r="C46" s="91"/>
      <c r="D46" s="91"/>
      <c r="E46" s="91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</row>
    <row r="47" spans="1:95">
      <c r="A47" s="79" t="s">
        <v>8</v>
      </c>
      <c r="B47" s="118"/>
      <c r="C47" s="91"/>
      <c r="D47" s="91"/>
      <c r="E47" s="91"/>
      <c r="F47" s="89"/>
      <c r="G47" s="119"/>
      <c r="H47" s="119">
        <f>(H40/G40-1)*100</f>
        <v>1.5151515151515138</v>
      </c>
      <c r="I47" s="119">
        <f>(I40/H40-1)*100</f>
        <v>26.865671641791057</v>
      </c>
      <c r="J47" s="119">
        <f>(J40/I40-1)*100</f>
        <v>39.215686274509821</v>
      </c>
      <c r="K47" s="119">
        <f t="shared" ref="K47:AH47" si="90">(K40/J40-1)*100</f>
        <v>19.154929577464763</v>
      </c>
      <c r="L47" s="119">
        <f t="shared" si="90"/>
        <v>0.47281323877068626</v>
      </c>
      <c r="M47" s="119">
        <f>(M40/L40-1)*100</f>
        <v>30.823529411764717</v>
      </c>
      <c r="N47" s="119">
        <f t="shared" si="90"/>
        <v>-29.67625899280576</v>
      </c>
      <c r="O47" s="119">
        <f t="shared" si="90"/>
        <v>24.040920716112566</v>
      </c>
      <c r="P47" s="119">
        <f t="shared" si="90"/>
        <v>28.24742268041236</v>
      </c>
      <c r="Q47" s="119">
        <f t="shared" si="90"/>
        <v>4.5016077170418001</v>
      </c>
      <c r="R47" s="119">
        <f t="shared" ref="R47:T48" si="91">(R40/Q40-1)*100</f>
        <v>-1.692307692307693</v>
      </c>
      <c r="S47" s="119">
        <f t="shared" si="91"/>
        <v>-1.8779342723004744</v>
      </c>
      <c r="T47" s="119">
        <f t="shared" si="91"/>
        <v>-31.259968102073366</v>
      </c>
      <c r="U47" s="119">
        <f>(U40/T40-1)*100</f>
        <v>-12.064965197215782</v>
      </c>
      <c r="V47" s="119">
        <f>(V40/U40-1)*100</f>
        <v>19.261213720316618</v>
      </c>
      <c r="W47" s="119">
        <f t="shared" si="90"/>
        <v>28.98230088495577</v>
      </c>
      <c r="X47" s="119">
        <f t="shared" si="90"/>
        <v>-3.2590051457975999</v>
      </c>
      <c r="Y47" s="119">
        <f t="shared" si="90"/>
        <v>-27.836879432624116</v>
      </c>
      <c r="Z47" s="119">
        <f t="shared" si="90"/>
        <v>49.631449631449634</v>
      </c>
      <c r="AA47" s="119">
        <f t="shared" si="90"/>
        <v>56.157635467980292</v>
      </c>
      <c r="AB47" s="119">
        <f t="shared" si="90"/>
        <v>-8.8328075709779181</v>
      </c>
      <c r="AC47" s="119">
        <f t="shared" si="90"/>
        <v>-1.2687427912341231</v>
      </c>
      <c r="AD47" s="119">
        <f t="shared" si="90"/>
        <v>-15.41896957567257</v>
      </c>
      <c r="AE47" s="119">
        <f t="shared" si="90"/>
        <v>-6.8394230936815736</v>
      </c>
      <c r="AF47" s="119">
        <f t="shared" si="90"/>
        <v>-7.8719496195178706E-2</v>
      </c>
      <c r="AG47" s="119">
        <f t="shared" si="90"/>
        <v>0.56147458983590859</v>
      </c>
      <c r="AH47" s="119">
        <f t="shared" si="90"/>
        <v>0.45885820162405722</v>
      </c>
      <c r="AI47" s="119">
        <f>(AI40/AH40-1)*100</f>
        <v>6.5605426682857626E-2</v>
      </c>
      <c r="AJ47" s="119">
        <f>(AJ40/AI40-1)*100</f>
        <v>4.7532946740214577</v>
      </c>
      <c r="AK47" s="119">
        <f t="shared" ref="AK47:BC47" si="92">(AK40/AJ40-1)*100</f>
        <v>4.6809281524186952</v>
      </c>
      <c r="AL47" s="119">
        <f t="shared" si="92"/>
        <v>4.6122683126055719</v>
      </c>
      <c r="AM47" s="119">
        <f t="shared" si="92"/>
        <v>4.5470374764224664</v>
      </c>
      <c r="AN47" s="119">
        <f t="shared" si="92"/>
        <v>4.4851818804160892</v>
      </c>
      <c r="AO47" s="119">
        <f t="shared" si="92"/>
        <v>2.0000000000000018</v>
      </c>
      <c r="AP47" s="119">
        <f t="shared" si="92"/>
        <v>1.9999999999999796</v>
      </c>
      <c r="AQ47" s="119">
        <f t="shared" si="92"/>
        <v>2.0000000000000018</v>
      </c>
      <c r="AR47" s="119">
        <f t="shared" si="92"/>
        <v>2.0000000000000018</v>
      </c>
      <c r="AS47" s="119">
        <f t="shared" si="92"/>
        <v>1.9999999999999796</v>
      </c>
      <c r="AT47" s="119">
        <f t="shared" si="92"/>
        <v>2.0000000000000018</v>
      </c>
      <c r="AU47" s="119">
        <f t="shared" si="92"/>
        <v>2.0000000000000018</v>
      </c>
      <c r="AV47" s="119">
        <f t="shared" si="92"/>
        <v>2.000000000000024</v>
      </c>
      <c r="AW47" s="119">
        <f>(AW40/AV40-1)*100</f>
        <v>1.9999999999999796</v>
      </c>
      <c r="AX47" s="119">
        <f t="shared" si="92"/>
        <v>1.9999999999999796</v>
      </c>
      <c r="AY47" s="119">
        <f t="shared" si="92"/>
        <v>2.000000000000024</v>
      </c>
      <c r="AZ47" s="119">
        <f t="shared" si="92"/>
        <v>2.0000000000000018</v>
      </c>
      <c r="BA47" s="119">
        <f t="shared" si="92"/>
        <v>1.9999999999999796</v>
      </c>
      <c r="BB47" s="119">
        <f t="shared" si="92"/>
        <v>2.000000000000024</v>
      </c>
      <c r="BC47" s="119">
        <f t="shared" si="92"/>
        <v>2.0000000000000018</v>
      </c>
      <c r="BD47" s="119">
        <f t="shared" ref="BD47:BD50" si="93">(BD40/BC40-1)*100</f>
        <v>1.9999999999999796</v>
      </c>
      <c r="BE47" s="119">
        <f t="shared" ref="BE47:BE50" si="94">(BE40/BD40-1)*100</f>
        <v>2.0000000000000018</v>
      </c>
      <c r="BF47" s="119">
        <f t="shared" ref="BF47:BF50" si="95">(BF40/BE40-1)*100</f>
        <v>2.000000000000024</v>
      </c>
      <c r="BG47" s="119">
        <f t="shared" ref="BG47:BG50" si="96">(BG40/BF40-1)*100</f>
        <v>2.0000000000000018</v>
      </c>
      <c r="BH47" s="119">
        <f t="shared" ref="BH47:BH50" si="97">(BH40/BG40-1)*100</f>
        <v>2.0000000000000018</v>
      </c>
      <c r="BI47" s="119">
        <f t="shared" ref="BI47:BI50" si="98">(BI40/BH40-1)*100</f>
        <v>2.0000000000000018</v>
      </c>
      <c r="BJ47" s="119">
        <f t="shared" ref="BJ47:BJ50" si="99">(BJ40/BI40-1)*100</f>
        <v>2.0000000000000018</v>
      </c>
      <c r="BK47" s="119">
        <f t="shared" ref="BK47:BK50" si="100">(BK40/BJ40-1)*100</f>
        <v>2.0000000000000018</v>
      </c>
      <c r="BL47" s="119">
        <f t="shared" ref="BL47:BL50" si="101">(BL40/BK40-1)*100</f>
        <v>2.000000000000024</v>
      </c>
      <c r="BM47" s="119">
        <f t="shared" ref="BM47:BM50" si="102">(BM40/BL40-1)*100</f>
        <v>1.9999999999999574</v>
      </c>
      <c r="BN47" s="120">
        <f t="shared" ref="BN47" si="103">(BN40/BM40-1)*100</f>
        <v>2.0000000000000018</v>
      </c>
      <c r="BO47" s="120">
        <f t="shared" ref="BO47:CL47" si="104">(BO40/BN40-1)*100</f>
        <v>2.0000000000000018</v>
      </c>
      <c r="BP47" s="120">
        <f t="shared" si="104"/>
        <v>2.000000000000024</v>
      </c>
      <c r="BQ47" s="120">
        <f t="shared" si="104"/>
        <v>1.9999999999999796</v>
      </c>
      <c r="BR47" s="120">
        <f t="shared" si="104"/>
        <v>2.0000000000000018</v>
      </c>
      <c r="BS47" s="120">
        <f t="shared" si="104"/>
        <v>2.0000000000000018</v>
      </c>
      <c r="BT47" s="120">
        <f t="shared" si="104"/>
        <v>1.9999999999999796</v>
      </c>
      <c r="BU47" s="120">
        <f t="shared" si="104"/>
        <v>2.000000000000024</v>
      </c>
      <c r="BV47" s="120">
        <f t="shared" si="104"/>
        <v>2.0000000000000018</v>
      </c>
      <c r="BW47" s="120">
        <f t="shared" si="104"/>
        <v>1.9999999999999796</v>
      </c>
      <c r="BX47" s="120">
        <f t="shared" si="104"/>
        <v>2.0000000000000018</v>
      </c>
      <c r="BY47" s="120">
        <f t="shared" si="104"/>
        <v>2.0000000000000018</v>
      </c>
      <c r="BZ47" s="120">
        <f t="shared" si="104"/>
        <v>2.0000000000000018</v>
      </c>
      <c r="CA47" s="120">
        <f t="shared" si="104"/>
        <v>2.0000000000000018</v>
      </c>
      <c r="CB47" s="120">
        <f t="shared" si="104"/>
        <v>2.0000000000000018</v>
      </c>
      <c r="CC47" s="120">
        <f t="shared" si="104"/>
        <v>2.0000000000000018</v>
      </c>
      <c r="CD47" s="120">
        <f t="shared" si="104"/>
        <v>2.0000000000000018</v>
      </c>
      <c r="CE47" s="120">
        <f t="shared" si="104"/>
        <v>2.0000000000000018</v>
      </c>
      <c r="CF47" s="120">
        <f t="shared" si="104"/>
        <v>2.0000000000000018</v>
      </c>
      <c r="CG47" s="120">
        <f t="shared" si="104"/>
        <v>2.0000000000000018</v>
      </c>
      <c r="CH47" s="120">
        <f t="shared" si="104"/>
        <v>2.0000000000000018</v>
      </c>
      <c r="CI47" s="120">
        <f t="shared" si="104"/>
        <v>2.0000000000000018</v>
      </c>
      <c r="CJ47" s="120">
        <f t="shared" si="104"/>
        <v>2.0000000000000018</v>
      </c>
      <c r="CK47" s="120">
        <f t="shared" si="104"/>
        <v>2.0000000000000018</v>
      </c>
      <c r="CL47" s="120">
        <f t="shared" si="104"/>
        <v>2.0000000000000018</v>
      </c>
      <c r="CM47" s="120">
        <f t="shared" ref="CM47:CM50" si="105">(CM40/CL40-1)*100</f>
        <v>2.0000000000000018</v>
      </c>
      <c r="CN47" s="120">
        <f t="shared" ref="CN47:CN50" si="106">(CN40/CM40-1)*100</f>
        <v>2.000000000000024</v>
      </c>
      <c r="CO47" s="120">
        <f t="shared" ref="CO47:CO50" si="107">(CO40/CN40-1)*100</f>
        <v>1.9999999999999796</v>
      </c>
      <c r="CP47" s="120">
        <f t="shared" ref="CP47:CP50" si="108">(CP40/CO40-1)*100</f>
        <v>2.0000000000000018</v>
      </c>
      <c r="CQ47" s="120">
        <f t="shared" ref="CQ47:CQ50" si="109">(CQ40/CP40-1)*100</f>
        <v>2.0000000000000018</v>
      </c>
    </row>
    <row r="48" spans="1:95">
      <c r="A48" s="79" t="s">
        <v>9</v>
      </c>
      <c r="B48" s="118"/>
      <c r="C48" s="91"/>
      <c r="D48" s="91"/>
      <c r="E48" s="91"/>
      <c r="F48" s="89"/>
      <c r="G48" s="119"/>
      <c r="H48" s="119">
        <f t="shared" ref="H48:AH48" si="110">(H41/G41-1)*100</f>
        <v>-4.3478260869565304</v>
      </c>
      <c r="I48" s="119">
        <f t="shared" si="110"/>
        <v>10.22727272727273</v>
      </c>
      <c r="J48" s="119">
        <f t="shared" si="110"/>
        <v>28.865979381443307</v>
      </c>
      <c r="K48" s="119">
        <f t="shared" si="110"/>
        <v>39.199999999999989</v>
      </c>
      <c r="L48" s="119">
        <f t="shared" si="110"/>
        <v>-9.7701149425287284</v>
      </c>
      <c r="M48" s="119">
        <f>(M41/L41-1)*100</f>
        <v>41.401273885350335</v>
      </c>
      <c r="N48" s="119">
        <f>(N41/M41-1)*100</f>
        <v>-24.774774774774787</v>
      </c>
      <c r="O48" s="119">
        <f t="shared" si="110"/>
        <v>-4.7904191616766401</v>
      </c>
      <c r="P48" s="119">
        <f t="shared" si="110"/>
        <v>25.786163522012572</v>
      </c>
      <c r="Q48" s="119">
        <f>(Q41/P41-1)*100</f>
        <v>10.500000000000021</v>
      </c>
      <c r="R48" s="119">
        <f t="shared" si="91"/>
        <v>4.5248868778280382</v>
      </c>
      <c r="S48" s="119">
        <f t="shared" si="91"/>
        <v>-11.255411255411252</v>
      </c>
      <c r="T48" s="119">
        <f t="shared" si="91"/>
        <v>-6.3414634146341413</v>
      </c>
      <c r="U48" s="119">
        <f>(U41/T41-1)*100</f>
        <v>-27.083333333333336</v>
      </c>
      <c r="V48" s="119">
        <f t="shared" si="110"/>
        <v>17.857142857142861</v>
      </c>
      <c r="W48" s="119">
        <f t="shared" si="110"/>
        <v>33.333333333333329</v>
      </c>
      <c r="X48" s="119">
        <f>(X41/W41-1)*100</f>
        <v>-28.636363636363637</v>
      </c>
      <c r="Y48" s="119">
        <f t="shared" si="110"/>
        <v>-28.023518747108291</v>
      </c>
      <c r="Z48" s="119">
        <f t="shared" si="110"/>
        <v>307.7226183361999</v>
      </c>
      <c r="AA48" s="119">
        <f t="shared" si="110"/>
        <v>161.50244809128833</v>
      </c>
      <c r="AB48" s="119">
        <f t="shared" si="110"/>
        <v>-54.825359472353455</v>
      </c>
      <c r="AC48" s="119">
        <f t="shared" si="110"/>
        <v>-18.685461545516723</v>
      </c>
      <c r="AD48" s="119">
        <f t="shared" si="110"/>
        <v>16.679433173399239</v>
      </c>
      <c r="AE48" s="119">
        <f t="shared" si="110"/>
        <v>-22.790202781235546</v>
      </c>
      <c r="AF48" s="119">
        <f t="shared" si="110"/>
        <v>-18.516346153846154</v>
      </c>
      <c r="AG48" s="119">
        <f t="shared" si="110"/>
        <v>2.0999999999999686</v>
      </c>
      <c r="AH48" s="119">
        <f t="shared" si="110"/>
        <v>2.0999999999999908</v>
      </c>
      <c r="AI48" s="119">
        <f>(AI41/AH41-1)*100</f>
        <v>-18.919559687966103</v>
      </c>
      <c r="AJ48" s="119">
        <f>(AJ41/AI41-1)*100</f>
        <v>0.63999424971183938</v>
      </c>
      <c r="AK48" s="119">
        <f t="shared" ref="AK48:BC49" si="111">(AK41/AJ41-1)*100</f>
        <v>0.62161571487027167</v>
      </c>
      <c r="AL48" s="119">
        <f t="shared" si="111"/>
        <v>0.60273365633802811</v>
      </c>
      <c r="AM48" s="119">
        <f t="shared" si="111"/>
        <v>0.58332709387070025</v>
      </c>
      <c r="AN48" s="119">
        <f t="shared" si="111"/>
        <v>0.56337386522982147</v>
      </c>
      <c r="AO48" s="119">
        <f t="shared" si="111"/>
        <v>0.54285054175911007</v>
      </c>
      <c r="AP48" s="119">
        <f t="shared" si="111"/>
        <v>0.52173233661403362</v>
      </c>
      <c r="AQ48" s="119">
        <f t="shared" si="111"/>
        <v>0.49999300489083076</v>
      </c>
      <c r="AR48" s="119">
        <f t="shared" si="111"/>
        <v>0.47760473482179044</v>
      </c>
      <c r="AS48" s="119">
        <f t="shared" si="111"/>
        <v>0.4546033732846011</v>
      </c>
      <c r="AT48" s="119">
        <f t="shared" si="111"/>
        <v>1.9999999999999796</v>
      </c>
      <c r="AU48" s="119">
        <f t="shared" si="111"/>
        <v>2.000000000000024</v>
      </c>
      <c r="AV48" s="119">
        <f t="shared" si="111"/>
        <v>1.9999999999999796</v>
      </c>
      <c r="AW48" s="119">
        <f t="shared" si="111"/>
        <v>2.0000000000000018</v>
      </c>
      <c r="AX48" s="119">
        <f t="shared" si="111"/>
        <v>2.0000000000000018</v>
      </c>
      <c r="AY48" s="119">
        <f t="shared" si="111"/>
        <v>1.9999999999999796</v>
      </c>
      <c r="AZ48" s="119">
        <f t="shared" si="111"/>
        <v>2.000000000000024</v>
      </c>
      <c r="BA48" s="119">
        <f t="shared" si="111"/>
        <v>2.0000000000000018</v>
      </c>
      <c r="BB48" s="119">
        <f t="shared" si="111"/>
        <v>2.0000000000000018</v>
      </c>
      <c r="BC48" s="119">
        <f t="shared" si="111"/>
        <v>2.000000000000024</v>
      </c>
      <c r="BD48" s="119">
        <f t="shared" si="93"/>
        <v>1.9999999999999796</v>
      </c>
      <c r="BE48" s="119">
        <f t="shared" si="94"/>
        <v>2.0000000000000018</v>
      </c>
      <c r="BF48" s="119">
        <f t="shared" si="95"/>
        <v>2.000000000000024</v>
      </c>
      <c r="BG48" s="119">
        <f t="shared" si="96"/>
        <v>2.0000000000000018</v>
      </c>
      <c r="BH48" s="119">
        <f t="shared" si="97"/>
        <v>2.0000000000000018</v>
      </c>
      <c r="BI48" s="119">
        <f t="shared" si="98"/>
        <v>2.0000000000000018</v>
      </c>
      <c r="BJ48" s="119">
        <f t="shared" si="99"/>
        <v>2.0000000000000018</v>
      </c>
      <c r="BK48" s="119">
        <f t="shared" si="100"/>
        <v>2.0000000000000018</v>
      </c>
      <c r="BL48" s="119">
        <f t="shared" si="101"/>
        <v>2.0000000000000018</v>
      </c>
      <c r="BM48" s="119">
        <f t="shared" si="102"/>
        <v>2.0000000000000018</v>
      </c>
      <c r="BN48" s="120">
        <f t="shared" ref="BN48" si="112">(BN41/BM41-1)*100</f>
        <v>2.0000000000000018</v>
      </c>
      <c r="BO48" s="120">
        <f t="shared" ref="BO48:CL48" si="113">(BO41/BN41-1)*100</f>
        <v>2.0000000000000018</v>
      </c>
      <c r="BP48" s="120">
        <f t="shared" si="113"/>
        <v>2.0000000000000018</v>
      </c>
      <c r="BQ48" s="120">
        <f t="shared" si="113"/>
        <v>2.0000000000000018</v>
      </c>
      <c r="BR48" s="120">
        <f t="shared" si="113"/>
        <v>2.0000000000000018</v>
      </c>
      <c r="BS48" s="120">
        <f t="shared" si="113"/>
        <v>2.0000000000000018</v>
      </c>
      <c r="BT48" s="120">
        <f t="shared" si="113"/>
        <v>2.0000000000000018</v>
      </c>
      <c r="BU48" s="120">
        <f t="shared" si="113"/>
        <v>2.0000000000000018</v>
      </c>
      <c r="BV48" s="120">
        <f t="shared" si="113"/>
        <v>2.0000000000000018</v>
      </c>
      <c r="BW48" s="120">
        <f t="shared" si="113"/>
        <v>2.0000000000000018</v>
      </c>
      <c r="BX48" s="120">
        <f t="shared" si="113"/>
        <v>2.0000000000000018</v>
      </c>
      <c r="BY48" s="120">
        <f t="shared" si="113"/>
        <v>2.0000000000000018</v>
      </c>
      <c r="BZ48" s="120">
        <f t="shared" si="113"/>
        <v>2.0000000000000018</v>
      </c>
      <c r="CA48" s="120">
        <f t="shared" si="113"/>
        <v>2.0000000000000018</v>
      </c>
      <c r="CB48" s="120">
        <f t="shared" si="113"/>
        <v>2.0000000000000018</v>
      </c>
      <c r="CC48" s="120">
        <f t="shared" si="113"/>
        <v>2.0000000000000018</v>
      </c>
      <c r="CD48" s="120">
        <f t="shared" si="113"/>
        <v>2.0000000000000018</v>
      </c>
      <c r="CE48" s="120">
        <f t="shared" si="113"/>
        <v>2.0000000000000018</v>
      </c>
      <c r="CF48" s="120">
        <f t="shared" si="113"/>
        <v>2.000000000000024</v>
      </c>
      <c r="CG48" s="120">
        <f t="shared" si="113"/>
        <v>2.0000000000000018</v>
      </c>
      <c r="CH48" s="120">
        <f t="shared" si="113"/>
        <v>2.0000000000000018</v>
      </c>
      <c r="CI48" s="120">
        <f t="shared" si="113"/>
        <v>2.0000000000000018</v>
      </c>
      <c r="CJ48" s="120">
        <f t="shared" si="113"/>
        <v>2.0000000000000018</v>
      </c>
      <c r="CK48" s="120">
        <f t="shared" si="113"/>
        <v>2.0000000000000018</v>
      </c>
      <c r="CL48" s="120">
        <f t="shared" si="113"/>
        <v>2.0000000000000018</v>
      </c>
      <c r="CM48" s="120">
        <f t="shared" si="105"/>
        <v>2.0000000000000018</v>
      </c>
      <c r="CN48" s="120">
        <f t="shared" si="106"/>
        <v>2.0000000000000018</v>
      </c>
      <c r="CO48" s="120">
        <f t="shared" si="107"/>
        <v>2.0000000000000018</v>
      </c>
      <c r="CP48" s="120">
        <f t="shared" si="108"/>
        <v>2.0000000000000018</v>
      </c>
      <c r="CQ48" s="120">
        <f t="shared" si="109"/>
        <v>2.0000000000000018</v>
      </c>
    </row>
    <row r="49" spans="1:95">
      <c r="A49" s="79" t="s">
        <v>10</v>
      </c>
      <c r="B49" s="118"/>
      <c r="C49" s="91"/>
      <c r="D49" s="91"/>
      <c r="E49" s="91"/>
      <c r="F49" s="89"/>
      <c r="G49" s="119"/>
      <c r="H49" s="119">
        <f t="shared" ref="H49:AJ49" si="114">(H42/G42-1)*100</f>
        <v>-20.618046586637995</v>
      </c>
      <c r="I49" s="119">
        <f t="shared" si="114"/>
        <v>21.859300910467194</v>
      </c>
      <c r="J49" s="119">
        <f t="shared" si="114"/>
        <v>38.653828702027269</v>
      </c>
      <c r="K49" s="119">
        <f>(K42/J42-1)*100</f>
        <v>6.4179492286163153</v>
      </c>
      <c r="L49" s="119">
        <f t="shared" si="114"/>
        <v>-7.6789376179609121</v>
      </c>
      <c r="M49" s="119">
        <f t="shared" si="114"/>
        <v>38.929575473070834</v>
      </c>
      <c r="N49" s="119">
        <f t="shared" si="114"/>
        <v>-30.049386211784302</v>
      </c>
      <c r="O49" s="119">
        <f t="shared" si="114"/>
        <v>24.701681823933196</v>
      </c>
      <c r="P49" s="119">
        <f t="shared" si="114"/>
        <v>27.140855815243768</v>
      </c>
      <c r="Q49" s="119">
        <f t="shared" si="114"/>
        <v>3.5765379113018581</v>
      </c>
      <c r="R49" s="119">
        <f t="shared" si="114"/>
        <v>-2.8018942383583378</v>
      </c>
      <c r="S49" s="119">
        <f>(S42/R42-1)*100</f>
        <v>-16.432177711613349</v>
      </c>
      <c r="T49" s="119">
        <f>(T42/S42-1)*100</f>
        <v>-30.733484073840888</v>
      </c>
      <c r="U49" s="119">
        <f>(U42/T42-1)*100</f>
        <v>-8.9866422283318101</v>
      </c>
      <c r="V49" s="119">
        <f t="shared" si="114"/>
        <v>28.976676461386418</v>
      </c>
      <c r="W49" s="119">
        <f t="shared" si="114"/>
        <v>17.620545489764218</v>
      </c>
      <c r="X49" s="119">
        <f t="shared" si="114"/>
        <v>-5.7887786676523723</v>
      </c>
      <c r="Y49" s="119">
        <f t="shared" si="114"/>
        <v>-26.159668042749797</v>
      </c>
      <c r="Z49" s="119">
        <f t="shared" si="114"/>
        <v>39.900262431981282</v>
      </c>
      <c r="AA49" s="119">
        <f t="shared" si="114"/>
        <v>82.584465427092127</v>
      </c>
      <c r="AB49" s="119">
        <f t="shared" si="114"/>
        <v>-6.5551139067935971</v>
      </c>
      <c r="AC49" s="119">
        <f t="shared" si="114"/>
        <v>-12.785134023953059</v>
      </c>
      <c r="AD49" s="119">
        <f t="shared" si="114"/>
        <v>-15.47971338890164</v>
      </c>
      <c r="AE49" s="119">
        <f t="shared" si="114"/>
        <v>-5.5463364591059268</v>
      </c>
      <c r="AF49" s="119">
        <f t="shared" si="114"/>
        <v>-3.5063177819694147E-2</v>
      </c>
      <c r="AG49" s="119">
        <f t="shared" si="114"/>
        <v>0.48310411061043279</v>
      </c>
      <c r="AH49" s="119">
        <f t="shared" si="114"/>
        <v>0.8000792564576642</v>
      </c>
      <c r="AI49" s="119">
        <f t="shared" si="114"/>
        <v>0.4542538992328593</v>
      </c>
      <c r="AJ49" s="119">
        <f t="shared" si="114"/>
        <v>4.7228775338230777</v>
      </c>
      <c r="AK49" s="119">
        <f t="shared" si="111"/>
        <v>4.658825525300192</v>
      </c>
      <c r="AL49" s="119">
        <f t="shared" si="111"/>
        <v>4.8663917570498372</v>
      </c>
      <c r="AM49" s="119">
        <f t="shared" si="111"/>
        <v>4.7153403771261315</v>
      </c>
      <c r="AN49" s="119">
        <f t="shared" si="111"/>
        <v>4.9920819961902785</v>
      </c>
      <c r="AO49" s="119">
        <f t="shared" si="111"/>
        <v>2.8827818688798912</v>
      </c>
      <c r="AP49" s="119">
        <f t="shared" si="111"/>
        <v>2.9697219155402799</v>
      </c>
      <c r="AQ49" s="119">
        <f t="shared" si="111"/>
        <v>3.1597723957026203</v>
      </c>
      <c r="AR49" s="119">
        <f t="shared" si="111"/>
        <v>2.5442023126178048</v>
      </c>
      <c r="AS49" s="119">
        <f t="shared" si="111"/>
        <v>2.1666647617693435</v>
      </c>
      <c r="AT49" s="119">
        <f t="shared" si="111"/>
        <v>0.52471545468519842</v>
      </c>
      <c r="AU49" s="119">
        <f t="shared" si="111"/>
        <v>2.8058203758471345</v>
      </c>
      <c r="AV49" s="119">
        <f t="shared" si="111"/>
        <v>3.2458984416499304</v>
      </c>
      <c r="AW49" s="119">
        <f t="shared" si="111"/>
        <v>3.7960809757550784</v>
      </c>
      <c r="AX49" s="119">
        <f t="shared" si="111"/>
        <v>2.885147181704717</v>
      </c>
      <c r="AY49" s="119">
        <f t="shared" si="111"/>
        <v>4.2472125122781978</v>
      </c>
      <c r="AZ49" s="119">
        <f t="shared" si="111"/>
        <v>3.329846731658348</v>
      </c>
      <c r="BA49" s="119">
        <f t="shared" si="111"/>
        <v>4.9658075375571764</v>
      </c>
      <c r="BB49" s="119">
        <f t="shared" si="111"/>
        <v>4.2005750981617185</v>
      </c>
      <c r="BC49" s="119">
        <f t="shared" si="111"/>
        <v>0.57246841021707517</v>
      </c>
      <c r="BD49" s="119">
        <f t="shared" si="93"/>
        <v>0.81807203369026471</v>
      </c>
      <c r="BE49" s="119">
        <f t="shared" si="94"/>
        <v>3.0016362442554456</v>
      </c>
      <c r="BF49" s="119">
        <f t="shared" si="95"/>
        <v>0.75980168641711643</v>
      </c>
      <c r="BG49" s="119">
        <f t="shared" si="96"/>
        <v>0.44224854881917963</v>
      </c>
      <c r="BH49" s="119">
        <f t="shared" si="97"/>
        <v>-0.52294659725312664</v>
      </c>
      <c r="BI49" s="119">
        <f t="shared" si="98"/>
        <v>1.3122862099214094</v>
      </c>
      <c r="BJ49" s="119">
        <f t="shared" si="99"/>
        <v>-11.997955155019646</v>
      </c>
      <c r="BK49" s="119">
        <f t="shared" si="100"/>
        <v>1.9999999999999796</v>
      </c>
      <c r="BL49" s="119">
        <f t="shared" si="101"/>
        <v>1.9999999999998908</v>
      </c>
      <c r="BM49" s="119">
        <f t="shared" si="102"/>
        <v>2.000000000000246</v>
      </c>
      <c r="BN49" s="120">
        <f t="shared" ref="BN49:BN50" si="115">(BN42/BM42-1)*100</f>
        <v>2.0000000000000018</v>
      </c>
      <c r="BO49" s="120">
        <f t="shared" ref="BO49:CL50" si="116">(BO42/BN42-1)*100</f>
        <v>2.0000000000000018</v>
      </c>
      <c r="BP49" s="120">
        <f t="shared" si="116"/>
        <v>2.0000000000000018</v>
      </c>
      <c r="BQ49" s="120">
        <f t="shared" si="116"/>
        <v>2.0000000000000018</v>
      </c>
      <c r="BR49" s="120">
        <f t="shared" si="116"/>
        <v>1.9999999999999796</v>
      </c>
      <c r="BS49" s="120">
        <f t="shared" si="116"/>
        <v>2.000000000000024</v>
      </c>
      <c r="BT49" s="120">
        <f t="shared" si="116"/>
        <v>2.0000000000000018</v>
      </c>
      <c r="BU49" s="120">
        <f t="shared" si="116"/>
        <v>2.0000000000000018</v>
      </c>
      <c r="BV49" s="120">
        <f t="shared" si="116"/>
        <v>2.0000000000000018</v>
      </c>
      <c r="BW49" s="120">
        <f t="shared" si="116"/>
        <v>2.0000000000000018</v>
      </c>
      <c r="BX49" s="120">
        <f t="shared" si="116"/>
        <v>1.9999999999999796</v>
      </c>
      <c r="BY49" s="120">
        <f t="shared" si="116"/>
        <v>2.0000000000000018</v>
      </c>
      <c r="BZ49" s="120">
        <f t="shared" si="116"/>
        <v>2.0000000000000018</v>
      </c>
      <c r="CA49" s="120">
        <f t="shared" si="116"/>
        <v>2.0000000000000018</v>
      </c>
      <c r="CB49" s="120">
        <f t="shared" si="116"/>
        <v>2.0000000000000018</v>
      </c>
      <c r="CC49" s="120">
        <f t="shared" si="116"/>
        <v>2.0000000000000018</v>
      </c>
      <c r="CD49" s="120">
        <f t="shared" si="116"/>
        <v>2.0000000000000018</v>
      </c>
      <c r="CE49" s="120">
        <f t="shared" si="116"/>
        <v>2.0000000000000018</v>
      </c>
      <c r="CF49" s="120">
        <f t="shared" si="116"/>
        <v>2.0000000000000018</v>
      </c>
      <c r="CG49" s="120">
        <f t="shared" si="116"/>
        <v>2.0000000000000018</v>
      </c>
      <c r="CH49" s="120">
        <f t="shared" si="116"/>
        <v>1.9999999999999796</v>
      </c>
      <c r="CI49" s="120">
        <f t="shared" si="116"/>
        <v>2.0000000000000018</v>
      </c>
      <c r="CJ49" s="120">
        <f t="shared" si="116"/>
        <v>2.000000000000024</v>
      </c>
      <c r="CK49" s="120">
        <f t="shared" si="116"/>
        <v>2.0000000000000018</v>
      </c>
      <c r="CL49" s="120">
        <f t="shared" si="116"/>
        <v>2.0000000000000018</v>
      </c>
      <c r="CM49" s="120">
        <f t="shared" si="105"/>
        <v>2.0000000000000018</v>
      </c>
      <c r="CN49" s="120">
        <f t="shared" si="106"/>
        <v>2.0000000000000018</v>
      </c>
      <c r="CO49" s="120">
        <f t="shared" si="107"/>
        <v>2.0000000000000018</v>
      </c>
      <c r="CP49" s="120">
        <f t="shared" si="108"/>
        <v>2.0000000000000018</v>
      </c>
      <c r="CQ49" s="120">
        <f t="shared" si="109"/>
        <v>2.0000000000000018</v>
      </c>
    </row>
    <row r="50" spans="1:95">
      <c r="A50" s="79" t="s">
        <v>14</v>
      </c>
      <c r="B50" s="118"/>
      <c r="C50" s="91"/>
      <c r="D50" s="91"/>
      <c r="E50" s="91"/>
      <c r="F50" s="89"/>
      <c r="G50" s="119"/>
      <c r="H50" s="119">
        <f t="shared" ref="H50:AH50" si="117">(H43/G43-1)*100</f>
        <v>-1.2147493357799743</v>
      </c>
      <c r="I50" s="119">
        <f t="shared" si="117"/>
        <v>26.383023767325998</v>
      </c>
      <c r="J50" s="119">
        <f t="shared" si="117"/>
        <v>38.723988601016735</v>
      </c>
      <c r="K50" s="119">
        <f t="shared" si="117"/>
        <v>17.249021122201214</v>
      </c>
      <c r="L50" s="119">
        <f t="shared" si="117"/>
        <v>0.1202456753089054</v>
      </c>
      <c r="M50" s="119">
        <f>(M43/L43-1)*100</f>
        <v>31.138165858071808</v>
      </c>
      <c r="N50" s="119">
        <f>(N43/M43-1)*100</f>
        <v>-29.957872836332566</v>
      </c>
      <c r="O50" s="119">
        <f t="shared" si="117"/>
        <v>24.048797265931654</v>
      </c>
      <c r="P50" s="119">
        <f>(P43/O43-1)*100</f>
        <v>27.440154831350117</v>
      </c>
      <c r="Q50" s="119">
        <f t="shared" si="117"/>
        <v>3.6064313807455672</v>
      </c>
      <c r="R50" s="119">
        <f t="shared" si="117"/>
        <v>-1.9532822536940442</v>
      </c>
      <c r="S50" s="119">
        <f t="shared" si="117"/>
        <v>-3.9174085996764418</v>
      </c>
      <c r="T50" s="119">
        <f t="shared" si="117"/>
        <v>-31.070215869589781</v>
      </c>
      <c r="U50" s="119">
        <f t="shared" si="117"/>
        <v>-11.497558506244477</v>
      </c>
      <c r="V50" s="119">
        <f t="shared" si="117"/>
        <v>20.391941189551567</v>
      </c>
      <c r="W50" s="119">
        <f t="shared" si="117"/>
        <v>27.202198091811148</v>
      </c>
      <c r="X50" s="119">
        <f t="shared" si="117"/>
        <v>-3.1469225552753888</v>
      </c>
      <c r="Y50" s="119">
        <f t="shared" si="117"/>
        <v>-26.719068290402369</v>
      </c>
      <c r="Z50" s="119">
        <f t="shared" si="117"/>
        <v>50.430876553707151</v>
      </c>
      <c r="AA50" s="119">
        <f t="shared" si="117"/>
        <v>59.146876024358534</v>
      </c>
      <c r="AB50" s="119">
        <f t="shared" si="117"/>
        <v>-8.5739349454715956</v>
      </c>
      <c r="AC50" s="119">
        <f t="shared" si="117"/>
        <v>-2.5613324819228622</v>
      </c>
      <c r="AD50" s="119">
        <f t="shared" si="117"/>
        <v>-15.454607410796184</v>
      </c>
      <c r="AE50" s="119">
        <f t="shared" si="117"/>
        <v>-7.1196966058839406</v>
      </c>
      <c r="AF50" s="119">
        <f t="shared" si="117"/>
        <v>-0.33090660557932861</v>
      </c>
      <c r="AG50" s="119">
        <f t="shared" si="117"/>
        <v>4.0163352508160166E-2</v>
      </c>
      <c r="AH50" s="119">
        <f t="shared" si="117"/>
        <v>4.9659700664417272E-2</v>
      </c>
      <c r="AI50" s="119">
        <f>(AI43/AH43-1)*100</f>
        <v>-1.1136158482560887E-2</v>
      </c>
      <c r="AJ50" s="119">
        <f>(AJ43/AI43-1)*100</f>
        <v>5.1889163690644224</v>
      </c>
      <c r="AK50" s="119">
        <f t="shared" ref="AK50:BC50" si="118">(AK43/AJ43-1)*100</f>
        <v>4.9961497027360302</v>
      </c>
      <c r="AL50" s="119">
        <f t="shared" si="118"/>
        <v>5.1638062671167217</v>
      </c>
      <c r="AM50" s="119">
        <f t="shared" si="118"/>
        <v>5.1008050357257195</v>
      </c>
      <c r="AN50" s="119">
        <f t="shared" si="118"/>
        <v>5.030627016054634</v>
      </c>
      <c r="AO50" s="119">
        <f t="shared" si="118"/>
        <v>2.3616255730868119</v>
      </c>
      <c r="AP50" s="119">
        <f t="shared" si="118"/>
        <v>2.4994183658582747</v>
      </c>
      <c r="AQ50" s="119">
        <f t="shared" si="118"/>
        <v>2.4558520235990366</v>
      </c>
      <c r="AR50" s="119">
        <f t="shared" si="118"/>
        <v>2.2599964269334638</v>
      </c>
      <c r="AS50" s="119">
        <f t="shared" si="118"/>
        <v>2.174021008344118</v>
      </c>
      <c r="AT50" s="119">
        <f t="shared" si="118"/>
        <v>2.1552697509404473</v>
      </c>
      <c r="AU50" s="119">
        <f t="shared" si="118"/>
        <v>2.1925836194836013</v>
      </c>
      <c r="AV50" s="119">
        <f t="shared" si="118"/>
        <v>2.1952412652522124</v>
      </c>
      <c r="AW50" s="119">
        <f t="shared" si="118"/>
        <v>2.2644105876054921</v>
      </c>
      <c r="AX50" s="119">
        <f t="shared" si="118"/>
        <v>2.1387602440565923</v>
      </c>
      <c r="AY50" s="119">
        <f t="shared" si="118"/>
        <v>2.2822228290235058</v>
      </c>
      <c r="AZ50" s="119">
        <f t="shared" si="118"/>
        <v>2.0721316064083783</v>
      </c>
      <c r="BA50" s="119">
        <f t="shared" si="118"/>
        <v>2.3114379026228038</v>
      </c>
      <c r="BB50" s="119">
        <f t="shared" si="118"/>
        <v>2.2111657878017832</v>
      </c>
      <c r="BC50" s="119">
        <f t="shared" si="118"/>
        <v>2.0704771934066724</v>
      </c>
      <c r="BD50" s="119">
        <f t="shared" si="93"/>
        <v>2.0813890425984027</v>
      </c>
      <c r="BE50" s="119">
        <f t="shared" si="94"/>
        <v>2.1665131783618952</v>
      </c>
      <c r="BF50" s="119">
        <f t="shared" si="95"/>
        <v>2.0569018943088491</v>
      </c>
      <c r="BG50" s="119">
        <f t="shared" si="96"/>
        <v>2.0731375257577733</v>
      </c>
      <c r="BH50" s="119">
        <f t="shared" si="97"/>
        <v>2.0610059605710829</v>
      </c>
      <c r="BI50" s="119">
        <f t="shared" si="98"/>
        <v>2.0550948976395089</v>
      </c>
      <c r="BJ50" s="119">
        <f t="shared" si="99"/>
        <v>2.0353946146310031</v>
      </c>
      <c r="BK50" s="119">
        <f t="shared" si="100"/>
        <v>2.0004094995819122</v>
      </c>
      <c r="BL50" s="119">
        <f t="shared" si="101"/>
        <v>2.0017059341993937</v>
      </c>
      <c r="BM50" s="119">
        <f t="shared" si="102"/>
        <v>2.0255820807209002</v>
      </c>
      <c r="BN50" s="120">
        <f t="shared" si="115"/>
        <v>2.0000000000000018</v>
      </c>
      <c r="BO50" s="120">
        <f t="shared" si="116"/>
        <v>2.0000000000000018</v>
      </c>
      <c r="BP50" s="120">
        <f t="shared" si="116"/>
        <v>1.9999999999999796</v>
      </c>
      <c r="BQ50" s="120">
        <f t="shared" si="116"/>
        <v>2.000000000000024</v>
      </c>
      <c r="BR50" s="120">
        <f t="shared" si="116"/>
        <v>1.9999999999999574</v>
      </c>
      <c r="BS50" s="120">
        <f t="shared" si="116"/>
        <v>2.000000000000024</v>
      </c>
      <c r="BT50" s="120">
        <f t="shared" si="116"/>
        <v>1.9999999999999796</v>
      </c>
      <c r="BU50" s="120">
        <f t="shared" si="116"/>
        <v>2.0000000000000462</v>
      </c>
      <c r="BV50" s="120">
        <f t="shared" si="116"/>
        <v>1.9999999999999796</v>
      </c>
      <c r="BW50" s="120">
        <f t="shared" si="116"/>
        <v>2.000000000000024</v>
      </c>
      <c r="BX50" s="120">
        <f t="shared" si="116"/>
        <v>1.9999999999999796</v>
      </c>
      <c r="BY50" s="120">
        <f t="shared" si="116"/>
        <v>2.0000000000000018</v>
      </c>
      <c r="BZ50" s="120">
        <f t="shared" si="116"/>
        <v>2.0000000000000018</v>
      </c>
      <c r="CA50" s="120">
        <f t="shared" si="116"/>
        <v>1.9999999999999796</v>
      </c>
      <c r="CB50" s="120">
        <f t="shared" si="116"/>
        <v>1.9999999999999796</v>
      </c>
      <c r="CC50" s="120">
        <f t="shared" si="116"/>
        <v>2.000000000000024</v>
      </c>
      <c r="CD50" s="120">
        <f t="shared" si="116"/>
        <v>2.000000000000024</v>
      </c>
      <c r="CE50" s="120">
        <f t="shared" si="116"/>
        <v>1.9999999999999796</v>
      </c>
      <c r="CF50" s="120">
        <f t="shared" si="116"/>
        <v>2.0000000000000018</v>
      </c>
      <c r="CG50" s="120">
        <f t="shared" si="116"/>
        <v>2.0000000000000018</v>
      </c>
      <c r="CH50" s="120">
        <f t="shared" si="116"/>
        <v>2.0000000000000018</v>
      </c>
      <c r="CI50" s="120">
        <f t="shared" si="116"/>
        <v>1.9999999999999796</v>
      </c>
      <c r="CJ50" s="120">
        <f t="shared" si="116"/>
        <v>2.0000000000000018</v>
      </c>
      <c r="CK50" s="120">
        <f t="shared" si="116"/>
        <v>2.0000000000000018</v>
      </c>
      <c r="CL50" s="120">
        <f t="shared" si="116"/>
        <v>2.0000000000000462</v>
      </c>
      <c r="CM50" s="120">
        <f t="shared" si="105"/>
        <v>2.0000000000000018</v>
      </c>
      <c r="CN50" s="120">
        <f t="shared" si="106"/>
        <v>2.0000000000000018</v>
      </c>
      <c r="CO50" s="120">
        <f t="shared" si="107"/>
        <v>2.0000000000000018</v>
      </c>
      <c r="CP50" s="120">
        <f t="shared" si="108"/>
        <v>2.0000000000000018</v>
      </c>
      <c r="CQ50" s="120">
        <f t="shared" si="109"/>
        <v>2.0000000000000018</v>
      </c>
    </row>
    <row r="51" spans="1:95">
      <c r="B51" s="118"/>
      <c r="E51" s="91"/>
      <c r="F51" s="91"/>
      <c r="G51" s="91"/>
      <c r="I51" s="87"/>
      <c r="J51" s="92"/>
      <c r="L51" s="92"/>
      <c r="M51" s="92"/>
      <c r="N51" s="92"/>
    </row>
    <row r="52" spans="1:95" outlineLevel="1">
      <c r="B52" s="80"/>
      <c r="C52" s="80"/>
      <c r="D52" s="80"/>
      <c r="E52" s="86"/>
      <c r="F52" s="86"/>
      <c r="G52" s="86"/>
      <c r="H52" s="80"/>
      <c r="I52" s="87"/>
      <c r="J52" s="92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</row>
    <row r="53" spans="1:95" outlineLevel="1">
      <c r="A53" s="78" t="s">
        <v>121</v>
      </c>
      <c r="B53" s="121"/>
      <c r="C53" s="121"/>
      <c r="D53" s="121"/>
      <c r="E53" s="121"/>
      <c r="F53" s="121"/>
      <c r="G53" s="121"/>
      <c r="H53" s="80"/>
      <c r="I53" s="87"/>
      <c r="J53" s="92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</row>
    <row r="54" spans="1:95" outlineLevel="1">
      <c r="A54" s="79" t="s">
        <v>390</v>
      </c>
      <c r="B54" s="80">
        <v>11411</v>
      </c>
      <c r="C54" s="80">
        <v>16782</v>
      </c>
      <c r="D54" s="80">
        <v>18017</v>
      </c>
      <c r="E54" s="80">
        <v>20308</v>
      </c>
      <c r="F54" s="80">
        <v>24757</v>
      </c>
      <c r="G54" s="80">
        <v>26599</v>
      </c>
      <c r="H54" s="80">
        <v>25936</v>
      </c>
      <c r="I54" s="80">
        <v>26721</v>
      </c>
      <c r="J54" s="80">
        <v>26469</v>
      </c>
      <c r="K54" s="80">
        <v>30009</v>
      </c>
      <c r="L54" s="80">
        <v>36294</v>
      </c>
      <c r="M54" s="80">
        <v>48186</v>
      </c>
      <c r="N54" s="80">
        <v>47875</v>
      </c>
      <c r="O54" s="80">
        <v>49795</v>
      </c>
      <c r="P54" s="209">
        <v>60774</v>
      </c>
      <c r="Q54" s="234">
        <v>56993</v>
      </c>
      <c r="R54" s="234">
        <v>58709</v>
      </c>
      <c r="S54" s="440">
        <v>66905</v>
      </c>
      <c r="T54" s="441">
        <v>70887</v>
      </c>
      <c r="U54" s="441">
        <v>63402</v>
      </c>
      <c r="V54" s="441">
        <v>48616.896819956797</v>
      </c>
      <c r="W54" s="441">
        <v>53112.032023061802</v>
      </c>
      <c r="X54" s="441">
        <v>55830.963915833701</v>
      </c>
      <c r="Y54" s="441">
        <v>53825.904387041599</v>
      </c>
      <c r="Z54" s="441">
        <v>58224.558256512399</v>
      </c>
      <c r="AA54" s="441">
        <v>66761.936348448697</v>
      </c>
      <c r="AB54" s="441">
        <v>70371.717990686593</v>
      </c>
      <c r="AC54" s="442">
        <v>64118.293263695799</v>
      </c>
      <c r="AD54" s="442">
        <v>66772.101620851201</v>
      </c>
      <c r="AE54" s="442">
        <v>74824.551387888001</v>
      </c>
      <c r="AF54" s="442">
        <v>74025.604285060297</v>
      </c>
      <c r="AG54" s="442">
        <v>72775.1332611002</v>
      </c>
      <c r="AH54" s="442">
        <v>72987.970422204904</v>
      </c>
      <c r="AI54" s="442">
        <v>71646.601314300802</v>
      </c>
      <c r="AJ54" s="442">
        <v>71125.616439459904</v>
      </c>
      <c r="AK54" s="442">
        <v>69683.744343910599</v>
      </c>
      <c r="AL54" s="442">
        <v>73401.787432438898</v>
      </c>
      <c r="AM54" s="442">
        <v>74009.468544334406</v>
      </c>
      <c r="AN54" s="442">
        <v>76030.407740739902</v>
      </c>
      <c r="AO54" s="442">
        <v>75512.978480149395</v>
      </c>
      <c r="AP54" s="442">
        <v>76146.071098499699</v>
      </c>
      <c r="AQ54" s="442">
        <v>77813.450233009295</v>
      </c>
      <c r="AR54" s="442">
        <v>78212.049763834701</v>
      </c>
      <c r="AS54" s="442">
        <v>77756.284366263295</v>
      </c>
      <c r="AT54" s="442">
        <v>81056.327283470906</v>
      </c>
      <c r="AU54" s="442">
        <v>79685.331836474797</v>
      </c>
      <c r="AV54" s="442">
        <v>79722.825158135907</v>
      </c>
      <c r="AW54" s="442">
        <v>79973.350137580201</v>
      </c>
      <c r="AX54" s="442">
        <v>81029.198423684094</v>
      </c>
      <c r="AY54" s="442">
        <v>80248.270604622099</v>
      </c>
      <c r="AZ54" s="442">
        <v>81662.766233754301</v>
      </c>
      <c r="BA54" s="442">
        <v>79797.1814407325</v>
      </c>
      <c r="BB54" s="442">
        <v>78508.669783341102</v>
      </c>
      <c r="BC54" s="442">
        <v>78837.880954833003</v>
      </c>
      <c r="BD54" s="251">
        <v>77699.660625065997</v>
      </c>
      <c r="BE54" s="251">
        <v>79951.758704665699</v>
      </c>
      <c r="BF54" s="251">
        <v>81288.863042243902</v>
      </c>
      <c r="BG54" s="251">
        <v>82344.157029392198</v>
      </c>
      <c r="BH54" s="251">
        <v>80577.834665733506</v>
      </c>
      <c r="BI54" s="251">
        <v>76347.103608093093</v>
      </c>
      <c r="BJ54" s="251">
        <v>77660.911775033805</v>
      </c>
      <c r="BK54" s="251">
        <v>78288.631174965994</v>
      </c>
      <c r="BL54" s="251">
        <v>76018.176414505899</v>
      </c>
      <c r="BM54" s="251">
        <v>73905.234109006997</v>
      </c>
      <c r="BN54" s="80"/>
      <c r="BO54" s="80"/>
      <c r="BP54" s="80"/>
      <c r="BQ54" s="80"/>
      <c r="BR54" s="80"/>
      <c r="BS54" s="80"/>
      <c r="BT54" s="80"/>
      <c r="BU54" s="80"/>
      <c r="BV54" s="80"/>
      <c r="BW54" s="80"/>
    </row>
    <row r="55" spans="1:95" outlineLevel="1">
      <c r="A55" s="79" t="s">
        <v>389</v>
      </c>
      <c r="B55" s="80">
        <v>1400</v>
      </c>
      <c r="C55" s="80">
        <v>1667</v>
      </c>
      <c r="D55" s="80">
        <v>1697</v>
      </c>
      <c r="E55" s="80">
        <v>1932</v>
      </c>
      <c r="F55" s="80">
        <v>1905</v>
      </c>
      <c r="G55" s="80">
        <v>2050</v>
      </c>
      <c r="H55" s="80">
        <v>2412</v>
      </c>
      <c r="I55" s="80">
        <v>2625</v>
      </c>
      <c r="J55" s="80">
        <v>2506</v>
      </c>
      <c r="K55" s="80">
        <v>2596</v>
      </c>
      <c r="L55" s="80">
        <v>2997</v>
      </c>
      <c r="M55" s="80">
        <v>4283</v>
      </c>
      <c r="N55" s="80">
        <v>4027</v>
      </c>
      <c r="O55" s="80">
        <v>4228</v>
      </c>
      <c r="P55" s="209">
        <v>3899</v>
      </c>
      <c r="Q55" s="234">
        <v>4701</v>
      </c>
      <c r="R55" s="234">
        <v>4563</v>
      </c>
      <c r="S55" s="440">
        <v>4848</v>
      </c>
      <c r="T55" s="441">
        <v>4334</v>
      </c>
      <c r="U55" s="441">
        <v>4297</v>
      </c>
      <c r="V55" s="441">
        <v>3501.3656553774399</v>
      </c>
      <c r="W55" s="441">
        <v>3802.2125091215798</v>
      </c>
      <c r="X55" s="441">
        <v>3844.90508039836</v>
      </c>
      <c r="Y55" s="441">
        <v>3884.8380706141602</v>
      </c>
      <c r="Z55" s="441">
        <v>4507.2102319072401</v>
      </c>
      <c r="AA55" s="441">
        <v>7829.04418647287</v>
      </c>
      <c r="AB55" s="441">
        <v>7669.2294122391004</v>
      </c>
      <c r="AC55" s="442">
        <v>8427.2587409906992</v>
      </c>
      <c r="AD55" s="442">
        <v>10824.318671982899</v>
      </c>
      <c r="AE55" s="442">
        <v>10519.109096722799</v>
      </c>
      <c r="AF55" s="442">
        <v>10328.2390215263</v>
      </c>
      <c r="AG55" s="442">
        <v>11290.618755466699</v>
      </c>
      <c r="AH55" s="442">
        <v>10436.900580305701</v>
      </c>
      <c r="AI55" s="442">
        <v>10252.422861642201</v>
      </c>
      <c r="AJ55" s="442">
        <v>10470.921262255601</v>
      </c>
      <c r="AK55" s="442">
        <v>11169.442537725699</v>
      </c>
      <c r="AL55" s="442">
        <v>11579.0990165902</v>
      </c>
      <c r="AM55" s="442">
        <v>11683.8775345063</v>
      </c>
      <c r="AN55" s="442">
        <v>11597.2075090658</v>
      </c>
      <c r="AO55" s="442">
        <v>11289.1620695169</v>
      </c>
      <c r="AP55" s="442">
        <v>11437.5794925883</v>
      </c>
      <c r="AQ55" s="442">
        <v>11952.057611628499</v>
      </c>
      <c r="AR55" s="442">
        <v>12786.8690620426</v>
      </c>
      <c r="AS55" s="442">
        <v>12983.133590715601</v>
      </c>
      <c r="AT55" s="442">
        <v>12638.1599891185</v>
      </c>
      <c r="AU55" s="442">
        <v>13520.4624121122</v>
      </c>
      <c r="AV55" s="442">
        <v>13370.463884328699</v>
      </c>
      <c r="AW55" s="442">
        <v>13252.902676419901</v>
      </c>
      <c r="AX55" s="442">
        <v>13208.6461370984</v>
      </c>
      <c r="AY55" s="442">
        <v>13023.223930771799</v>
      </c>
      <c r="AZ55" s="442">
        <v>13221.623454266</v>
      </c>
      <c r="BA55" s="442">
        <v>13360.8922693227</v>
      </c>
      <c r="BB55" s="442">
        <v>13501.1075397963</v>
      </c>
      <c r="BC55" s="442">
        <v>10397.849970638101</v>
      </c>
      <c r="BD55" s="251">
        <v>10516.032693299299</v>
      </c>
      <c r="BE55" s="251">
        <v>8702.8202071099604</v>
      </c>
      <c r="BF55" s="251">
        <v>8177.5336154366996</v>
      </c>
      <c r="BG55" s="251">
        <v>8363.6426857159295</v>
      </c>
      <c r="BH55" s="251">
        <v>7892.1499249715198</v>
      </c>
      <c r="BI55" s="251">
        <v>7128.5041848853098</v>
      </c>
      <c r="BJ55" s="251">
        <v>7248.1511884705196</v>
      </c>
      <c r="BK55" s="251">
        <v>7377.2374862362803</v>
      </c>
      <c r="BL55" s="251">
        <v>7489.7072506579998</v>
      </c>
      <c r="BM55" s="251">
        <v>7610.5072329845398</v>
      </c>
      <c r="BN55" s="80"/>
      <c r="BO55" s="80"/>
      <c r="BP55" s="80"/>
      <c r="BQ55" s="80"/>
      <c r="BR55" s="80"/>
      <c r="BS55" s="80"/>
      <c r="BT55" s="80"/>
      <c r="BU55" s="80"/>
      <c r="BV55" s="80"/>
      <c r="BW55" s="80"/>
    </row>
    <row r="56" spans="1:95" outlineLevel="1">
      <c r="A56" s="79" t="s">
        <v>119</v>
      </c>
      <c r="B56" s="86">
        <f t="shared" ref="B56:BM56" si="119">SUM(B54:B55)</f>
        <v>12811</v>
      </c>
      <c r="C56" s="86">
        <f t="shared" si="119"/>
        <v>18449</v>
      </c>
      <c r="D56" s="86">
        <f t="shared" si="119"/>
        <v>19714</v>
      </c>
      <c r="E56" s="86">
        <f t="shared" si="119"/>
        <v>22240</v>
      </c>
      <c r="F56" s="86">
        <f t="shared" si="119"/>
        <v>26662</v>
      </c>
      <c r="G56" s="86">
        <f t="shared" si="119"/>
        <v>28649</v>
      </c>
      <c r="H56" s="86">
        <f>SUM(H54:H55)</f>
        <v>28348</v>
      </c>
      <c r="I56" s="86">
        <f t="shared" ref="I56:O56" si="120">SUM(I54:I55)</f>
        <v>29346</v>
      </c>
      <c r="J56" s="86">
        <f t="shared" si="120"/>
        <v>28975</v>
      </c>
      <c r="K56" s="86">
        <f t="shared" si="120"/>
        <v>32605</v>
      </c>
      <c r="L56" s="86">
        <f>SUM(L54:L55)</f>
        <v>39291</v>
      </c>
      <c r="M56" s="86">
        <f t="shared" si="120"/>
        <v>52469</v>
      </c>
      <c r="N56" s="86">
        <f>SUM(N54:N55)</f>
        <v>51902</v>
      </c>
      <c r="O56" s="86">
        <f t="shared" si="120"/>
        <v>54023</v>
      </c>
      <c r="P56" s="86">
        <f>SUM(P54:P55)</f>
        <v>64673</v>
      </c>
      <c r="Q56" s="86">
        <f>SUM(Q54:Q55)</f>
        <v>61694</v>
      </c>
      <c r="R56" s="86">
        <f>SUM(R54:R55)</f>
        <v>63272</v>
      </c>
      <c r="S56" s="86">
        <f>SUM(S54:S55)</f>
        <v>71753</v>
      </c>
      <c r="T56" s="86">
        <f>SUM(T54:T55)</f>
        <v>75221</v>
      </c>
      <c r="U56" s="86">
        <f t="shared" si="119"/>
        <v>67699</v>
      </c>
      <c r="V56" s="86">
        <f>SUM(V54:V55)</f>
        <v>52118.262475334239</v>
      </c>
      <c r="W56" s="86">
        <f t="shared" si="119"/>
        <v>56914.24453218338</v>
      </c>
      <c r="X56" s="86">
        <f t="shared" si="119"/>
        <v>59675.868996232064</v>
      </c>
      <c r="Y56" s="86">
        <f t="shared" si="119"/>
        <v>57710.742457655761</v>
      </c>
      <c r="Z56" s="86">
        <f t="shared" si="119"/>
        <v>62731.768488419635</v>
      </c>
      <c r="AA56" s="86">
        <f t="shared" si="119"/>
        <v>74590.98053492156</v>
      </c>
      <c r="AB56" s="86">
        <f t="shared" si="119"/>
        <v>78040.947402925696</v>
      </c>
      <c r="AC56" s="86">
        <f t="shared" si="119"/>
        <v>72545.552004686499</v>
      </c>
      <c r="AD56" s="86">
        <f>SUM(AD54:AD55)</f>
        <v>77596.420292834096</v>
      </c>
      <c r="AE56" s="86">
        <f t="shared" si="119"/>
        <v>85343.660484610795</v>
      </c>
      <c r="AF56" s="86">
        <f t="shared" si="119"/>
        <v>84353.843306586597</v>
      </c>
      <c r="AG56" s="86">
        <f t="shared" si="119"/>
        <v>84065.752016566898</v>
      </c>
      <c r="AH56" s="86">
        <f t="shared" si="119"/>
        <v>83424.871002510597</v>
      </c>
      <c r="AI56" s="86">
        <f t="shared" si="119"/>
        <v>81899.024175943006</v>
      </c>
      <c r="AJ56" s="86">
        <f t="shared" si="119"/>
        <v>81596.537701715512</v>
      </c>
      <c r="AK56" s="86">
        <f t="shared" si="119"/>
        <v>80853.186881636298</v>
      </c>
      <c r="AL56" s="86">
        <f t="shared" si="119"/>
        <v>84980.886449029102</v>
      </c>
      <c r="AM56" s="86">
        <f t="shared" si="119"/>
        <v>85693.34607884071</v>
      </c>
      <c r="AN56" s="86">
        <f t="shared" si="119"/>
        <v>87627.615249805705</v>
      </c>
      <c r="AO56" s="86">
        <f t="shared" si="119"/>
        <v>86802.140549666292</v>
      </c>
      <c r="AP56" s="86">
        <f t="shared" si="119"/>
        <v>87583.650591087993</v>
      </c>
      <c r="AQ56" s="86">
        <f t="shared" si="119"/>
        <v>89765.507844637788</v>
      </c>
      <c r="AR56" s="86">
        <f t="shared" si="119"/>
        <v>90998.918825877307</v>
      </c>
      <c r="AS56" s="86">
        <f t="shared" si="119"/>
        <v>90739.417956978898</v>
      </c>
      <c r="AT56" s="86">
        <f t="shared" si="119"/>
        <v>93694.487272589409</v>
      </c>
      <c r="AU56" s="86">
        <f t="shared" si="119"/>
        <v>93205.794248587001</v>
      </c>
      <c r="AV56" s="86">
        <f t="shared" si="119"/>
        <v>93093.289042464603</v>
      </c>
      <c r="AW56" s="86">
        <f t="shared" si="119"/>
        <v>93226.252814000094</v>
      </c>
      <c r="AX56" s="86">
        <f t="shared" si="119"/>
        <v>94237.844560782498</v>
      </c>
      <c r="AY56" s="86">
        <f t="shared" si="119"/>
        <v>93271.494535393897</v>
      </c>
      <c r="AZ56" s="86">
        <f t="shared" si="119"/>
        <v>94884.389688020296</v>
      </c>
      <c r="BA56" s="86">
        <f t="shared" si="119"/>
        <v>93158.073710055207</v>
      </c>
      <c r="BB56" s="86">
        <f t="shared" si="119"/>
        <v>92009.777323137401</v>
      </c>
      <c r="BC56" s="86">
        <f t="shared" si="119"/>
        <v>89235.7309254711</v>
      </c>
      <c r="BD56" s="86">
        <f t="shared" si="119"/>
        <v>88215.693318365302</v>
      </c>
      <c r="BE56" s="86">
        <f t="shared" si="119"/>
        <v>88654.578911775665</v>
      </c>
      <c r="BF56" s="86">
        <f t="shared" si="119"/>
        <v>89466.396657680598</v>
      </c>
      <c r="BG56" s="86">
        <f t="shared" si="119"/>
        <v>90707.799715108122</v>
      </c>
      <c r="BH56" s="86">
        <f t="shared" si="119"/>
        <v>88469.984590705018</v>
      </c>
      <c r="BI56" s="86">
        <f t="shared" si="119"/>
        <v>83475.607792978408</v>
      </c>
      <c r="BJ56" s="86">
        <f t="shared" si="119"/>
        <v>84909.06296350433</v>
      </c>
      <c r="BK56" s="86">
        <f t="shared" si="119"/>
        <v>85665.868661202272</v>
      </c>
      <c r="BL56" s="86">
        <f t="shared" si="119"/>
        <v>83507.883665163899</v>
      </c>
      <c r="BM56" s="86">
        <f t="shared" si="119"/>
        <v>81515.741341991539</v>
      </c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86"/>
    </row>
    <row r="57" spans="1:95" outlineLevel="1">
      <c r="A57" s="79" t="s">
        <v>445</v>
      </c>
      <c r="B57" s="86">
        <f t="shared" ref="B57:AG57" si="121">B56/B15</f>
        <v>26134.232909978691</v>
      </c>
      <c r="C57" s="86">
        <f t="shared" si="121"/>
        <v>36118.677324009499</v>
      </c>
      <c r="D57" s="86">
        <f t="shared" si="121"/>
        <v>37617.194145005786</v>
      </c>
      <c r="E57" s="86">
        <f t="shared" si="121"/>
        <v>41321.491179017132</v>
      </c>
      <c r="F57" s="86">
        <f t="shared" si="121"/>
        <v>46514.067526892068</v>
      </c>
      <c r="G57" s="86">
        <f t="shared" si="121"/>
        <v>50030.584202758415</v>
      </c>
      <c r="H57" s="86">
        <f t="shared" si="121"/>
        <v>48203.44608039887</v>
      </c>
      <c r="I57" s="86">
        <f t="shared" si="121"/>
        <v>49066.335423085715</v>
      </c>
      <c r="J57" s="86">
        <f t="shared" si="121"/>
        <v>46717.478934829713</v>
      </c>
      <c r="K57" s="86">
        <f t="shared" si="121"/>
        <v>50499.773337017417</v>
      </c>
      <c r="L57" s="86">
        <f t="shared" si="121"/>
        <v>56980.604701053737</v>
      </c>
      <c r="M57" s="86">
        <f t="shared" si="121"/>
        <v>70914.825203564222</v>
      </c>
      <c r="N57" s="86">
        <f t="shared" si="121"/>
        <v>66053.194529381886</v>
      </c>
      <c r="O57" s="86">
        <f t="shared" si="121"/>
        <v>67272.494958336683</v>
      </c>
      <c r="P57" s="86">
        <f t="shared" si="121"/>
        <v>77140.303914128745</v>
      </c>
      <c r="Q57" s="86">
        <f t="shared" si="121"/>
        <v>71932.579413130588</v>
      </c>
      <c r="R57" s="86">
        <f t="shared" si="121"/>
        <v>71973.13198227917</v>
      </c>
      <c r="S57" s="86">
        <f t="shared" si="121"/>
        <v>78255.450256562894</v>
      </c>
      <c r="T57" s="86">
        <f t="shared" si="121"/>
        <v>80587.160868268402</v>
      </c>
      <c r="U57" s="86">
        <f t="shared" si="121"/>
        <v>74235.979442478609</v>
      </c>
      <c r="V57" s="86">
        <f t="shared" si="121"/>
        <v>59718.677311558065</v>
      </c>
      <c r="W57" s="86">
        <f t="shared" si="121"/>
        <v>64313.666888489905</v>
      </c>
      <c r="X57" s="86">
        <f t="shared" si="121"/>
        <v>65982.710585360619</v>
      </c>
      <c r="Y57" s="86">
        <f t="shared" si="121"/>
        <v>61237.907615182761</v>
      </c>
      <c r="Z57" s="86">
        <f t="shared" si="121"/>
        <v>66432.942829236388</v>
      </c>
      <c r="AA57" s="86">
        <f t="shared" si="121"/>
        <v>74590.98053492156</v>
      </c>
      <c r="AB57" s="86">
        <f t="shared" si="121"/>
        <v>70689.263951925444</v>
      </c>
      <c r="AC57" s="86">
        <f t="shared" si="121"/>
        <v>61758.976248949897</v>
      </c>
      <c r="AD57" s="86">
        <f t="shared" si="121"/>
        <v>63886.698659204383</v>
      </c>
      <c r="AE57" s="86">
        <f t="shared" si="121"/>
        <v>68887.409649065332</v>
      </c>
      <c r="AF57" s="86">
        <f t="shared" si="121"/>
        <v>65996.429219566402</v>
      </c>
      <c r="AG57" s="86">
        <f t="shared" si="121"/>
        <v>63980.824423875849</v>
      </c>
      <c r="AH57" s="86">
        <f t="shared" ref="AH57:BM57" si="122">AH56/AH15</f>
        <v>62269.858247941993</v>
      </c>
      <c r="AI57" s="86">
        <f t="shared" si="122"/>
        <v>59899.94806674432</v>
      </c>
      <c r="AJ57" s="86">
        <f t="shared" si="122"/>
        <v>58396.835053545052</v>
      </c>
      <c r="AK57" s="86">
        <f t="shared" si="122"/>
        <v>56593.799570552175</v>
      </c>
      <c r="AL57" s="86">
        <f t="shared" si="122"/>
        <v>58211.913387847701</v>
      </c>
      <c r="AM57" s="86">
        <f t="shared" si="122"/>
        <v>57462.062013930386</v>
      </c>
      <c r="AN57" s="86">
        <f t="shared" si="122"/>
        <v>57529.139543621379</v>
      </c>
      <c r="AO57" s="86">
        <f t="shared" si="122"/>
        <v>55819.958945433304</v>
      </c>
      <c r="AP57" s="86">
        <f t="shared" si="122"/>
        <v>55188.94389854154</v>
      </c>
      <c r="AQ57" s="86">
        <f t="shared" si="122"/>
        <v>55396.425858745075</v>
      </c>
      <c r="AR57" s="86">
        <f t="shared" si="122"/>
        <v>55056.463779947961</v>
      </c>
      <c r="AS57" s="86">
        <f t="shared" si="122"/>
        <v>53822.999720288317</v>
      </c>
      <c r="AT57" s="86">
        <f t="shared" si="122"/>
        <v>54486.106715032183</v>
      </c>
      <c r="AU57" s="86">
        <f t="shared" si="122"/>
        <v>53139.134621163976</v>
      </c>
      <c r="AV57" s="86">
        <f t="shared" si="122"/>
        <v>52034.306246895772</v>
      </c>
      <c r="AW57" s="86">
        <f t="shared" si="122"/>
        <v>51086.888312704592</v>
      </c>
      <c r="AX57" s="86">
        <f t="shared" si="122"/>
        <v>50628.655561891137</v>
      </c>
      <c r="AY57" s="86">
        <f t="shared" si="122"/>
        <v>49126.951406256456</v>
      </c>
      <c r="AZ57" s="86">
        <f t="shared" si="122"/>
        <v>48996.547129673425</v>
      </c>
      <c r="BA57" s="86">
        <f t="shared" si="122"/>
        <v>47161.871989197243</v>
      </c>
      <c r="BB57" s="86">
        <f t="shared" si="122"/>
        <v>45667.195668987893</v>
      </c>
      <c r="BC57" s="86">
        <f t="shared" si="122"/>
        <v>43421.915427731175</v>
      </c>
      <c r="BD57" s="86">
        <f t="shared" si="122"/>
        <v>42083.889523676931</v>
      </c>
      <c r="BE57" s="86">
        <f t="shared" si="122"/>
        <v>41463.983182747645</v>
      </c>
      <c r="BF57" s="86">
        <f t="shared" si="122"/>
        <v>41023.20834246053</v>
      </c>
      <c r="BG57" s="86">
        <f t="shared" si="122"/>
        <v>40776.893533896888</v>
      </c>
      <c r="BH57" s="86">
        <f t="shared" si="122"/>
        <v>38991.081791775825</v>
      </c>
      <c r="BI57" s="86">
        <f t="shared" si="122"/>
        <v>36068.555619619081</v>
      </c>
      <c r="BJ57" s="86">
        <f t="shared" si="122"/>
        <v>35968.558878642943</v>
      </c>
      <c r="BK57" s="86">
        <f t="shared" si="122"/>
        <v>35577.599408483293</v>
      </c>
      <c r="BL57" s="86">
        <f t="shared" si="122"/>
        <v>34001.347086466165</v>
      </c>
      <c r="BM57" s="86">
        <f t="shared" si="122"/>
        <v>32539.43118234105</v>
      </c>
      <c r="BN57" s="86">
        <f>BM57*Formue!BK54/Formue!BJ54</f>
        <v>33060.062081258504</v>
      </c>
      <c r="BO57" s="86">
        <f>BN57*Formue!BL54/Formue!BK54</f>
        <v>33589.023074558638</v>
      </c>
      <c r="BP57" s="86">
        <f>BO57*Formue!BM54/Formue!BL54</f>
        <v>34126.447443751575</v>
      </c>
      <c r="BQ57" s="86">
        <f>BP57*Formue!BN54/Formue!BM54</f>
        <v>34672.470602851601</v>
      </c>
      <c r="BR57" s="86">
        <f>BQ57*Formue!BO54/Formue!BN54</f>
        <v>35227.230132497229</v>
      </c>
      <c r="BS57" s="86">
        <f>BR57*Formue!BP54/Formue!BO54</f>
        <v>35790.86581461718</v>
      </c>
      <c r="BT57" s="86">
        <f>BS57*Formue!BQ54/Formue!BP54</f>
        <v>36363.51966765106</v>
      </c>
      <c r="BU57" s="86">
        <f>BT57*Formue!BR54/Formue!BQ54</f>
        <v>36945.335982333476</v>
      </c>
      <c r="BV57" s="86">
        <f>BU57*Formue!BS54/Formue!BR54</f>
        <v>37536.461358050808</v>
      </c>
      <c r="BW57" s="86">
        <f>BV57*Formue!BT54/Formue!BS54</f>
        <v>38137.044739779623</v>
      </c>
      <c r="BX57" s="86">
        <f>BW57*Formue!BU54/Formue!BT54</f>
        <v>38747.237455616101</v>
      </c>
      <c r="BY57" s="86">
        <f>BX57*Formue!BV54/Formue!BU54</f>
        <v>39367.193254905964</v>
      </c>
      <c r="BZ57" s="86">
        <f>BY57*Formue!BW54/Formue!BV54</f>
        <v>39997.068346984459</v>
      </c>
      <c r="CA57" s="86">
        <f>BZ57*Formue!BX54/Formue!BW54</f>
        <v>40637.021440536206</v>
      </c>
      <c r="CB57" s="86">
        <f>CA57*Formue!BY54/Formue!BX54</f>
        <v>41287.21378358479</v>
      </c>
      <c r="CC57" s="86">
        <f>CB57*Formue!BZ54/Formue!BY54</f>
        <v>41947.809204122146</v>
      </c>
      <c r="CD57" s="86">
        <f>CC57*Formue!CA54/Formue!BZ54</f>
        <v>42618.974151388102</v>
      </c>
      <c r="CE57" s="86">
        <f>CD57*Formue!CB54/Formue!CA54</f>
        <v>43300.877737810311</v>
      </c>
      <c r="CF57" s="86">
        <f>CE57*Formue!CC54/Formue!CB54</f>
        <v>43993.691781615271</v>
      </c>
      <c r="CG57" s="86">
        <f>CF57*Formue!CD54/Formue!CC54</f>
        <v>44697.590850121116</v>
      </c>
      <c r="CH57" s="86">
        <f>CG57*Formue!CE54/Formue!CD54</f>
        <v>45412.752303723049</v>
      </c>
      <c r="CI57" s="86">
        <f>CH57*Formue!CF54/Formue!CE54</f>
        <v>46139.356340582621</v>
      </c>
      <c r="CJ57" s="86">
        <f>CI57*Formue!CG54/Formue!CF54</f>
        <v>46877.586042031944</v>
      </c>
      <c r="CK57" s="86">
        <f>CJ57*Formue!CH54/Formue!CG54</f>
        <v>47627.627418704455</v>
      </c>
      <c r="CL57" s="86">
        <f>CK57*Formue!CI54/Formue!CH54</f>
        <v>48389.669457403732</v>
      </c>
      <c r="CM57" s="86">
        <f>CL57*Formue!CJ54/Formue!CI54</f>
        <v>49163.904168722198</v>
      </c>
      <c r="CN57" s="86">
        <f>CM57*Formue!CK54/Formue!CJ54</f>
        <v>49950.526635421753</v>
      </c>
      <c r="CO57" s="86">
        <f>CN57*Formue!CL54/Formue!CK54</f>
        <v>50749.735061588501</v>
      </c>
      <c r="CP57" s="86">
        <f>CO57*Formue!CM54/Formue!CL54</f>
        <v>51561.730822573918</v>
      </c>
      <c r="CQ57" s="86">
        <f>CP57*Formue!CN54/Formue!CM54</f>
        <v>52386.718515735098</v>
      </c>
    </row>
    <row r="58" spans="1:95" outlineLevel="1">
      <c r="B58" s="80"/>
      <c r="C58" s="80"/>
      <c r="D58" s="80"/>
      <c r="E58" s="80"/>
      <c r="F58" s="80"/>
      <c r="G58" s="80"/>
    </row>
    <row r="59" spans="1:95" outlineLevel="1"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162"/>
      <c r="U59" s="162"/>
      <c r="V59" s="162"/>
      <c r="W59" s="162"/>
      <c r="X59" s="162"/>
      <c r="Y59" s="162"/>
      <c r="Z59" s="162"/>
      <c r="AA59" s="86"/>
      <c r="AB59" s="717"/>
      <c r="AC59" s="86"/>
      <c r="AD59" s="86"/>
      <c r="AE59" s="86"/>
      <c r="AF59" s="86"/>
      <c r="AG59" s="86"/>
      <c r="AH59" s="86"/>
      <c r="AI59" s="86"/>
    </row>
    <row r="60" spans="1:95">
      <c r="G60" s="90"/>
      <c r="H60" s="90"/>
      <c r="I60" s="87"/>
      <c r="J60" s="92"/>
      <c r="T60" s="162"/>
      <c r="U60" s="162"/>
      <c r="V60" s="162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</row>
    <row r="61" spans="1:95">
      <c r="A61" s="78" t="s">
        <v>148</v>
      </c>
      <c r="B61" s="78"/>
      <c r="C61" s="78"/>
      <c r="D61" s="78"/>
      <c r="E61" s="78"/>
      <c r="F61" s="88"/>
      <c r="G61" s="88"/>
      <c r="H61" s="88"/>
      <c r="I61" s="87"/>
      <c r="J61" s="92"/>
      <c r="K61" s="88"/>
      <c r="L61" s="88"/>
      <c r="M61" s="87"/>
      <c r="N61" s="88"/>
      <c r="O61" s="88"/>
      <c r="P61" s="88"/>
      <c r="Q61" s="88"/>
      <c r="R61" s="88"/>
      <c r="S61" s="88"/>
      <c r="T61" s="88"/>
      <c r="U61" s="88"/>
      <c r="V61" s="83"/>
      <c r="W61" s="88"/>
      <c r="X61" s="88"/>
      <c r="Z61" s="88"/>
      <c r="AA61" s="668" t="s">
        <v>667</v>
      </c>
      <c r="AB61" s="88"/>
      <c r="AC61" s="88"/>
      <c r="AD61" s="88"/>
      <c r="AE61" s="88"/>
      <c r="AF61" s="88"/>
      <c r="AG61" s="88"/>
      <c r="AH61" s="88"/>
      <c r="AI61" s="88"/>
      <c r="AJ61" s="88"/>
    </row>
    <row r="62" spans="1:95">
      <c r="A62" s="79" t="s">
        <v>388</v>
      </c>
      <c r="B62" s="83">
        <v>175.91</v>
      </c>
      <c r="C62" s="83">
        <v>168.74</v>
      </c>
      <c r="D62" s="83">
        <v>168.69</v>
      </c>
      <c r="E62" s="83">
        <v>181.18</v>
      </c>
      <c r="F62" s="83">
        <v>180.88</v>
      </c>
      <c r="G62" s="83">
        <v>173.65</v>
      </c>
      <c r="H62" s="122">
        <v>165.48</v>
      </c>
      <c r="I62" s="83">
        <v>162.78</v>
      </c>
      <c r="J62" s="122">
        <v>148.13999999999999</v>
      </c>
      <c r="K62" s="83">
        <v>136.58000000000001</v>
      </c>
      <c r="L62" s="83">
        <v>128.28</v>
      </c>
      <c r="M62" s="83">
        <v>122.66</v>
      </c>
      <c r="N62" s="83">
        <v>114.94</v>
      </c>
      <c r="O62" s="123">
        <v>104.39</v>
      </c>
      <c r="P62" s="210">
        <v>97.46</v>
      </c>
      <c r="Q62" s="235">
        <v>89.2</v>
      </c>
      <c r="R62" s="235">
        <v>84.94</v>
      </c>
      <c r="S62" s="470">
        <v>87.7</v>
      </c>
      <c r="T62" s="451">
        <v>90.85</v>
      </c>
      <c r="U62" s="451">
        <v>93.9</v>
      </c>
      <c r="V62" s="451">
        <v>92.28</v>
      </c>
      <c r="W62" s="451">
        <v>86.27</v>
      </c>
      <c r="X62" s="451">
        <v>83.21</v>
      </c>
      <c r="Y62" s="451">
        <v>98.49</v>
      </c>
      <c r="Z62" s="451">
        <v>102.36</v>
      </c>
      <c r="AA62" s="451">
        <v>97.81</v>
      </c>
      <c r="AB62" s="451">
        <v>104.14</v>
      </c>
      <c r="AC62" s="444">
        <v>102.88638281259</v>
      </c>
      <c r="AD62" s="444">
        <v>105.18980898457799</v>
      </c>
      <c r="AE62" s="444">
        <v>101.045761449213</v>
      </c>
      <c r="AF62" s="444">
        <v>96.575066729448693</v>
      </c>
      <c r="AG62" s="444">
        <v>87.047892082627996</v>
      </c>
      <c r="AH62" s="444">
        <v>78.845847543704807</v>
      </c>
      <c r="AI62" s="444">
        <v>73.793908506930094</v>
      </c>
      <c r="AJ62" s="444">
        <v>71.649846538435597</v>
      </c>
      <c r="AK62" s="444">
        <v>70.715986239141799</v>
      </c>
      <c r="AL62" s="444">
        <v>69.386447109542203</v>
      </c>
      <c r="AM62" s="444">
        <v>69.474901314808406</v>
      </c>
      <c r="AN62" s="444">
        <v>69.035837323349497</v>
      </c>
      <c r="AO62" s="444">
        <v>67.882734389063302</v>
      </c>
      <c r="AP62" s="444">
        <v>66.422217238456199</v>
      </c>
      <c r="AQ62" s="444">
        <v>63.920650066007603</v>
      </c>
      <c r="AR62" s="444">
        <v>61.744994652282898</v>
      </c>
      <c r="AS62" s="444">
        <v>59.765761492930402</v>
      </c>
      <c r="AT62" s="444">
        <v>58.160948087532198</v>
      </c>
      <c r="AU62" s="444">
        <v>56.304564567923002</v>
      </c>
      <c r="AV62" s="444">
        <v>54.5807199205301</v>
      </c>
      <c r="AW62" s="444">
        <v>53.233861304295701</v>
      </c>
      <c r="AX62" s="444">
        <v>51.418462866102303</v>
      </c>
      <c r="AY62" s="444">
        <v>49.851933117199302</v>
      </c>
      <c r="AZ62" s="444">
        <v>48.074596180958899</v>
      </c>
      <c r="BA62" s="444">
        <v>46.7917568132398</v>
      </c>
      <c r="BB62" s="444">
        <v>45.026558890705999</v>
      </c>
      <c r="BC62" s="444">
        <v>43.367769223710603</v>
      </c>
      <c r="BD62" s="686">
        <v>42.037652389517497</v>
      </c>
      <c r="BE62" s="686">
        <v>40.516113098128699</v>
      </c>
      <c r="BF62" s="686">
        <v>39.141344857402203</v>
      </c>
      <c r="BG62" s="686">
        <v>37.644952559843603</v>
      </c>
      <c r="BH62" s="686">
        <v>36.054581090807901</v>
      </c>
      <c r="BI62" s="686">
        <v>34.609852540656</v>
      </c>
      <c r="BJ62" s="315">
        <v>33.132615728303797</v>
      </c>
      <c r="BK62" s="315">
        <v>31.356614947318999</v>
      </c>
      <c r="BL62" s="315">
        <v>29.729547090828401</v>
      </c>
      <c r="BM62" s="315">
        <v>28.071746988221999</v>
      </c>
      <c r="BN62" s="92"/>
      <c r="BO62" s="92"/>
      <c r="BP62" s="92"/>
      <c r="BQ62" s="92"/>
      <c r="BR62" s="92"/>
      <c r="BS62" s="92"/>
      <c r="BT62" s="92"/>
      <c r="BU62" s="92"/>
      <c r="BV62" s="92"/>
      <c r="BW62" s="92"/>
    </row>
    <row r="63" spans="1:95">
      <c r="A63" s="79" t="s">
        <v>641</v>
      </c>
      <c r="B63" s="83">
        <v>44.36</v>
      </c>
      <c r="C63" s="83">
        <v>47.06</v>
      </c>
      <c r="D63" s="83">
        <v>48.7</v>
      </c>
      <c r="E63" s="83">
        <v>47.43</v>
      </c>
      <c r="F63" s="83">
        <v>54.15</v>
      </c>
      <c r="G63" s="83">
        <v>65.53</v>
      </c>
      <c r="H63" s="122">
        <v>72.930000000000007</v>
      </c>
      <c r="I63" s="83">
        <v>79.099999999999994</v>
      </c>
      <c r="J63" s="83">
        <v>85.67</v>
      </c>
      <c r="K63" s="83">
        <v>88.23</v>
      </c>
      <c r="L63" s="83">
        <v>89.51</v>
      </c>
      <c r="M63" s="83">
        <v>99.46</v>
      </c>
      <c r="N63" s="83">
        <v>103.68</v>
      </c>
      <c r="O63" s="123">
        <v>106.53</v>
      </c>
      <c r="P63" s="210">
        <v>100.3</v>
      </c>
      <c r="Q63" s="235">
        <v>113.06</v>
      </c>
      <c r="R63" s="235">
        <v>107.05</v>
      </c>
      <c r="S63" s="470">
        <v>106.8</v>
      </c>
      <c r="T63" s="451">
        <v>114.92</v>
      </c>
      <c r="U63" s="451">
        <v>114.65</v>
      </c>
      <c r="V63" s="451">
        <v>122.37</v>
      </c>
      <c r="W63" s="451">
        <v>119.89</v>
      </c>
      <c r="X63" s="451">
        <v>113.12</v>
      </c>
      <c r="Y63" s="451">
        <v>110.11</v>
      </c>
      <c r="Z63" s="451">
        <v>113.08</v>
      </c>
      <c r="AA63" s="451">
        <v>122.85</v>
      </c>
      <c r="AB63" s="451">
        <v>116.02</v>
      </c>
      <c r="AC63" s="444">
        <v>124.23875195111999</v>
      </c>
      <c r="AD63" s="444">
        <v>118.452074931315</v>
      </c>
      <c r="AE63" s="444">
        <v>120.086121418196</v>
      </c>
      <c r="AF63" s="444">
        <v>120.094642530738</v>
      </c>
      <c r="AG63" s="444">
        <v>116.166092510014</v>
      </c>
      <c r="AH63" s="444">
        <v>110.636270971982</v>
      </c>
      <c r="AI63" s="444">
        <v>104.941576370565</v>
      </c>
      <c r="AJ63" s="444">
        <v>100.130445581107</v>
      </c>
      <c r="AK63" s="444">
        <v>93.491734289047798</v>
      </c>
      <c r="AL63" s="444">
        <v>89.335084783925794</v>
      </c>
      <c r="AM63" s="444">
        <v>86.735572945646098</v>
      </c>
      <c r="AN63" s="444">
        <v>84.333941951932403</v>
      </c>
      <c r="AO63" s="444">
        <v>82.153770465193006</v>
      </c>
      <c r="AP63" s="444">
        <v>78.840469550338696</v>
      </c>
      <c r="AQ63" s="444">
        <v>73.883116241559094</v>
      </c>
      <c r="AR63" s="444">
        <v>68.539686645509505</v>
      </c>
      <c r="AS63" s="444">
        <v>64.692185788338307</v>
      </c>
      <c r="AT63" s="444">
        <v>61.2290977700995</v>
      </c>
      <c r="AU63" s="444">
        <v>58.607326135775999</v>
      </c>
      <c r="AV63" s="444">
        <v>55.8623403806005</v>
      </c>
      <c r="AW63" s="444">
        <v>52.7872782740288</v>
      </c>
      <c r="AX63" s="444">
        <v>50.282890109274298</v>
      </c>
      <c r="AY63" s="444">
        <v>48.339968322707897</v>
      </c>
      <c r="AZ63" s="444">
        <v>46.446472786406297</v>
      </c>
      <c r="BA63" s="444">
        <v>44.699381400699799</v>
      </c>
      <c r="BB63" s="444">
        <v>43.293508537680601</v>
      </c>
      <c r="BC63" s="444">
        <v>41.648785780853402</v>
      </c>
      <c r="BD63" s="686">
        <v>40.118689809552301</v>
      </c>
      <c r="BE63" s="686">
        <v>38.369959232385099</v>
      </c>
      <c r="BF63" s="686">
        <v>36.9035212621121</v>
      </c>
      <c r="BG63" s="686">
        <v>35.812746227007899</v>
      </c>
      <c r="BH63" s="686">
        <v>35.2091385576473</v>
      </c>
      <c r="BI63" s="686">
        <v>34.416161845962002</v>
      </c>
      <c r="BJ63" s="315">
        <v>33.891618791822097</v>
      </c>
      <c r="BK63" s="315">
        <v>33.466268432734097</v>
      </c>
      <c r="BL63" s="315">
        <v>32.995546425285298</v>
      </c>
      <c r="BM63" s="315">
        <v>32.602377394214301</v>
      </c>
      <c r="BN63" s="92"/>
      <c r="BO63" s="92"/>
      <c r="BP63" s="92"/>
      <c r="BQ63" s="92"/>
      <c r="BR63" s="92"/>
      <c r="BS63" s="92"/>
      <c r="BT63" s="92"/>
      <c r="BU63" s="92"/>
      <c r="BV63" s="92"/>
      <c r="BW63" s="92"/>
    </row>
    <row r="64" spans="1:95">
      <c r="A64" s="79" t="s">
        <v>394</v>
      </c>
      <c r="B64" s="83">
        <v>13.45</v>
      </c>
      <c r="C64" s="83">
        <v>12.44</v>
      </c>
      <c r="D64" s="83">
        <v>12.5</v>
      </c>
      <c r="E64" s="83">
        <v>12.64</v>
      </c>
      <c r="F64" s="83">
        <v>16.59</v>
      </c>
      <c r="G64" s="83">
        <v>19.12</v>
      </c>
      <c r="H64" s="122">
        <v>23.27</v>
      </c>
      <c r="I64" s="83">
        <v>22.310000000000002</v>
      </c>
      <c r="J64" s="83">
        <v>23.76</v>
      </c>
      <c r="K64" s="83">
        <v>24.33</v>
      </c>
      <c r="L64" s="83">
        <v>19.759999999999998</v>
      </c>
      <c r="M64" s="83">
        <v>20.86</v>
      </c>
      <c r="N64" s="83">
        <v>21.400000000000002</v>
      </c>
      <c r="O64" s="123">
        <v>19.72</v>
      </c>
      <c r="P64" s="210">
        <v>20.89</v>
      </c>
      <c r="Q64" s="235">
        <v>22.380000000000003</v>
      </c>
      <c r="R64" s="235">
        <v>21.71</v>
      </c>
      <c r="S64" s="470">
        <v>21.86</v>
      </c>
      <c r="T64" s="451">
        <v>22.07</v>
      </c>
      <c r="U64" s="451">
        <v>22.11</v>
      </c>
      <c r="V64" s="451">
        <v>22.1</v>
      </c>
      <c r="W64" s="451">
        <v>21.17</v>
      </c>
      <c r="X64" s="451">
        <v>19.080000000000002</v>
      </c>
      <c r="Y64" s="451">
        <v>18.25</v>
      </c>
      <c r="Z64" s="451">
        <v>15.309999999999999</v>
      </c>
      <c r="AA64" s="451">
        <v>12.53</v>
      </c>
      <c r="AB64" s="451">
        <v>12.99</v>
      </c>
      <c r="AC64" s="444">
        <v>14.090805668825199</v>
      </c>
      <c r="AD64" s="444">
        <v>14.5264171933746</v>
      </c>
      <c r="AE64" s="444">
        <v>15.2825943649325</v>
      </c>
      <c r="AF64" s="444">
        <v>15.4169352290532</v>
      </c>
      <c r="AG64" s="444">
        <v>15.381716184560201</v>
      </c>
      <c r="AH64" s="444">
        <v>15.1238272946275</v>
      </c>
      <c r="AI64" s="444">
        <v>14.458167543187299</v>
      </c>
      <c r="AJ64" s="444">
        <v>12.999656846400301</v>
      </c>
      <c r="AK64" s="444">
        <v>12.1010429740265</v>
      </c>
      <c r="AL64" s="444">
        <v>10.7036492009246</v>
      </c>
      <c r="AM64" s="444">
        <v>9.5442071522411407</v>
      </c>
      <c r="AN64" s="444">
        <v>8.4064845679676008</v>
      </c>
      <c r="AO64" s="444">
        <v>7.6252250618180204</v>
      </c>
      <c r="AP64" s="444">
        <v>6.5501176409275104</v>
      </c>
      <c r="AQ64" s="444">
        <v>5.5222163666163597</v>
      </c>
      <c r="AR64" s="444">
        <v>4.8854317326599297</v>
      </c>
      <c r="AS64" s="444">
        <v>4.4192166560990804</v>
      </c>
      <c r="AT64" s="444">
        <v>3.9106154586444402</v>
      </c>
      <c r="AU64" s="444">
        <v>3.5138655571550999</v>
      </c>
      <c r="AV64" s="444">
        <v>3.1591642798824502</v>
      </c>
      <c r="AW64" s="444">
        <v>2.7467847078208401</v>
      </c>
      <c r="AX64" s="444">
        <v>2.4737210810597499</v>
      </c>
      <c r="AY64" s="444">
        <v>2.0487444447745702</v>
      </c>
      <c r="AZ64" s="444">
        <v>1.9173434812521499</v>
      </c>
      <c r="BA64" s="444">
        <v>1.4773356022698201</v>
      </c>
      <c r="BB64" s="444">
        <v>1.1472303341380401</v>
      </c>
      <c r="BC64" s="444">
        <v>0.95530164193360201</v>
      </c>
      <c r="BD64" s="686">
        <v>0.78101941680904496</v>
      </c>
      <c r="BE64" s="686">
        <v>0.53412031437233098</v>
      </c>
      <c r="BF64" s="686">
        <v>0.42513031815542501</v>
      </c>
      <c r="BG64" s="686">
        <v>0.30469153579019798</v>
      </c>
      <c r="BH64" s="686">
        <v>0.20867618493161899</v>
      </c>
      <c r="BI64" s="686">
        <v>0.13997563850716699</v>
      </c>
      <c r="BJ64" s="315">
        <v>7.6948321395320804E-2</v>
      </c>
      <c r="BK64" s="315">
        <v>7.25227032817196E-2</v>
      </c>
      <c r="BL64" s="315">
        <v>6.7570852599601494E-2</v>
      </c>
      <c r="BM64" s="315">
        <v>4.6981570863863398E-2</v>
      </c>
      <c r="BN64" s="92"/>
      <c r="BO64" s="92"/>
      <c r="BP64" s="92"/>
      <c r="BQ64" s="92"/>
      <c r="BR64" s="92"/>
      <c r="BS64" s="92"/>
      <c r="BT64" s="92"/>
      <c r="BU64" s="92"/>
      <c r="BV64" s="92"/>
      <c r="BW64" s="92"/>
    </row>
    <row r="65" spans="1:95">
      <c r="A65" s="79" t="s">
        <v>18</v>
      </c>
      <c r="B65" s="89">
        <f>B62+B64</f>
        <v>189.35999999999999</v>
      </c>
      <c r="C65" s="89">
        <f>C62+C64</f>
        <v>181.18</v>
      </c>
      <c r="D65" s="89">
        <f>D62+D64</f>
        <v>181.19</v>
      </c>
      <c r="E65" s="89">
        <f t="shared" ref="E65:J65" si="123">E62+E64</f>
        <v>193.82</v>
      </c>
      <c r="F65" s="89">
        <f t="shared" si="123"/>
        <v>197.47</v>
      </c>
      <c r="G65" s="89">
        <f t="shared" si="123"/>
        <v>192.77</v>
      </c>
      <c r="H65" s="89">
        <f t="shared" si="123"/>
        <v>188.75</v>
      </c>
      <c r="I65" s="89">
        <f t="shared" si="123"/>
        <v>185.09</v>
      </c>
      <c r="J65" s="89">
        <f t="shared" si="123"/>
        <v>171.89999999999998</v>
      </c>
      <c r="K65" s="89">
        <f t="shared" ref="K65:AI65" si="124">K62+K64</f>
        <v>160.91000000000003</v>
      </c>
      <c r="L65" s="89">
        <f>L62+L64</f>
        <v>148.04</v>
      </c>
      <c r="M65" s="89">
        <f>M62+M64</f>
        <v>143.51999999999998</v>
      </c>
      <c r="N65" s="89">
        <f t="shared" si="124"/>
        <v>136.34</v>
      </c>
      <c r="O65" s="89">
        <f t="shared" si="124"/>
        <v>124.11</v>
      </c>
      <c r="P65" s="89">
        <f t="shared" si="124"/>
        <v>118.35</v>
      </c>
      <c r="Q65" s="89">
        <f t="shared" si="124"/>
        <v>111.58000000000001</v>
      </c>
      <c r="R65" s="89">
        <f>R62+R64</f>
        <v>106.65</v>
      </c>
      <c r="S65" s="89">
        <f t="shared" si="124"/>
        <v>109.56</v>
      </c>
      <c r="T65" s="89">
        <f t="shared" si="124"/>
        <v>112.91999999999999</v>
      </c>
      <c r="U65" s="89">
        <f t="shared" si="124"/>
        <v>116.01</v>
      </c>
      <c r="V65" s="89">
        <f t="shared" si="124"/>
        <v>114.38</v>
      </c>
      <c r="W65" s="89">
        <f t="shared" si="124"/>
        <v>107.44</v>
      </c>
      <c r="X65" s="89">
        <f t="shared" si="124"/>
        <v>102.28999999999999</v>
      </c>
      <c r="Y65" s="89">
        <f t="shared" si="124"/>
        <v>116.74</v>
      </c>
      <c r="Z65" s="89">
        <f t="shared" si="124"/>
        <v>117.67</v>
      </c>
      <c r="AA65" s="89">
        <f t="shared" si="124"/>
        <v>110.34</v>
      </c>
      <c r="AB65" s="89">
        <f t="shared" si="124"/>
        <v>117.13</v>
      </c>
      <c r="AC65" s="89">
        <f t="shared" si="124"/>
        <v>116.9771884814152</v>
      </c>
      <c r="AD65" s="89">
        <f t="shared" si="124"/>
        <v>119.71622617795259</v>
      </c>
      <c r="AE65" s="89">
        <f t="shared" si="124"/>
        <v>116.32835581414551</v>
      </c>
      <c r="AF65" s="89">
        <f t="shared" si="124"/>
        <v>111.99200195850189</v>
      </c>
      <c r="AG65" s="89">
        <f t="shared" si="124"/>
        <v>102.4296082671882</v>
      </c>
      <c r="AH65" s="89">
        <f t="shared" si="124"/>
        <v>93.96967483833231</v>
      </c>
      <c r="AI65" s="89">
        <f t="shared" si="124"/>
        <v>88.252076050117395</v>
      </c>
      <c r="AJ65" s="89">
        <f t="shared" ref="AJ65:BC65" si="125">AJ62+AJ64</f>
        <v>84.649503384835896</v>
      </c>
      <c r="AK65" s="89">
        <f t="shared" si="125"/>
        <v>82.817029213168297</v>
      </c>
      <c r="AL65" s="89">
        <f t="shared" si="125"/>
        <v>80.090096310466805</v>
      </c>
      <c r="AM65" s="89">
        <f t="shared" si="125"/>
        <v>79.019108467049548</v>
      </c>
      <c r="AN65" s="89">
        <f t="shared" si="125"/>
        <v>77.442321891317093</v>
      </c>
      <c r="AO65" s="89">
        <f t="shared" si="125"/>
        <v>75.507959450881316</v>
      </c>
      <c r="AP65" s="89">
        <f t="shared" si="125"/>
        <v>72.972334879383709</v>
      </c>
      <c r="AQ65" s="89">
        <f t="shared" si="125"/>
        <v>69.442866432623958</v>
      </c>
      <c r="AR65" s="89">
        <f t="shared" si="125"/>
        <v>66.630426384942822</v>
      </c>
      <c r="AS65" s="89">
        <f t="shared" si="125"/>
        <v>64.184978149029476</v>
      </c>
      <c r="AT65" s="89">
        <f t="shared" si="125"/>
        <v>62.071563546176641</v>
      </c>
      <c r="AU65" s="89">
        <f t="shared" si="125"/>
        <v>59.818430125078102</v>
      </c>
      <c r="AV65" s="89">
        <f t="shared" si="125"/>
        <v>57.739884200412547</v>
      </c>
      <c r="AW65" s="89">
        <f t="shared" si="125"/>
        <v>55.980646012116537</v>
      </c>
      <c r="AX65" s="89">
        <f t="shared" si="125"/>
        <v>53.892183947162053</v>
      </c>
      <c r="AY65" s="89">
        <f t="shared" si="125"/>
        <v>51.900677561973872</v>
      </c>
      <c r="AZ65" s="89">
        <f t="shared" si="125"/>
        <v>49.991939662211053</v>
      </c>
      <c r="BA65" s="89">
        <f t="shared" si="125"/>
        <v>48.269092415509618</v>
      </c>
      <c r="BB65" s="89">
        <f t="shared" si="125"/>
        <v>46.173789224844036</v>
      </c>
      <c r="BC65" s="89">
        <f t="shared" si="125"/>
        <v>44.323070865644205</v>
      </c>
      <c r="BD65" s="89">
        <f t="shared" ref="BD65:BM65" si="126">BD62+BD64</f>
        <v>42.818671806326542</v>
      </c>
      <c r="BE65" s="89">
        <f t="shared" si="126"/>
        <v>41.050233412501029</v>
      </c>
      <c r="BF65" s="89">
        <f t="shared" si="126"/>
        <v>39.566475175557628</v>
      </c>
      <c r="BG65" s="89">
        <f t="shared" si="126"/>
        <v>37.949644095633801</v>
      </c>
      <c r="BH65" s="89">
        <f t="shared" si="126"/>
        <v>36.26325727573952</v>
      </c>
      <c r="BI65" s="89">
        <f t="shared" si="126"/>
        <v>34.749828179163167</v>
      </c>
      <c r="BJ65" s="89">
        <f t="shared" si="126"/>
        <v>33.209564049699118</v>
      </c>
      <c r="BK65" s="89">
        <f t="shared" si="126"/>
        <v>31.429137650600719</v>
      </c>
      <c r="BL65" s="89">
        <f t="shared" si="126"/>
        <v>29.797117943428002</v>
      </c>
      <c r="BM65" s="89">
        <f t="shared" si="126"/>
        <v>28.118728559085863</v>
      </c>
      <c r="BN65" s="96"/>
      <c r="BO65" s="96"/>
      <c r="BP65" s="96"/>
      <c r="BQ65" s="96"/>
      <c r="BR65" s="96"/>
      <c r="BS65" s="96"/>
      <c r="BT65" s="96"/>
      <c r="BU65" s="96"/>
      <c r="BV65" s="96"/>
      <c r="BW65" s="96"/>
    </row>
    <row r="66" spans="1:95">
      <c r="A66" s="79" t="s">
        <v>164</v>
      </c>
      <c r="B66" s="89">
        <f>B65+B63</f>
        <v>233.71999999999997</v>
      </c>
      <c r="C66" s="89">
        <f>C65+C63</f>
        <v>228.24</v>
      </c>
      <c r="D66" s="89">
        <f>D65+D63</f>
        <v>229.89</v>
      </c>
      <c r="E66" s="89">
        <f>E65+E63</f>
        <v>241.25</v>
      </c>
      <c r="F66" s="89">
        <f t="shared" ref="F66:AH66" si="127">F65+F63</f>
        <v>251.62</v>
      </c>
      <c r="G66" s="89">
        <f t="shared" si="127"/>
        <v>258.3</v>
      </c>
      <c r="H66" s="89">
        <f>H65+H63</f>
        <v>261.68</v>
      </c>
      <c r="I66" s="89">
        <f t="shared" si="127"/>
        <v>264.19</v>
      </c>
      <c r="J66" s="89">
        <f t="shared" si="127"/>
        <v>257.57</v>
      </c>
      <c r="K66" s="89">
        <f t="shared" si="127"/>
        <v>249.14000000000004</v>
      </c>
      <c r="L66" s="89">
        <f>L65+L63</f>
        <v>237.55</v>
      </c>
      <c r="M66" s="89">
        <f t="shared" si="127"/>
        <v>242.97999999999996</v>
      </c>
      <c r="N66" s="89">
        <f>N65+N63</f>
        <v>240.02</v>
      </c>
      <c r="O66" s="89">
        <f t="shared" si="127"/>
        <v>230.64</v>
      </c>
      <c r="P66" s="89">
        <f t="shared" si="127"/>
        <v>218.64999999999998</v>
      </c>
      <c r="Q66" s="89">
        <f t="shared" si="127"/>
        <v>224.64000000000001</v>
      </c>
      <c r="R66" s="89">
        <f t="shared" si="127"/>
        <v>213.7</v>
      </c>
      <c r="S66" s="89">
        <f t="shared" si="127"/>
        <v>216.36</v>
      </c>
      <c r="T66" s="89">
        <f t="shared" si="127"/>
        <v>227.83999999999997</v>
      </c>
      <c r="U66" s="89">
        <f t="shared" si="127"/>
        <v>230.66000000000003</v>
      </c>
      <c r="V66" s="89">
        <f t="shared" si="127"/>
        <v>236.75</v>
      </c>
      <c r="W66" s="96">
        <f t="shared" si="127"/>
        <v>227.32999999999998</v>
      </c>
      <c r="X66" s="96">
        <f t="shared" si="127"/>
        <v>215.41</v>
      </c>
      <c r="Y66" s="96">
        <f t="shared" si="127"/>
        <v>226.85</v>
      </c>
      <c r="Z66" s="96">
        <f t="shared" si="127"/>
        <v>230.75</v>
      </c>
      <c r="AA66" s="96">
        <f t="shared" si="127"/>
        <v>233.19</v>
      </c>
      <c r="AB66" s="96">
        <f t="shared" si="127"/>
        <v>233.14999999999998</v>
      </c>
      <c r="AC66" s="96">
        <f t="shared" si="127"/>
        <v>241.21594043253521</v>
      </c>
      <c r="AD66" s="96">
        <f t="shared" si="127"/>
        <v>238.16830110926759</v>
      </c>
      <c r="AE66" s="96">
        <f t="shared" si="127"/>
        <v>236.41447723234151</v>
      </c>
      <c r="AF66" s="96">
        <f t="shared" si="127"/>
        <v>232.08664448923989</v>
      </c>
      <c r="AG66" s="96">
        <f t="shared" si="127"/>
        <v>218.59570077720218</v>
      </c>
      <c r="AH66" s="96">
        <f t="shared" si="127"/>
        <v>204.60594581031432</v>
      </c>
      <c r="AI66" s="96">
        <f>AI65+AI63</f>
        <v>193.19365242068238</v>
      </c>
      <c r="AJ66" s="96">
        <f>AJ65+AJ63</f>
        <v>184.77994896594288</v>
      </c>
      <c r="AK66" s="96">
        <f t="shared" ref="AK66:BC66" si="128">AK65+AK63</f>
        <v>176.3087635022161</v>
      </c>
      <c r="AL66" s="89">
        <f t="shared" si="128"/>
        <v>169.4251810943926</v>
      </c>
      <c r="AM66" s="89">
        <f t="shared" si="128"/>
        <v>165.75468141269565</v>
      </c>
      <c r="AN66" s="89">
        <f t="shared" si="128"/>
        <v>161.7762638432495</v>
      </c>
      <c r="AO66" s="89">
        <f t="shared" si="128"/>
        <v>157.66172991607431</v>
      </c>
      <c r="AP66" s="89">
        <f t="shared" si="128"/>
        <v>151.81280442972241</v>
      </c>
      <c r="AQ66" s="89">
        <f t="shared" si="128"/>
        <v>143.32598267418305</v>
      </c>
      <c r="AR66" s="89">
        <f t="shared" si="128"/>
        <v>135.17011303045234</v>
      </c>
      <c r="AS66" s="89">
        <f t="shared" si="128"/>
        <v>128.87716393736778</v>
      </c>
      <c r="AT66" s="89">
        <f t="shared" si="128"/>
        <v>123.30066131627615</v>
      </c>
      <c r="AU66" s="89">
        <f t="shared" si="128"/>
        <v>118.4257562608541</v>
      </c>
      <c r="AV66" s="89">
        <f t="shared" si="128"/>
        <v>113.60222458101305</v>
      </c>
      <c r="AW66" s="89">
        <f t="shared" si="128"/>
        <v>108.76792428614533</v>
      </c>
      <c r="AX66" s="89">
        <f t="shared" si="128"/>
        <v>104.17507405643636</v>
      </c>
      <c r="AY66" s="89">
        <f t="shared" si="128"/>
        <v>100.24064588468177</v>
      </c>
      <c r="AZ66" s="89">
        <f t="shared" si="128"/>
        <v>96.438412448617356</v>
      </c>
      <c r="BA66" s="89">
        <f t="shared" si="128"/>
        <v>92.968473816209411</v>
      </c>
      <c r="BB66" s="89">
        <f t="shared" si="128"/>
        <v>89.467297762524638</v>
      </c>
      <c r="BC66" s="89">
        <f t="shared" si="128"/>
        <v>85.971856646497599</v>
      </c>
      <c r="BD66" s="89">
        <f t="shared" ref="BD66:BM66" si="129">BD65+BD63</f>
        <v>82.937361615878842</v>
      </c>
      <c r="BE66" s="89">
        <f t="shared" si="129"/>
        <v>79.420192644886129</v>
      </c>
      <c r="BF66" s="89">
        <f t="shared" si="129"/>
        <v>76.469996437669721</v>
      </c>
      <c r="BG66" s="89">
        <f t="shared" si="129"/>
        <v>73.762390322641693</v>
      </c>
      <c r="BH66" s="89">
        <f t="shared" si="129"/>
        <v>71.472395833386827</v>
      </c>
      <c r="BI66" s="89">
        <f t="shared" si="129"/>
        <v>69.165990025125168</v>
      </c>
      <c r="BJ66" s="89">
        <f t="shared" si="129"/>
        <v>67.101182841521222</v>
      </c>
      <c r="BK66" s="89">
        <f t="shared" si="129"/>
        <v>64.895406083334819</v>
      </c>
      <c r="BL66" s="89">
        <f t="shared" si="129"/>
        <v>62.792664368713304</v>
      </c>
      <c r="BM66" s="89">
        <f t="shared" si="129"/>
        <v>60.721105953300167</v>
      </c>
      <c r="BN66" s="92"/>
      <c r="BO66" s="92"/>
      <c r="BP66" s="92"/>
      <c r="BQ66" s="92"/>
      <c r="BR66" s="92"/>
      <c r="BS66" s="92"/>
      <c r="BT66" s="92"/>
      <c r="BU66" s="92"/>
      <c r="BV66" s="92"/>
      <c r="BW66" s="92"/>
    </row>
    <row r="67" spans="1:95">
      <c r="A67" s="100" t="s">
        <v>215</v>
      </c>
      <c r="B67" s="96">
        <f t="shared" ref="B67:AG67" si="130">B16*B62/365</f>
        <v>3.0313437728767121</v>
      </c>
      <c r="C67" s="96">
        <f t="shared" si="130"/>
        <v>2.9077877791780824</v>
      </c>
      <c r="D67" s="96">
        <f t="shared" si="130"/>
        <v>2.9069261613698627</v>
      </c>
      <c r="E67" s="96">
        <f t="shared" si="130"/>
        <v>3.1221582898630142</v>
      </c>
      <c r="F67" s="96">
        <f t="shared" si="130"/>
        <v>3.1169885830136983</v>
      </c>
      <c r="G67" s="96">
        <f t="shared" si="130"/>
        <v>2.992398647945206</v>
      </c>
      <c r="H67" s="96">
        <f t="shared" si="130"/>
        <v>2.8516102980821914</v>
      </c>
      <c r="I67" s="96">
        <f t="shared" si="130"/>
        <v>2.8050829364383563</v>
      </c>
      <c r="J67" s="96">
        <f t="shared" si="130"/>
        <v>2.5528012421917805</v>
      </c>
      <c r="K67" s="96">
        <f t="shared" si="130"/>
        <v>2.3535952049315072</v>
      </c>
      <c r="L67" s="96">
        <f t="shared" si="130"/>
        <v>2.2105666487671232</v>
      </c>
      <c r="M67" s="96">
        <f t="shared" si="130"/>
        <v>2.113720807123288</v>
      </c>
      <c r="N67" s="96">
        <f t="shared" si="130"/>
        <v>1.9806870175342466</v>
      </c>
      <c r="O67" s="96">
        <f t="shared" si="130"/>
        <v>1.7988856600000001</v>
      </c>
      <c r="P67" s="96">
        <f t="shared" si="130"/>
        <v>1.6794654317808217</v>
      </c>
      <c r="Q67" s="96">
        <f t="shared" si="130"/>
        <v>1.5371261698630139</v>
      </c>
      <c r="R67" s="96">
        <f t="shared" si="130"/>
        <v>1.4637163326027398</v>
      </c>
      <c r="S67" s="96">
        <f t="shared" si="130"/>
        <v>1.5112776356164386</v>
      </c>
      <c r="T67" s="96">
        <f t="shared" si="130"/>
        <v>1.5655595575342465</v>
      </c>
      <c r="U67" s="96">
        <f t="shared" si="130"/>
        <v>1.6181182438356165</v>
      </c>
      <c r="V67" s="96">
        <f t="shared" si="130"/>
        <v>1.590201826849315</v>
      </c>
      <c r="W67" s="96">
        <f t="shared" si="130"/>
        <v>1.4866353663013698</v>
      </c>
      <c r="X67" s="96">
        <f t="shared" si="130"/>
        <v>1.433904356438356</v>
      </c>
      <c r="Y67" s="96">
        <f t="shared" si="130"/>
        <v>1.6972147586301372</v>
      </c>
      <c r="Z67" s="96">
        <f t="shared" si="130"/>
        <v>1.7639039769863012</v>
      </c>
      <c r="AA67" s="96">
        <f t="shared" si="130"/>
        <v>1.6854967564383561</v>
      </c>
      <c r="AB67" s="96">
        <f t="shared" si="130"/>
        <v>1.7945775709589042</v>
      </c>
      <c r="AC67" s="96">
        <f t="shared" si="130"/>
        <v>1.7729747930916624</v>
      </c>
      <c r="AD67" s="96">
        <f t="shared" si="130"/>
        <v>1.8126682532857219</v>
      </c>
      <c r="AE67" s="96">
        <f t="shared" si="130"/>
        <v>1.7412565501941766</v>
      </c>
      <c r="AF67" s="96">
        <f t="shared" si="130"/>
        <v>1.6642159464809692</v>
      </c>
      <c r="AG67" s="96">
        <f t="shared" si="130"/>
        <v>1.5000402797266696</v>
      </c>
      <c r="AH67" s="96">
        <f t="shared" ref="AH67:BC67" si="131">AH16*AH62/365</f>
        <v>1.3586997269558081</v>
      </c>
      <c r="AI67" s="96">
        <f t="shared" si="131"/>
        <v>1.2716429141533534</v>
      </c>
      <c r="AJ67" s="96">
        <f t="shared" si="131"/>
        <v>1.234695674673747</v>
      </c>
      <c r="AK67" s="96">
        <f t="shared" si="131"/>
        <v>1.2186030613885384</v>
      </c>
      <c r="AL67" s="96">
        <f t="shared" si="131"/>
        <v>1.1956919695727937</v>
      </c>
      <c r="AM67" s="96">
        <f t="shared" si="131"/>
        <v>1.1972162439421783</v>
      </c>
      <c r="AN67" s="96">
        <f t="shared" si="131"/>
        <v>1.1896501368624026</v>
      </c>
      <c r="AO67" s="96">
        <f t="shared" si="131"/>
        <v>1.1697794564045869</v>
      </c>
      <c r="AP67" s="96">
        <f t="shared" si="131"/>
        <v>1.1446113046811348</v>
      </c>
      <c r="AQ67" s="96">
        <f t="shared" si="131"/>
        <v>1.1015034081963706</v>
      </c>
      <c r="AR67" s="96">
        <f t="shared" si="131"/>
        <v>1.0640117392160973</v>
      </c>
      <c r="AS67" s="96">
        <f t="shared" si="131"/>
        <v>1.0299048884817767</v>
      </c>
      <c r="AT67" s="96">
        <f t="shared" si="131"/>
        <v>1.0022501723025778</v>
      </c>
      <c r="AU67" s="96">
        <f t="shared" si="131"/>
        <v>0.97026031031498017</v>
      </c>
      <c r="AV67" s="96">
        <f t="shared" si="131"/>
        <v>0.94055440537903956</v>
      </c>
      <c r="AW67" s="96">
        <f t="shared" si="131"/>
        <v>0.91734485800101961</v>
      </c>
      <c r="AX67" s="96">
        <f t="shared" si="131"/>
        <v>0.88606126553380526</v>
      </c>
      <c r="AY67" s="96">
        <f t="shared" si="131"/>
        <v>0.85906626695860644</v>
      </c>
      <c r="AZ67" s="96">
        <f t="shared" si="131"/>
        <v>0.82843856384919745</v>
      </c>
      <c r="BA67" s="96">
        <f t="shared" si="131"/>
        <v>0.80633221896296947</v>
      </c>
      <c r="BB67" s="96">
        <f t="shared" si="131"/>
        <v>0.77591369966123691</v>
      </c>
      <c r="BC67" s="96">
        <f t="shared" si="131"/>
        <v>0.7473288453177731</v>
      </c>
      <c r="BD67" s="96">
        <f t="shared" ref="BD67:BM67" si="132">BD16*BD62/365</f>
        <v>0.72440779829071522</v>
      </c>
      <c r="BE67" s="96">
        <f t="shared" si="132"/>
        <v>0.69818809130339965</v>
      </c>
      <c r="BF67" s="96">
        <f t="shared" si="132"/>
        <v>0.67449759533571763</v>
      </c>
      <c r="BG67" s="96">
        <f t="shared" si="132"/>
        <v>0.64871123030254763</v>
      </c>
      <c r="BH67" s="96">
        <f t="shared" si="132"/>
        <v>0.62130538271445057</v>
      </c>
      <c r="BI67" s="96">
        <f t="shared" si="132"/>
        <v>0.59640930577737949</v>
      </c>
      <c r="BJ67" s="96">
        <f t="shared" si="132"/>
        <v>0.5709530348877877</v>
      </c>
      <c r="BK67" s="96">
        <f t="shared" si="132"/>
        <v>0.5403483568816343</v>
      </c>
      <c r="BL67" s="96">
        <f t="shared" si="132"/>
        <v>0.51231014407496822</v>
      </c>
      <c r="BM67" s="96">
        <f t="shared" si="132"/>
        <v>0.48374234225750307</v>
      </c>
      <c r="BN67" s="96"/>
      <c r="BO67" s="96"/>
      <c r="BP67" s="96"/>
      <c r="BQ67" s="96"/>
      <c r="BR67" s="96"/>
      <c r="BS67" s="96"/>
      <c r="BT67" s="96"/>
      <c r="BU67" s="96"/>
      <c r="BV67" s="96"/>
      <c r="BW67" s="96"/>
    </row>
    <row r="68" spans="1:95">
      <c r="A68" s="100" t="s">
        <v>410</v>
      </c>
      <c r="B68" s="96">
        <f t="shared" ref="B68:AG68" si="133">B16*B65/365</f>
        <v>3.2631189632876714</v>
      </c>
      <c r="C68" s="96">
        <f t="shared" si="133"/>
        <v>3.1221582898630142</v>
      </c>
      <c r="D68" s="96">
        <f t="shared" si="133"/>
        <v>3.1223306134246571</v>
      </c>
      <c r="E68" s="96">
        <f t="shared" si="133"/>
        <v>3.3399752717808218</v>
      </c>
      <c r="F68" s="96">
        <f t="shared" si="133"/>
        <v>3.4028733717808217</v>
      </c>
      <c r="G68" s="96">
        <f t="shared" si="133"/>
        <v>3.3218812978082193</v>
      </c>
      <c r="H68" s="96">
        <f t="shared" si="133"/>
        <v>3.2526072260273975</v>
      </c>
      <c r="I68" s="96">
        <f t="shared" si="133"/>
        <v>3.1895368024657533</v>
      </c>
      <c r="J68" s="96">
        <f t="shared" si="133"/>
        <v>2.9622420246575336</v>
      </c>
      <c r="K68" s="96">
        <f t="shared" si="133"/>
        <v>2.7728584304109591</v>
      </c>
      <c r="L68" s="96">
        <f t="shared" si="133"/>
        <v>2.5510780065753424</v>
      </c>
      <c r="M68" s="96">
        <f t="shared" si="133"/>
        <v>2.4731877567123286</v>
      </c>
      <c r="N68" s="96">
        <f t="shared" si="133"/>
        <v>2.3494594394520552</v>
      </c>
      <c r="O68" s="96">
        <f t="shared" si="133"/>
        <v>2.1387077235616436</v>
      </c>
      <c r="P68" s="96">
        <f t="shared" si="133"/>
        <v>2.0394493520547945</v>
      </c>
      <c r="Q68" s="96">
        <f t="shared" si="133"/>
        <v>1.9227863008219179</v>
      </c>
      <c r="R68" s="96">
        <f t="shared" si="133"/>
        <v>1.837830784931507</v>
      </c>
      <c r="S68" s="96">
        <f t="shared" si="133"/>
        <v>1.887976941369863</v>
      </c>
      <c r="T68" s="96">
        <f t="shared" si="133"/>
        <v>1.9458776580821917</v>
      </c>
      <c r="U68" s="96">
        <f t="shared" si="133"/>
        <v>1.999125638630137</v>
      </c>
      <c r="V68" s="96">
        <f t="shared" si="133"/>
        <v>1.9710368980821917</v>
      </c>
      <c r="W68" s="96">
        <f t="shared" si="133"/>
        <v>1.8514443463013699</v>
      </c>
      <c r="X68" s="96">
        <f t="shared" si="133"/>
        <v>1.7626977120547944</v>
      </c>
      <c r="Y68" s="96">
        <f t="shared" si="133"/>
        <v>2.0117052586301369</v>
      </c>
      <c r="Z68" s="96">
        <f t="shared" si="133"/>
        <v>2.0277313498630138</v>
      </c>
      <c r="AA68" s="96">
        <f t="shared" si="133"/>
        <v>1.9014181791780822</v>
      </c>
      <c r="AB68" s="96">
        <f t="shared" si="133"/>
        <v>2.0184258775342463</v>
      </c>
      <c r="AC68" s="96">
        <f t="shared" si="133"/>
        <v>2.0157925750199728</v>
      </c>
      <c r="AD68" s="96">
        <f t="shared" si="133"/>
        <v>2.0629926481543781</v>
      </c>
      <c r="AE68" s="96">
        <f t="shared" si="133"/>
        <v>2.0046116594064949</v>
      </c>
      <c r="AF68" s="96">
        <f t="shared" si="133"/>
        <v>1.9298860653112462</v>
      </c>
      <c r="AG68" s="96">
        <f t="shared" si="133"/>
        <v>1.765103491438474</v>
      </c>
      <c r="AH68" s="96">
        <f t="shared" ref="AH68:BC68" si="134">AH16*AH65/365</f>
        <v>1.6193189054654546</v>
      </c>
      <c r="AI68" s="96">
        <f t="shared" si="134"/>
        <v>1.5207912067418874</v>
      </c>
      <c r="AJ68" s="96">
        <f t="shared" si="134"/>
        <v>1.458710391465684</v>
      </c>
      <c r="AK68" s="96">
        <f t="shared" si="134"/>
        <v>1.4271325438774742</v>
      </c>
      <c r="AL68" s="96">
        <f t="shared" si="134"/>
        <v>1.3801410648617458</v>
      </c>
      <c r="AM68" s="96">
        <f t="shared" si="134"/>
        <v>1.3616854208962546</v>
      </c>
      <c r="AN68" s="96">
        <f t="shared" si="134"/>
        <v>1.334513673028014</v>
      </c>
      <c r="AO68" s="96">
        <f t="shared" si="134"/>
        <v>1.3011800505034186</v>
      </c>
      <c r="AP68" s="96">
        <f t="shared" si="134"/>
        <v>1.2574852647882093</v>
      </c>
      <c r="AQ68" s="96">
        <f t="shared" si="134"/>
        <v>1.1966642074426916</v>
      </c>
      <c r="AR68" s="96">
        <f t="shared" si="134"/>
        <v>1.1481992388500746</v>
      </c>
      <c r="AS68" s="96">
        <f t="shared" si="134"/>
        <v>1.1060584038672523</v>
      </c>
      <c r="AT68" s="96">
        <f t="shared" si="134"/>
        <v>1.0696392907078831</v>
      </c>
      <c r="AU68" s="96">
        <f t="shared" si="134"/>
        <v>1.030812493109637</v>
      </c>
      <c r="AV68" s="96">
        <f t="shared" si="134"/>
        <v>0.99499424943177217</v>
      </c>
      <c r="AW68" s="96">
        <f t="shared" si="134"/>
        <v>0.96467843039307055</v>
      </c>
      <c r="AX68" s="96">
        <f t="shared" si="134"/>
        <v>0.92868930825397089</v>
      </c>
      <c r="AY68" s="96">
        <f t="shared" si="134"/>
        <v>0.89437096092076418</v>
      </c>
      <c r="AZ68" s="96">
        <f t="shared" si="134"/>
        <v>0.86147890960759366</v>
      </c>
      <c r="BA68" s="96">
        <f t="shared" si="134"/>
        <v>0.83179019223560702</v>
      </c>
      <c r="BB68" s="96">
        <f t="shared" si="134"/>
        <v>0.79568318138168836</v>
      </c>
      <c r="BC68" s="96">
        <f t="shared" si="134"/>
        <v>0.76379094345599341</v>
      </c>
      <c r="BD68" s="96">
        <f t="shared" ref="BD68:BM68" si="135">BD16*BD65/365</f>
        <v>0.73786660305246787</v>
      </c>
      <c r="BE68" s="96">
        <f t="shared" si="135"/>
        <v>0.70739224279529622</v>
      </c>
      <c r="BF68" s="96">
        <f t="shared" si="135"/>
        <v>0.68182359239444967</v>
      </c>
      <c r="BG68" s="96">
        <f t="shared" si="135"/>
        <v>0.65396178336755739</v>
      </c>
      <c r="BH68" s="96">
        <f t="shared" si="135"/>
        <v>0.62490136505621696</v>
      </c>
      <c r="BI68" s="96">
        <f t="shared" si="135"/>
        <v>0.59882141583447202</v>
      </c>
      <c r="BJ68" s="96">
        <f t="shared" si="135"/>
        <v>0.57227903576832329</v>
      </c>
      <c r="BK68" s="96">
        <f t="shared" si="135"/>
        <v>0.5415980939345888</v>
      </c>
      <c r="BL68" s="96">
        <f t="shared" si="135"/>
        <v>0.51347454907329559</v>
      </c>
      <c r="BM68" s="96">
        <f t="shared" si="135"/>
        <v>0.48455194541979135</v>
      </c>
      <c r="BN68" s="96"/>
      <c r="BO68" s="96"/>
      <c r="BP68" s="96"/>
      <c r="BQ68" s="96"/>
      <c r="BR68" s="96"/>
      <c r="BS68" s="96"/>
      <c r="BT68" s="96"/>
      <c r="BU68" s="96"/>
      <c r="BV68" s="96"/>
      <c r="BW68" s="96"/>
    </row>
    <row r="69" spans="1:95">
      <c r="A69" s="100" t="s">
        <v>166</v>
      </c>
      <c r="B69" s="100"/>
      <c r="C69" s="100"/>
      <c r="D69" s="100"/>
      <c r="G69" s="83"/>
      <c r="H69" s="83"/>
      <c r="I69" s="83"/>
      <c r="J69" s="83"/>
      <c r="K69" s="83"/>
      <c r="N69" s="79" t="s">
        <v>478</v>
      </c>
      <c r="O69" s="96">
        <f>O62/O66</f>
        <v>0.45261012833853626</v>
      </c>
      <c r="P69" s="96">
        <f t="shared" ref="P69:AL69" si="136">P62/P66</f>
        <v>0.44573519323119143</v>
      </c>
      <c r="Q69" s="96">
        <f t="shared" si="136"/>
        <v>0.39707977207977208</v>
      </c>
      <c r="R69" s="96">
        <f t="shared" si="136"/>
        <v>0.39747309312119794</v>
      </c>
      <c r="S69" s="96">
        <f t="shared" si="136"/>
        <v>0.40534294694028472</v>
      </c>
      <c r="T69" s="96">
        <f>T62/T66</f>
        <v>0.39874473314606745</v>
      </c>
      <c r="U69" s="96">
        <f t="shared" si="136"/>
        <v>0.40709269054018898</v>
      </c>
      <c r="V69" s="96">
        <f t="shared" si="136"/>
        <v>0.38977824709609293</v>
      </c>
      <c r="W69" s="96">
        <f t="shared" si="136"/>
        <v>0.37949236792328334</v>
      </c>
      <c r="X69" s="96">
        <f t="shared" si="136"/>
        <v>0.38628661622023114</v>
      </c>
      <c r="Y69" s="96">
        <f t="shared" si="136"/>
        <v>0.43416354419219749</v>
      </c>
      <c r="Z69" s="96">
        <f t="shared" si="136"/>
        <v>0.44359696641386781</v>
      </c>
      <c r="AA69" s="96">
        <f t="shared" si="136"/>
        <v>0.41944337235730522</v>
      </c>
      <c r="AB69" s="96">
        <f t="shared" si="136"/>
        <v>0.44666523697190652</v>
      </c>
      <c r="AC69" s="96">
        <f t="shared" si="136"/>
        <v>0.42653227074504185</v>
      </c>
      <c r="AD69" s="96">
        <f t="shared" si="136"/>
        <v>0.44166166737830775</v>
      </c>
      <c r="AE69" s="96">
        <f t="shared" si="136"/>
        <v>0.42740936440160587</v>
      </c>
      <c r="AF69" s="96">
        <f t="shared" si="136"/>
        <v>0.41611643333456078</v>
      </c>
      <c r="AG69" s="96">
        <f t="shared" si="136"/>
        <v>0.39821410838884352</v>
      </c>
      <c r="AH69" s="96">
        <f t="shared" si="136"/>
        <v>0.38535462511339263</v>
      </c>
      <c r="AI69" s="96">
        <f t="shared" si="136"/>
        <v>0.38196859773758318</v>
      </c>
      <c r="AJ69" s="96">
        <f t="shared" si="136"/>
        <v>0.38775769199742288</v>
      </c>
      <c r="AK69" s="96">
        <f t="shared" si="136"/>
        <v>0.4010917258701831</v>
      </c>
      <c r="AL69" s="96">
        <f t="shared" si="136"/>
        <v>0.40954034495547992</v>
      </c>
    </row>
    <row r="70" spans="1:95">
      <c r="A70" s="100"/>
      <c r="B70" s="100"/>
      <c r="C70" s="100"/>
      <c r="D70" s="100"/>
      <c r="E70" s="87"/>
      <c r="F70" s="87"/>
      <c r="G70" s="87"/>
      <c r="H70" s="87"/>
      <c r="I70" s="87"/>
      <c r="J70" s="87"/>
      <c r="K70" s="87"/>
      <c r="L70" s="87"/>
      <c r="M70" s="87"/>
      <c r="N70" s="87" t="s">
        <v>477</v>
      </c>
      <c r="O70" s="96">
        <f>O63/O66</f>
        <v>0.46188865764828307</v>
      </c>
      <c r="P70" s="96">
        <f t="shared" ref="P70:AL70" si="137">P63/P66</f>
        <v>0.45872398810884979</v>
      </c>
      <c r="Q70" s="96">
        <f t="shared" si="137"/>
        <v>0.50329415954415957</v>
      </c>
      <c r="R70" s="96">
        <f t="shared" si="137"/>
        <v>0.50093589143659334</v>
      </c>
      <c r="S70" s="96">
        <f t="shared" si="137"/>
        <v>0.4936217415418746</v>
      </c>
      <c r="T70" s="96">
        <f>T63/T66</f>
        <v>0.50438904494382031</v>
      </c>
      <c r="U70" s="96">
        <f t="shared" si="137"/>
        <v>0.49705193791728081</v>
      </c>
      <c r="V70" s="96">
        <f t="shared" si="137"/>
        <v>0.51687434002111932</v>
      </c>
      <c r="W70" s="96">
        <f t="shared" si="137"/>
        <v>0.52738309945893636</v>
      </c>
      <c r="X70" s="96">
        <f t="shared" si="137"/>
        <v>0.52513810872290057</v>
      </c>
      <c r="Y70" s="96">
        <f t="shared" si="137"/>
        <v>0.48538681948424067</v>
      </c>
      <c r="Z70" s="96">
        <f t="shared" si="137"/>
        <v>0.49005417118093175</v>
      </c>
      <c r="AA70" s="96">
        <f t="shared" si="137"/>
        <v>0.52682362022385176</v>
      </c>
      <c r="AB70" s="96">
        <f t="shared" si="137"/>
        <v>0.49761955822431914</v>
      </c>
      <c r="AC70" s="96">
        <f t="shared" si="137"/>
        <v>0.51505199751037134</v>
      </c>
      <c r="AD70" s="96">
        <f t="shared" si="137"/>
        <v>0.4973460967711702</v>
      </c>
      <c r="AE70" s="96">
        <f t="shared" si="137"/>
        <v>0.50794741009104416</v>
      </c>
      <c r="AF70" s="96">
        <f t="shared" si="137"/>
        <v>0.51745606816382705</v>
      </c>
      <c r="AG70" s="96">
        <f t="shared" si="137"/>
        <v>0.5314198408156855</v>
      </c>
      <c r="AH70" s="96">
        <f t="shared" si="137"/>
        <v>0.54072852347385081</v>
      </c>
      <c r="AI70" s="96">
        <f t="shared" si="137"/>
        <v>0.54319370774176878</v>
      </c>
      <c r="AJ70" s="96">
        <f t="shared" si="137"/>
        <v>0.54189021125642922</v>
      </c>
      <c r="AK70" s="96">
        <f t="shared" si="137"/>
        <v>0.53027275804059881</v>
      </c>
      <c r="AL70" s="96">
        <f t="shared" si="137"/>
        <v>0.52728339557833581</v>
      </c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</row>
    <row r="71" spans="1:95">
      <c r="A71" s="78" t="s">
        <v>301</v>
      </c>
      <c r="B71" s="100"/>
      <c r="C71" s="100"/>
      <c r="D71" s="100"/>
      <c r="G71" s="88"/>
      <c r="H71" s="88"/>
      <c r="I71" s="88"/>
      <c r="J71" s="88"/>
      <c r="R71" s="87"/>
      <c r="S71" s="83"/>
    </row>
    <row r="72" spans="1:95">
      <c r="A72" s="79" t="s">
        <v>0</v>
      </c>
      <c r="B72" s="100"/>
      <c r="C72" s="96">
        <f t="shared" ref="C72:C77" si="138">(C62/B62-1)*100</f>
        <v>-4.075947927917678</v>
      </c>
      <c r="D72" s="96">
        <f t="shared" ref="D72:AI77" si="139">(D62/C62-1)*100</f>
        <v>-2.9631385563599899E-2</v>
      </c>
      <c r="E72" s="96">
        <f t="shared" si="139"/>
        <v>7.4041140553678497</v>
      </c>
      <c r="F72" s="96">
        <f t="shared" si="139"/>
        <v>-0.16558118997682669</v>
      </c>
      <c r="G72" s="96">
        <f t="shared" si="139"/>
        <v>-3.9971251658558082</v>
      </c>
      <c r="H72" s="96">
        <f t="shared" si="139"/>
        <v>-4.704866109991368</v>
      </c>
      <c r="I72" s="96">
        <f t="shared" si="139"/>
        <v>-1.6316171138506141</v>
      </c>
      <c r="J72" s="96">
        <f t="shared" si="139"/>
        <v>-8.9937338739403021</v>
      </c>
      <c r="K72" s="96">
        <f t="shared" si="139"/>
        <v>-7.8034291886053602</v>
      </c>
      <c r="L72" s="96">
        <f t="shared" si="139"/>
        <v>-6.0770244545321539</v>
      </c>
      <c r="M72" s="96">
        <f t="shared" si="139"/>
        <v>-4.3810414717804891</v>
      </c>
      <c r="N72" s="96">
        <f t="shared" si="139"/>
        <v>-6.2938203163215416</v>
      </c>
      <c r="O72" s="96">
        <f t="shared" si="139"/>
        <v>-9.1787019314424896</v>
      </c>
      <c r="P72" s="96">
        <f t="shared" si="139"/>
        <v>-6.638566912539523</v>
      </c>
      <c r="Q72" s="96">
        <f t="shared" si="139"/>
        <v>-8.4752719064231421</v>
      </c>
      <c r="R72" s="96">
        <f t="shared" si="139"/>
        <v>-4.7757847533632329</v>
      </c>
      <c r="S72" s="96">
        <f t="shared" si="139"/>
        <v>3.249352484106427</v>
      </c>
      <c r="T72" s="96">
        <f t="shared" si="139"/>
        <v>3.5917901938426366</v>
      </c>
      <c r="U72" s="96">
        <f t="shared" si="139"/>
        <v>3.3571821684094783</v>
      </c>
      <c r="V72" s="96">
        <f t="shared" si="139"/>
        <v>-1.7252396166134276</v>
      </c>
      <c r="W72" s="96">
        <f t="shared" si="139"/>
        <v>-6.5127871694841799</v>
      </c>
      <c r="X72" s="96">
        <f t="shared" si="139"/>
        <v>-3.5470035933696575</v>
      </c>
      <c r="Y72" s="96">
        <f t="shared" si="139"/>
        <v>18.363177502703998</v>
      </c>
      <c r="Z72" s="96">
        <f t="shared" si="139"/>
        <v>3.929332927200746</v>
      </c>
      <c r="AA72" s="96">
        <f t="shared" si="139"/>
        <v>-4.4450957405236409</v>
      </c>
      <c r="AB72" s="96">
        <f t="shared" si="139"/>
        <v>6.4717309068602402</v>
      </c>
      <c r="AC72" s="96">
        <f t="shared" si="139"/>
        <v>-1.2037806677645535</v>
      </c>
      <c r="AD72" s="96">
        <f t="shared" si="139"/>
        <v>2.2388056699240266</v>
      </c>
      <c r="AE72" s="96">
        <f t="shared" si="139"/>
        <v>-3.9395903228349405</v>
      </c>
      <c r="AF72" s="96">
        <f t="shared" si="139"/>
        <v>-4.4244257806017373</v>
      </c>
      <c r="AG72" s="96">
        <f t="shared" si="139"/>
        <v>-9.8650458855086391</v>
      </c>
      <c r="AH72" s="96">
        <f t="shared" si="139"/>
        <v>-9.4224504955704234</v>
      </c>
      <c r="AI72" s="96">
        <f t="shared" si="139"/>
        <v>-6.4073622063284823</v>
      </c>
      <c r="AJ72" s="96">
        <f t="shared" ref="AJ72:AJ77" si="140">(AJ62/AI62-1)*100</f>
        <v>-2.9054728389852791</v>
      </c>
      <c r="AK72" s="96">
        <f t="shared" ref="AK72:AK77" si="141">(AK62/AJ62-1)*100</f>
        <v>-1.3033667822203054</v>
      </c>
      <c r="AL72" s="96">
        <f t="shared" ref="AL72:AL77" si="142">(AL62/AK62-1)*100</f>
        <v>-1.8801111323024755</v>
      </c>
      <c r="AM72" s="96">
        <f t="shared" ref="AM72:AM77" si="143">(AM62/AL62-1)*100</f>
        <v>0.12748052242328445</v>
      </c>
      <c r="AN72" s="96">
        <f t="shared" ref="AN72:AN77" si="144">(AN62/AM62-1)*100</f>
        <v>-0.63197497678967318</v>
      </c>
      <c r="AO72" s="96">
        <f t="shared" ref="AO72:AO77" si="145">(AO62/AN62-1)*100</f>
        <v>-1.6702961519613369</v>
      </c>
      <c r="AP72" s="96">
        <f t="shared" ref="AP72:AP77" si="146">(AP62/AO62-1)*100</f>
        <v>-2.1515296396817041</v>
      </c>
      <c r="AQ72" s="96">
        <f t="shared" ref="AQ72:AQ77" si="147">(AQ62/AP62-1)*100</f>
        <v>-3.766160294631471</v>
      </c>
      <c r="AR72" s="96">
        <f t="shared" ref="AR72:AR77" si="148">(AR62/AQ62-1)*100</f>
        <v>-3.4036816138102721</v>
      </c>
      <c r="AS72" s="96">
        <f t="shared" ref="AS72:AS77" si="149">(AS62/AR62-1)*100</f>
        <v>-3.2054957175048027</v>
      </c>
      <c r="AT72" s="96">
        <f t="shared" ref="AT72:AT77" si="150">(AT62/AS62-1)*100</f>
        <v>-2.6851718530985891</v>
      </c>
      <c r="AU72" s="96">
        <f t="shared" ref="AU72:AU77" si="151">(AU62/AT62-1)*100</f>
        <v>-3.1918040896020794</v>
      </c>
      <c r="AV72" s="96">
        <f t="shared" ref="AV72:AV77" si="152">(AV62/AU62-1)*100</f>
        <v>-3.0616428004044738</v>
      </c>
      <c r="AW72" s="96">
        <f t="shared" ref="AW72:AW77" si="153">(AW62/AV62-1)*100</f>
        <v>-2.4676453850286939</v>
      </c>
      <c r="AX72" s="96">
        <f t="shared" ref="AX72:AX77" si="154">(AX62/AW62-1)*100</f>
        <v>-3.4102324981015508</v>
      </c>
      <c r="AY72" s="96">
        <f t="shared" ref="AY72:AY77" si="155">(AY62/AX62-1)*100</f>
        <v>-3.046628898616377</v>
      </c>
      <c r="AZ72" s="96">
        <f t="shared" ref="AZ72:AZ77" si="156">(AZ62/AY62-1)*100</f>
        <v>-3.5652317274477152</v>
      </c>
      <c r="BA72" s="96">
        <f t="shared" ref="BA72:BA77" si="157">(BA62/AZ62-1)*100</f>
        <v>-2.6684350356065978</v>
      </c>
      <c r="BB72" s="96">
        <f t="shared" ref="BB72:BB77" si="158">(BB62/BA62-1)*100</f>
        <v>-3.7724548996509011</v>
      </c>
      <c r="BC72" s="96">
        <f t="shared" ref="BC72:BC77" si="159">(BC62/BB62-1)*100</f>
        <v>-3.6840249574075057</v>
      </c>
      <c r="BD72" s="96">
        <f t="shared" ref="BD72:BD77" si="160">(BD62/BC62-1)*100</f>
        <v>-3.0670630701149504</v>
      </c>
      <c r="BE72" s="96">
        <f t="shared" ref="BE72:BE77" si="161">(BE62/BD62-1)*100</f>
        <v>-3.6194677982736456</v>
      </c>
      <c r="BF72" s="96">
        <f t="shared" ref="BF72:BF77" si="162">(BF62/BE62-1)*100</f>
        <v>-3.3931395082170246</v>
      </c>
      <c r="BG72" s="96">
        <f t="shared" ref="BG72:BG77" si="163">(BG62/BF62-1)*100</f>
        <v>-3.8230477338225932</v>
      </c>
      <c r="BH72" s="96">
        <f t="shared" ref="BH72:BH77" si="164">(BH62/BG62-1)*100</f>
        <v>-4.2246605743691994</v>
      </c>
      <c r="BI72" s="96">
        <f t="shared" ref="BI72:BI77" si="165">(BI62/BH62-1)*100</f>
        <v>-4.0070595925471242</v>
      </c>
      <c r="BJ72" s="96">
        <f t="shared" ref="BJ72:BJ77" si="166">(BJ62/BI62-1)*100</f>
        <v>-4.2682551467588592</v>
      </c>
      <c r="BK72" s="96">
        <f t="shared" ref="BK72:BK77" si="167">(BK62/BJ62-1)*100</f>
        <v>-5.3602794163566063</v>
      </c>
      <c r="BL72" s="96">
        <f t="shared" ref="BL72:BL77" si="168">(BL62/BK62-1)*100</f>
        <v>-5.1889142346014383</v>
      </c>
      <c r="BM72" s="96">
        <f t="shared" ref="BM72:BM77" si="169">(BM62/BL62-1)*100</f>
        <v>-5.5762709655198028</v>
      </c>
      <c r="BN72" s="96"/>
      <c r="BO72" s="96"/>
      <c r="BP72" s="96"/>
      <c r="BQ72" s="96"/>
      <c r="BR72" s="96"/>
    </row>
    <row r="73" spans="1:95">
      <c r="A73" s="79" t="s">
        <v>246</v>
      </c>
      <c r="B73" s="100"/>
      <c r="C73" s="96">
        <f t="shared" si="138"/>
        <v>6.0865644724977574</v>
      </c>
      <c r="D73" s="96">
        <f t="shared" ref="D73:R73" si="170">(D63/C63-1)*100</f>
        <v>3.4849128771780702</v>
      </c>
      <c r="E73" s="96">
        <f t="shared" si="170"/>
        <v>-2.6078028747433368</v>
      </c>
      <c r="F73" s="96">
        <f t="shared" si="170"/>
        <v>14.168247944339019</v>
      </c>
      <c r="G73" s="96">
        <f t="shared" si="170"/>
        <v>21.015697137580801</v>
      </c>
      <c r="H73" s="96">
        <f t="shared" si="170"/>
        <v>11.292537768960798</v>
      </c>
      <c r="I73" s="96">
        <f t="shared" si="170"/>
        <v>8.4601672836966735</v>
      </c>
      <c r="J73" s="96">
        <f t="shared" si="170"/>
        <v>8.3059418457648739</v>
      </c>
      <c r="K73" s="96">
        <f t="shared" si="170"/>
        <v>2.9882105754639898</v>
      </c>
      <c r="L73" s="96">
        <f t="shared" si="170"/>
        <v>1.4507537118893854</v>
      </c>
      <c r="M73" s="96">
        <f t="shared" si="170"/>
        <v>11.116076416042887</v>
      </c>
      <c r="N73" s="96">
        <f t="shared" si="170"/>
        <v>4.2429117233058644</v>
      </c>
      <c r="O73" s="96">
        <f t="shared" si="170"/>
        <v>2.7488425925925819</v>
      </c>
      <c r="P73" s="96">
        <f t="shared" si="170"/>
        <v>-5.8481179010607338</v>
      </c>
      <c r="Q73" s="96">
        <f t="shared" si="170"/>
        <v>12.721834496510475</v>
      </c>
      <c r="R73" s="96">
        <f t="shared" si="170"/>
        <v>-5.3157615425437843</v>
      </c>
      <c r="S73" s="96">
        <f t="shared" si="139"/>
        <v>-0.23353573096683844</v>
      </c>
      <c r="T73" s="96">
        <f t="shared" si="139"/>
        <v>7.6029962546816598</v>
      </c>
      <c r="U73" s="96">
        <f>(U63/T63-1)*100</f>
        <v>-0.23494604942568831</v>
      </c>
      <c r="V73" s="96">
        <f t="shared" si="139"/>
        <v>6.7335368512865257</v>
      </c>
      <c r="W73" s="96">
        <f t="shared" si="139"/>
        <v>-2.0266405164664603</v>
      </c>
      <c r="X73" s="96">
        <f t="shared" si="139"/>
        <v>-5.6468429393610737</v>
      </c>
      <c r="Y73" s="96">
        <f t="shared" si="139"/>
        <v>-2.6608910891089188</v>
      </c>
      <c r="Z73" s="96">
        <f t="shared" si="139"/>
        <v>2.6973026973027059</v>
      </c>
      <c r="AA73" s="96">
        <f t="shared" si="139"/>
        <v>8.639900955076051</v>
      </c>
      <c r="AB73" s="96">
        <f t="shared" si="139"/>
        <v>-5.5596255596255588</v>
      </c>
      <c r="AC73" s="96">
        <f t="shared" si="139"/>
        <v>7.0839096286157588</v>
      </c>
      <c r="AD73" s="96">
        <f t="shared" si="139"/>
        <v>-4.6577069786419623</v>
      </c>
      <c r="AE73" s="96">
        <f t="shared" si="139"/>
        <v>1.3795000955690417</v>
      </c>
      <c r="AF73" s="96">
        <f t="shared" si="139"/>
        <v>7.0958345905092202E-3</v>
      </c>
      <c r="AG73" s="96">
        <f t="shared" si="139"/>
        <v>-3.2712117193058776</v>
      </c>
      <c r="AH73" s="96">
        <f t="shared" si="139"/>
        <v>-4.7602716236282987</v>
      </c>
      <c r="AI73" s="96">
        <f t="shared" si="139"/>
        <v>-5.1472221102419002</v>
      </c>
      <c r="AJ73" s="96">
        <f t="shared" si="140"/>
        <v>-4.5845802548926446</v>
      </c>
      <c r="AK73" s="96">
        <f t="shared" si="141"/>
        <v>-6.6300626682837986</v>
      </c>
      <c r="AL73" s="96">
        <f t="shared" si="142"/>
        <v>-4.4460074858285514</v>
      </c>
      <c r="AM73" s="96">
        <f t="shared" si="143"/>
        <v>-2.9098442617109699</v>
      </c>
      <c r="AN73" s="96">
        <f t="shared" si="144"/>
        <v>-2.768911200043267</v>
      </c>
      <c r="AO73" s="96">
        <f t="shared" si="145"/>
        <v>-2.5851649244405306</v>
      </c>
      <c r="AP73" s="96">
        <f t="shared" si="146"/>
        <v>-4.033047900410236</v>
      </c>
      <c r="AQ73" s="96">
        <f t="shared" si="147"/>
        <v>-6.2878282398031509</v>
      </c>
      <c r="AR73" s="96">
        <f t="shared" si="148"/>
        <v>-7.2322742567860416</v>
      </c>
      <c r="AS73" s="96">
        <f t="shared" si="149"/>
        <v>-5.6135372737705307</v>
      </c>
      <c r="AT73" s="96">
        <f t="shared" si="150"/>
        <v>-5.3531782487137409</v>
      </c>
      <c r="AU73" s="96">
        <f t="shared" si="151"/>
        <v>-4.2819047312564029</v>
      </c>
      <c r="AV73" s="96">
        <f t="shared" si="152"/>
        <v>-4.6836904806340618</v>
      </c>
      <c r="AW73" s="96">
        <f t="shared" si="153"/>
        <v>-5.5047140624985058</v>
      </c>
      <c r="AX73" s="96">
        <f t="shared" si="154"/>
        <v>-4.7443025036330688</v>
      </c>
      <c r="AY73" s="96">
        <f t="shared" si="155"/>
        <v>-3.8639819277373699</v>
      </c>
      <c r="AZ73" s="96">
        <f t="shared" si="156"/>
        <v>-3.9170392575787472</v>
      </c>
      <c r="BA73" s="96">
        <f t="shared" si="157"/>
        <v>-3.7615157425211931</v>
      </c>
      <c r="BB73" s="96">
        <f t="shared" si="158"/>
        <v>-3.1451729732375866</v>
      </c>
      <c r="BC73" s="96">
        <f t="shared" si="159"/>
        <v>-3.7990054684427177</v>
      </c>
      <c r="BD73" s="96">
        <f t="shared" si="160"/>
        <v>-3.6738069132486229</v>
      </c>
      <c r="BE73" s="96">
        <f t="shared" si="161"/>
        <v>-4.3588925397828548</v>
      </c>
      <c r="BF73" s="96">
        <f t="shared" si="162"/>
        <v>-3.8218387499231232</v>
      </c>
      <c r="BG73" s="96">
        <f t="shared" si="163"/>
        <v>-2.9557478468161036</v>
      </c>
      <c r="BH73" s="96">
        <f t="shared" si="164"/>
        <v>-1.6854548532371227</v>
      </c>
      <c r="BI73" s="96">
        <f t="shared" si="165"/>
        <v>-2.2521900397732608</v>
      </c>
      <c r="BJ73" s="96">
        <f t="shared" si="166"/>
        <v>-1.5241183967219407</v>
      </c>
      <c r="BK73" s="96">
        <f t="shared" si="167"/>
        <v>-1.255031108725424</v>
      </c>
      <c r="BL73" s="96">
        <f t="shared" si="168"/>
        <v>-1.4065566001029706</v>
      </c>
      <c r="BM73" s="96">
        <f t="shared" si="169"/>
        <v>-1.1915821183967501</v>
      </c>
      <c r="BN73" s="96"/>
      <c r="BO73" s="96"/>
      <c r="BP73" s="96"/>
      <c r="BQ73" s="96"/>
      <c r="BR73" s="96"/>
    </row>
    <row r="74" spans="1:95">
      <c r="A74" s="79" t="s">
        <v>4</v>
      </c>
      <c r="B74" s="100"/>
      <c r="C74" s="96">
        <f t="shared" si="138"/>
        <v>-7.509293680297402</v>
      </c>
      <c r="D74" s="96">
        <f t="shared" si="139"/>
        <v>0.48231511254019921</v>
      </c>
      <c r="E74" s="96">
        <f t="shared" si="139"/>
        <v>1.1200000000000099</v>
      </c>
      <c r="F74" s="96">
        <f t="shared" si="139"/>
        <v>31.25</v>
      </c>
      <c r="G74" s="96">
        <f t="shared" si="139"/>
        <v>15.250150693188669</v>
      </c>
      <c r="H74" s="96">
        <f t="shared" si="139"/>
        <v>21.705020920502083</v>
      </c>
      <c r="I74" s="96">
        <f t="shared" si="139"/>
        <v>-4.1254834550923825</v>
      </c>
      <c r="J74" s="96">
        <f t="shared" si="139"/>
        <v>6.4993276557597346</v>
      </c>
      <c r="K74" s="96">
        <f t="shared" si="139"/>
        <v>2.3989898989898784</v>
      </c>
      <c r="L74" s="96">
        <f t="shared" si="139"/>
        <v>-18.783394985614464</v>
      </c>
      <c r="M74" s="96">
        <f t="shared" si="139"/>
        <v>5.5668016194332148</v>
      </c>
      <c r="N74" s="96">
        <f t="shared" si="139"/>
        <v>2.5886864813039479</v>
      </c>
      <c r="O74" s="96">
        <f t="shared" si="139"/>
        <v>-7.8504672897196421</v>
      </c>
      <c r="P74" s="96">
        <f t="shared" si="139"/>
        <v>5.9330628803245578</v>
      </c>
      <c r="Q74" s="96">
        <f t="shared" si="139"/>
        <v>7.1325993298228862</v>
      </c>
      <c r="R74" s="96">
        <f t="shared" si="139"/>
        <v>-2.9937444146559522</v>
      </c>
      <c r="S74" s="96">
        <f t="shared" si="139"/>
        <v>0.69092584062642182</v>
      </c>
      <c r="T74" s="96">
        <f t="shared" si="139"/>
        <v>0.96065873741995045</v>
      </c>
      <c r="U74" s="96">
        <f t="shared" si="139"/>
        <v>0.18124150430447461</v>
      </c>
      <c r="V74" s="96">
        <f t="shared" si="139"/>
        <v>-4.5228403437347353E-2</v>
      </c>
      <c r="W74" s="96">
        <f t="shared" si="139"/>
        <v>-4.2081447963800862</v>
      </c>
      <c r="X74" s="96">
        <f t="shared" si="139"/>
        <v>-9.8724610297590942</v>
      </c>
      <c r="Y74" s="96">
        <f t="shared" si="139"/>
        <v>-4.3501048218029474</v>
      </c>
      <c r="Z74" s="96">
        <f t="shared" si="139"/>
        <v>-16.109589041095894</v>
      </c>
      <c r="AA74" s="96">
        <f t="shared" si="139"/>
        <v>-18.158066623122139</v>
      </c>
      <c r="AB74" s="96">
        <f t="shared" si="139"/>
        <v>3.6711891460494916</v>
      </c>
      <c r="AC74" s="96">
        <f t="shared" si="139"/>
        <v>8.4742545714026072</v>
      </c>
      <c r="AD74" s="96">
        <f t="shared" si="139"/>
        <v>3.0914593160074499</v>
      </c>
      <c r="AE74" s="96">
        <f t="shared" si="139"/>
        <v>5.2055311470937671</v>
      </c>
      <c r="AF74" s="96">
        <f t="shared" si="139"/>
        <v>0.87904488539563008</v>
      </c>
      <c r="AG74" s="96">
        <f t="shared" si="139"/>
        <v>-0.22844387661841159</v>
      </c>
      <c r="AH74" s="96">
        <f t="shared" si="139"/>
        <v>-1.6765937353047988</v>
      </c>
      <c r="AI74" s="96">
        <f t="shared" si="139"/>
        <v>-4.401397466874446</v>
      </c>
      <c r="AJ74" s="96">
        <f t="shared" si="140"/>
        <v>-10.087797726996527</v>
      </c>
      <c r="AK74" s="96">
        <f t="shared" si="141"/>
        <v>-6.9125968707599679</v>
      </c>
      <c r="AL74" s="96">
        <f t="shared" si="142"/>
        <v>-11.547713499582191</v>
      </c>
      <c r="AM74" s="96">
        <f t="shared" si="143"/>
        <v>-10.83221270539495</v>
      </c>
      <c r="AN74" s="96">
        <f t="shared" si="144"/>
        <v>-11.92055627173163</v>
      </c>
      <c r="AO74" s="96">
        <f t="shared" si="145"/>
        <v>-9.2935340549665906</v>
      </c>
      <c r="AP74" s="96">
        <f t="shared" si="146"/>
        <v>-14.099353293503714</v>
      </c>
      <c r="AQ74" s="96">
        <f t="shared" si="147"/>
        <v>-15.692867375212483</v>
      </c>
      <c r="AR74" s="96">
        <f t="shared" si="148"/>
        <v>-11.531323506373381</v>
      </c>
      <c r="AS74" s="96">
        <f t="shared" si="149"/>
        <v>-9.5429657412695708</v>
      </c>
      <c r="AT74" s="96">
        <f t="shared" si="150"/>
        <v>-11.508854103197363</v>
      </c>
      <c r="AU74" s="96">
        <f t="shared" si="151"/>
        <v>-10.145459344828245</v>
      </c>
      <c r="AV74" s="96">
        <f t="shared" si="152"/>
        <v>-10.094332623238532</v>
      </c>
      <c r="AW74" s="96">
        <f t="shared" si="153"/>
        <v>-13.053438679578711</v>
      </c>
      <c r="AX74" s="96">
        <f t="shared" si="154"/>
        <v>-9.9412096617402916</v>
      </c>
      <c r="AY74" s="96">
        <f t="shared" si="155"/>
        <v>-17.179650508662782</v>
      </c>
      <c r="AZ74" s="96">
        <f t="shared" si="156"/>
        <v>-6.413731290770075</v>
      </c>
      <c r="BA74" s="96">
        <f t="shared" si="157"/>
        <v>-22.948829110941361</v>
      </c>
      <c r="BB74" s="96">
        <f t="shared" si="158"/>
        <v>-22.344636359172341</v>
      </c>
      <c r="BC74" s="96">
        <f t="shared" si="159"/>
        <v>-16.729743495550242</v>
      </c>
      <c r="BD74" s="96">
        <f t="shared" si="160"/>
        <v>-18.243685289998744</v>
      </c>
      <c r="BE74" s="96">
        <f t="shared" si="161"/>
        <v>-31.612415405170324</v>
      </c>
      <c r="BF74" s="96">
        <f t="shared" si="162"/>
        <v>-20.405514129337142</v>
      </c>
      <c r="BG74" s="96">
        <f t="shared" si="163"/>
        <v>-28.329850218114849</v>
      </c>
      <c r="BH74" s="96">
        <f t="shared" si="164"/>
        <v>-31.512313136487148</v>
      </c>
      <c r="BI74" s="96">
        <f t="shared" si="165"/>
        <v>-32.922082817914486</v>
      </c>
      <c r="BJ74" s="96">
        <f t="shared" si="166"/>
        <v>-45.02734746133634</v>
      </c>
      <c r="BK74" s="96">
        <f t="shared" si="167"/>
        <v>-5.7514160586618406</v>
      </c>
      <c r="BL74" s="96">
        <f t="shared" si="168"/>
        <v>-6.8280006922553422</v>
      </c>
      <c r="BM74" s="96">
        <f t="shared" si="169"/>
        <v>-30.470655532115522</v>
      </c>
      <c r="BN74" s="96"/>
      <c r="BO74" s="96"/>
      <c r="BP74" s="96"/>
      <c r="BQ74" s="96"/>
      <c r="BR74" s="96"/>
    </row>
    <row r="75" spans="1:95">
      <c r="A75" s="79" t="s">
        <v>18</v>
      </c>
      <c r="B75" s="100"/>
      <c r="C75" s="96">
        <f t="shared" si="138"/>
        <v>-4.3198141106886245</v>
      </c>
      <c r="D75" s="96">
        <f t="shared" si="139"/>
        <v>5.5193729992186746E-3</v>
      </c>
      <c r="E75" s="96">
        <f t="shared" si="139"/>
        <v>6.9705833655278937</v>
      </c>
      <c r="F75" s="96">
        <f t="shared" si="139"/>
        <v>1.8831905892064738</v>
      </c>
      <c r="G75" s="96">
        <f t="shared" si="139"/>
        <v>-2.3801083708917758</v>
      </c>
      <c r="H75" s="96">
        <f t="shared" si="139"/>
        <v>-2.0853867303003648</v>
      </c>
      <c r="I75" s="96">
        <f t="shared" si="139"/>
        <v>-1.9390728476821217</v>
      </c>
      <c r="J75" s="96">
        <f t="shared" si="139"/>
        <v>-7.1262628991301646</v>
      </c>
      <c r="K75" s="96">
        <f t="shared" si="139"/>
        <v>-6.3932518906340663</v>
      </c>
      <c r="L75" s="96">
        <f t="shared" si="139"/>
        <v>-7.9982598968367569</v>
      </c>
      <c r="M75" s="96">
        <f t="shared" si="139"/>
        <v>-3.0532288570656596</v>
      </c>
      <c r="N75" s="96">
        <f t="shared" si="139"/>
        <v>-5.0027870680044444</v>
      </c>
      <c r="O75" s="96">
        <f t="shared" si="139"/>
        <v>-8.9702215050608824</v>
      </c>
      <c r="P75" s="96">
        <f t="shared" si="139"/>
        <v>-4.641044234952874</v>
      </c>
      <c r="Q75" s="96">
        <f t="shared" si="139"/>
        <v>-5.7203210815377936</v>
      </c>
      <c r="R75" s="96">
        <f t="shared" si="139"/>
        <v>-4.4183545438250649</v>
      </c>
      <c r="S75" s="96">
        <f t="shared" si="139"/>
        <v>2.7285513361462677</v>
      </c>
      <c r="T75" s="96">
        <f t="shared" si="139"/>
        <v>3.0668127053669059</v>
      </c>
      <c r="U75" s="96">
        <f t="shared" si="139"/>
        <v>2.7364505844846176</v>
      </c>
      <c r="V75" s="96">
        <f t="shared" si="139"/>
        <v>-1.4050512886820132</v>
      </c>
      <c r="W75" s="96">
        <f t="shared" si="139"/>
        <v>-6.0674943171883156</v>
      </c>
      <c r="X75" s="96">
        <f t="shared" si="139"/>
        <v>-4.7933730454207009</v>
      </c>
      <c r="Y75" s="96">
        <f t="shared" si="139"/>
        <v>14.126503079479914</v>
      </c>
      <c r="Z75" s="96">
        <f t="shared" si="139"/>
        <v>0.79664211067329571</v>
      </c>
      <c r="AA75" s="96">
        <f t="shared" si="139"/>
        <v>-6.2292852893685691</v>
      </c>
      <c r="AB75" s="96">
        <f t="shared" si="139"/>
        <v>6.1537067246691945</v>
      </c>
      <c r="AC75" s="96">
        <f t="shared" si="139"/>
        <v>-0.13046317645760697</v>
      </c>
      <c r="AD75" s="96">
        <f t="shared" si="139"/>
        <v>2.3415143859202514</v>
      </c>
      <c r="AE75" s="96">
        <f t="shared" si="139"/>
        <v>-2.8299174405741589</v>
      </c>
      <c r="AF75" s="96">
        <f t="shared" si="139"/>
        <v>-3.7276842995801363</v>
      </c>
      <c r="AG75" s="96">
        <f t="shared" si="139"/>
        <v>-8.5384612508819906</v>
      </c>
      <c r="AH75" s="96">
        <f t="shared" si="139"/>
        <v>-8.259265628340696</v>
      </c>
      <c r="AI75" s="96">
        <f t="shared" si="139"/>
        <v>-6.0845148161378759</v>
      </c>
      <c r="AJ75" s="96">
        <f t="shared" si="140"/>
        <v>-4.0821392838800037</v>
      </c>
      <c r="AK75" s="96">
        <f t="shared" si="141"/>
        <v>-2.1647784078977494</v>
      </c>
      <c r="AL75" s="96">
        <f t="shared" si="142"/>
        <v>-3.2927200222099939</v>
      </c>
      <c r="AM75" s="96">
        <f t="shared" si="143"/>
        <v>-1.3372288119939402</v>
      </c>
      <c r="AN75" s="96">
        <f t="shared" si="144"/>
        <v>-1.9954497163049645</v>
      </c>
      <c r="AO75" s="96">
        <f t="shared" si="145"/>
        <v>-2.4978104906906995</v>
      </c>
      <c r="AP75" s="96">
        <f t="shared" si="146"/>
        <v>-3.3580891205874264</v>
      </c>
      <c r="AQ75" s="96">
        <f t="shared" si="147"/>
        <v>-4.8367212760748624</v>
      </c>
      <c r="AR75" s="96">
        <f t="shared" si="148"/>
        <v>-4.0500056984396959</v>
      </c>
      <c r="AS75" s="96">
        <f t="shared" si="149"/>
        <v>-3.6701674724176292</v>
      </c>
      <c r="AT75" s="96">
        <f t="shared" si="150"/>
        <v>-3.2926934990080592</v>
      </c>
      <c r="AU75" s="96">
        <f t="shared" si="151"/>
        <v>-3.6298963524937999</v>
      </c>
      <c r="AV75" s="96">
        <f t="shared" si="152"/>
        <v>-3.4747583985728081</v>
      </c>
      <c r="AW75" s="96">
        <f t="shared" si="153"/>
        <v>-3.0468335928589219</v>
      </c>
      <c r="AX75" s="96">
        <f t="shared" si="154"/>
        <v>-3.7306858954476052</v>
      </c>
      <c r="AY75" s="96">
        <f t="shared" si="155"/>
        <v>-3.6953529052389689</v>
      </c>
      <c r="AZ75" s="96">
        <f t="shared" si="156"/>
        <v>-3.6776743376492949</v>
      </c>
      <c r="BA75" s="96">
        <f t="shared" si="157"/>
        <v>-3.4462500521933892</v>
      </c>
      <c r="BB75" s="96">
        <f t="shared" si="158"/>
        <v>-4.3408796101422675</v>
      </c>
      <c r="BC75" s="96">
        <f t="shared" si="159"/>
        <v>-4.0081578537722535</v>
      </c>
      <c r="BD75" s="96">
        <f t="shared" si="160"/>
        <v>-3.3941670329610596</v>
      </c>
      <c r="BE75" s="96">
        <f t="shared" si="161"/>
        <v>-4.1300636363134968</v>
      </c>
      <c r="BF75" s="96">
        <f t="shared" si="162"/>
        <v>-3.6144940323081132</v>
      </c>
      <c r="BG75" s="96">
        <f t="shared" si="163"/>
        <v>-4.0863662298698529</v>
      </c>
      <c r="BH75" s="96">
        <f t="shared" si="164"/>
        <v>-4.4437487098549777</v>
      </c>
      <c r="BI75" s="96">
        <f t="shared" si="165"/>
        <v>-4.1734505123698584</v>
      </c>
      <c r="BJ75" s="96">
        <f t="shared" si="166"/>
        <v>-4.4324366771621326</v>
      </c>
      <c r="BK75" s="96">
        <f t="shared" si="167"/>
        <v>-5.3611857007033752</v>
      </c>
      <c r="BL75" s="96">
        <f t="shared" si="168"/>
        <v>-5.1926964249416008</v>
      </c>
      <c r="BM75" s="96">
        <f t="shared" si="169"/>
        <v>-5.6327239014480668</v>
      </c>
      <c r="BN75" s="96"/>
      <c r="BO75" s="96"/>
      <c r="BP75" s="96"/>
      <c r="BQ75" s="96"/>
      <c r="BR75" s="96"/>
    </row>
    <row r="76" spans="1:95">
      <c r="A76" s="79" t="s">
        <v>164</v>
      </c>
      <c r="B76" s="100"/>
      <c r="C76" s="96">
        <f t="shared" si="138"/>
        <v>-2.3446859489987815</v>
      </c>
      <c r="D76" s="96">
        <f t="shared" si="139"/>
        <v>0.72292323869609376</v>
      </c>
      <c r="E76" s="96">
        <f t="shared" si="139"/>
        <v>4.9414937578842189</v>
      </c>
      <c r="F76" s="96">
        <f t="shared" si="139"/>
        <v>4.2984455958549272</v>
      </c>
      <c r="G76" s="96">
        <f t="shared" si="139"/>
        <v>2.6547969159844254</v>
      </c>
      <c r="H76" s="96">
        <f t="shared" si="139"/>
        <v>1.3085559427022719</v>
      </c>
      <c r="I76" s="96">
        <f t="shared" si="139"/>
        <v>0.95918679302964271</v>
      </c>
      <c r="J76" s="96">
        <f t="shared" si="139"/>
        <v>-2.5057723608009397</v>
      </c>
      <c r="K76" s="96">
        <f t="shared" si="139"/>
        <v>-3.2728966882788924</v>
      </c>
      <c r="L76" s="96">
        <f t="shared" si="139"/>
        <v>-4.652002889941409</v>
      </c>
      <c r="M76" s="96">
        <f t="shared" si="139"/>
        <v>2.2858345611449948</v>
      </c>
      <c r="N76" s="96">
        <f t="shared" si="139"/>
        <v>-1.2182072598567628</v>
      </c>
      <c r="O76" s="96">
        <f t="shared" si="139"/>
        <v>-3.9080076660278462</v>
      </c>
      <c r="P76" s="96">
        <f t="shared" si="139"/>
        <v>-5.1985778702740237</v>
      </c>
      <c r="Q76" s="96">
        <f t="shared" si="139"/>
        <v>2.7395380745483866</v>
      </c>
      <c r="R76" s="96">
        <f t="shared" si="139"/>
        <v>-4.8700142450142536</v>
      </c>
      <c r="S76" s="96">
        <f t="shared" si="139"/>
        <v>1.2447356106691787</v>
      </c>
      <c r="T76" s="96">
        <f t="shared" si="139"/>
        <v>5.3059715289332399</v>
      </c>
      <c r="U76" s="96">
        <f t="shared" si="139"/>
        <v>1.2377106741573218</v>
      </c>
      <c r="V76" s="96">
        <f t="shared" si="139"/>
        <v>2.6402497181999385</v>
      </c>
      <c r="W76" s="96">
        <f t="shared" si="139"/>
        <v>-3.9788806758183859</v>
      </c>
      <c r="X76" s="96">
        <f t="shared" si="139"/>
        <v>-5.2434786433818603</v>
      </c>
      <c r="Y76" s="96">
        <f t="shared" si="139"/>
        <v>5.3108026554013366</v>
      </c>
      <c r="Z76" s="96">
        <f t="shared" si="139"/>
        <v>1.7191977077363862</v>
      </c>
      <c r="AA76" s="96">
        <f t="shared" si="139"/>
        <v>1.0574214517876435</v>
      </c>
      <c r="AB76" s="96">
        <f t="shared" si="139"/>
        <v>-1.7153394227886753E-2</v>
      </c>
      <c r="AC76" s="96">
        <f t="shared" si="139"/>
        <v>3.4595498316685624</v>
      </c>
      <c r="AD76" s="96">
        <f t="shared" si="139"/>
        <v>-1.2634485589147926</v>
      </c>
      <c r="AE76" s="96">
        <f t="shared" si="139"/>
        <v>-0.73638005929321793</v>
      </c>
      <c r="AF76" s="96">
        <f t="shared" si="139"/>
        <v>-1.8306124031686744</v>
      </c>
      <c r="AG76" s="96">
        <f t="shared" si="139"/>
        <v>-5.8128910182348665</v>
      </c>
      <c r="AH76" s="96">
        <f t="shared" si="139"/>
        <v>-6.3998307913413877</v>
      </c>
      <c r="AI76" s="96">
        <f t="shared" si="139"/>
        <v>-5.5776939152159422</v>
      </c>
      <c r="AJ76" s="96">
        <f t="shared" si="140"/>
        <v>-4.3550620578457373</v>
      </c>
      <c r="AK76" s="96">
        <f t="shared" si="141"/>
        <v>-4.584472239078341</v>
      </c>
      <c r="AL76" s="96">
        <f t="shared" si="142"/>
        <v>-3.9042769463566551</v>
      </c>
      <c r="AM76" s="96">
        <f t="shared" si="143"/>
        <v>-2.1664428262596847</v>
      </c>
      <c r="AN76" s="96">
        <f t="shared" si="144"/>
        <v>-2.4001841369057253</v>
      </c>
      <c r="AO76" s="96">
        <f t="shared" si="145"/>
        <v>-2.5433483438348503</v>
      </c>
      <c r="AP76" s="96">
        <f t="shared" si="146"/>
        <v>-3.7097940568490362</v>
      </c>
      <c r="AQ76" s="96">
        <f t="shared" si="147"/>
        <v>-5.5903201231409234</v>
      </c>
      <c r="AR76" s="96">
        <f t="shared" si="148"/>
        <v>-5.6904334382071546</v>
      </c>
      <c r="AS76" s="96">
        <f t="shared" si="149"/>
        <v>-4.6555772958973733</v>
      </c>
      <c r="AT76" s="96">
        <f t="shared" si="150"/>
        <v>-4.3269904851426784</v>
      </c>
      <c r="AU76" s="96">
        <f t="shared" si="151"/>
        <v>-3.953673081215292</v>
      </c>
      <c r="AV76" s="96">
        <f t="shared" si="152"/>
        <v>-4.0730427502749915</v>
      </c>
      <c r="AW76" s="96">
        <f t="shared" si="153"/>
        <v>-4.2554627012785673</v>
      </c>
      <c r="AX76" s="96">
        <f t="shared" si="154"/>
        <v>-4.2226145804034605</v>
      </c>
      <c r="AY76" s="96">
        <f t="shared" si="155"/>
        <v>-3.7767462201400814</v>
      </c>
      <c r="AZ76" s="96">
        <f t="shared" si="156"/>
        <v>-3.7931054838159728</v>
      </c>
      <c r="BA76" s="96">
        <f t="shared" si="157"/>
        <v>-3.5980876751333324</v>
      </c>
      <c r="BB76" s="96">
        <f t="shared" si="158"/>
        <v>-3.7659820689390888</v>
      </c>
      <c r="BC76" s="96">
        <f t="shared" si="159"/>
        <v>-3.9069483525758009</v>
      </c>
      <c r="BD76" s="96">
        <f t="shared" si="160"/>
        <v>-3.5296376616549163</v>
      </c>
      <c r="BE76" s="96">
        <f t="shared" si="161"/>
        <v>-4.2407533860099651</v>
      </c>
      <c r="BF76" s="96">
        <f t="shared" si="162"/>
        <v>-3.7146676543680868</v>
      </c>
      <c r="BG76" s="96">
        <f t="shared" si="163"/>
        <v>-3.5407430903112269</v>
      </c>
      <c r="BH76" s="96">
        <f t="shared" si="164"/>
        <v>-3.1045556946274089</v>
      </c>
      <c r="BI76" s="96">
        <f t="shared" si="165"/>
        <v>-3.2269882398209271</v>
      </c>
      <c r="BJ76" s="96">
        <f t="shared" si="166"/>
        <v>-2.985292602410361</v>
      </c>
      <c r="BK76" s="96">
        <f t="shared" si="167"/>
        <v>-3.2872397546194976</v>
      </c>
      <c r="BL76" s="96">
        <f t="shared" si="168"/>
        <v>-3.2402011814538945</v>
      </c>
      <c r="BM76" s="96">
        <f t="shared" si="169"/>
        <v>-3.2990452567024708</v>
      </c>
      <c r="BN76" s="96"/>
      <c r="BO76" s="96"/>
      <c r="BP76" s="96"/>
      <c r="BQ76" s="96"/>
      <c r="BR76" s="96"/>
    </row>
    <row r="77" spans="1:95">
      <c r="A77" s="100" t="s">
        <v>215</v>
      </c>
      <c r="B77" s="100"/>
      <c r="C77" s="96">
        <f t="shared" si="138"/>
        <v>-4.0759479279176674</v>
      </c>
      <c r="D77" s="96">
        <f t="shared" si="139"/>
        <v>-2.9631385563611001E-2</v>
      </c>
      <c r="E77" s="96">
        <f t="shared" si="139"/>
        <v>7.4041140553678719</v>
      </c>
      <c r="F77" s="96">
        <f t="shared" si="139"/>
        <v>-0.1655811899768489</v>
      </c>
      <c r="G77" s="96">
        <f t="shared" si="139"/>
        <v>-3.997125165855786</v>
      </c>
      <c r="H77" s="96">
        <f t="shared" si="139"/>
        <v>-4.7048661099913902</v>
      </c>
      <c r="I77" s="96">
        <f t="shared" si="139"/>
        <v>-1.631617113850603</v>
      </c>
      <c r="J77" s="96">
        <f t="shared" si="139"/>
        <v>-8.9937338739403021</v>
      </c>
      <c r="K77" s="96">
        <f t="shared" si="139"/>
        <v>-7.8034291886053486</v>
      </c>
      <c r="L77" s="96">
        <f t="shared" si="139"/>
        <v>-6.0770244545321646</v>
      </c>
      <c r="M77" s="96">
        <f t="shared" si="139"/>
        <v>-4.3810414717804562</v>
      </c>
      <c r="N77" s="96">
        <f t="shared" si="139"/>
        <v>-6.2938203163215523</v>
      </c>
      <c r="O77" s="96">
        <f t="shared" si="139"/>
        <v>-9.1787019314424896</v>
      </c>
      <c r="P77" s="96">
        <f t="shared" si="139"/>
        <v>-6.638566912539523</v>
      </c>
      <c r="Q77" s="96">
        <f t="shared" si="139"/>
        <v>-8.4752719064231314</v>
      </c>
      <c r="R77" s="96">
        <f t="shared" si="139"/>
        <v>-4.7757847533632329</v>
      </c>
      <c r="S77" s="96">
        <f t="shared" si="139"/>
        <v>3.249352484106427</v>
      </c>
      <c r="T77" s="96">
        <f t="shared" si="139"/>
        <v>3.5917901938426144</v>
      </c>
      <c r="U77" s="96">
        <f t="shared" si="139"/>
        <v>3.3571821684094783</v>
      </c>
      <c r="V77" s="96">
        <f t="shared" si="139"/>
        <v>-1.7252396166134276</v>
      </c>
      <c r="W77" s="96">
        <f t="shared" si="139"/>
        <v>-6.5127871694841799</v>
      </c>
      <c r="X77" s="96">
        <f t="shared" si="139"/>
        <v>-3.5470035933696575</v>
      </c>
      <c r="Y77" s="96">
        <f t="shared" si="139"/>
        <v>18.363177502704019</v>
      </c>
      <c r="Z77" s="96">
        <f t="shared" si="139"/>
        <v>3.9293329272007016</v>
      </c>
      <c r="AA77" s="96">
        <f t="shared" si="139"/>
        <v>-4.4450957405236409</v>
      </c>
      <c r="AB77" s="96">
        <f t="shared" si="139"/>
        <v>6.4717309068602624</v>
      </c>
      <c r="AC77" s="96">
        <f t="shared" si="139"/>
        <v>-1.2037806677645424</v>
      </c>
      <c r="AD77" s="96">
        <f t="shared" si="139"/>
        <v>2.2388056699240044</v>
      </c>
      <c r="AE77" s="96">
        <f t="shared" si="139"/>
        <v>-3.9395903228349294</v>
      </c>
      <c r="AF77" s="96">
        <f t="shared" si="139"/>
        <v>-4.4244257806017266</v>
      </c>
      <c r="AG77" s="96">
        <f t="shared" si="139"/>
        <v>-9.8650458855086391</v>
      </c>
      <c r="AH77" s="96">
        <f t="shared" si="139"/>
        <v>-9.4224504955704234</v>
      </c>
      <c r="AI77" s="96">
        <f t="shared" si="139"/>
        <v>-6.4073622063284823</v>
      </c>
      <c r="AJ77" s="96">
        <f t="shared" si="140"/>
        <v>-2.905472838985268</v>
      </c>
      <c r="AK77" s="96">
        <f t="shared" si="141"/>
        <v>-1.3033667822203165</v>
      </c>
      <c r="AL77" s="96">
        <f t="shared" si="142"/>
        <v>-1.8801111323024755</v>
      </c>
      <c r="AM77" s="96">
        <f t="shared" si="143"/>
        <v>0.12748052242328445</v>
      </c>
      <c r="AN77" s="96">
        <f t="shared" si="144"/>
        <v>-0.63197497678966208</v>
      </c>
      <c r="AO77" s="96">
        <f t="shared" si="145"/>
        <v>-1.6702961519613591</v>
      </c>
      <c r="AP77" s="96">
        <f t="shared" si="146"/>
        <v>-2.151529639681693</v>
      </c>
      <c r="AQ77" s="96">
        <f t="shared" si="147"/>
        <v>-3.766160294631471</v>
      </c>
      <c r="AR77" s="96">
        <f t="shared" si="148"/>
        <v>-3.4036816138102721</v>
      </c>
      <c r="AS77" s="96">
        <f t="shared" si="149"/>
        <v>-3.2054957175048138</v>
      </c>
      <c r="AT77" s="96">
        <f t="shared" si="150"/>
        <v>-2.6851718530985669</v>
      </c>
      <c r="AU77" s="96">
        <f t="shared" si="151"/>
        <v>-3.1918040896020905</v>
      </c>
      <c r="AV77" s="96">
        <f t="shared" si="152"/>
        <v>-3.0616428004044627</v>
      </c>
      <c r="AW77" s="96">
        <f t="shared" si="153"/>
        <v>-2.4676453850286939</v>
      </c>
      <c r="AX77" s="96">
        <f t="shared" si="154"/>
        <v>-3.4102324981015619</v>
      </c>
      <c r="AY77" s="96">
        <f t="shared" si="155"/>
        <v>-3.0466288986163659</v>
      </c>
      <c r="AZ77" s="96">
        <f t="shared" si="156"/>
        <v>-3.5652317274477263</v>
      </c>
      <c r="BA77" s="96">
        <f t="shared" si="157"/>
        <v>-2.6684350356065756</v>
      </c>
      <c r="BB77" s="96">
        <f t="shared" si="158"/>
        <v>-3.7724548996509233</v>
      </c>
      <c r="BC77" s="96">
        <f t="shared" si="159"/>
        <v>-3.6840249574074946</v>
      </c>
      <c r="BD77" s="96">
        <f t="shared" si="160"/>
        <v>-3.0670630701149504</v>
      </c>
      <c r="BE77" s="96">
        <f t="shared" si="161"/>
        <v>-3.6194677982736456</v>
      </c>
      <c r="BF77" s="96">
        <f t="shared" si="162"/>
        <v>-3.3931395082170246</v>
      </c>
      <c r="BG77" s="96">
        <f t="shared" si="163"/>
        <v>-3.8230477338225821</v>
      </c>
      <c r="BH77" s="96">
        <f t="shared" si="164"/>
        <v>-4.2246605743691878</v>
      </c>
      <c r="BI77" s="96">
        <f t="shared" si="165"/>
        <v>-4.0070595925471348</v>
      </c>
      <c r="BJ77" s="96">
        <f t="shared" si="166"/>
        <v>-4.2682551467588592</v>
      </c>
      <c r="BK77" s="96">
        <f t="shared" si="167"/>
        <v>-5.3602794163566063</v>
      </c>
      <c r="BL77" s="96">
        <f t="shared" si="168"/>
        <v>-5.1889142346014383</v>
      </c>
      <c r="BM77" s="96">
        <f t="shared" si="169"/>
        <v>-5.5762709655198144</v>
      </c>
      <c r="BN77" s="96"/>
      <c r="BO77" s="96"/>
      <c r="BP77" s="96"/>
      <c r="BQ77" s="96"/>
      <c r="BR77" s="96"/>
    </row>
    <row r="78" spans="1:95">
      <c r="A78" s="100"/>
      <c r="B78" s="100"/>
      <c r="C78" s="100"/>
      <c r="D78" s="100"/>
      <c r="G78" s="88"/>
      <c r="H78" s="114"/>
      <c r="I78" s="114"/>
      <c r="J78" s="114"/>
      <c r="K78" s="114"/>
      <c r="L78" s="114"/>
      <c r="M78" s="114"/>
      <c r="N78" s="114"/>
      <c r="O78" s="114"/>
    </row>
    <row r="79" spans="1:95">
      <c r="A79" s="78" t="s">
        <v>22</v>
      </c>
      <c r="B79" s="78"/>
      <c r="C79" s="78"/>
      <c r="D79" s="78"/>
      <c r="G79" s="88"/>
      <c r="H79" s="88"/>
      <c r="I79" s="88"/>
      <c r="J79" s="88"/>
      <c r="M79" s="87">
        <f t="shared" ref="M79:O79" si="171">M81/M83</f>
        <v>0.31437505467015131</v>
      </c>
      <c r="N79" s="87">
        <f t="shared" si="171"/>
        <v>0.35081061026316712</v>
      </c>
      <c r="O79" s="87">
        <f t="shared" si="171"/>
        <v>0.31886960092430205</v>
      </c>
      <c r="P79" s="87">
        <f t="shared" ref="P79:S79" si="172">P81/P83</f>
        <v>0.31329187949797754</v>
      </c>
      <c r="Q79" s="87">
        <f t="shared" si="172"/>
        <v>0.36779209632689241</v>
      </c>
      <c r="R79" s="87">
        <f t="shared" si="172"/>
        <v>0.38056456683691753</v>
      </c>
      <c r="S79" s="87">
        <f t="shared" si="172"/>
        <v>0.35529227791513007</v>
      </c>
      <c r="T79" s="87">
        <f t="shared" ref="T79:W79" si="173">T81/T83</f>
        <v>0.4387545864668318</v>
      </c>
      <c r="U79" s="87">
        <f t="shared" si="173"/>
        <v>0.38478668223427565</v>
      </c>
      <c r="V79" s="87">
        <f t="shared" si="173"/>
        <v>0.39861388799029279</v>
      </c>
      <c r="W79" s="87">
        <f t="shared" si="173"/>
        <v>0.42017610640444991</v>
      </c>
      <c r="X79" s="87">
        <f>X81/X83</f>
        <v>0.34604673761664295</v>
      </c>
    </row>
    <row r="80" spans="1:95">
      <c r="A80" s="79" t="s">
        <v>8</v>
      </c>
      <c r="B80" s="86">
        <f t="shared" ref="B80:AG80" si="174">B33*B62</f>
        <v>150035.91376165682</v>
      </c>
      <c r="C80" s="86">
        <f t="shared" si="174"/>
        <v>102474.46208912965</v>
      </c>
      <c r="D80" s="86">
        <f t="shared" si="174"/>
        <v>142882.0113265214</v>
      </c>
      <c r="E80" s="86">
        <f t="shared" si="174"/>
        <v>286036.53172580001</v>
      </c>
      <c r="F80" s="86">
        <f t="shared" si="174"/>
        <v>253707.28571439997</v>
      </c>
      <c r="G80" s="86">
        <f t="shared" si="174"/>
        <v>216260.650287</v>
      </c>
      <c r="H80" s="86">
        <f t="shared" si="174"/>
        <v>209208.38951879999</v>
      </c>
      <c r="I80" s="86">
        <f t="shared" si="174"/>
        <v>261083.09430900001</v>
      </c>
      <c r="J80" s="86">
        <f t="shared" si="174"/>
        <v>330779.22095699998</v>
      </c>
      <c r="K80" s="86">
        <f t="shared" si="174"/>
        <v>363383.33166540001</v>
      </c>
      <c r="L80" s="86">
        <f t="shared" si="174"/>
        <v>342914.15139000001</v>
      </c>
      <c r="M80" s="86">
        <f t="shared" si="174"/>
        <v>428958.50059760001</v>
      </c>
      <c r="N80" s="86">
        <f t="shared" si="174"/>
        <v>282673.74770740001</v>
      </c>
      <c r="O80" s="86">
        <f t="shared" si="174"/>
        <v>318447.73396149999</v>
      </c>
      <c r="P80" s="86">
        <f t="shared" si="174"/>
        <v>381289.03697720001</v>
      </c>
      <c r="Q80" s="86">
        <f t="shared" si="174"/>
        <v>364683.18380000006</v>
      </c>
      <c r="R80" s="86">
        <f t="shared" si="174"/>
        <v>341389.87883460004</v>
      </c>
      <c r="S80" s="86">
        <f t="shared" si="174"/>
        <v>345863.44329899998</v>
      </c>
      <c r="T80" s="86">
        <f t="shared" si="174"/>
        <v>246286.00179349998</v>
      </c>
      <c r="U80" s="86">
        <f t="shared" si="174"/>
        <v>223842.38726100003</v>
      </c>
      <c r="V80" s="86">
        <f t="shared" si="174"/>
        <v>262351.4973936</v>
      </c>
      <c r="W80" s="86">
        <f t="shared" si="174"/>
        <v>316348.57277209999</v>
      </c>
      <c r="X80" s="86">
        <f t="shared" si="174"/>
        <v>295183.55081639998</v>
      </c>
      <c r="Y80" s="86">
        <f t="shared" si="174"/>
        <v>252129.7384683</v>
      </c>
      <c r="Z80" s="86">
        <f t="shared" si="174"/>
        <v>392089.3955244</v>
      </c>
      <c r="AA80" s="86">
        <f t="shared" si="174"/>
        <v>585061.2066111</v>
      </c>
      <c r="AB80" s="86">
        <f t="shared" si="174"/>
        <v>567903.04521779995</v>
      </c>
      <c r="AC80" s="86">
        <f t="shared" si="174"/>
        <v>553948.24435355898</v>
      </c>
      <c r="AD80" s="86">
        <f t="shared" si="174"/>
        <v>479024.72421695461</v>
      </c>
      <c r="AE80" s="86">
        <f t="shared" si="174"/>
        <v>428681.29429251759</v>
      </c>
      <c r="AF80" s="86">
        <f t="shared" si="174"/>
        <v>409392.08331550116</v>
      </c>
      <c r="AG80" s="86">
        <f t="shared" si="174"/>
        <v>371077.23781250563</v>
      </c>
      <c r="AH80" s="86">
        <f t="shared" ref="AH80:BC80" si="175">AH33*AH62</f>
        <v>337654.94932668348</v>
      </c>
      <c r="AI80" s="86">
        <f t="shared" si="175"/>
        <v>316227.50009909802</v>
      </c>
      <c r="AJ80" s="86">
        <f t="shared" si="175"/>
        <v>321634.09273690084</v>
      </c>
      <c r="AK80" s="86">
        <f t="shared" si="175"/>
        <v>332301.25373166212</v>
      </c>
      <c r="AL80" s="86">
        <f t="shared" si="175"/>
        <v>341092.08870484598</v>
      </c>
      <c r="AM80" s="86">
        <f t="shared" si="175"/>
        <v>357056.2714841073</v>
      </c>
      <c r="AN80" s="86">
        <f t="shared" si="175"/>
        <v>370713.17997556663</v>
      </c>
      <c r="AO80" s="86">
        <f t="shared" si="175"/>
        <v>371811.59543553367</v>
      </c>
      <c r="AP80" s="86">
        <f t="shared" si="175"/>
        <v>371088.19793108397</v>
      </c>
      <c r="AQ80" s="86">
        <f t="shared" si="175"/>
        <v>364254.66999379091</v>
      </c>
      <c r="AR80" s="86">
        <f t="shared" si="175"/>
        <v>358893.73277904233</v>
      </c>
      <c r="AS80" s="86">
        <f t="shared" si="175"/>
        <v>354337.19773530529</v>
      </c>
      <c r="AT80" s="86">
        <f t="shared" si="175"/>
        <v>351719.08773739176</v>
      </c>
      <c r="AU80" s="86">
        <f t="shared" si="175"/>
        <v>347302.76158130018</v>
      </c>
      <c r="AV80" s="86">
        <f t="shared" si="175"/>
        <v>343402.98341745522</v>
      </c>
      <c r="AW80" s="86">
        <f t="shared" si="175"/>
        <v>341627.59585600556</v>
      </c>
      <c r="AX80" s="86">
        <f t="shared" si="175"/>
        <v>336576.84657083388</v>
      </c>
      <c r="AY80" s="86">
        <f t="shared" si="175"/>
        <v>332849.05107909831</v>
      </c>
      <c r="AZ80" s="86">
        <f t="shared" si="175"/>
        <v>327401.85532762803</v>
      </c>
      <c r="BA80" s="86">
        <f t="shared" si="175"/>
        <v>325038.65650309628</v>
      </c>
      <c r="BB80" s="86">
        <f t="shared" si="175"/>
        <v>319032.25417568756</v>
      </c>
      <c r="BC80" s="86">
        <f t="shared" si="175"/>
        <v>313424.60683586902</v>
      </c>
      <c r="BD80" s="86">
        <f t="shared" ref="BD80:BM80" si="176">BD33*BD62</f>
        <v>309887.90999629209</v>
      </c>
      <c r="BE80" s="86">
        <f t="shared" si="176"/>
        <v>304645.04922089772</v>
      </c>
      <c r="BF80" s="86">
        <f t="shared" si="176"/>
        <v>300194.17804987542</v>
      </c>
      <c r="BG80" s="86">
        <f t="shared" si="176"/>
        <v>294491.96355544979</v>
      </c>
      <c r="BH80" s="86">
        <f t="shared" si="176"/>
        <v>287691.69122996571</v>
      </c>
      <c r="BI80" s="86">
        <f t="shared" si="176"/>
        <v>281686.9879939658</v>
      </c>
      <c r="BJ80" s="86">
        <f t="shared" si="176"/>
        <v>275057.14600378665</v>
      </c>
      <c r="BK80" s="86">
        <f t="shared" si="176"/>
        <v>265519.58071179426</v>
      </c>
      <c r="BL80" s="86">
        <f t="shared" si="176"/>
        <v>256776.83734043769</v>
      </c>
      <c r="BM80" s="86">
        <f t="shared" si="176"/>
        <v>247307.43041591562</v>
      </c>
      <c r="BN80" s="337">
        <f>Formue!BK47</f>
        <v>252253.57902423397</v>
      </c>
      <c r="BO80" s="337">
        <f>Formue!BL47</f>
        <v>257298.65060471866</v>
      </c>
      <c r="BP80" s="337">
        <f>Formue!BM47</f>
        <v>262444.62361681298</v>
      </c>
      <c r="BQ80" s="337">
        <f>Formue!BN47</f>
        <v>267693.51608914929</v>
      </c>
      <c r="BR80" s="337">
        <f>Formue!BO47</f>
        <v>273047.38641093223</v>
      </c>
      <c r="BS80" s="337">
        <f>Formue!BP47</f>
        <v>278508.33413915092</v>
      </c>
      <c r="BT80" s="337">
        <f>Formue!BQ47</f>
        <v>284078.50082193391</v>
      </c>
      <c r="BU80" s="337">
        <f>Formue!BR47</f>
        <v>289760.07083837263</v>
      </c>
      <c r="BV80" s="337">
        <f>Formue!BS47</f>
        <v>295555.27225514007</v>
      </c>
      <c r="BW80" s="337">
        <f>Formue!BT47</f>
        <v>301466.37770024291</v>
      </c>
      <c r="BX80" s="337">
        <f>Formue!BU47</f>
        <v>307495.7052542477</v>
      </c>
      <c r="BY80" s="337">
        <f>Formue!BV47</f>
        <v>313645.61935933272</v>
      </c>
      <c r="BZ80" s="337">
        <f>Formue!BW47</f>
        <v>319918.53174651938</v>
      </c>
      <c r="CA80" s="337">
        <f>Formue!BX47</f>
        <v>326316.9023814497</v>
      </c>
      <c r="CB80" s="337">
        <f>Formue!BY47</f>
        <v>332843.24042907869</v>
      </c>
      <c r="CC80" s="337">
        <f>Formue!BZ47</f>
        <v>339500.10523766035</v>
      </c>
      <c r="CD80" s="337">
        <f>Formue!CA47</f>
        <v>346290.10734241357</v>
      </c>
      <c r="CE80" s="337">
        <f>Formue!CB47</f>
        <v>353215.9094892618</v>
      </c>
      <c r="CF80" s="337">
        <f>Formue!CC47</f>
        <v>360280.22767904709</v>
      </c>
      <c r="CG80" s="337">
        <f>Formue!CD47</f>
        <v>367485.83223262802</v>
      </c>
      <c r="CH80" s="337">
        <f>Formue!CE47</f>
        <v>374835.54887728061</v>
      </c>
      <c r="CI80" s="337">
        <f>Formue!CF47</f>
        <v>382332.25985482614</v>
      </c>
      <c r="CJ80" s="337">
        <f>Formue!CG47</f>
        <v>389978.90505192272</v>
      </c>
      <c r="CK80" s="337">
        <f>Formue!CH47</f>
        <v>397778.48315296118</v>
      </c>
      <c r="CL80" s="337">
        <f>Formue!CI47</f>
        <v>405734.0528160205</v>
      </c>
      <c r="CM80" s="337">
        <f>Formue!CJ47</f>
        <v>413848.73387234093</v>
      </c>
      <c r="CN80" s="337">
        <f>Formue!CK47</f>
        <v>422125.70854978776</v>
      </c>
      <c r="CO80" s="337">
        <f>Formue!CL47</f>
        <v>430568.22272078355</v>
      </c>
      <c r="CP80" s="337">
        <f>Formue!CM47</f>
        <v>439179.5871751993</v>
      </c>
      <c r="CQ80" s="337">
        <f>Formue!CN47</f>
        <v>447963.17891870323</v>
      </c>
    </row>
    <row r="81" spans="1:95">
      <c r="A81" s="79" t="s">
        <v>9</v>
      </c>
      <c r="B81" s="86">
        <f t="shared" ref="B81:AG81" si="177">B34*B63</f>
        <v>28834</v>
      </c>
      <c r="C81" s="86">
        <f t="shared" si="177"/>
        <v>30118.400000000001</v>
      </c>
      <c r="D81" s="86">
        <f t="shared" si="177"/>
        <v>26785</v>
      </c>
      <c r="E81" s="86">
        <f t="shared" si="177"/>
        <v>46955.7</v>
      </c>
      <c r="F81" s="86">
        <f t="shared" si="177"/>
        <v>65521.5</v>
      </c>
      <c r="G81" s="86">
        <f t="shared" si="177"/>
        <v>60287.6</v>
      </c>
      <c r="H81" s="86">
        <f t="shared" si="177"/>
        <v>64178.400000000009</v>
      </c>
      <c r="I81" s="86">
        <f t="shared" si="177"/>
        <v>76727</v>
      </c>
      <c r="J81" s="86">
        <f t="shared" si="177"/>
        <v>107087.5</v>
      </c>
      <c r="K81" s="86">
        <f t="shared" si="177"/>
        <v>153520.20000000001</v>
      </c>
      <c r="L81" s="86">
        <f t="shared" si="177"/>
        <v>140530.70000000001</v>
      </c>
      <c r="M81" s="86">
        <f t="shared" si="177"/>
        <v>220801.19999999998</v>
      </c>
      <c r="N81" s="86">
        <f t="shared" si="177"/>
        <v>173145.60000000001</v>
      </c>
      <c r="O81" s="86">
        <f t="shared" si="177"/>
        <v>169382.7</v>
      </c>
      <c r="P81" s="86">
        <f t="shared" si="177"/>
        <v>200600</v>
      </c>
      <c r="Q81" s="86">
        <f t="shared" si="177"/>
        <v>249862.6</v>
      </c>
      <c r="R81" s="86">
        <f t="shared" si="177"/>
        <v>247285.5</v>
      </c>
      <c r="S81" s="86">
        <f t="shared" si="177"/>
        <v>218940</v>
      </c>
      <c r="T81" s="86">
        <f t="shared" si="177"/>
        <v>220646.39999999999</v>
      </c>
      <c r="U81" s="86">
        <f t="shared" si="177"/>
        <v>160510</v>
      </c>
      <c r="V81" s="86">
        <f t="shared" si="177"/>
        <v>201910.5</v>
      </c>
      <c r="W81" s="86">
        <f t="shared" si="177"/>
        <v>263758</v>
      </c>
      <c r="X81" s="86">
        <f t="shared" si="177"/>
        <v>177598.4</v>
      </c>
      <c r="Y81" s="86">
        <f t="shared" si="177"/>
        <v>124427.68650686773</v>
      </c>
      <c r="Z81" s="86">
        <f t="shared" si="177"/>
        <v>521003.77258647996</v>
      </c>
      <c r="AA81" s="86">
        <f t="shared" si="177"/>
        <v>1480150.8809009925</v>
      </c>
      <c r="AB81" s="86">
        <f t="shared" si="177"/>
        <v>631478.2455319257</v>
      </c>
      <c r="AC81" s="86">
        <f t="shared" si="177"/>
        <v>549858.33644959843</v>
      </c>
      <c r="AD81" s="86">
        <f t="shared" si="177"/>
        <v>611689.06549512991</v>
      </c>
      <c r="AE81" s="86">
        <f t="shared" si="177"/>
        <v>478799.04375174531</v>
      </c>
      <c r="AF81" s="86">
        <f t="shared" si="177"/>
        <v>390170.6393281506</v>
      </c>
      <c r="AG81" s="86">
        <f t="shared" si="177"/>
        <v>385332.88561378972</v>
      </c>
      <c r="AH81" s="86">
        <f t="shared" ref="AH81:BC81" si="178">AH34*AH63</f>
        <v>374696.78346907988</v>
      </c>
      <c r="AI81" s="86">
        <f t="shared" si="178"/>
        <v>288168.24246561737</v>
      </c>
      <c r="AJ81" s="86">
        <f t="shared" si="178"/>
        <v>276716.64671382355</v>
      </c>
      <c r="AK81" s="86">
        <f t="shared" si="178"/>
        <v>259976.22913787633</v>
      </c>
      <c r="AL81" s="86">
        <f t="shared" si="178"/>
        <v>249914.96341349155</v>
      </c>
      <c r="AM81" s="86">
        <f t="shared" si="178"/>
        <v>244058.2285437886</v>
      </c>
      <c r="AN81" s="86">
        <f t="shared" si="178"/>
        <v>238637.3617655049</v>
      </c>
      <c r="AO81" s="86">
        <f t="shared" si="178"/>
        <v>233730.14723435327</v>
      </c>
      <c r="AP81" s="86">
        <f t="shared" si="178"/>
        <v>225473.96336566829</v>
      </c>
      <c r="AQ81" s="86">
        <f t="shared" si="178"/>
        <v>212353.01578245303</v>
      </c>
      <c r="AR81" s="86">
        <f t="shared" si="178"/>
        <v>197935.92103814092</v>
      </c>
      <c r="AS81" s="86">
        <f t="shared" si="178"/>
        <v>187674.02578596867</v>
      </c>
      <c r="AT81" s="86">
        <f t="shared" si="178"/>
        <v>181180.05067229093</v>
      </c>
      <c r="AU81" s="86">
        <f t="shared" si="178"/>
        <v>176890.5353806706</v>
      </c>
      <c r="AV81" s="86">
        <f t="shared" si="178"/>
        <v>171977.64081818156</v>
      </c>
      <c r="AW81" s="86">
        <f t="shared" si="178"/>
        <v>165760.97870850418</v>
      </c>
      <c r="AX81" s="86">
        <f t="shared" si="178"/>
        <v>161054.71197450173</v>
      </c>
      <c r="AY81" s="86">
        <f t="shared" si="178"/>
        <v>157928.21875023824</v>
      </c>
      <c r="AZ81" s="86">
        <f t="shared" si="178"/>
        <v>154776.95059145652</v>
      </c>
      <c r="BA81" s="86">
        <f t="shared" si="178"/>
        <v>151934.09105374792</v>
      </c>
      <c r="BB81" s="86">
        <f t="shared" si="178"/>
        <v>150098.61110648708</v>
      </c>
      <c r="BC81" s="86">
        <f t="shared" si="178"/>
        <v>147284.283795745</v>
      </c>
      <c r="BD81" s="86">
        <f t="shared" ref="BD81:BM81" si="179">BD34*BD63</f>
        <v>144710.81046743874</v>
      </c>
      <c r="BE81" s="86">
        <f t="shared" si="179"/>
        <v>141171.08218062852</v>
      </c>
      <c r="BF81" s="86">
        <f t="shared" si="179"/>
        <v>138491.26607932671</v>
      </c>
      <c r="BG81" s="86">
        <f t="shared" si="179"/>
        <v>137085.76973344185</v>
      </c>
      <c r="BH81" s="86">
        <f t="shared" si="179"/>
        <v>137470.75599385952</v>
      </c>
      <c r="BI81" s="86">
        <f t="shared" si="179"/>
        <v>137062.14638616014</v>
      </c>
      <c r="BJ81" s="86">
        <f t="shared" si="179"/>
        <v>137672.62013810963</v>
      </c>
      <c r="BK81" s="86">
        <f t="shared" si="179"/>
        <v>138663.68164572257</v>
      </c>
      <c r="BL81" s="86">
        <f t="shared" si="179"/>
        <v>139447.56444918065</v>
      </c>
      <c r="BM81" s="86">
        <f t="shared" si="179"/>
        <v>140541.65085079771</v>
      </c>
      <c r="BN81" s="337">
        <f>Formue!BK48</f>
        <v>143352.48386781366</v>
      </c>
      <c r="BO81" s="337">
        <f>Formue!BL48</f>
        <v>146219.53354516998</v>
      </c>
      <c r="BP81" s="337">
        <f>Formue!BM48</f>
        <v>149143.92421607336</v>
      </c>
      <c r="BQ81" s="337">
        <f>Formue!BN48</f>
        <v>152126.80270039482</v>
      </c>
      <c r="BR81" s="337">
        <f>Formue!BO48</f>
        <v>155169.33875440274</v>
      </c>
      <c r="BS81" s="337">
        <f>Formue!BP48</f>
        <v>158272.72552949077</v>
      </c>
      <c r="BT81" s="337">
        <f>Formue!BQ48</f>
        <v>161438.1800400806</v>
      </c>
      <c r="BU81" s="337">
        <f>Formue!BR48</f>
        <v>164666.94364088221</v>
      </c>
      <c r="BV81" s="337">
        <f>Formue!BS48</f>
        <v>167960.28251369984</v>
      </c>
      <c r="BW81" s="337">
        <f>Formue!BT48</f>
        <v>171319.48816397385</v>
      </c>
      <c r="BX81" s="337">
        <f>Formue!BU48</f>
        <v>174745.87792725334</v>
      </c>
      <c r="BY81" s="337">
        <f>Formue!BV48</f>
        <v>178240.79548579839</v>
      </c>
      <c r="BZ81" s="337">
        <f>Formue!BW48</f>
        <v>181805.61139551437</v>
      </c>
      <c r="CA81" s="337">
        <f>Formue!BX48</f>
        <v>185441.72362342465</v>
      </c>
      <c r="CB81" s="337">
        <f>Formue!BY48</f>
        <v>189150.55809589318</v>
      </c>
      <c r="CC81" s="337">
        <f>Formue!BZ48</f>
        <v>192933.56925781106</v>
      </c>
      <c r="CD81" s="337">
        <f>Formue!CA48</f>
        <v>196792.24064296726</v>
      </c>
      <c r="CE81" s="337">
        <f>Formue!CB48</f>
        <v>200728.0854558266</v>
      </c>
      <c r="CF81" s="337">
        <f>Formue!CC48</f>
        <v>204742.6471649431</v>
      </c>
      <c r="CG81" s="337">
        <f>Formue!CD48</f>
        <v>208837.50010824201</v>
      </c>
      <c r="CH81" s="337">
        <f>Formue!CE48</f>
        <v>213014.25011040687</v>
      </c>
      <c r="CI81" s="337">
        <f>Formue!CF48</f>
        <v>217274.53511261501</v>
      </c>
      <c r="CJ81" s="337">
        <f>Formue!CG48</f>
        <v>221620.02581486732</v>
      </c>
      <c r="CK81" s="337">
        <f>Formue!CH48</f>
        <v>226052.42633116466</v>
      </c>
      <c r="CL81" s="337">
        <f>Formue!CI48</f>
        <v>230573.47485778795</v>
      </c>
      <c r="CM81" s="337">
        <f>Formue!CJ48</f>
        <v>235184.94435494376</v>
      </c>
      <c r="CN81" s="337">
        <f>Formue!CK48</f>
        <v>239888.6432420426</v>
      </c>
      <c r="CO81" s="337">
        <f>Formue!CL48</f>
        <v>244686.41610688347</v>
      </c>
      <c r="CP81" s="337">
        <f>Formue!CM48</f>
        <v>249580.14442902117</v>
      </c>
      <c r="CQ81" s="337">
        <f>Formue!CN48</f>
        <v>254571.74731760158</v>
      </c>
    </row>
    <row r="82" spans="1:95">
      <c r="A82" s="79" t="s">
        <v>10</v>
      </c>
      <c r="B82" s="86">
        <f t="shared" ref="B82:AG82" si="180">B64*B36</f>
        <v>13364.323499999999</v>
      </c>
      <c r="C82" s="86">
        <f t="shared" si="180"/>
        <v>7653.4611999999997</v>
      </c>
      <c r="D82" s="86">
        <f t="shared" si="180"/>
        <v>12724.625</v>
      </c>
      <c r="E82" s="86">
        <f t="shared" si="180"/>
        <v>21706.292799999999</v>
      </c>
      <c r="F82" s="86">
        <f t="shared" si="180"/>
        <v>25322.478299999999</v>
      </c>
      <c r="G82" s="86">
        <f t="shared" si="180"/>
        <v>26330.151999999998</v>
      </c>
      <c r="H82" s="86">
        <f t="shared" si="180"/>
        <v>25438.039848197346</v>
      </c>
      <c r="I82" s="86">
        <f t="shared" si="180"/>
        <v>29719.774687065368</v>
      </c>
      <c r="J82" s="86">
        <f t="shared" si="180"/>
        <v>43885.822784810131</v>
      </c>
      <c r="K82" s="86">
        <f t="shared" si="180"/>
        <v>47822.778290993076</v>
      </c>
      <c r="L82" s="86">
        <f t="shared" si="180"/>
        <v>35857.534743202414</v>
      </c>
      <c r="M82" s="86">
        <f t="shared" si="180"/>
        <v>52589.918813739998</v>
      </c>
      <c r="N82" s="86">
        <f t="shared" si="180"/>
        <v>37739.270346117868</v>
      </c>
      <c r="O82" s="86">
        <f t="shared" si="180"/>
        <v>43366.956786985254</v>
      </c>
      <c r="P82" s="86">
        <f t="shared" si="180"/>
        <v>58408.44</v>
      </c>
      <c r="Q82" s="86">
        <f t="shared" si="180"/>
        <v>64812.48000000001</v>
      </c>
      <c r="R82" s="86">
        <f t="shared" si="180"/>
        <v>61110.548571428568</v>
      </c>
      <c r="S82" s="86">
        <f t="shared" si="180"/>
        <v>51421.601851851847</v>
      </c>
      <c r="T82" s="86">
        <f t="shared" si="180"/>
        <v>35960.11900452488</v>
      </c>
      <c r="U82" s="86">
        <f t="shared" si="180"/>
        <v>32787.829411764702</v>
      </c>
      <c r="V82" s="86">
        <f t="shared" si="180"/>
        <v>42269.526176690175</v>
      </c>
      <c r="W82" s="86">
        <f t="shared" si="180"/>
        <v>47625.456678698567</v>
      </c>
      <c r="X82" s="86">
        <f t="shared" si="180"/>
        <v>40438.896815883782</v>
      </c>
      <c r="Y82" s="86">
        <f t="shared" si="180"/>
        <v>28561.264967963682</v>
      </c>
      <c r="Z82" s="86">
        <f t="shared" si="180"/>
        <v>33520.330295933367</v>
      </c>
      <c r="AA82" s="86">
        <f t="shared" si="180"/>
        <v>50089.649639400792</v>
      </c>
      <c r="AB82" s="86">
        <f t="shared" si="180"/>
        <v>48524.560773329205</v>
      </c>
      <c r="AC82" s="86">
        <f t="shared" si="180"/>
        <v>45906.988620913697</v>
      </c>
      <c r="AD82" s="86">
        <f t="shared" si="180"/>
        <v>40000.2267792434</v>
      </c>
      <c r="AE82" s="86">
        <f t="shared" si="180"/>
        <v>39748.416718053697</v>
      </c>
      <c r="AF82" s="86">
        <f t="shared" si="180"/>
        <v>40083.763571209303</v>
      </c>
      <c r="AG82" s="86">
        <f t="shared" si="180"/>
        <v>40185.398604176196</v>
      </c>
      <c r="AH82" s="86">
        <f t="shared" ref="AH82:BC82" si="181">AH64*AH36</f>
        <v>39827.777266037003</v>
      </c>
      <c r="AI82" s="86">
        <f t="shared" si="181"/>
        <v>38247.754743086502</v>
      </c>
      <c r="AJ82" s="86">
        <f t="shared" si="181"/>
        <v>36013.567790430498</v>
      </c>
      <c r="AK82" s="86">
        <f t="shared" si="181"/>
        <v>35085.924126697697</v>
      </c>
      <c r="AL82" s="86">
        <f t="shared" si="181"/>
        <v>32544.552850571603</v>
      </c>
      <c r="AM82" s="86">
        <f t="shared" si="181"/>
        <v>30387.614435446099</v>
      </c>
      <c r="AN82" s="86">
        <f t="shared" si="181"/>
        <v>28101.384572021499</v>
      </c>
      <c r="AO82" s="86">
        <f t="shared" si="181"/>
        <v>26224.587376376199</v>
      </c>
      <c r="AP82" s="86">
        <f t="shared" si="181"/>
        <v>23196.082085607199</v>
      </c>
      <c r="AQ82" s="86">
        <f t="shared" si="181"/>
        <v>20173.875250811299</v>
      </c>
      <c r="AR82" s="86">
        <f t="shared" si="181"/>
        <v>18301.638477121502</v>
      </c>
      <c r="AS82" s="86">
        <f t="shared" si="181"/>
        <v>16913.8133251892</v>
      </c>
      <c r="AT82" s="86">
        <f t="shared" si="181"/>
        <v>15045.762580700301</v>
      </c>
      <c r="AU82" s="86">
        <f t="shared" si="181"/>
        <v>13898.6281530164</v>
      </c>
      <c r="AV82" s="86">
        <f t="shared" si="181"/>
        <v>12901.250648536001</v>
      </c>
      <c r="AW82" s="86">
        <f t="shared" si="181"/>
        <v>11643.0075663225</v>
      </c>
      <c r="AX82" s="86">
        <f t="shared" si="181"/>
        <v>10788.075374693401</v>
      </c>
      <c r="AY82" s="86">
        <f t="shared" si="181"/>
        <v>9314.1983479089704</v>
      </c>
      <c r="AZ82" s="86">
        <f t="shared" si="181"/>
        <v>9007.0671299832393</v>
      </c>
      <c r="BA82" s="86">
        <f t="shared" si="181"/>
        <v>7284.6802465119308</v>
      </c>
      <c r="BB82" s="86">
        <f t="shared" si="181"/>
        <v>5894.56915577773</v>
      </c>
      <c r="BC82" s="86">
        <f t="shared" si="181"/>
        <v>4936.5220261379</v>
      </c>
      <c r="BD82" s="86">
        <f t="shared" ref="BD82:BM82" si="182">BD64*BD36</f>
        <v>4068.9352038332099</v>
      </c>
      <c r="BE82" s="86">
        <f t="shared" si="182"/>
        <v>2866.17143066273</v>
      </c>
      <c r="BF82" s="86">
        <f t="shared" si="182"/>
        <v>2298.6478798009698</v>
      </c>
      <c r="BG82" s="86">
        <f t="shared" si="182"/>
        <v>1654.7301772676099</v>
      </c>
      <c r="BH82" s="86">
        <f t="shared" si="182"/>
        <v>1127.35993946084</v>
      </c>
      <c r="BI82" s="86">
        <f t="shared" si="182"/>
        <v>766.13320039530402</v>
      </c>
      <c r="BJ82" s="86">
        <f t="shared" si="182"/>
        <v>370.63270531389799</v>
      </c>
      <c r="BK82" s="86">
        <f t="shared" si="182"/>
        <v>356.30239790945802</v>
      </c>
      <c r="BL82" s="86">
        <f t="shared" si="182"/>
        <v>338.613549067951</v>
      </c>
      <c r="BM82" s="86">
        <f t="shared" si="182"/>
        <v>240.14449656531301</v>
      </c>
      <c r="BN82" s="337">
        <f>Formue!BK49</f>
        <v>244.94738649661926</v>
      </c>
      <c r="BO82" s="337">
        <f>Formue!BL49</f>
        <v>249.84633422655165</v>
      </c>
      <c r="BP82" s="337">
        <f>Formue!BM49</f>
        <v>254.84326091108269</v>
      </c>
      <c r="BQ82" s="337">
        <f>Formue!BN49</f>
        <v>259.9401261293043</v>
      </c>
      <c r="BR82" s="337">
        <f>Formue!BO49</f>
        <v>265.13892865189041</v>
      </c>
      <c r="BS82" s="337">
        <f>Formue!BP49</f>
        <v>270.44170722492828</v>
      </c>
      <c r="BT82" s="337">
        <f>Formue!BQ49</f>
        <v>275.85054136942682</v>
      </c>
      <c r="BU82" s="337">
        <f>Formue!BR49</f>
        <v>281.36755219681538</v>
      </c>
      <c r="BV82" s="337">
        <f>Formue!BS49</f>
        <v>286.99490324075168</v>
      </c>
      <c r="BW82" s="337">
        <f>Formue!BT49</f>
        <v>292.73480130556669</v>
      </c>
      <c r="BX82" s="337">
        <f>Formue!BU49</f>
        <v>298.58949733167799</v>
      </c>
      <c r="BY82" s="337">
        <f>Formue!BV49</f>
        <v>304.56128727831157</v>
      </c>
      <c r="BZ82" s="337">
        <f>Formue!BW49</f>
        <v>310.65251302387782</v>
      </c>
      <c r="CA82" s="337">
        <f>Formue!BX49</f>
        <v>316.8655632843554</v>
      </c>
      <c r="CB82" s="337">
        <f>Formue!BY49</f>
        <v>323.20287455004251</v>
      </c>
      <c r="CC82" s="337">
        <f>Formue!BZ49</f>
        <v>329.66693204104337</v>
      </c>
      <c r="CD82" s="337">
        <f>Formue!CA49</f>
        <v>336.26027068186426</v>
      </c>
      <c r="CE82" s="337">
        <f>Formue!CB49</f>
        <v>342.9854760955015</v>
      </c>
      <c r="CF82" s="337">
        <f>Formue!CC49</f>
        <v>349.84518561741157</v>
      </c>
      <c r="CG82" s="337">
        <f>Formue!CD49</f>
        <v>356.8420893297598</v>
      </c>
      <c r="CH82" s="337">
        <f>Formue!CE49</f>
        <v>363.978931116355</v>
      </c>
      <c r="CI82" s="337">
        <f>Formue!CF49</f>
        <v>371.25850973868211</v>
      </c>
      <c r="CJ82" s="337">
        <f>Formue!CG49</f>
        <v>378.68367993345578</v>
      </c>
      <c r="CK82" s="337">
        <f>Formue!CH49</f>
        <v>386.25735353212497</v>
      </c>
      <c r="CL82" s="337">
        <f>Formue!CI49</f>
        <v>393.98250060276746</v>
      </c>
      <c r="CM82" s="337">
        <f>Formue!CJ49</f>
        <v>401.86215061482278</v>
      </c>
      <c r="CN82" s="337">
        <f>Formue!CK49</f>
        <v>409.89939362711931</v>
      </c>
      <c r="CO82" s="337">
        <f>Formue!CL49</f>
        <v>418.09738149966171</v>
      </c>
      <c r="CP82" s="337">
        <f>Formue!CM49</f>
        <v>426.45932912965492</v>
      </c>
      <c r="CQ82" s="337">
        <f>Formue!CN49</f>
        <v>434.98851571224799</v>
      </c>
    </row>
    <row r="83" spans="1:95">
      <c r="A83" s="79" t="s">
        <v>11</v>
      </c>
      <c r="B83" s="86">
        <f>SUM(B80:B82)</f>
        <v>192234.23726165682</v>
      </c>
      <c r="C83" s="86">
        <f>SUM(C80:C82)</f>
        <v>140246.32328912965</v>
      </c>
      <c r="D83" s="86">
        <f>SUM(D80:D82)</f>
        <v>182391.6363265214</v>
      </c>
      <c r="E83" s="86">
        <f t="shared" ref="E83:J83" si="183">SUM(E80:E82)</f>
        <v>354698.52452580002</v>
      </c>
      <c r="F83" s="86">
        <f t="shared" si="183"/>
        <v>344551.26401440002</v>
      </c>
      <c r="G83" s="86">
        <f t="shared" si="183"/>
        <v>302878.40228699998</v>
      </c>
      <c r="H83" s="86">
        <f t="shared" si="183"/>
        <v>298824.82936699735</v>
      </c>
      <c r="I83" s="86">
        <f t="shared" si="183"/>
        <v>367529.8689960654</v>
      </c>
      <c r="J83" s="86">
        <f t="shared" si="183"/>
        <v>481752.54374181014</v>
      </c>
      <c r="K83" s="86">
        <f t="shared" ref="K83:AI83" si="184">SUM(K80:K82)</f>
        <v>564726.30995639309</v>
      </c>
      <c r="L83" s="86">
        <f t="shared" si="184"/>
        <v>519302.38613320247</v>
      </c>
      <c r="M83" s="86">
        <f t="shared" si="184"/>
        <v>702349.61941133998</v>
      </c>
      <c r="N83" s="86">
        <f>SUM(N80:N82)</f>
        <v>493558.61805351783</v>
      </c>
      <c r="O83" s="86">
        <f>SUM(O80:O82)</f>
        <v>531197.39074848522</v>
      </c>
      <c r="P83" s="86">
        <f>SUM(P80:P82)</f>
        <v>640297.47697720001</v>
      </c>
      <c r="Q83" s="86">
        <f t="shared" si="184"/>
        <v>679358.26380000007</v>
      </c>
      <c r="R83" s="86">
        <f t="shared" si="184"/>
        <v>649785.92740602861</v>
      </c>
      <c r="S83" s="86">
        <f t="shared" si="184"/>
        <v>616225.04515085171</v>
      </c>
      <c r="T83" s="86">
        <f t="shared" si="184"/>
        <v>502892.52079802484</v>
      </c>
      <c r="U83" s="86">
        <f t="shared" si="184"/>
        <v>417140.21667276468</v>
      </c>
      <c r="V83" s="86">
        <f t="shared" si="184"/>
        <v>506531.52357029018</v>
      </c>
      <c r="W83" s="86">
        <f t="shared" si="184"/>
        <v>627732.02945079852</v>
      </c>
      <c r="X83" s="86">
        <f t="shared" si="184"/>
        <v>513220.84763228381</v>
      </c>
      <c r="Y83" s="86">
        <f t="shared" si="184"/>
        <v>405118.68994313141</v>
      </c>
      <c r="Z83" s="86">
        <f t="shared" si="184"/>
        <v>946613.49840681336</v>
      </c>
      <c r="AA83" s="86">
        <f t="shared" si="184"/>
        <v>2115301.7371514933</v>
      </c>
      <c r="AB83" s="86">
        <f t="shared" si="184"/>
        <v>1247905.8515230548</v>
      </c>
      <c r="AC83" s="86">
        <f t="shared" si="184"/>
        <v>1149713.5694240709</v>
      </c>
      <c r="AD83" s="86">
        <f t="shared" si="184"/>
        <v>1130714.0164913279</v>
      </c>
      <c r="AE83" s="86">
        <f t="shared" si="184"/>
        <v>947228.7547623167</v>
      </c>
      <c r="AF83" s="86">
        <f t="shared" si="184"/>
        <v>839646.48621486104</v>
      </c>
      <c r="AG83" s="86">
        <f t="shared" si="184"/>
        <v>796595.52203047159</v>
      </c>
      <c r="AH83" s="86">
        <f t="shared" si="184"/>
        <v>752179.51006180025</v>
      </c>
      <c r="AI83" s="86">
        <f t="shared" si="184"/>
        <v>642643.49730780197</v>
      </c>
      <c r="AJ83" s="86">
        <f t="shared" ref="AJ83:BC83" si="185">SUM(AJ80:AJ82)</f>
        <v>634364.30724115483</v>
      </c>
      <c r="AK83" s="86">
        <f t="shared" si="185"/>
        <v>627363.40699623618</v>
      </c>
      <c r="AL83" s="86">
        <f t="shared" si="185"/>
        <v>623551.60496890906</v>
      </c>
      <c r="AM83" s="86">
        <f t="shared" si="185"/>
        <v>631502.114463342</v>
      </c>
      <c r="AN83" s="86">
        <f t="shared" si="185"/>
        <v>637451.92631309305</v>
      </c>
      <c r="AO83" s="86">
        <f t="shared" si="185"/>
        <v>631766.33004626306</v>
      </c>
      <c r="AP83" s="86">
        <f t="shared" si="185"/>
        <v>619758.24338235951</v>
      </c>
      <c r="AQ83" s="86">
        <f t="shared" si="185"/>
        <v>596781.56102705526</v>
      </c>
      <c r="AR83" s="86">
        <f t="shared" si="185"/>
        <v>575131.2922943047</v>
      </c>
      <c r="AS83" s="86">
        <f t="shared" si="185"/>
        <v>558925.0368464631</v>
      </c>
      <c r="AT83" s="86">
        <f t="shared" si="185"/>
        <v>547944.900990383</v>
      </c>
      <c r="AU83" s="86">
        <f t="shared" si="185"/>
        <v>538091.92511498719</v>
      </c>
      <c r="AV83" s="86">
        <f t="shared" si="185"/>
        <v>528281.87488417281</v>
      </c>
      <c r="AW83" s="86">
        <f t="shared" si="185"/>
        <v>519031.58213083225</v>
      </c>
      <c r="AX83" s="86">
        <f t="shared" si="185"/>
        <v>508419.63392002898</v>
      </c>
      <c r="AY83" s="86">
        <f t="shared" si="185"/>
        <v>500091.46817724552</v>
      </c>
      <c r="AZ83" s="86">
        <f t="shared" si="185"/>
        <v>491185.8730490678</v>
      </c>
      <c r="BA83" s="86">
        <f t="shared" si="185"/>
        <v>484257.42780335614</v>
      </c>
      <c r="BB83" s="86">
        <f t="shared" si="185"/>
        <v>475025.43443795241</v>
      </c>
      <c r="BC83" s="86">
        <f t="shared" si="185"/>
        <v>465645.41265775193</v>
      </c>
      <c r="BD83" s="86">
        <f t="shared" ref="BD83:BM83" si="186">SUM(BD80:BD82)</f>
        <v>458667.65566756407</v>
      </c>
      <c r="BE83" s="86">
        <f t="shared" si="186"/>
        <v>448682.30283218902</v>
      </c>
      <c r="BF83" s="86">
        <f t="shared" si="186"/>
        <v>440984.09200900316</v>
      </c>
      <c r="BG83" s="86">
        <f t="shared" si="186"/>
        <v>433232.46346615924</v>
      </c>
      <c r="BH83" s="86">
        <f t="shared" si="186"/>
        <v>426289.80716328608</v>
      </c>
      <c r="BI83" s="86">
        <f t="shared" si="186"/>
        <v>419515.26758052123</v>
      </c>
      <c r="BJ83" s="86">
        <f t="shared" si="186"/>
        <v>413100.39884721016</v>
      </c>
      <c r="BK83" s="86">
        <f t="shared" si="186"/>
        <v>404539.56475542625</v>
      </c>
      <c r="BL83" s="86">
        <f t="shared" si="186"/>
        <v>396563.01533868624</v>
      </c>
      <c r="BM83" s="86">
        <f t="shared" si="186"/>
        <v>388089.22576327866</v>
      </c>
      <c r="BN83" s="124">
        <f t="shared" ref="BN83:CL83" si="187">SUM(BN80:BN82)</f>
        <v>395851.01027854427</v>
      </c>
      <c r="BO83" s="124">
        <f t="shared" si="187"/>
        <v>403768.03048411518</v>
      </c>
      <c r="BP83" s="124">
        <f t="shared" si="187"/>
        <v>411843.3910937974</v>
      </c>
      <c r="BQ83" s="124">
        <f t="shared" si="187"/>
        <v>420080.25891567342</v>
      </c>
      <c r="BR83" s="124">
        <f t="shared" si="187"/>
        <v>428481.86409398686</v>
      </c>
      <c r="BS83" s="124">
        <f t="shared" si="187"/>
        <v>437051.50137586659</v>
      </c>
      <c r="BT83" s="124">
        <f t="shared" si="187"/>
        <v>445792.53140338394</v>
      </c>
      <c r="BU83" s="124">
        <f t="shared" si="187"/>
        <v>454708.38203145168</v>
      </c>
      <c r="BV83" s="124">
        <f t="shared" si="187"/>
        <v>463802.54967208067</v>
      </c>
      <c r="BW83" s="124">
        <f t="shared" si="187"/>
        <v>473078.60066552233</v>
      </c>
      <c r="BX83" s="124">
        <f t="shared" si="187"/>
        <v>482540.17267883272</v>
      </c>
      <c r="BY83" s="124">
        <f t="shared" si="187"/>
        <v>492190.97613240941</v>
      </c>
      <c r="BZ83" s="124">
        <f t="shared" si="187"/>
        <v>502034.79565505759</v>
      </c>
      <c r="CA83" s="124">
        <f t="shared" si="187"/>
        <v>512075.49156815873</v>
      </c>
      <c r="CB83" s="124">
        <f t="shared" si="187"/>
        <v>522317.00139952189</v>
      </c>
      <c r="CC83" s="124">
        <f t="shared" si="187"/>
        <v>532763.34142751247</v>
      </c>
      <c r="CD83" s="124">
        <f t="shared" si="187"/>
        <v>543418.60825606261</v>
      </c>
      <c r="CE83" s="124">
        <f t="shared" si="187"/>
        <v>554286.98042118386</v>
      </c>
      <c r="CF83" s="124">
        <f t="shared" si="187"/>
        <v>565372.72002960765</v>
      </c>
      <c r="CG83" s="124">
        <f t="shared" si="187"/>
        <v>576680.17443019978</v>
      </c>
      <c r="CH83" s="124">
        <f t="shared" si="187"/>
        <v>588213.77791880385</v>
      </c>
      <c r="CI83" s="124">
        <f t="shared" si="187"/>
        <v>599978.05347717984</v>
      </c>
      <c r="CJ83" s="124">
        <f t="shared" si="187"/>
        <v>611977.61454672343</v>
      </c>
      <c r="CK83" s="124">
        <f t="shared" si="187"/>
        <v>624217.16683765803</v>
      </c>
      <c r="CL83" s="124">
        <f t="shared" si="187"/>
        <v>636701.51017441112</v>
      </c>
      <c r="CM83" s="124">
        <f t="shared" ref="CM83:CQ83" si="188">SUM(CM80:CM82)</f>
        <v>649435.54037789954</v>
      </c>
      <c r="CN83" s="124">
        <f t="shared" si="188"/>
        <v>662424.25118545745</v>
      </c>
      <c r="CO83" s="124">
        <f t="shared" si="188"/>
        <v>675672.7362091667</v>
      </c>
      <c r="CP83" s="124">
        <f t="shared" si="188"/>
        <v>689186.19093335012</v>
      </c>
      <c r="CQ83" s="124">
        <f t="shared" si="188"/>
        <v>702969.91475201701</v>
      </c>
    </row>
    <row r="84" spans="1:95"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</row>
    <row r="85" spans="1:95">
      <c r="A85" s="78" t="s">
        <v>463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125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</row>
    <row r="86" spans="1:95">
      <c r="A86" s="79" t="s">
        <v>17</v>
      </c>
      <c r="B86" s="86"/>
      <c r="C86" s="86"/>
      <c r="D86" s="86"/>
      <c r="E86" s="86"/>
      <c r="F86" s="86">
        <f t="shared" ref="F86:M86" si="189">(F62*$R$33)</f>
        <v>726990.83215919998</v>
      </c>
      <c r="G86" s="86">
        <f t="shared" si="189"/>
        <v>697932.09865350008</v>
      </c>
      <c r="H86" s="86">
        <f t="shared" si="189"/>
        <v>665095.32787319995</v>
      </c>
      <c r="I86" s="86">
        <f t="shared" si="189"/>
        <v>654243.51868019998</v>
      </c>
      <c r="J86" s="86">
        <f t="shared" si="189"/>
        <v>595402.59772259998</v>
      </c>
      <c r="K86" s="86">
        <f t="shared" si="189"/>
        <v>548940.77762220008</v>
      </c>
      <c r="L86" s="86">
        <f t="shared" si="189"/>
        <v>515581.51232520002</v>
      </c>
      <c r="M86" s="86">
        <f t="shared" si="189"/>
        <v>492993.67244940001</v>
      </c>
      <c r="N86" s="86">
        <f t="shared" ref="N86:S86" si="190">(N62*$R$33)</f>
        <v>461965.53653460002</v>
      </c>
      <c r="O86" s="86">
        <f t="shared" si="190"/>
        <v>419563.09691010002</v>
      </c>
      <c r="P86" s="86">
        <f t="shared" si="190"/>
        <v>391710.11998139997</v>
      </c>
      <c r="Q86" s="86">
        <f t="shared" si="190"/>
        <v>358511.62222800002</v>
      </c>
      <c r="R86" s="86">
        <f t="shared" si="190"/>
        <v>341389.87883460004</v>
      </c>
      <c r="S86" s="86">
        <f t="shared" si="190"/>
        <v>352482.83934300003</v>
      </c>
      <c r="T86" s="86">
        <f t="shared" ref="T86:BC86" si="191">(T62*$R$33)</f>
        <v>365143.28340149997</v>
      </c>
      <c r="U86" s="86">
        <f t="shared" si="191"/>
        <v>377401.80860100006</v>
      </c>
      <c r="V86" s="86">
        <f t="shared" si="191"/>
        <v>370890.72308520001</v>
      </c>
      <c r="W86" s="86">
        <f t="shared" si="191"/>
        <v>346735.39965929999</v>
      </c>
      <c r="X86" s="86">
        <f t="shared" si="191"/>
        <v>334436.68257389998</v>
      </c>
      <c r="Y86" s="86">
        <f t="shared" si="191"/>
        <v>395849.88422910002</v>
      </c>
      <c r="Z86" s="86">
        <f t="shared" si="191"/>
        <v>411404.1440724</v>
      </c>
      <c r="AA86" s="86">
        <f t="shared" si="191"/>
        <v>393116.83598790003</v>
      </c>
      <c r="AB86" s="86">
        <f t="shared" si="191"/>
        <v>418558.29976260004</v>
      </c>
      <c r="AC86" s="86">
        <f t="shared" si="191"/>
        <v>413519.77586673386</v>
      </c>
      <c r="AD86" s="86">
        <f t="shared" si="191"/>
        <v>422777.68005509541</v>
      </c>
      <c r="AE86" s="86">
        <f t="shared" si="191"/>
        <v>406121.97148453881</v>
      </c>
      <c r="AF86" s="86">
        <f t="shared" si="191"/>
        <v>388153.4062774888</v>
      </c>
      <c r="AG86" s="86">
        <f t="shared" si="191"/>
        <v>349861.8946420498</v>
      </c>
      <c r="AH86" s="86">
        <f t="shared" si="191"/>
        <v>316896.3308165379</v>
      </c>
      <c r="AI86" s="86">
        <f t="shared" si="191"/>
        <v>296591.63508255739</v>
      </c>
      <c r="AJ86" s="86">
        <f t="shared" si="191"/>
        <v>287974.24568253139</v>
      </c>
      <c r="AK86" s="86">
        <f t="shared" si="191"/>
        <v>284220.88502295577</v>
      </c>
      <c r="AL86" s="86">
        <f t="shared" si="191"/>
        <v>278877.21652331052</v>
      </c>
      <c r="AM86" s="86">
        <f t="shared" si="191"/>
        <v>279232.73065585399</v>
      </c>
      <c r="AN86" s="86">
        <f t="shared" si="191"/>
        <v>277468.04967110243</v>
      </c>
      <c r="AO86" s="86">
        <f t="shared" si="191"/>
        <v>272833.51151452388</v>
      </c>
      <c r="AP86" s="86">
        <f t="shared" si="191"/>
        <v>266963.41764730448</v>
      </c>
      <c r="AQ86" s="86">
        <f t="shared" si="191"/>
        <v>256909.14741068051</v>
      </c>
      <c r="AR86" s="86">
        <f t="shared" si="191"/>
        <v>248164.77799606646</v>
      </c>
      <c r="AS86" s="86">
        <f t="shared" si="191"/>
        <v>240209.86666504724</v>
      </c>
      <c r="AT86" s="86">
        <f t="shared" si="191"/>
        <v>233759.81893699174</v>
      </c>
      <c r="AU86" s="86">
        <f t="shared" si="191"/>
        <v>226298.66347631442</v>
      </c>
      <c r="AV86" s="86">
        <f t="shared" si="191"/>
        <v>219370.20673858031</v>
      </c>
      <c r="AW86" s="86">
        <f t="shared" si="191"/>
        <v>213956.92795586781</v>
      </c>
      <c r="AX86" s="86">
        <f t="shared" si="191"/>
        <v>206660.49926677707</v>
      </c>
      <c r="AY86" s="86">
        <f t="shared" si="191"/>
        <v>200364.32077409056</v>
      </c>
      <c r="AZ86" s="86">
        <f t="shared" si="191"/>
        <v>193220.86843936759</v>
      </c>
      <c r="BA86" s="86">
        <f t="shared" si="191"/>
        <v>188064.89508982818</v>
      </c>
      <c r="BB86" s="86">
        <f t="shared" si="191"/>
        <v>180970.23174048861</v>
      </c>
      <c r="BC86" s="86">
        <f t="shared" si="191"/>
        <v>174303.24323769083</v>
      </c>
      <c r="BD86" s="86">
        <f t="shared" ref="BD86:BM86" si="192">(BD62*$R$33)</f>
        <v>168957.25283433497</v>
      </c>
      <c r="BE86" s="86">
        <f t="shared" si="192"/>
        <v>162841.89947514841</v>
      </c>
      <c r="BF86" s="86">
        <f t="shared" si="192"/>
        <v>157316.44664812612</v>
      </c>
      <c r="BG86" s="86">
        <f t="shared" si="192"/>
        <v>151302.1637996147</v>
      </c>
      <c r="BH86" s="86">
        <f t="shared" si="192"/>
        <v>144910.16093740487</v>
      </c>
      <c r="BI86" s="86">
        <f t="shared" si="192"/>
        <v>139103.52443298712</v>
      </c>
      <c r="BJ86" s="86">
        <f t="shared" si="192"/>
        <v>133166.23109205317</v>
      </c>
      <c r="BK86" s="86">
        <f t="shared" si="192"/>
        <v>126028.14901728797</v>
      </c>
      <c r="BL86" s="86">
        <f t="shared" si="192"/>
        <v>119488.65645332521</v>
      </c>
      <c r="BM86" s="86">
        <f t="shared" si="192"/>
        <v>112825.64519642873</v>
      </c>
    </row>
    <row r="87" spans="1:95">
      <c r="A87" s="79" t="s">
        <v>9</v>
      </c>
      <c r="B87" s="86"/>
      <c r="C87" s="86"/>
      <c r="D87" s="86"/>
      <c r="E87" s="86"/>
      <c r="F87" s="86">
        <f t="shared" ref="F87:M87" si="193">(F63*$R$34)</f>
        <v>125086.5</v>
      </c>
      <c r="G87" s="86">
        <f t="shared" si="193"/>
        <v>151374.29999999999</v>
      </c>
      <c r="H87" s="86">
        <f t="shared" si="193"/>
        <v>168468.30000000002</v>
      </c>
      <c r="I87" s="86">
        <f t="shared" si="193"/>
        <v>182721</v>
      </c>
      <c r="J87" s="86">
        <f t="shared" si="193"/>
        <v>197897.7</v>
      </c>
      <c r="K87" s="86">
        <f t="shared" si="193"/>
        <v>203811.30000000002</v>
      </c>
      <c r="L87" s="86">
        <f t="shared" si="193"/>
        <v>206768.1</v>
      </c>
      <c r="M87" s="86">
        <f t="shared" si="193"/>
        <v>229752.59999999998</v>
      </c>
      <c r="N87" s="86">
        <f t="shared" ref="N87:S87" si="194">(N63*$R$34)</f>
        <v>239500.80000000002</v>
      </c>
      <c r="O87" s="86">
        <f t="shared" si="194"/>
        <v>246084.3</v>
      </c>
      <c r="P87" s="86">
        <f t="shared" si="194"/>
        <v>231693</v>
      </c>
      <c r="Q87" s="86">
        <f t="shared" si="194"/>
        <v>261168.6</v>
      </c>
      <c r="R87" s="86">
        <f t="shared" si="194"/>
        <v>247285.5</v>
      </c>
      <c r="S87" s="86">
        <f t="shared" si="194"/>
        <v>246708</v>
      </c>
      <c r="T87" s="86">
        <f t="shared" ref="T87:BC87" si="195">(T63*$R$34)</f>
        <v>265465.2</v>
      </c>
      <c r="U87" s="86">
        <f t="shared" si="195"/>
        <v>264841.5</v>
      </c>
      <c r="V87" s="86">
        <f t="shared" si="195"/>
        <v>282674.7</v>
      </c>
      <c r="W87" s="86">
        <f t="shared" si="195"/>
        <v>276945.90000000002</v>
      </c>
      <c r="X87" s="86">
        <f t="shared" si="195"/>
        <v>261307.2</v>
      </c>
      <c r="Y87" s="86">
        <f t="shared" si="195"/>
        <v>254354.1</v>
      </c>
      <c r="Z87" s="86">
        <f t="shared" si="195"/>
        <v>261214.8</v>
      </c>
      <c r="AA87" s="86">
        <f t="shared" si="195"/>
        <v>283783.5</v>
      </c>
      <c r="AB87" s="86">
        <f t="shared" si="195"/>
        <v>268006.2</v>
      </c>
      <c r="AC87" s="86">
        <f t="shared" si="195"/>
        <v>286991.51700708718</v>
      </c>
      <c r="AD87" s="86">
        <f t="shared" si="195"/>
        <v>273624.29309133766</v>
      </c>
      <c r="AE87" s="86">
        <f t="shared" si="195"/>
        <v>277398.94047603279</v>
      </c>
      <c r="AF87" s="86">
        <f t="shared" si="195"/>
        <v>277418.62424600479</v>
      </c>
      <c r="AG87" s="86">
        <f t="shared" si="195"/>
        <v>268343.67369813233</v>
      </c>
      <c r="AH87" s="86">
        <f t="shared" si="195"/>
        <v>255569.78594527842</v>
      </c>
      <c r="AI87" s="86">
        <f t="shared" si="195"/>
        <v>242415.04141600514</v>
      </c>
      <c r="AJ87" s="86">
        <f t="shared" si="195"/>
        <v>231301.32929235717</v>
      </c>
      <c r="AK87" s="86">
        <f t="shared" si="195"/>
        <v>215965.90620770041</v>
      </c>
      <c r="AL87" s="86">
        <f t="shared" si="195"/>
        <v>206364.04585086857</v>
      </c>
      <c r="AM87" s="86">
        <f t="shared" si="195"/>
        <v>200359.17350444247</v>
      </c>
      <c r="AN87" s="86">
        <f t="shared" si="195"/>
        <v>194811.40590896385</v>
      </c>
      <c r="AO87" s="86">
        <f t="shared" si="195"/>
        <v>189775.20977459583</v>
      </c>
      <c r="AP87" s="86">
        <f t="shared" si="195"/>
        <v>182121.48466128239</v>
      </c>
      <c r="AQ87" s="86">
        <f t="shared" si="195"/>
        <v>170669.99851800152</v>
      </c>
      <c r="AR87" s="86">
        <f t="shared" si="195"/>
        <v>158326.67615112694</v>
      </c>
      <c r="AS87" s="86">
        <f t="shared" si="195"/>
        <v>149438.94917106148</v>
      </c>
      <c r="AT87" s="86">
        <f t="shared" si="195"/>
        <v>141439.21584892983</v>
      </c>
      <c r="AU87" s="86">
        <f t="shared" si="195"/>
        <v>135382.92337364255</v>
      </c>
      <c r="AV87" s="86">
        <f t="shared" si="195"/>
        <v>129042.00627918716</v>
      </c>
      <c r="AW87" s="86">
        <f t="shared" si="195"/>
        <v>121938.61281300653</v>
      </c>
      <c r="AX87" s="86">
        <f t="shared" si="195"/>
        <v>116153.47615242362</v>
      </c>
      <c r="AY87" s="86">
        <f t="shared" si="195"/>
        <v>111665.32682545524</v>
      </c>
      <c r="AZ87" s="86">
        <f t="shared" si="195"/>
        <v>107291.35213659855</v>
      </c>
      <c r="BA87" s="86">
        <f t="shared" si="195"/>
        <v>103255.57103561654</v>
      </c>
      <c r="BB87" s="86">
        <f t="shared" si="195"/>
        <v>100008.00472204218</v>
      </c>
      <c r="BC87" s="86">
        <f t="shared" si="195"/>
        <v>96208.695153771361</v>
      </c>
      <c r="BD87" s="86">
        <f t="shared" ref="BD87:BM87" si="196">(BD63*$R$34)</f>
        <v>92674.173460065809</v>
      </c>
      <c r="BE87" s="86">
        <f t="shared" si="196"/>
        <v>88634.60582680958</v>
      </c>
      <c r="BF87" s="86">
        <f t="shared" si="196"/>
        <v>85247.134115478955</v>
      </c>
      <c r="BG87" s="86">
        <f t="shared" si="196"/>
        <v>82727.443784388248</v>
      </c>
      <c r="BH87" s="86">
        <f t="shared" si="196"/>
        <v>81333.110068165261</v>
      </c>
      <c r="BI87" s="86">
        <f t="shared" si="196"/>
        <v>79501.333864172222</v>
      </c>
      <c r="BJ87" s="86">
        <f t="shared" si="196"/>
        <v>78289.639409109048</v>
      </c>
      <c r="BK87" s="86">
        <f t="shared" si="196"/>
        <v>77307.080079615771</v>
      </c>
      <c r="BL87" s="86">
        <f t="shared" si="196"/>
        <v>76219.712242409034</v>
      </c>
      <c r="BM87" s="86">
        <f t="shared" si="196"/>
        <v>75311.491780635042</v>
      </c>
    </row>
    <row r="88" spans="1:95">
      <c r="A88" s="79" t="s">
        <v>10</v>
      </c>
      <c r="B88" s="86"/>
      <c r="C88" s="86"/>
      <c r="D88" s="86"/>
      <c r="E88" s="86"/>
      <c r="F88" s="86">
        <f t="shared" ref="F88:AK88" si="197">(F64*$R36)</f>
        <v>46698.479999999996</v>
      </c>
      <c r="G88" s="86">
        <f t="shared" si="197"/>
        <v>53820.068571428572</v>
      </c>
      <c r="H88" s="86">
        <f t="shared" si="197"/>
        <v>65501.725714285705</v>
      </c>
      <c r="I88" s="86">
        <f t="shared" si="197"/>
        <v>62799.462857142862</v>
      </c>
      <c r="J88" s="86">
        <f t="shared" si="197"/>
        <v>66881.005714285711</v>
      </c>
      <c r="K88" s="86">
        <f t="shared" si="197"/>
        <v>68485.47428571427</v>
      </c>
      <c r="L88" s="86">
        <f t="shared" si="197"/>
        <v>55621.577142857132</v>
      </c>
      <c r="M88" s="86">
        <f t="shared" si="197"/>
        <v>58717.919999999991</v>
      </c>
      <c r="N88" s="86">
        <f t="shared" si="197"/>
        <v>60237.942857142858</v>
      </c>
      <c r="O88" s="86">
        <f t="shared" si="197"/>
        <v>55508.982857142852</v>
      </c>
      <c r="P88" s="86">
        <f t="shared" si="197"/>
        <v>58802.365714285712</v>
      </c>
      <c r="Q88" s="86">
        <f t="shared" si="197"/>
        <v>62996.502857142863</v>
      </c>
      <c r="R88" s="86">
        <f t="shared" si="197"/>
        <v>61110.548571428568</v>
      </c>
      <c r="S88" s="86">
        <f t="shared" si="197"/>
        <v>61532.777142857136</v>
      </c>
      <c r="T88" s="86">
        <f t="shared" si="197"/>
        <v>62123.897142857139</v>
      </c>
      <c r="U88" s="86">
        <f t="shared" si="197"/>
        <v>62236.491428571426</v>
      </c>
      <c r="V88" s="86">
        <f t="shared" si="197"/>
        <v>62208.342857142859</v>
      </c>
      <c r="W88" s="86">
        <f t="shared" si="197"/>
        <v>59590.525714285715</v>
      </c>
      <c r="X88" s="86">
        <f t="shared" si="197"/>
        <v>53707.474285714285</v>
      </c>
      <c r="Y88" s="86">
        <f t="shared" si="197"/>
        <v>51371.142857142855</v>
      </c>
      <c r="Z88" s="86">
        <f t="shared" si="197"/>
        <v>43095.462857142847</v>
      </c>
      <c r="AA88" s="86">
        <f t="shared" si="197"/>
        <v>35270.159999999996</v>
      </c>
      <c r="AB88" s="86">
        <f t="shared" si="197"/>
        <v>36564.994285714281</v>
      </c>
      <c r="AC88" s="86">
        <f t="shared" si="197"/>
        <v>39663.604985504528</v>
      </c>
      <c r="AD88" s="86">
        <f t="shared" si="197"/>
        <v>40889.789196893304</v>
      </c>
      <c r="AE88" s="86">
        <f t="shared" si="197"/>
        <v>43018.319909518563</v>
      </c>
      <c r="AF88" s="86">
        <f t="shared" si="197"/>
        <v>43396.470250466322</v>
      </c>
      <c r="AG88" s="86">
        <f t="shared" si="197"/>
        <v>43297.333671510598</v>
      </c>
      <c r="AH88" s="86">
        <f t="shared" si="197"/>
        <v>42571.413287620031</v>
      </c>
      <c r="AI88" s="86">
        <f t="shared" si="197"/>
        <v>40697.676181566072</v>
      </c>
      <c r="AJ88" s="86">
        <f t="shared" si="197"/>
        <v>36592.176928781642</v>
      </c>
      <c r="AK88" s="86">
        <f t="shared" si="197"/>
        <v>34062.707251459731</v>
      </c>
      <c r="AL88" s="86">
        <f t="shared" ref="AL88:BC88" si="198">(AL64*$R36)</f>
        <v>30129.243407859758</v>
      </c>
      <c r="AM88" s="86">
        <f t="shared" si="198"/>
        <v>26865.579675394205</v>
      </c>
      <c r="AN88" s="86">
        <f t="shared" si="198"/>
        <v>23663.053132461941</v>
      </c>
      <c r="AO88" s="86">
        <f t="shared" si="198"/>
        <v>21463.919231151751</v>
      </c>
      <c r="AP88" s="86">
        <f t="shared" si="198"/>
        <v>18437.64542811938</v>
      </c>
      <c r="AQ88" s="86">
        <f t="shared" si="198"/>
        <v>15544.250183972677</v>
      </c>
      <c r="AR88" s="86">
        <f t="shared" si="198"/>
        <v>13751.79240861875</v>
      </c>
      <c r="AS88" s="86">
        <f t="shared" si="198"/>
        <v>12439.463570253754</v>
      </c>
      <c r="AT88" s="86">
        <f t="shared" si="198"/>
        <v>11007.823856732863</v>
      </c>
      <c r="AU88" s="86">
        <f t="shared" si="198"/>
        <v>9891.0295625977269</v>
      </c>
      <c r="AV88" s="86">
        <f t="shared" si="198"/>
        <v>8892.5961386862564</v>
      </c>
      <c r="AW88" s="86">
        <f t="shared" si="198"/>
        <v>7731.8065547002616</v>
      </c>
      <c r="AX88" s="86">
        <f t="shared" si="198"/>
        <v>6963.1714544573297</v>
      </c>
      <c r="AY88" s="86">
        <f t="shared" si="198"/>
        <v>5766.9229342625895</v>
      </c>
      <c r="AZ88" s="86">
        <f t="shared" si="198"/>
        <v>5397.0479935131943</v>
      </c>
      <c r="BA88" s="86">
        <f t="shared" si="198"/>
        <v>4158.4886724463622</v>
      </c>
      <c r="BB88" s="86">
        <f t="shared" si="198"/>
        <v>3229.2895005508485</v>
      </c>
      <c r="BC88" s="86">
        <f t="shared" si="198"/>
        <v>2689.0376503799562</v>
      </c>
      <c r="BD88" s="86">
        <f t="shared" ref="BD88:BM88" si="199">(BD64*$R36)</f>
        <v>2198.45808411506</v>
      </c>
      <c r="BE88" s="86">
        <f t="shared" si="199"/>
        <v>1503.4723820560584</v>
      </c>
      <c r="BF88" s="86">
        <f t="shared" si="199"/>
        <v>1196.6811127049277</v>
      </c>
      <c r="BG88" s="86">
        <f t="shared" si="199"/>
        <v>857.66314588715147</v>
      </c>
      <c r="BH88" s="86">
        <f t="shared" si="199"/>
        <v>587.39364969894575</v>
      </c>
      <c r="BI88" s="86">
        <f t="shared" si="199"/>
        <v>394.01142587788831</v>
      </c>
      <c r="BJ88" s="86">
        <f t="shared" si="199"/>
        <v>216.59853211048585</v>
      </c>
      <c r="BK88" s="86">
        <f t="shared" si="199"/>
        <v>204.14104935185756</v>
      </c>
      <c r="BL88" s="86">
        <f t="shared" si="199"/>
        <v>190.20229708893538</v>
      </c>
      <c r="BM88" s="86">
        <f t="shared" si="199"/>
        <v>132.24641032879489</v>
      </c>
    </row>
    <row r="89" spans="1:95">
      <c r="A89" s="79" t="s">
        <v>11</v>
      </c>
      <c r="B89" s="86"/>
      <c r="C89" s="86"/>
      <c r="D89" s="86"/>
      <c r="E89" s="86"/>
      <c r="F89" s="86">
        <f>SUM(F86:F87)</f>
        <v>852077.33215919998</v>
      </c>
      <c r="G89" s="86">
        <f t="shared" ref="G89:BC89" si="200">SUM(G86:G87)</f>
        <v>849306.39865350001</v>
      </c>
      <c r="H89" s="86">
        <f t="shared" si="200"/>
        <v>833563.62787319999</v>
      </c>
      <c r="I89" s="86">
        <f t="shared" si="200"/>
        <v>836964.51868019998</v>
      </c>
      <c r="J89" s="86">
        <f t="shared" si="200"/>
        <v>793300.29772259993</v>
      </c>
      <c r="K89" s="86">
        <f t="shared" si="200"/>
        <v>752752.07762220013</v>
      </c>
      <c r="L89" s="86">
        <f t="shared" si="200"/>
        <v>722349.6123252</v>
      </c>
      <c r="M89" s="86">
        <f t="shared" si="200"/>
        <v>722746.27244940004</v>
      </c>
      <c r="N89" s="86">
        <f t="shared" si="200"/>
        <v>701466.33653460001</v>
      </c>
      <c r="O89" s="86">
        <f t="shared" si="200"/>
        <v>665647.39691010001</v>
      </c>
      <c r="P89" s="86">
        <f t="shared" si="200"/>
        <v>623403.11998139997</v>
      </c>
      <c r="Q89" s="86">
        <f t="shared" si="200"/>
        <v>619680.22222800006</v>
      </c>
      <c r="R89" s="86">
        <f t="shared" si="200"/>
        <v>588675.37883460009</v>
      </c>
      <c r="S89" s="86">
        <f>SUM(S86:S87)</f>
        <v>599190.83934299997</v>
      </c>
      <c r="T89" s="86">
        <f t="shared" si="200"/>
        <v>630608.48340149992</v>
      </c>
      <c r="U89" s="86">
        <f t="shared" si="200"/>
        <v>642243.30860100011</v>
      </c>
      <c r="V89" s="86">
        <f t="shared" si="200"/>
        <v>653565.42308520002</v>
      </c>
      <c r="W89" s="86">
        <f t="shared" si="200"/>
        <v>623681.29965930001</v>
      </c>
      <c r="X89" s="86">
        <f t="shared" si="200"/>
        <v>595743.88257390005</v>
      </c>
      <c r="Y89" s="86">
        <f t="shared" si="200"/>
        <v>650203.98422910005</v>
      </c>
      <c r="Z89" s="86">
        <f t="shared" si="200"/>
        <v>672618.94407239999</v>
      </c>
      <c r="AA89" s="86">
        <f t="shared" si="200"/>
        <v>676900.33598790003</v>
      </c>
      <c r="AB89" s="86">
        <f t="shared" si="200"/>
        <v>686564.49976260005</v>
      </c>
      <c r="AC89" s="86">
        <f t="shared" si="200"/>
        <v>700511.29287382099</v>
      </c>
      <c r="AD89" s="86">
        <f t="shared" si="200"/>
        <v>696401.97314643301</v>
      </c>
      <c r="AE89" s="86">
        <f t="shared" si="200"/>
        <v>683520.91196057154</v>
      </c>
      <c r="AF89" s="86">
        <f t="shared" si="200"/>
        <v>665572.03052349365</v>
      </c>
      <c r="AG89" s="86">
        <f t="shared" si="200"/>
        <v>618205.56834018207</v>
      </c>
      <c r="AH89" s="86">
        <f t="shared" si="200"/>
        <v>572466.11676181632</v>
      </c>
      <c r="AI89" s="86">
        <f t="shared" si="200"/>
        <v>539006.67649856256</v>
      </c>
      <c r="AJ89" s="86">
        <f t="shared" si="200"/>
        <v>519275.57497488859</v>
      </c>
      <c r="AK89" s="86">
        <f t="shared" si="200"/>
        <v>500186.79123065621</v>
      </c>
      <c r="AL89" s="86">
        <f t="shared" si="200"/>
        <v>485241.26237417909</v>
      </c>
      <c r="AM89" s="86">
        <f t="shared" si="200"/>
        <v>479591.90416029643</v>
      </c>
      <c r="AN89" s="86">
        <f t="shared" si="200"/>
        <v>472279.45558006631</v>
      </c>
      <c r="AO89" s="86">
        <f t="shared" si="200"/>
        <v>462608.72128911968</v>
      </c>
      <c r="AP89" s="86">
        <f t="shared" si="200"/>
        <v>449084.90230858687</v>
      </c>
      <c r="AQ89" s="86">
        <f t="shared" si="200"/>
        <v>427579.14592868206</v>
      </c>
      <c r="AR89" s="86">
        <f t="shared" si="200"/>
        <v>406491.45414719341</v>
      </c>
      <c r="AS89" s="86">
        <f t="shared" si="200"/>
        <v>389648.81583610876</v>
      </c>
      <c r="AT89" s="86">
        <f t="shared" si="200"/>
        <v>375199.03478592157</v>
      </c>
      <c r="AU89" s="86">
        <f t="shared" si="200"/>
        <v>361681.58684995701</v>
      </c>
      <c r="AV89" s="86">
        <f t="shared" si="200"/>
        <v>348412.21301776747</v>
      </c>
      <c r="AW89" s="86">
        <f t="shared" si="200"/>
        <v>335895.54076887434</v>
      </c>
      <c r="AX89" s="86">
        <f t="shared" si="200"/>
        <v>322813.97541920072</v>
      </c>
      <c r="AY89" s="86">
        <f t="shared" si="200"/>
        <v>312029.64759954577</v>
      </c>
      <c r="AZ89" s="86">
        <f t="shared" si="200"/>
        <v>300512.22057596617</v>
      </c>
      <c r="BA89" s="86">
        <f t="shared" si="200"/>
        <v>291320.46612544474</v>
      </c>
      <c r="BB89" s="86">
        <f t="shared" si="200"/>
        <v>280978.2364625308</v>
      </c>
      <c r="BC89" s="86">
        <f t="shared" si="200"/>
        <v>270511.9383914622</v>
      </c>
      <c r="BD89" s="86">
        <f t="shared" ref="BD89:BM89" si="201">SUM(BD86:BD87)</f>
        <v>261631.42629440076</v>
      </c>
      <c r="BE89" s="86">
        <f t="shared" si="201"/>
        <v>251476.50530195801</v>
      </c>
      <c r="BF89" s="86">
        <f t="shared" si="201"/>
        <v>242563.58076360507</v>
      </c>
      <c r="BG89" s="86">
        <f t="shared" si="201"/>
        <v>234029.60758400295</v>
      </c>
      <c r="BH89" s="86">
        <f t="shared" si="201"/>
        <v>226243.27100557013</v>
      </c>
      <c r="BI89" s="86">
        <f t="shared" si="201"/>
        <v>218604.85829715934</v>
      </c>
      <c r="BJ89" s="86">
        <f t="shared" si="201"/>
        <v>211455.87050116222</v>
      </c>
      <c r="BK89" s="86">
        <f t="shared" si="201"/>
        <v>203335.22909690376</v>
      </c>
      <c r="BL89" s="86">
        <f t="shared" si="201"/>
        <v>195708.36869573424</v>
      </c>
      <c r="BM89" s="86">
        <f t="shared" si="201"/>
        <v>188137.13697706378</v>
      </c>
    </row>
    <row r="90" spans="1:95"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</row>
    <row r="91" spans="1:95">
      <c r="A91" s="78" t="s">
        <v>302</v>
      </c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</row>
    <row r="92" spans="1:95">
      <c r="A92" s="79" t="s">
        <v>17</v>
      </c>
      <c r="B92" s="86"/>
      <c r="C92" s="86"/>
      <c r="D92" s="86"/>
      <c r="E92" s="86"/>
      <c r="F92" s="86"/>
      <c r="G92" s="126">
        <f>(G86/F86-1)*100</f>
        <v>-3.9971251658557971</v>
      </c>
      <c r="H92" s="126">
        <f>(H86/G86-1)*100</f>
        <v>-4.7048661099913787</v>
      </c>
      <c r="I92" s="126">
        <f t="shared" ref="H92:AI95" si="202">(I86/H86-1)*100</f>
        <v>-1.6316171138506141</v>
      </c>
      <c r="J92" s="126">
        <f t="shared" si="202"/>
        <v>-8.9937338739402897</v>
      </c>
      <c r="K92" s="126">
        <f>(K86/J86-1)*100</f>
        <v>-7.8034291886053602</v>
      </c>
      <c r="L92" s="126">
        <f t="shared" si="202"/>
        <v>-6.0770244545321539</v>
      </c>
      <c r="M92" s="126">
        <f>(M86/L86-1)*100</f>
        <v>-4.3810414717804775</v>
      </c>
      <c r="N92" s="126">
        <f t="shared" si="202"/>
        <v>-6.2938203163215416</v>
      </c>
      <c r="O92" s="126">
        <f t="shared" si="202"/>
        <v>-9.1787019314424896</v>
      </c>
      <c r="P92" s="126">
        <f>(P86/O86-1)*100</f>
        <v>-6.638566912539523</v>
      </c>
      <c r="Q92" s="126">
        <f t="shared" si="202"/>
        <v>-8.4752719064231314</v>
      </c>
      <c r="R92" s="126">
        <f t="shared" si="202"/>
        <v>-4.7757847533632214</v>
      </c>
      <c r="S92" s="126">
        <f t="shared" si="202"/>
        <v>3.249352484106427</v>
      </c>
      <c r="T92" s="126">
        <f t="shared" si="202"/>
        <v>3.5917901938426366</v>
      </c>
      <c r="U92" s="126">
        <f t="shared" si="202"/>
        <v>3.3571821684095005</v>
      </c>
      <c r="V92" s="126">
        <f t="shared" si="202"/>
        <v>-1.7252396166134276</v>
      </c>
      <c r="W92" s="126">
        <f t="shared" si="202"/>
        <v>-6.5127871694841799</v>
      </c>
      <c r="X92" s="126">
        <f t="shared" si="202"/>
        <v>-3.5470035933696575</v>
      </c>
      <c r="Y92" s="126">
        <f t="shared" si="202"/>
        <v>18.363177502704019</v>
      </c>
      <c r="Z92" s="126">
        <f t="shared" si="202"/>
        <v>3.9293329272007238</v>
      </c>
      <c r="AA92" s="126">
        <f t="shared" si="202"/>
        <v>-4.4450957405236302</v>
      </c>
      <c r="AB92" s="126">
        <f t="shared" si="202"/>
        <v>6.4717309068602402</v>
      </c>
      <c r="AC92" s="126">
        <f t="shared" si="202"/>
        <v>-1.2037806677645535</v>
      </c>
      <c r="AD92" s="126">
        <f t="shared" si="202"/>
        <v>2.2388056699240266</v>
      </c>
      <c r="AE92" s="126">
        <f t="shared" si="202"/>
        <v>-3.9395903228349405</v>
      </c>
      <c r="AF92" s="126">
        <f t="shared" si="202"/>
        <v>-4.424425780601748</v>
      </c>
      <c r="AG92" s="126">
        <f t="shared" si="202"/>
        <v>-9.8650458855086285</v>
      </c>
      <c r="AH92" s="126">
        <f t="shared" si="202"/>
        <v>-9.4224504955704234</v>
      </c>
      <c r="AI92" s="126">
        <f t="shared" si="202"/>
        <v>-6.4073622063284708</v>
      </c>
      <c r="AJ92" s="126">
        <f t="shared" ref="AJ92:BC92" si="203">(AJ86/AI86-1)*100</f>
        <v>-2.905472838985268</v>
      </c>
      <c r="AK92" s="126">
        <f t="shared" si="203"/>
        <v>-1.3033667822203054</v>
      </c>
      <c r="AL92" s="126">
        <f t="shared" si="203"/>
        <v>-1.8801111323024866</v>
      </c>
      <c r="AM92" s="126">
        <f t="shared" si="203"/>
        <v>0.12748052242330665</v>
      </c>
      <c r="AN92" s="126">
        <f t="shared" si="203"/>
        <v>-0.63197497678969539</v>
      </c>
      <c r="AO92" s="126">
        <f t="shared" si="203"/>
        <v>-1.6702961519613257</v>
      </c>
      <c r="AP92" s="126">
        <f t="shared" si="203"/>
        <v>-2.1515296396817152</v>
      </c>
      <c r="AQ92" s="126">
        <f t="shared" si="203"/>
        <v>-3.766160294631471</v>
      </c>
      <c r="AR92" s="126">
        <f t="shared" si="203"/>
        <v>-3.4036816138102721</v>
      </c>
      <c r="AS92" s="126">
        <f t="shared" si="203"/>
        <v>-3.2054957175048027</v>
      </c>
      <c r="AT92" s="126">
        <f t="shared" si="203"/>
        <v>-2.6851718530985891</v>
      </c>
      <c r="AU92" s="126">
        <f t="shared" si="203"/>
        <v>-3.1918040896020794</v>
      </c>
      <c r="AV92" s="126">
        <f t="shared" si="203"/>
        <v>-3.0616428004044627</v>
      </c>
      <c r="AW92" s="126">
        <f t="shared" si="203"/>
        <v>-2.467645385028705</v>
      </c>
      <c r="AX92" s="126">
        <f t="shared" si="203"/>
        <v>-3.4102324981015619</v>
      </c>
      <c r="AY92" s="126">
        <f t="shared" si="203"/>
        <v>-3.046628898616377</v>
      </c>
      <c r="AZ92" s="126">
        <f t="shared" si="203"/>
        <v>-3.5652317274477041</v>
      </c>
      <c r="BA92" s="126">
        <f t="shared" si="203"/>
        <v>-2.6684350356065978</v>
      </c>
      <c r="BB92" s="126">
        <f t="shared" si="203"/>
        <v>-3.7724548996509122</v>
      </c>
      <c r="BC92" s="126">
        <f t="shared" si="203"/>
        <v>-3.6840249574074946</v>
      </c>
      <c r="BD92" s="126">
        <f t="shared" ref="BD92:BD95" si="204">(BD86/BC86-1)*100</f>
        <v>-3.0670630701149504</v>
      </c>
      <c r="BE92" s="126">
        <f t="shared" ref="BE92:BE95" si="205">(BE86/BD86-1)*100</f>
        <v>-3.6194677982736567</v>
      </c>
      <c r="BF92" s="126">
        <f t="shared" ref="BF92:BF95" si="206">(BF86/BE86-1)*100</f>
        <v>-3.3931395082170135</v>
      </c>
      <c r="BG92" s="126">
        <f t="shared" ref="BG92:BG95" si="207">(BG86/BF86-1)*100</f>
        <v>-3.8230477338225932</v>
      </c>
      <c r="BH92" s="126">
        <f t="shared" ref="BH92:BH95" si="208">(BH86/BG86-1)*100</f>
        <v>-4.2246605743691994</v>
      </c>
      <c r="BI92" s="126">
        <f t="shared" ref="BI92:BI95" si="209">(BI86/BH86-1)*100</f>
        <v>-4.0070595925471242</v>
      </c>
      <c r="BJ92" s="126">
        <f t="shared" ref="BJ92:BJ95" si="210">(BJ86/BI86-1)*100</f>
        <v>-4.2682551467588592</v>
      </c>
      <c r="BK92" s="126">
        <f t="shared" ref="BK92:BK95" si="211">(BK86/BJ86-1)*100</f>
        <v>-5.3602794163566063</v>
      </c>
      <c r="BL92" s="126">
        <f t="shared" ref="BL92:BL95" si="212">(BL86/BK86-1)*100</f>
        <v>-5.1889142346014383</v>
      </c>
      <c r="BM92" s="126">
        <f t="shared" ref="BM92:BM95" si="213">(BM86/BL86-1)*100</f>
        <v>-5.5762709655198028</v>
      </c>
    </row>
    <row r="93" spans="1:95">
      <c r="A93" s="79" t="s">
        <v>9</v>
      </c>
      <c r="B93" s="86"/>
      <c r="C93" s="86"/>
      <c r="D93" s="86"/>
      <c r="E93" s="86"/>
      <c r="F93" s="86"/>
      <c r="G93" s="126">
        <f>(G87/F87-1)*100</f>
        <v>21.01569713758078</v>
      </c>
      <c r="H93" s="126">
        <f t="shared" ref="H93:V93" si="214">(H87/G87-1)*100</f>
        <v>11.292537768960798</v>
      </c>
      <c r="I93" s="126">
        <f t="shared" si="214"/>
        <v>8.4601672836966735</v>
      </c>
      <c r="J93" s="126">
        <f t="shared" si="214"/>
        <v>8.3059418457648526</v>
      </c>
      <c r="K93" s="126">
        <f t="shared" si="214"/>
        <v>2.9882105754639898</v>
      </c>
      <c r="L93" s="126">
        <f>(L87/K87-1)*100</f>
        <v>1.4507537118893632</v>
      </c>
      <c r="M93" s="126">
        <f t="shared" si="214"/>
        <v>11.116076416042887</v>
      </c>
      <c r="N93" s="126">
        <f t="shared" si="214"/>
        <v>4.2429117233058644</v>
      </c>
      <c r="O93" s="126">
        <f t="shared" si="214"/>
        <v>2.7488425925925819</v>
      </c>
      <c r="P93" s="126">
        <f t="shared" si="214"/>
        <v>-5.8481179010607338</v>
      </c>
      <c r="Q93" s="126">
        <f t="shared" si="214"/>
        <v>12.721834496510475</v>
      </c>
      <c r="R93" s="126">
        <f t="shared" si="214"/>
        <v>-5.3157615425437843</v>
      </c>
      <c r="S93" s="126">
        <f t="shared" si="214"/>
        <v>-0.23353573096683844</v>
      </c>
      <c r="T93" s="126">
        <f t="shared" si="214"/>
        <v>7.6029962546816598</v>
      </c>
      <c r="U93" s="126">
        <f t="shared" si="214"/>
        <v>-0.23494604942568831</v>
      </c>
      <c r="V93" s="126">
        <f t="shared" si="214"/>
        <v>6.7335368512865257</v>
      </c>
      <c r="W93" s="126">
        <f t="shared" si="202"/>
        <v>-2.0266405164664492</v>
      </c>
      <c r="X93" s="126">
        <f t="shared" si="202"/>
        <v>-5.6468429393610853</v>
      </c>
      <c r="Y93" s="126">
        <f t="shared" si="202"/>
        <v>-2.6608910891089077</v>
      </c>
      <c r="Z93" s="126">
        <f t="shared" si="202"/>
        <v>2.6973026973026837</v>
      </c>
      <c r="AA93" s="126">
        <f t="shared" si="202"/>
        <v>8.639900955076051</v>
      </c>
      <c r="AB93" s="126">
        <f t="shared" si="202"/>
        <v>-5.5596255596255588</v>
      </c>
      <c r="AC93" s="126">
        <f t="shared" si="202"/>
        <v>7.0839096286157366</v>
      </c>
      <c r="AD93" s="126">
        <f t="shared" si="202"/>
        <v>-4.6577069786419623</v>
      </c>
      <c r="AE93" s="126">
        <f t="shared" si="202"/>
        <v>1.3795000955690417</v>
      </c>
      <c r="AF93" s="126">
        <f t="shared" si="202"/>
        <v>7.0958345905092202E-3</v>
      </c>
      <c r="AG93" s="126">
        <f t="shared" si="202"/>
        <v>-3.2712117193058776</v>
      </c>
      <c r="AH93" s="126">
        <f t="shared" si="202"/>
        <v>-4.7602716236282987</v>
      </c>
      <c r="AI93" s="126">
        <f t="shared" si="202"/>
        <v>-5.1472221102419002</v>
      </c>
      <c r="AJ93" s="126">
        <f t="shared" ref="AJ93:BC93" si="215">(AJ87/AI87-1)*100</f>
        <v>-4.584580254892634</v>
      </c>
      <c r="AK93" s="126">
        <f t="shared" si="215"/>
        <v>-6.6300626682838093</v>
      </c>
      <c r="AL93" s="126">
        <f t="shared" si="215"/>
        <v>-4.4460074858285514</v>
      </c>
      <c r="AM93" s="126">
        <f t="shared" si="215"/>
        <v>-2.9098442617109699</v>
      </c>
      <c r="AN93" s="126">
        <f t="shared" si="215"/>
        <v>-2.768911200043267</v>
      </c>
      <c r="AO93" s="126">
        <f t="shared" si="215"/>
        <v>-2.5851649244405417</v>
      </c>
      <c r="AP93" s="126">
        <f t="shared" si="215"/>
        <v>-4.0330479004102244</v>
      </c>
      <c r="AQ93" s="126">
        <f t="shared" si="215"/>
        <v>-6.2878282398031509</v>
      </c>
      <c r="AR93" s="126">
        <f t="shared" si="215"/>
        <v>-7.2322742567860647</v>
      </c>
      <c r="AS93" s="126">
        <f t="shared" si="215"/>
        <v>-5.6135372737705307</v>
      </c>
      <c r="AT93" s="126">
        <f t="shared" si="215"/>
        <v>-5.3531782487137409</v>
      </c>
      <c r="AU93" s="126">
        <f t="shared" si="215"/>
        <v>-4.2819047312564029</v>
      </c>
      <c r="AV93" s="126">
        <f t="shared" si="215"/>
        <v>-4.6836904806340502</v>
      </c>
      <c r="AW93" s="126">
        <f t="shared" si="215"/>
        <v>-5.5047140624985058</v>
      </c>
      <c r="AX93" s="126">
        <f t="shared" si="215"/>
        <v>-4.7443025036330795</v>
      </c>
      <c r="AY93" s="126">
        <f t="shared" si="215"/>
        <v>-3.8639819277373699</v>
      </c>
      <c r="AZ93" s="126">
        <f t="shared" si="215"/>
        <v>-3.9170392575787472</v>
      </c>
      <c r="BA93" s="126">
        <f t="shared" si="215"/>
        <v>-3.7615157425212042</v>
      </c>
      <c r="BB93" s="126">
        <f t="shared" si="215"/>
        <v>-3.1451729732375866</v>
      </c>
      <c r="BC93" s="126">
        <f t="shared" si="215"/>
        <v>-3.7990054684427066</v>
      </c>
      <c r="BD93" s="126">
        <f t="shared" si="204"/>
        <v>-3.673806913248634</v>
      </c>
      <c r="BE93" s="126">
        <f t="shared" si="205"/>
        <v>-4.3588925397828548</v>
      </c>
      <c r="BF93" s="126">
        <f t="shared" si="206"/>
        <v>-3.8218387499231232</v>
      </c>
      <c r="BG93" s="126">
        <f t="shared" si="207"/>
        <v>-2.9557478468161036</v>
      </c>
      <c r="BH93" s="126">
        <f t="shared" si="208"/>
        <v>-1.6854548532371227</v>
      </c>
      <c r="BI93" s="126">
        <f t="shared" si="209"/>
        <v>-2.2521900397732608</v>
      </c>
      <c r="BJ93" s="126">
        <f t="shared" si="210"/>
        <v>-1.5241183967219296</v>
      </c>
      <c r="BK93" s="126">
        <f t="shared" si="211"/>
        <v>-1.255031108725424</v>
      </c>
      <c r="BL93" s="126">
        <f t="shared" si="212"/>
        <v>-1.4065566001029817</v>
      </c>
      <c r="BM93" s="126">
        <f t="shared" si="213"/>
        <v>-1.1915821183967279</v>
      </c>
    </row>
    <row r="94" spans="1:95">
      <c r="A94" s="79" t="s">
        <v>10</v>
      </c>
      <c r="B94" s="86"/>
      <c r="C94" s="86"/>
      <c r="D94" s="86"/>
      <c r="E94" s="86"/>
      <c r="F94" s="86"/>
      <c r="G94" s="126">
        <f>(G88/F88-1)*100</f>
        <v>15.250150693188669</v>
      </c>
      <c r="H94" s="126">
        <f t="shared" si="202"/>
        <v>21.705020920502083</v>
      </c>
      <c r="I94" s="126">
        <f t="shared" si="202"/>
        <v>-4.1254834550923718</v>
      </c>
      <c r="J94" s="126">
        <f t="shared" si="202"/>
        <v>6.4993276557597346</v>
      </c>
      <c r="K94" s="126">
        <f t="shared" si="202"/>
        <v>2.3989898989898784</v>
      </c>
      <c r="L94" s="126">
        <f t="shared" si="202"/>
        <v>-18.783394985614464</v>
      </c>
      <c r="M94" s="126">
        <f t="shared" si="202"/>
        <v>5.5668016194331926</v>
      </c>
      <c r="N94" s="126">
        <f t="shared" si="202"/>
        <v>2.5886864813039479</v>
      </c>
      <c r="O94" s="126">
        <f t="shared" si="202"/>
        <v>-7.8504672897196315</v>
      </c>
      <c r="P94" s="126">
        <f t="shared" si="202"/>
        <v>5.9330628803245578</v>
      </c>
      <c r="Q94" s="126">
        <f t="shared" si="202"/>
        <v>7.1325993298228862</v>
      </c>
      <c r="R94" s="126">
        <f t="shared" si="202"/>
        <v>-2.9937444146559522</v>
      </c>
      <c r="S94" s="126">
        <f t="shared" si="202"/>
        <v>0.69092584062644402</v>
      </c>
      <c r="T94" s="126">
        <f t="shared" si="202"/>
        <v>0.96065873741995045</v>
      </c>
      <c r="U94" s="126">
        <f t="shared" si="202"/>
        <v>0.18124150430449681</v>
      </c>
      <c r="V94" s="126">
        <f t="shared" si="202"/>
        <v>-4.5228403437347353E-2</v>
      </c>
      <c r="W94" s="126">
        <f t="shared" si="202"/>
        <v>-4.2081447963800978</v>
      </c>
      <c r="X94" s="126">
        <f t="shared" si="202"/>
        <v>-9.8724610297590942</v>
      </c>
      <c r="Y94" s="126">
        <f t="shared" si="202"/>
        <v>-4.3501048218029359</v>
      </c>
      <c r="Z94" s="126">
        <f t="shared" si="202"/>
        <v>-16.109589041095905</v>
      </c>
      <c r="AA94" s="126">
        <f t="shared" si="202"/>
        <v>-18.158066623122139</v>
      </c>
      <c r="AB94" s="126">
        <f t="shared" si="202"/>
        <v>3.6711891460494694</v>
      </c>
      <c r="AC94" s="126">
        <f t="shared" si="202"/>
        <v>8.4742545714026072</v>
      </c>
      <c r="AD94" s="126">
        <f t="shared" si="202"/>
        <v>3.0914593160074499</v>
      </c>
      <c r="AE94" s="126">
        <f t="shared" si="202"/>
        <v>5.2055311470937671</v>
      </c>
      <c r="AF94" s="126">
        <f t="shared" si="202"/>
        <v>0.87904488539565229</v>
      </c>
      <c r="AG94" s="126">
        <f t="shared" si="202"/>
        <v>-0.22844387661842269</v>
      </c>
      <c r="AH94" s="126">
        <f t="shared" si="202"/>
        <v>-1.6765937353048099</v>
      </c>
      <c r="AI94" s="126">
        <f t="shared" si="202"/>
        <v>-4.401397466874446</v>
      </c>
      <c r="AJ94" s="126">
        <f t="shared" ref="AJ94:BC94" si="216">(AJ88/AI88-1)*100</f>
        <v>-10.087797726996527</v>
      </c>
      <c r="AK94" s="126">
        <f t="shared" si="216"/>
        <v>-6.9125968707599679</v>
      </c>
      <c r="AL94" s="126">
        <f t="shared" si="216"/>
        <v>-11.54771349958218</v>
      </c>
      <c r="AM94" s="126">
        <f t="shared" si="216"/>
        <v>-10.832212705394939</v>
      </c>
      <c r="AN94" s="126">
        <f t="shared" si="216"/>
        <v>-11.920556271731641</v>
      </c>
      <c r="AO94" s="126">
        <f t="shared" si="216"/>
        <v>-9.2935340549665906</v>
      </c>
      <c r="AP94" s="126">
        <f t="shared" si="216"/>
        <v>-14.099353293503714</v>
      </c>
      <c r="AQ94" s="126">
        <f t="shared" si="216"/>
        <v>-15.692867375212483</v>
      </c>
      <c r="AR94" s="126">
        <f t="shared" si="216"/>
        <v>-11.53132350637337</v>
      </c>
      <c r="AS94" s="126">
        <f t="shared" si="216"/>
        <v>-9.5429657412695601</v>
      </c>
      <c r="AT94" s="126">
        <f t="shared" si="216"/>
        <v>-11.508854103197375</v>
      </c>
      <c r="AU94" s="126">
        <f t="shared" si="216"/>
        <v>-10.145459344828234</v>
      </c>
      <c r="AV94" s="126">
        <f t="shared" si="216"/>
        <v>-10.094332623238545</v>
      </c>
      <c r="AW94" s="126">
        <f t="shared" si="216"/>
        <v>-13.053438679578711</v>
      </c>
      <c r="AX94" s="126">
        <f t="shared" si="216"/>
        <v>-9.9412096617402916</v>
      </c>
      <c r="AY94" s="126">
        <f t="shared" si="216"/>
        <v>-17.179650508662782</v>
      </c>
      <c r="AZ94" s="126">
        <f t="shared" si="216"/>
        <v>-6.4137312907700643</v>
      </c>
      <c r="BA94" s="126">
        <f t="shared" si="216"/>
        <v>-22.94882911094135</v>
      </c>
      <c r="BB94" s="126">
        <f t="shared" si="216"/>
        <v>-22.344636359172355</v>
      </c>
      <c r="BC94" s="126">
        <f t="shared" si="216"/>
        <v>-16.729743495550242</v>
      </c>
      <c r="BD94" s="126">
        <f t="shared" si="204"/>
        <v>-18.243685289998758</v>
      </c>
      <c r="BE94" s="126">
        <f t="shared" si="205"/>
        <v>-31.612415405170324</v>
      </c>
      <c r="BF94" s="126">
        <f t="shared" si="206"/>
        <v>-20.405514129337142</v>
      </c>
      <c r="BG94" s="126">
        <f t="shared" si="207"/>
        <v>-28.32985021811486</v>
      </c>
      <c r="BH94" s="126">
        <f t="shared" si="208"/>
        <v>-31.512313136487148</v>
      </c>
      <c r="BI94" s="126">
        <f t="shared" si="209"/>
        <v>-32.922082817914486</v>
      </c>
      <c r="BJ94" s="126">
        <f t="shared" si="210"/>
        <v>-45.02734746133634</v>
      </c>
      <c r="BK94" s="126">
        <f t="shared" si="211"/>
        <v>-5.751416058661829</v>
      </c>
      <c r="BL94" s="126">
        <f t="shared" si="212"/>
        <v>-6.8280006922553538</v>
      </c>
      <c r="BM94" s="126">
        <f t="shared" si="213"/>
        <v>-30.470655532115522</v>
      </c>
    </row>
    <row r="95" spans="1:95">
      <c r="A95" s="79" t="s">
        <v>11</v>
      </c>
      <c r="B95" s="86"/>
      <c r="C95" s="86"/>
      <c r="D95" s="86"/>
      <c r="E95" s="86"/>
      <c r="F95" s="86"/>
      <c r="G95" s="126">
        <f>(G89/F89-1)*100</f>
        <v>-0.32519742060010959</v>
      </c>
      <c r="H95" s="126">
        <f t="shared" si="202"/>
        <v>-1.8536032232017496</v>
      </c>
      <c r="I95" s="126">
        <f t="shared" si="202"/>
        <v>0.40799414625098951</v>
      </c>
      <c r="J95" s="126">
        <f t="shared" si="202"/>
        <v>-5.2169739556527039</v>
      </c>
      <c r="K95" s="126">
        <f t="shared" si="202"/>
        <v>-5.1113330244303867</v>
      </c>
      <c r="L95" s="126">
        <f t="shared" si="202"/>
        <v>-4.0388417648790416</v>
      </c>
      <c r="M95" s="126">
        <f t="shared" si="202"/>
        <v>5.4912485233193919E-2</v>
      </c>
      <c r="N95" s="126">
        <f t="shared" si="202"/>
        <v>-2.9443162456835537</v>
      </c>
      <c r="O95" s="126">
        <f t="shared" si="202"/>
        <v>-5.1062948795880247</v>
      </c>
      <c r="P95" s="126">
        <f t="shared" si="202"/>
        <v>-6.3463444948174903</v>
      </c>
      <c r="Q95" s="126">
        <f t="shared" si="202"/>
        <v>-0.5971894644208664</v>
      </c>
      <c r="R95" s="126">
        <f t="shared" si="202"/>
        <v>-5.0033617793908363</v>
      </c>
      <c r="S95" s="126">
        <f t="shared" si="202"/>
        <v>1.7862918828399632</v>
      </c>
      <c r="T95" s="126">
        <f t="shared" si="202"/>
        <v>5.2433451908157958</v>
      </c>
      <c r="U95" s="126">
        <f t="shared" si="202"/>
        <v>1.8450156484958846</v>
      </c>
      <c r="V95" s="126">
        <f t="shared" si="202"/>
        <v>1.7629011205835488</v>
      </c>
      <c r="W95" s="126">
        <f t="shared" si="202"/>
        <v>-4.5724762005967197</v>
      </c>
      <c r="X95" s="126">
        <f t="shared" si="202"/>
        <v>-4.4794379919137262</v>
      </c>
      <c r="Y95" s="126">
        <f t="shared" si="202"/>
        <v>9.1415293128829447</v>
      </c>
      <c r="Z95" s="126">
        <f t="shared" si="202"/>
        <v>3.4473734992374272</v>
      </c>
      <c r="AA95" s="126">
        <f t="shared" si="202"/>
        <v>0.63652562171059301</v>
      </c>
      <c r="AB95" s="126">
        <f t="shared" si="202"/>
        <v>1.4277085208704632</v>
      </c>
      <c r="AC95" s="126">
        <f t="shared" si="202"/>
        <v>2.0313886191382524</v>
      </c>
      <c r="AD95" s="126">
        <f t="shared" si="202"/>
        <v>-0.58661719935015899</v>
      </c>
      <c r="AE95" s="126">
        <f t="shared" si="202"/>
        <v>-1.8496589157642962</v>
      </c>
      <c r="AF95" s="126">
        <f t="shared" si="202"/>
        <v>-2.6259447403875869</v>
      </c>
      <c r="AG95" s="126">
        <f t="shared" si="202"/>
        <v>-7.1166545484275145</v>
      </c>
      <c r="AH95" s="126">
        <f t="shared" si="202"/>
        <v>-7.3987446766568983</v>
      </c>
      <c r="AI95" s="126">
        <f t="shared" si="202"/>
        <v>-5.8447896362004421</v>
      </c>
      <c r="AJ95" s="126">
        <f t="shared" ref="AJ95:BC95" si="217">(AJ89/AI89-1)*100</f>
        <v>-3.6606413953624961</v>
      </c>
      <c r="AK95" s="126">
        <f t="shared" si="217"/>
        <v>-3.6760411357987466</v>
      </c>
      <c r="AL95" s="126">
        <f t="shared" si="217"/>
        <v>-2.9879895108195997</v>
      </c>
      <c r="AM95" s="126">
        <f t="shared" si="217"/>
        <v>-1.1642369789909401</v>
      </c>
      <c r="AN95" s="126">
        <f t="shared" si="217"/>
        <v>-1.5247231066240152</v>
      </c>
      <c r="AO95" s="126">
        <f t="shared" si="217"/>
        <v>-2.0476720248330027</v>
      </c>
      <c r="AP95" s="126">
        <f t="shared" si="217"/>
        <v>-2.9233817604750079</v>
      </c>
      <c r="AQ95" s="126">
        <f t="shared" si="217"/>
        <v>-4.7887952298888976</v>
      </c>
      <c r="AR95" s="126">
        <f t="shared" si="217"/>
        <v>-4.9318803272519691</v>
      </c>
      <c r="AS95" s="126">
        <f t="shared" si="217"/>
        <v>-4.1434175649325722</v>
      </c>
      <c r="AT95" s="126">
        <f t="shared" si="217"/>
        <v>-3.7084113855654466</v>
      </c>
      <c r="AU95" s="126">
        <f t="shared" si="217"/>
        <v>-3.6027405943827251</v>
      </c>
      <c r="AV95" s="126">
        <f t="shared" si="217"/>
        <v>-3.6687999374693914</v>
      </c>
      <c r="AW95" s="126">
        <f t="shared" si="217"/>
        <v>-3.5924895228212961</v>
      </c>
      <c r="AX95" s="126">
        <f t="shared" si="217"/>
        <v>-3.8945337945629044</v>
      </c>
      <c r="AY95" s="126">
        <f t="shared" si="217"/>
        <v>-3.3407251980496211</v>
      </c>
      <c r="AZ95" s="126">
        <f t="shared" si="217"/>
        <v>-3.6911322729053286</v>
      </c>
      <c r="BA95" s="126">
        <f t="shared" si="217"/>
        <v>-3.0586957272168092</v>
      </c>
      <c r="BB95" s="126">
        <f t="shared" si="217"/>
        <v>-3.5501212120333858</v>
      </c>
      <c r="BC95" s="126">
        <f t="shared" si="217"/>
        <v>-3.7249497337721094</v>
      </c>
      <c r="BD95" s="126">
        <f t="shared" si="204"/>
        <v>-3.2828540395915207</v>
      </c>
      <c r="BE95" s="126">
        <f t="shared" si="205"/>
        <v>-3.8813842573391488</v>
      </c>
      <c r="BF95" s="126">
        <f t="shared" si="206"/>
        <v>-3.5442374736561644</v>
      </c>
      <c r="BG95" s="126">
        <f t="shared" si="207"/>
        <v>-3.518241754486251</v>
      </c>
      <c r="BH95" s="126">
        <f t="shared" si="208"/>
        <v>-3.3270732959025162</v>
      </c>
      <c r="BI95" s="126">
        <f t="shared" si="209"/>
        <v>-3.376194427556134</v>
      </c>
      <c r="BJ95" s="126">
        <f t="shared" si="210"/>
        <v>-3.270278552674788</v>
      </c>
      <c r="BK95" s="126">
        <f t="shared" si="211"/>
        <v>-3.840348052296727</v>
      </c>
      <c r="BL95" s="126">
        <f t="shared" si="212"/>
        <v>-3.7508799803376736</v>
      </c>
      <c r="BM95" s="126">
        <f t="shared" si="213"/>
        <v>-3.868629517034794</v>
      </c>
    </row>
    <row r="96" spans="1:95">
      <c r="G96" s="88"/>
      <c r="H96" s="114"/>
      <c r="I96" s="114"/>
      <c r="J96" s="114"/>
      <c r="K96" s="114"/>
      <c r="L96" s="114"/>
      <c r="M96" s="114"/>
      <c r="N96" s="114"/>
      <c r="O96" s="114"/>
    </row>
    <row r="97" spans="1:75">
      <c r="A97" s="78" t="s">
        <v>237</v>
      </c>
      <c r="B97" s="127"/>
      <c r="C97" s="127"/>
      <c r="D97" s="127"/>
      <c r="E97" s="127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</row>
    <row r="98" spans="1:75">
      <c r="A98" s="79" t="s">
        <v>13</v>
      </c>
      <c r="B98" s="80">
        <v>176</v>
      </c>
      <c r="C98" s="80">
        <v>350</v>
      </c>
      <c r="D98" s="80">
        <v>204</v>
      </c>
      <c r="E98" s="80">
        <v>253</v>
      </c>
      <c r="F98" s="80">
        <v>265</v>
      </c>
      <c r="G98" s="80">
        <v>777</v>
      </c>
      <c r="H98" s="79">
        <v>690</v>
      </c>
      <c r="I98" s="90">
        <v>778</v>
      </c>
      <c r="J98" s="90">
        <v>779</v>
      </c>
      <c r="K98" s="80">
        <v>849</v>
      </c>
      <c r="L98" s="80">
        <v>1435</v>
      </c>
      <c r="M98" s="80">
        <v>1474</v>
      </c>
      <c r="N98" s="85">
        <v>1586</v>
      </c>
      <c r="O98" s="85">
        <v>1659</v>
      </c>
      <c r="P98" s="209">
        <v>1111</v>
      </c>
      <c r="Q98" s="234">
        <v>1011</v>
      </c>
      <c r="R98" s="234">
        <v>1021</v>
      </c>
      <c r="S98" s="440">
        <v>1250</v>
      </c>
      <c r="T98" s="441">
        <v>1568</v>
      </c>
      <c r="U98" s="441">
        <v>1577</v>
      </c>
      <c r="V98" s="441">
        <v>1856.4888232334599</v>
      </c>
      <c r="W98" s="441">
        <v>1838.99088227636</v>
      </c>
      <c r="X98" s="441">
        <v>1456.6883653856501</v>
      </c>
      <c r="Y98" s="441">
        <v>1792.45956445918</v>
      </c>
      <c r="Z98" s="441">
        <v>2058.4726853535399</v>
      </c>
      <c r="AA98" s="441">
        <v>2555.94458816617</v>
      </c>
      <c r="AB98" s="441">
        <v>3455.1617136687801</v>
      </c>
      <c r="AC98" s="442">
        <v>3560.96083865532</v>
      </c>
      <c r="AD98" s="442">
        <v>3637.3164162787202</v>
      </c>
      <c r="AE98" s="442">
        <v>3634.3398936788799</v>
      </c>
      <c r="AF98" s="442">
        <v>3534.8384477883001</v>
      </c>
      <c r="AG98" s="442">
        <v>3336.9488180048602</v>
      </c>
      <c r="AH98" s="442">
        <v>2925.3183250403199</v>
      </c>
      <c r="AI98" s="442">
        <v>2894.7852837431501</v>
      </c>
      <c r="AJ98" s="442">
        <v>2923.91937794258</v>
      </c>
      <c r="AK98" s="442">
        <v>3508.0545491241101</v>
      </c>
      <c r="AL98" s="442">
        <v>2861.7242733755202</v>
      </c>
      <c r="AM98" s="442">
        <v>2635.3020843010599</v>
      </c>
      <c r="AN98" s="442">
        <v>2545.32036266266</v>
      </c>
      <c r="AO98" s="442">
        <v>2402.7368115486502</v>
      </c>
      <c r="AP98" s="442">
        <v>2493.2652998406302</v>
      </c>
      <c r="AQ98" s="442">
        <v>2362.4600617688102</v>
      </c>
      <c r="AR98" s="442">
        <v>2364.8546754797599</v>
      </c>
      <c r="AS98" s="442">
        <v>2407.8398680402602</v>
      </c>
      <c r="AT98" s="442">
        <v>2441.8216726208602</v>
      </c>
      <c r="AU98" s="442">
        <v>2594.95585932936</v>
      </c>
      <c r="AV98" s="442">
        <v>2739.3543501229201</v>
      </c>
      <c r="AW98" s="442">
        <v>2849.8422652887598</v>
      </c>
      <c r="AX98" s="442">
        <v>2931.8337682317501</v>
      </c>
      <c r="AY98" s="442">
        <v>2985.7046271368499</v>
      </c>
      <c r="AZ98" s="442">
        <v>2958.5419771571501</v>
      </c>
      <c r="BA98" s="442">
        <v>2897.3614466481399</v>
      </c>
      <c r="BB98" s="442">
        <v>1888.75784669927</v>
      </c>
      <c r="BC98" s="442">
        <v>1941.36180724679</v>
      </c>
      <c r="BD98" s="251">
        <v>1857.51783611633</v>
      </c>
      <c r="BE98" s="251">
        <v>1796.94381448583</v>
      </c>
      <c r="BF98" s="251">
        <v>1773.33808549234</v>
      </c>
      <c r="BG98" s="251">
        <v>1753.84097252372</v>
      </c>
      <c r="BH98" s="251">
        <v>1667.34474937561</v>
      </c>
      <c r="BI98" s="251">
        <v>1641.4201285044701</v>
      </c>
      <c r="BJ98" s="251">
        <v>1582.4478462525001</v>
      </c>
      <c r="BK98" s="251">
        <v>1577.3774150930201</v>
      </c>
      <c r="BL98" s="251">
        <v>1575.5634955630401</v>
      </c>
      <c r="BM98" s="251">
        <v>1543.1841892643799</v>
      </c>
      <c r="BN98" s="80"/>
      <c r="BO98" s="80"/>
      <c r="BP98" s="80"/>
      <c r="BQ98" s="80"/>
      <c r="BR98" s="80"/>
      <c r="BS98" s="80"/>
      <c r="BT98" s="80"/>
      <c r="BU98" s="80"/>
      <c r="BV98" s="80"/>
      <c r="BW98" s="80"/>
    </row>
    <row r="99" spans="1:75">
      <c r="A99" s="79" t="s">
        <v>12</v>
      </c>
      <c r="B99" s="80">
        <v>318</v>
      </c>
      <c r="C99" s="80">
        <v>726</v>
      </c>
      <c r="D99" s="80">
        <v>611</v>
      </c>
      <c r="E99" s="80">
        <v>760</v>
      </c>
      <c r="F99" s="80">
        <v>795</v>
      </c>
      <c r="G99" s="80">
        <v>333</v>
      </c>
      <c r="H99" s="79">
        <v>296</v>
      </c>
      <c r="I99" s="90">
        <v>333</v>
      </c>
      <c r="J99" s="90">
        <v>334</v>
      </c>
      <c r="K99" s="80">
        <v>364</v>
      </c>
      <c r="L99" s="80">
        <v>615</v>
      </c>
      <c r="M99" s="80">
        <v>632</v>
      </c>
      <c r="N99" s="85">
        <v>680</v>
      </c>
      <c r="O99" s="85">
        <v>711</v>
      </c>
      <c r="P99" s="209">
        <v>1144</v>
      </c>
      <c r="Q99" s="234">
        <v>1277</v>
      </c>
      <c r="R99" s="234">
        <v>1286</v>
      </c>
      <c r="S99" s="440">
        <v>1515</v>
      </c>
      <c r="T99" s="441">
        <v>1981</v>
      </c>
      <c r="U99" s="441">
        <v>1921</v>
      </c>
      <c r="V99" s="441">
        <v>2453.5979861855399</v>
      </c>
      <c r="W99" s="441">
        <v>2540.4938327336399</v>
      </c>
      <c r="X99" s="441">
        <v>2017.87631433863</v>
      </c>
      <c r="Y99" s="441">
        <v>2005.31707712818</v>
      </c>
      <c r="Z99" s="441">
        <v>2266.2902292128301</v>
      </c>
      <c r="AA99" s="441">
        <v>3198.9059585428699</v>
      </c>
      <c r="AB99" s="441">
        <v>3852.9531359071502</v>
      </c>
      <c r="AC99" s="442">
        <v>4299.9794360270798</v>
      </c>
      <c r="AD99" s="442">
        <v>4095.9070165543699</v>
      </c>
      <c r="AE99" s="442">
        <v>4319.1696067991497</v>
      </c>
      <c r="AF99" s="442">
        <v>4395.7014389677397</v>
      </c>
      <c r="AG99" s="442">
        <v>4453.1842853308499</v>
      </c>
      <c r="AH99" s="442">
        <v>4104.7984259293298</v>
      </c>
      <c r="AI99" s="442">
        <v>4116.6450873352396</v>
      </c>
      <c r="AJ99" s="442">
        <v>4086.1685586384401</v>
      </c>
      <c r="AK99" s="442">
        <v>4637.9060976266301</v>
      </c>
      <c r="AL99" s="442">
        <v>3684.47140962003</v>
      </c>
      <c r="AM99" s="442">
        <v>3290.0289434162501</v>
      </c>
      <c r="AN99" s="442">
        <v>3109.3546198108002</v>
      </c>
      <c r="AO99" s="442">
        <v>2907.8658996394302</v>
      </c>
      <c r="AP99" s="442">
        <v>2959.4044752723798</v>
      </c>
      <c r="AQ99" s="442">
        <v>2730.6654606838401</v>
      </c>
      <c r="AR99" s="442">
        <v>2625.0937316027098</v>
      </c>
      <c r="AS99" s="442">
        <v>2606.3153919699398</v>
      </c>
      <c r="AT99" s="442">
        <v>2570.6344694559898</v>
      </c>
      <c r="AU99" s="442">
        <v>2701.0851699633099</v>
      </c>
      <c r="AV99" s="442">
        <v>2803.6776603982698</v>
      </c>
      <c r="AW99" s="442">
        <v>2825.9347154054199</v>
      </c>
      <c r="AX99" s="442">
        <v>2867.0844472840899</v>
      </c>
      <c r="AY99" s="442">
        <v>2895.1508612002799</v>
      </c>
      <c r="AZ99" s="442">
        <v>2858.3462024772298</v>
      </c>
      <c r="BA99" s="442">
        <v>2767.8008516825598</v>
      </c>
      <c r="BB99" s="442">
        <v>1816.06047577765</v>
      </c>
      <c r="BC99" s="442">
        <v>1864.41137002144</v>
      </c>
      <c r="BD99" s="251">
        <v>1772.72463248791</v>
      </c>
      <c r="BE99" s="251">
        <v>1701.7590196205799</v>
      </c>
      <c r="BF99" s="251">
        <v>1671.9512316527801</v>
      </c>
      <c r="BG99" s="251">
        <v>1668.4802981667401</v>
      </c>
      <c r="BH99" s="251">
        <v>1628.2472442620799</v>
      </c>
      <c r="BI99" s="251">
        <v>1632.2340793989099</v>
      </c>
      <c r="BJ99" s="251">
        <v>1618.6986141668999</v>
      </c>
      <c r="BK99" s="251">
        <v>1683.50238321081</v>
      </c>
      <c r="BL99" s="251">
        <v>1748.65019991754</v>
      </c>
      <c r="BM99" s="251">
        <v>1792.2458957859301</v>
      </c>
      <c r="BN99" s="80"/>
      <c r="BO99" s="80"/>
      <c r="BP99" s="80"/>
      <c r="BQ99" s="80"/>
      <c r="BR99" s="80"/>
      <c r="BS99" s="80"/>
      <c r="BT99" s="80"/>
      <c r="BU99" s="80"/>
      <c r="BV99" s="80"/>
      <c r="BW99" s="80"/>
    </row>
    <row r="100" spans="1:75">
      <c r="A100" s="79" t="s">
        <v>19</v>
      </c>
      <c r="B100" s="86">
        <f>B98+B99</f>
        <v>494</v>
      </c>
      <c r="C100" s="86">
        <f>C98+C99</f>
        <v>1076</v>
      </c>
      <c r="D100" s="86">
        <f>D98+D99</f>
        <v>815</v>
      </c>
      <c r="E100" s="86">
        <f t="shared" ref="E100:J100" si="218">E98+E99</f>
        <v>1013</v>
      </c>
      <c r="F100" s="86">
        <f t="shared" si="218"/>
        <v>1060</v>
      </c>
      <c r="G100" s="86">
        <f t="shared" si="218"/>
        <v>1110</v>
      </c>
      <c r="H100" s="86">
        <f t="shared" si="218"/>
        <v>986</v>
      </c>
      <c r="I100" s="86">
        <f t="shared" si="218"/>
        <v>1111</v>
      </c>
      <c r="J100" s="86">
        <f t="shared" si="218"/>
        <v>1113</v>
      </c>
      <c r="K100" s="86">
        <f t="shared" ref="K100:BM100" si="219">K98+K99</f>
        <v>1213</v>
      </c>
      <c r="L100" s="86">
        <f t="shared" si="219"/>
        <v>2050</v>
      </c>
      <c r="M100" s="86">
        <f t="shared" si="219"/>
        <v>2106</v>
      </c>
      <c r="N100" s="86">
        <f t="shared" si="219"/>
        <v>2266</v>
      </c>
      <c r="O100" s="86">
        <f t="shared" si="219"/>
        <v>2370</v>
      </c>
      <c r="P100" s="86">
        <f t="shared" si="219"/>
        <v>2255</v>
      </c>
      <c r="Q100" s="86">
        <f t="shared" si="219"/>
        <v>2288</v>
      </c>
      <c r="R100" s="86">
        <f>R98+R99</f>
        <v>2307</v>
      </c>
      <c r="S100" s="86">
        <f t="shared" si="219"/>
        <v>2765</v>
      </c>
      <c r="T100" s="86">
        <f t="shared" si="219"/>
        <v>3549</v>
      </c>
      <c r="U100" s="86">
        <f t="shared" si="219"/>
        <v>3498</v>
      </c>
      <c r="V100" s="437">
        <f t="shared" si="219"/>
        <v>4310.086809419</v>
      </c>
      <c r="W100" s="86">
        <f t="shared" si="219"/>
        <v>4379.4847150099995</v>
      </c>
      <c r="X100" s="86">
        <f t="shared" si="219"/>
        <v>3474.5646797242798</v>
      </c>
      <c r="Y100" s="86">
        <f t="shared" si="219"/>
        <v>3797.7766415873602</v>
      </c>
      <c r="Z100" s="86">
        <f t="shared" si="219"/>
        <v>4324.7629145663705</v>
      </c>
      <c r="AA100" s="86">
        <f t="shared" si="219"/>
        <v>5754.8505467090399</v>
      </c>
      <c r="AB100" s="86">
        <f t="shared" si="219"/>
        <v>7308.1148495759298</v>
      </c>
      <c r="AC100" s="86">
        <f t="shared" si="219"/>
        <v>7860.9402746823998</v>
      </c>
      <c r="AD100" s="86">
        <f t="shared" si="219"/>
        <v>7733.2234328330906</v>
      </c>
      <c r="AE100" s="86">
        <f t="shared" si="219"/>
        <v>7953.5095004780296</v>
      </c>
      <c r="AF100" s="86">
        <f t="shared" si="219"/>
        <v>7930.5398867560398</v>
      </c>
      <c r="AG100" s="86">
        <f t="shared" si="219"/>
        <v>7790.1331033357101</v>
      </c>
      <c r="AH100" s="86">
        <f t="shared" si="219"/>
        <v>7030.1167509696497</v>
      </c>
      <c r="AI100" s="86">
        <f t="shared" si="219"/>
        <v>7011.4303710783897</v>
      </c>
      <c r="AJ100" s="86">
        <f t="shared" si="219"/>
        <v>7010.0879365810197</v>
      </c>
      <c r="AK100" s="86">
        <f t="shared" si="219"/>
        <v>8145.9606467507401</v>
      </c>
      <c r="AL100" s="86">
        <f t="shared" si="219"/>
        <v>6546.1956829955507</v>
      </c>
      <c r="AM100" s="86">
        <f t="shared" si="219"/>
        <v>5925.3310277173096</v>
      </c>
      <c r="AN100" s="86">
        <f t="shared" si="219"/>
        <v>5654.6749824734597</v>
      </c>
      <c r="AO100" s="86">
        <f t="shared" si="219"/>
        <v>5310.6027111880803</v>
      </c>
      <c r="AP100" s="86">
        <f t="shared" si="219"/>
        <v>5452.6697751130105</v>
      </c>
      <c r="AQ100" s="86">
        <f t="shared" si="219"/>
        <v>5093.1255224526503</v>
      </c>
      <c r="AR100" s="86">
        <f t="shared" si="219"/>
        <v>4989.9484070824692</v>
      </c>
      <c r="AS100" s="86">
        <f t="shared" si="219"/>
        <v>5014.1552600102004</v>
      </c>
      <c r="AT100" s="86">
        <f t="shared" si="219"/>
        <v>5012.4561420768496</v>
      </c>
      <c r="AU100" s="86">
        <f t="shared" si="219"/>
        <v>5296.0410292926699</v>
      </c>
      <c r="AV100" s="86">
        <f t="shared" si="219"/>
        <v>5543.0320105211904</v>
      </c>
      <c r="AW100" s="86">
        <f t="shared" si="219"/>
        <v>5675.7769806941797</v>
      </c>
      <c r="AX100" s="86">
        <f t="shared" si="219"/>
        <v>5798.9182155158396</v>
      </c>
      <c r="AY100" s="86">
        <f t="shared" si="219"/>
        <v>5880.8554883371298</v>
      </c>
      <c r="AZ100" s="86">
        <f t="shared" si="219"/>
        <v>5816.8881796343794</v>
      </c>
      <c r="BA100" s="86">
        <f t="shared" si="219"/>
        <v>5665.1622983306997</v>
      </c>
      <c r="BB100" s="86">
        <f t="shared" si="219"/>
        <v>3704.81832247692</v>
      </c>
      <c r="BC100" s="86">
        <f t="shared" si="219"/>
        <v>3805.77317726823</v>
      </c>
      <c r="BD100" s="86">
        <f t="shared" si="219"/>
        <v>3630.24246860424</v>
      </c>
      <c r="BE100" s="86">
        <f t="shared" si="219"/>
        <v>3498.7028341064097</v>
      </c>
      <c r="BF100" s="86">
        <f t="shared" si="219"/>
        <v>3445.2893171451201</v>
      </c>
      <c r="BG100" s="86">
        <f t="shared" si="219"/>
        <v>3422.3212706904601</v>
      </c>
      <c r="BH100" s="86">
        <f t="shared" si="219"/>
        <v>3295.5919936376899</v>
      </c>
      <c r="BI100" s="86">
        <f t="shared" si="219"/>
        <v>3273.6542079033798</v>
      </c>
      <c r="BJ100" s="86">
        <f t="shared" si="219"/>
        <v>3201.1464604193998</v>
      </c>
      <c r="BK100" s="86">
        <f t="shared" si="219"/>
        <v>3260.8797983038303</v>
      </c>
      <c r="BL100" s="86">
        <f t="shared" si="219"/>
        <v>3324.2136954805801</v>
      </c>
      <c r="BM100" s="86">
        <f t="shared" si="219"/>
        <v>3335.43008505031</v>
      </c>
    </row>
    <row r="101" spans="1:75">
      <c r="A101" s="100" t="s">
        <v>428</v>
      </c>
      <c r="B101" s="128"/>
      <c r="C101" s="128"/>
      <c r="D101" s="128"/>
      <c r="E101" s="86"/>
      <c r="F101" s="80"/>
      <c r="G101" s="80"/>
      <c r="H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319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</row>
    <row r="102" spans="1:75">
      <c r="A102" s="100"/>
      <c r="B102" s="100"/>
      <c r="C102" s="100"/>
      <c r="D102" s="100"/>
      <c r="G102" s="88"/>
      <c r="H102" s="114"/>
      <c r="J102" s="114"/>
      <c r="K102" s="114"/>
      <c r="L102" s="114"/>
      <c r="M102" s="114"/>
      <c r="N102" s="114"/>
      <c r="O102" s="114"/>
      <c r="V102" s="319"/>
    </row>
    <row r="103" spans="1:75">
      <c r="A103" s="78" t="s">
        <v>234</v>
      </c>
      <c r="B103" s="127"/>
      <c r="C103" s="127"/>
      <c r="D103" s="127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319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</row>
    <row r="104" spans="1:75">
      <c r="A104" s="79" t="s">
        <v>13</v>
      </c>
      <c r="B104" s="80">
        <v>298</v>
      </c>
      <c r="C104" s="80">
        <v>349</v>
      </c>
      <c r="D104" s="80">
        <v>356</v>
      </c>
      <c r="E104" s="80">
        <v>346</v>
      </c>
      <c r="F104" s="80">
        <v>397</v>
      </c>
      <c r="G104" s="80">
        <v>387</v>
      </c>
      <c r="H104" s="79">
        <v>318</v>
      </c>
      <c r="I104" s="90">
        <v>322</v>
      </c>
      <c r="J104" s="90">
        <v>361</v>
      </c>
      <c r="K104" s="80">
        <v>394</v>
      </c>
      <c r="L104" s="80">
        <v>341</v>
      </c>
      <c r="M104" s="80">
        <v>382</v>
      </c>
      <c r="N104" s="85">
        <v>385</v>
      </c>
      <c r="O104" s="85">
        <v>372</v>
      </c>
      <c r="P104" s="209">
        <v>317</v>
      </c>
      <c r="Q104" s="234">
        <v>315</v>
      </c>
      <c r="R104" s="234">
        <v>329</v>
      </c>
      <c r="S104" s="234">
        <v>323</v>
      </c>
      <c r="T104" s="445">
        <v>322</v>
      </c>
      <c r="U104" s="445">
        <v>367</v>
      </c>
      <c r="V104" s="441">
        <v>344.97635362783001</v>
      </c>
      <c r="W104" s="445">
        <v>492.56172399388799</v>
      </c>
      <c r="X104" s="445">
        <v>627.26875845268501</v>
      </c>
      <c r="Y104" s="445">
        <v>540.83084612238895</v>
      </c>
      <c r="Z104" s="445">
        <v>368.67799581347299</v>
      </c>
      <c r="AA104" s="445">
        <v>377.74244155712501</v>
      </c>
      <c r="AB104" s="445">
        <v>348.76541794456699</v>
      </c>
      <c r="AC104" s="446">
        <v>374.46841095921599</v>
      </c>
      <c r="AD104" s="446">
        <v>432.70539023699502</v>
      </c>
      <c r="AE104" s="446">
        <v>408.52631880681901</v>
      </c>
      <c r="AF104" s="446">
        <v>406.45702448521502</v>
      </c>
      <c r="AG104" s="446">
        <v>414.430386714056</v>
      </c>
      <c r="AH104" s="446">
        <v>248.31161681718399</v>
      </c>
      <c r="AI104" s="446">
        <v>185.719374691984</v>
      </c>
      <c r="AJ104" s="446">
        <v>170.29871162732101</v>
      </c>
      <c r="AK104" s="446">
        <v>167.75814628540499</v>
      </c>
      <c r="AL104" s="446">
        <v>163.240028424575</v>
      </c>
      <c r="AM104" s="446">
        <v>162.68428418128201</v>
      </c>
      <c r="AN104" s="446">
        <v>185.99876647776</v>
      </c>
      <c r="AO104" s="446">
        <v>207.38167733986199</v>
      </c>
      <c r="AP104" s="446">
        <v>255.53944022027301</v>
      </c>
      <c r="AQ104" s="446">
        <v>262.04316445143502</v>
      </c>
      <c r="AR104" s="446">
        <v>259.418992569095</v>
      </c>
      <c r="AS104" s="446">
        <v>285.20508311042698</v>
      </c>
      <c r="AT104" s="446">
        <v>266.946541986287</v>
      </c>
      <c r="AU104" s="446">
        <v>385.325011109191</v>
      </c>
      <c r="AV104" s="446">
        <v>383.67771968327497</v>
      </c>
      <c r="AW104" s="446">
        <v>377.56394676131902</v>
      </c>
      <c r="AX104" s="446">
        <v>379.554518349006</v>
      </c>
      <c r="AY104" s="446">
        <v>378.042113303566</v>
      </c>
      <c r="AZ104" s="446">
        <v>373.745241484014</v>
      </c>
      <c r="BA104" s="446">
        <v>364.18165689149902</v>
      </c>
      <c r="BB104" s="446">
        <v>339.90035200397102</v>
      </c>
      <c r="BC104" s="446">
        <v>279.05787115886898</v>
      </c>
      <c r="BD104" s="251">
        <v>268.53430660878001</v>
      </c>
      <c r="BE104" s="251">
        <v>253.10486744491499</v>
      </c>
      <c r="BF104" s="251">
        <v>244.58366549066801</v>
      </c>
      <c r="BG104" s="251">
        <v>237.01135333740399</v>
      </c>
      <c r="BH104" s="251">
        <v>229.75078560705401</v>
      </c>
      <c r="BI104" s="251">
        <v>226.80869980180199</v>
      </c>
      <c r="BJ104" s="251">
        <v>242.34941044873801</v>
      </c>
      <c r="BK104" s="251">
        <v>248.338002606499</v>
      </c>
      <c r="BL104" s="251">
        <v>249.10189511182301</v>
      </c>
      <c r="BM104" s="251">
        <v>252.01968119196499</v>
      </c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</row>
    <row r="105" spans="1:75">
      <c r="A105" s="79" t="s">
        <v>12</v>
      </c>
      <c r="B105" s="80">
        <v>2337</v>
      </c>
      <c r="C105" s="80">
        <v>4065</v>
      </c>
      <c r="D105" s="80">
        <v>5615</v>
      </c>
      <c r="E105" s="80">
        <v>4654</v>
      </c>
      <c r="F105" s="80">
        <v>5325</v>
      </c>
      <c r="G105" s="80">
        <v>6779</v>
      </c>
      <c r="H105" s="87">
        <v>6037</v>
      </c>
      <c r="I105" s="90">
        <v>6114</v>
      </c>
      <c r="J105" s="90">
        <v>6867</v>
      </c>
      <c r="K105" s="80">
        <v>7483</v>
      </c>
      <c r="L105" s="80">
        <v>6479</v>
      </c>
      <c r="M105" s="80">
        <v>7266</v>
      </c>
      <c r="N105" s="85">
        <v>7310</v>
      </c>
      <c r="O105" s="85">
        <v>7060</v>
      </c>
      <c r="P105" s="209">
        <v>6028</v>
      </c>
      <c r="Q105" s="234">
        <v>5976</v>
      </c>
      <c r="R105" s="234">
        <v>6243</v>
      </c>
      <c r="S105" s="234">
        <v>6141</v>
      </c>
      <c r="T105" s="445">
        <v>6112</v>
      </c>
      <c r="U105" s="445">
        <v>6980</v>
      </c>
      <c r="V105" s="441">
        <v>6554.55071892877</v>
      </c>
      <c r="W105" s="445">
        <v>9358.6727558838702</v>
      </c>
      <c r="X105" s="445">
        <v>11918.106410601</v>
      </c>
      <c r="Y105" s="445">
        <v>10275.786076325399</v>
      </c>
      <c r="Z105" s="445">
        <v>7004.8819204559904</v>
      </c>
      <c r="AA105" s="445">
        <v>7177.1063895853704</v>
      </c>
      <c r="AB105" s="445">
        <v>6626.5429409467697</v>
      </c>
      <c r="AC105" s="446">
        <v>7114.8998082251101</v>
      </c>
      <c r="AD105" s="446">
        <v>8221.4024145028998</v>
      </c>
      <c r="AE105" s="446">
        <v>7762.0000573295601</v>
      </c>
      <c r="AF105" s="446">
        <v>7722.6834652190701</v>
      </c>
      <c r="AG105" s="446">
        <v>7874.1773475670598</v>
      </c>
      <c r="AH105" s="446">
        <v>4717.9207195264898</v>
      </c>
      <c r="AI105" s="446">
        <v>3528.66811914769</v>
      </c>
      <c r="AJ105" s="446">
        <v>3235.6755209191001</v>
      </c>
      <c r="AK105" s="446">
        <v>3187.4047794226899</v>
      </c>
      <c r="AL105" s="446">
        <v>3101.5605400669201</v>
      </c>
      <c r="AM105" s="446">
        <v>3091.0013994443598</v>
      </c>
      <c r="AN105" s="446">
        <v>3533.97656307744</v>
      </c>
      <c r="AO105" s="446">
        <v>3940.2518694573901</v>
      </c>
      <c r="AP105" s="446">
        <v>4855.2493641851797</v>
      </c>
      <c r="AQ105" s="446">
        <v>4978.8201245772698</v>
      </c>
      <c r="AR105" s="446">
        <v>4928.9608588128003</v>
      </c>
      <c r="AS105" s="446">
        <v>5418.8965790981201</v>
      </c>
      <c r="AT105" s="446">
        <v>5071.9842977394601</v>
      </c>
      <c r="AU105" s="446">
        <v>7321.1752110746202</v>
      </c>
      <c r="AV105" s="446">
        <v>7289.8766739822304</v>
      </c>
      <c r="AW105" s="446">
        <v>7173.7149884650498</v>
      </c>
      <c r="AX105" s="446">
        <v>7211.5358486311197</v>
      </c>
      <c r="AY105" s="446">
        <v>7182.8001527677498</v>
      </c>
      <c r="AZ105" s="446">
        <v>7101.1595881962603</v>
      </c>
      <c r="BA105" s="446">
        <v>6919.45148093849</v>
      </c>
      <c r="BB105" s="446">
        <v>6458.1066880754497</v>
      </c>
      <c r="BC105" s="446">
        <v>5302.0995520185197</v>
      </c>
      <c r="BD105" s="251">
        <v>5102.1518255668097</v>
      </c>
      <c r="BE105" s="251">
        <v>4808.9924814533797</v>
      </c>
      <c r="BF105" s="251">
        <v>4647.0896443227002</v>
      </c>
      <c r="BG105" s="251">
        <v>4503.2157134106701</v>
      </c>
      <c r="BH105" s="251">
        <v>4365.2649265340297</v>
      </c>
      <c r="BI105" s="251">
        <v>4309.3652962342403</v>
      </c>
      <c r="BJ105" s="251">
        <v>4604.6387985260199</v>
      </c>
      <c r="BK105" s="251">
        <v>4718.4220495234804</v>
      </c>
      <c r="BL105" s="251">
        <v>4732.9360071246401</v>
      </c>
      <c r="BM105" s="251">
        <v>4788.3739426473403</v>
      </c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</row>
    <row r="106" spans="1:75">
      <c r="A106" s="79" t="s">
        <v>19</v>
      </c>
      <c r="B106" s="86">
        <f t="shared" ref="B106:AI106" si="220">SUM(B104:B105)</f>
        <v>2635</v>
      </c>
      <c r="C106" s="86">
        <f t="shared" si="220"/>
        <v>4414</v>
      </c>
      <c r="D106" s="86">
        <f t="shared" si="220"/>
        <v>5971</v>
      </c>
      <c r="E106" s="86">
        <f t="shared" si="220"/>
        <v>5000</v>
      </c>
      <c r="F106" s="86">
        <f t="shared" si="220"/>
        <v>5722</v>
      </c>
      <c r="G106" s="86">
        <f t="shared" si="220"/>
        <v>7166</v>
      </c>
      <c r="H106" s="86">
        <f t="shared" si="220"/>
        <v>6355</v>
      </c>
      <c r="I106" s="86">
        <f>SUM(I104:I105)</f>
        <v>6436</v>
      </c>
      <c r="J106" s="86">
        <f t="shared" si="220"/>
        <v>7228</v>
      </c>
      <c r="K106" s="86">
        <f t="shared" si="220"/>
        <v>7877</v>
      </c>
      <c r="L106" s="86">
        <f t="shared" si="220"/>
        <v>6820</v>
      </c>
      <c r="M106" s="86">
        <f>SUM(M104:M105)</f>
        <v>7648</v>
      </c>
      <c r="N106" s="86">
        <f t="shared" si="220"/>
        <v>7695</v>
      </c>
      <c r="O106" s="86">
        <f t="shared" si="220"/>
        <v>7432</v>
      </c>
      <c r="P106" s="86">
        <f t="shared" si="220"/>
        <v>6345</v>
      </c>
      <c r="Q106" s="86">
        <f t="shared" si="220"/>
        <v>6291</v>
      </c>
      <c r="R106" s="86">
        <f t="shared" si="220"/>
        <v>6572</v>
      </c>
      <c r="S106" s="86">
        <f t="shared" si="220"/>
        <v>6464</v>
      </c>
      <c r="T106" s="86">
        <f t="shared" si="220"/>
        <v>6434</v>
      </c>
      <c r="U106" s="86">
        <f t="shared" si="220"/>
        <v>7347</v>
      </c>
      <c r="V106" s="86">
        <f t="shared" si="220"/>
        <v>6899.5270725565997</v>
      </c>
      <c r="W106" s="86">
        <f t="shared" si="220"/>
        <v>9851.2344798777576</v>
      </c>
      <c r="X106" s="86">
        <f t="shared" si="220"/>
        <v>12545.375169053685</v>
      </c>
      <c r="Y106" s="86">
        <f t="shared" si="220"/>
        <v>10816.616922447789</v>
      </c>
      <c r="Z106" s="86">
        <f t="shared" si="220"/>
        <v>7373.5599162694634</v>
      </c>
      <c r="AA106" s="86">
        <f t="shared" si="220"/>
        <v>7554.8488311424953</v>
      </c>
      <c r="AB106" s="86">
        <f t="shared" si="220"/>
        <v>6975.3083588913369</v>
      </c>
      <c r="AC106" s="86">
        <f t="shared" si="220"/>
        <v>7489.3682191843263</v>
      </c>
      <c r="AD106" s="86">
        <f t="shared" si="220"/>
        <v>8654.1078047398951</v>
      </c>
      <c r="AE106" s="86">
        <f t="shared" si="220"/>
        <v>8170.5263761363794</v>
      </c>
      <c r="AF106" s="86">
        <f t="shared" si="220"/>
        <v>8129.1404897042848</v>
      </c>
      <c r="AG106" s="86">
        <f t="shared" si="220"/>
        <v>8288.607734281115</v>
      </c>
      <c r="AH106" s="86">
        <f t="shared" si="220"/>
        <v>4966.2323363436735</v>
      </c>
      <c r="AI106" s="86">
        <f t="shared" si="220"/>
        <v>3714.3874938396739</v>
      </c>
      <c r="AJ106" s="86">
        <f t="shared" ref="AJ106:BC106" si="221">SUM(AJ104:AJ105)</f>
        <v>3405.9742325464213</v>
      </c>
      <c r="AK106" s="86">
        <f t="shared" si="221"/>
        <v>3355.1629257080949</v>
      </c>
      <c r="AL106" s="86">
        <f t="shared" si="221"/>
        <v>3264.8005684914951</v>
      </c>
      <c r="AM106" s="86">
        <f t="shared" si="221"/>
        <v>3253.685683625642</v>
      </c>
      <c r="AN106" s="86">
        <f t="shared" si="221"/>
        <v>3719.9753295552</v>
      </c>
      <c r="AO106" s="86">
        <f t="shared" si="221"/>
        <v>4147.6335467972522</v>
      </c>
      <c r="AP106" s="86">
        <f t="shared" si="221"/>
        <v>5110.7888044054525</v>
      </c>
      <c r="AQ106" s="86">
        <f t="shared" si="221"/>
        <v>5240.8632890287045</v>
      </c>
      <c r="AR106" s="86">
        <f t="shared" si="221"/>
        <v>5188.3798513818956</v>
      </c>
      <c r="AS106" s="86">
        <f t="shared" si="221"/>
        <v>5704.1016622085472</v>
      </c>
      <c r="AT106" s="86">
        <f t="shared" si="221"/>
        <v>5338.9308397257473</v>
      </c>
      <c r="AU106" s="86">
        <f t="shared" si="221"/>
        <v>7706.5002221838113</v>
      </c>
      <c r="AV106" s="86">
        <f t="shared" si="221"/>
        <v>7673.5543936655049</v>
      </c>
      <c r="AW106" s="86">
        <f t="shared" si="221"/>
        <v>7551.278935226369</v>
      </c>
      <c r="AX106" s="86">
        <f t="shared" si="221"/>
        <v>7591.0903669801255</v>
      </c>
      <c r="AY106" s="86">
        <f t="shared" si="221"/>
        <v>7560.8422660713159</v>
      </c>
      <c r="AZ106" s="86">
        <f t="shared" si="221"/>
        <v>7474.9048296802739</v>
      </c>
      <c r="BA106" s="86">
        <f t="shared" si="221"/>
        <v>7283.6331378299892</v>
      </c>
      <c r="BB106" s="86">
        <f t="shared" si="221"/>
        <v>6798.0070400794211</v>
      </c>
      <c r="BC106" s="86">
        <f t="shared" si="221"/>
        <v>5581.1574231773884</v>
      </c>
      <c r="BD106" s="86">
        <f t="shared" ref="BD106:BM106" si="222">SUM(BD104:BD105)</f>
        <v>5370.6861321755896</v>
      </c>
      <c r="BE106" s="86">
        <f t="shared" si="222"/>
        <v>5062.0973488982945</v>
      </c>
      <c r="BF106" s="86">
        <f t="shared" si="222"/>
        <v>4891.6733098133682</v>
      </c>
      <c r="BG106" s="86">
        <f t="shared" si="222"/>
        <v>4740.2270667480743</v>
      </c>
      <c r="BH106" s="86">
        <f t="shared" si="222"/>
        <v>4595.0157121410839</v>
      </c>
      <c r="BI106" s="86">
        <f t="shared" si="222"/>
        <v>4536.1739960360419</v>
      </c>
      <c r="BJ106" s="86">
        <f t="shared" si="222"/>
        <v>4846.988208974758</v>
      </c>
      <c r="BK106" s="86">
        <f t="shared" si="222"/>
        <v>4966.7600521299792</v>
      </c>
      <c r="BL106" s="86">
        <f t="shared" si="222"/>
        <v>4982.0379022364632</v>
      </c>
      <c r="BM106" s="86">
        <f t="shared" si="222"/>
        <v>5040.3936238393053</v>
      </c>
    </row>
    <row r="107" spans="1:75">
      <c r="A107" s="100" t="s">
        <v>20</v>
      </c>
      <c r="B107" s="86"/>
      <c r="C107" s="86"/>
      <c r="D107" s="86"/>
      <c r="E107" s="86"/>
      <c r="F107" s="86"/>
      <c r="G107" s="86"/>
      <c r="H107" s="86"/>
      <c r="J107" s="86"/>
      <c r="K107" s="86"/>
      <c r="L107" s="125"/>
      <c r="M107" s="125"/>
      <c r="N107" s="125"/>
      <c r="O107" s="125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</row>
    <row r="108" spans="1:75">
      <c r="A108" s="100"/>
      <c r="B108" s="86"/>
      <c r="C108" s="86"/>
      <c r="D108" s="86"/>
      <c r="E108" s="86"/>
      <c r="F108" s="86"/>
      <c r="G108" s="86"/>
      <c r="H108" s="86"/>
      <c r="J108" s="86"/>
      <c r="K108" s="86"/>
      <c r="L108" s="125"/>
      <c r="M108" s="125"/>
      <c r="N108" s="125"/>
      <c r="O108" s="125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</row>
    <row r="109" spans="1:75">
      <c r="A109" s="78" t="s">
        <v>464</v>
      </c>
      <c r="B109" s="86"/>
      <c r="C109" s="86"/>
      <c r="D109" s="86"/>
      <c r="E109" s="86"/>
      <c r="F109" s="86"/>
      <c r="G109" s="86"/>
      <c r="H109" s="86"/>
      <c r="J109" s="86"/>
      <c r="K109" s="86"/>
      <c r="L109" s="125"/>
      <c r="M109" s="125"/>
      <c r="N109" s="125"/>
      <c r="O109" s="125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</row>
    <row r="110" spans="1:75">
      <c r="A110" s="79" t="s">
        <v>13</v>
      </c>
      <c r="B110" s="86">
        <f t="shared" ref="B110:AG110" si="223">B104/B19</f>
        <v>300.79772111649265</v>
      </c>
      <c r="C110" s="86">
        <f t="shared" si="223"/>
        <v>315.94307240995556</v>
      </c>
      <c r="D110" s="86">
        <f t="shared" si="223"/>
        <v>284.19756567755741</v>
      </c>
      <c r="E110" s="86">
        <f t="shared" si="223"/>
        <v>284.46394231718392</v>
      </c>
      <c r="F110" s="86">
        <f t="shared" si="223"/>
        <v>352.476888288</v>
      </c>
      <c r="G110" s="86">
        <f t="shared" si="223"/>
        <v>332.62185599999998</v>
      </c>
      <c r="H110" s="86">
        <f t="shared" si="223"/>
        <v>213.69600000000003</v>
      </c>
      <c r="I110" s="86">
        <f t="shared" si="223"/>
        <v>322</v>
      </c>
      <c r="J110" s="86">
        <f t="shared" si="223"/>
        <v>361</v>
      </c>
      <c r="K110" s="86">
        <f t="shared" si="223"/>
        <v>394</v>
      </c>
      <c r="L110" s="86">
        <f t="shared" si="223"/>
        <v>341</v>
      </c>
      <c r="M110" s="86">
        <f t="shared" si="223"/>
        <v>382</v>
      </c>
      <c r="N110" s="86">
        <f t="shared" si="223"/>
        <v>385</v>
      </c>
      <c r="O110" s="86">
        <f t="shared" si="223"/>
        <v>372</v>
      </c>
      <c r="P110" s="86">
        <f t="shared" si="223"/>
        <v>317</v>
      </c>
      <c r="Q110" s="86">
        <f t="shared" si="223"/>
        <v>315</v>
      </c>
      <c r="R110" s="86">
        <f t="shared" si="223"/>
        <v>329</v>
      </c>
      <c r="S110" s="86">
        <f t="shared" si="223"/>
        <v>323</v>
      </c>
      <c r="T110" s="86">
        <f t="shared" si="223"/>
        <v>322</v>
      </c>
      <c r="U110" s="86">
        <f t="shared" si="223"/>
        <v>367</v>
      </c>
      <c r="V110" s="86">
        <f t="shared" si="223"/>
        <v>344.97635362783001</v>
      </c>
      <c r="W110" s="86">
        <f t="shared" si="223"/>
        <v>492.56172399388799</v>
      </c>
      <c r="X110" s="86">
        <f t="shared" si="223"/>
        <v>627.26875845268501</v>
      </c>
      <c r="Y110" s="86">
        <f t="shared" si="223"/>
        <v>540.83084612238895</v>
      </c>
      <c r="Z110" s="86">
        <f t="shared" si="223"/>
        <v>368.67799581347299</v>
      </c>
      <c r="AA110" s="86">
        <f t="shared" si="223"/>
        <v>377.74244155712501</v>
      </c>
      <c r="AB110" s="86">
        <f t="shared" si="223"/>
        <v>348.76541794456699</v>
      </c>
      <c r="AC110" s="86">
        <f t="shared" si="223"/>
        <v>374.46841095921599</v>
      </c>
      <c r="AD110" s="86">
        <f t="shared" si="223"/>
        <v>432.70539023699502</v>
      </c>
      <c r="AE110" s="86">
        <f t="shared" si="223"/>
        <v>408.52631880681901</v>
      </c>
      <c r="AF110" s="86">
        <f t="shared" si="223"/>
        <v>406.45702448521502</v>
      </c>
      <c r="AG110" s="86">
        <f t="shared" si="223"/>
        <v>414.430386714056</v>
      </c>
      <c r="AH110" s="86">
        <f t="shared" ref="AH110:BC110" si="224">AH104/AH19</f>
        <v>248.31161681718399</v>
      </c>
      <c r="AI110" s="86">
        <f t="shared" si="224"/>
        <v>185.719374691984</v>
      </c>
      <c r="AJ110" s="86">
        <f t="shared" si="224"/>
        <v>170.29871162732101</v>
      </c>
      <c r="AK110" s="86">
        <f t="shared" si="224"/>
        <v>167.75814628540499</v>
      </c>
      <c r="AL110" s="86">
        <f t="shared" si="224"/>
        <v>163.240028424575</v>
      </c>
      <c r="AM110" s="86">
        <f t="shared" si="224"/>
        <v>162.68428418128201</v>
      </c>
      <c r="AN110" s="86">
        <f t="shared" si="224"/>
        <v>185.99876647776</v>
      </c>
      <c r="AO110" s="86">
        <f t="shared" si="224"/>
        <v>207.38167733986199</v>
      </c>
      <c r="AP110" s="86">
        <f t="shared" si="224"/>
        <v>255.53944022027301</v>
      </c>
      <c r="AQ110" s="86">
        <f t="shared" si="224"/>
        <v>262.04316445143502</v>
      </c>
      <c r="AR110" s="86">
        <f t="shared" si="224"/>
        <v>259.418992569095</v>
      </c>
      <c r="AS110" s="86">
        <f t="shared" si="224"/>
        <v>285.20508311042698</v>
      </c>
      <c r="AT110" s="86">
        <f t="shared" si="224"/>
        <v>266.946541986287</v>
      </c>
      <c r="AU110" s="86">
        <f t="shared" si="224"/>
        <v>385.325011109191</v>
      </c>
      <c r="AV110" s="86">
        <f t="shared" si="224"/>
        <v>383.67771968327497</v>
      </c>
      <c r="AW110" s="86">
        <f t="shared" si="224"/>
        <v>377.56394676131902</v>
      </c>
      <c r="AX110" s="86">
        <f t="shared" si="224"/>
        <v>379.554518349006</v>
      </c>
      <c r="AY110" s="86">
        <f t="shared" si="224"/>
        <v>378.042113303566</v>
      </c>
      <c r="AZ110" s="86">
        <f t="shared" si="224"/>
        <v>373.745241484014</v>
      </c>
      <c r="BA110" s="86">
        <f t="shared" si="224"/>
        <v>364.18165689149902</v>
      </c>
      <c r="BB110" s="86">
        <f t="shared" si="224"/>
        <v>339.90035200397102</v>
      </c>
      <c r="BC110" s="86">
        <f t="shared" si="224"/>
        <v>279.05787115886898</v>
      </c>
      <c r="BD110" s="86">
        <f t="shared" ref="BD110:BM110" si="225">BD104/BD19</f>
        <v>268.53430660878001</v>
      </c>
      <c r="BE110" s="86">
        <f t="shared" si="225"/>
        <v>253.10486744491499</v>
      </c>
      <c r="BF110" s="86">
        <f t="shared" si="225"/>
        <v>244.58366549066801</v>
      </c>
      <c r="BG110" s="86">
        <f t="shared" si="225"/>
        <v>237.01135333740399</v>
      </c>
      <c r="BH110" s="86">
        <f t="shared" si="225"/>
        <v>229.75078560705401</v>
      </c>
      <c r="BI110" s="86">
        <f t="shared" si="225"/>
        <v>226.80869980180199</v>
      </c>
      <c r="BJ110" s="86">
        <f t="shared" si="225"/>
        <v>242.34941044873801</v>
      </c>
      <c r="BK110" s="86">
        <f t="shared" si="225"/>
        <v>248.338002606499</v>
      </c>
      <c r="BL110" s="86">
        <f t="shared" si="225"/>
        <v>249.10189511182301</v>
      </c>
      <c r="BM110" s="86">
        <f t="shared" si="225"/>
        <v>252.01968119196499</v>
      </c>
    </row>
    <row r="111" spans="1:75">
      <c r="A111" s="79" t="s">
        <v>12</v>
      </c>
      <c r="B111" s="86">
        <f t="shared" ref="B111:AG111" si="226">B105/B19</f>
        <v>2358.9405176149107</v>
      </c>
      <c r="C111" s="86">
        <f t="shared" si="226"/>
        <v>3679.9673047176775</v>
      </c>
      <c r="D111" s="86">
        <f t="shared" si="226"/>
        <v>4482.498121571587</v>
      </c>
      <c r="E111" s="86">
        <f t="shared" si="226"/>
        <v>3826.2866692028151</v>
      </c>
      <c r="F111" s="86">
        <f t="shared" si="226"/>
        <v>4727.8071287999992</v>
      </c>
      <c r="G111" s="86">
        <f t="shared" si="226"/>
        <v>5826.4691519999997</v>
      </c>
      <c r="H111" s="86">
        <f t="shared" si="226"/>
        <v>4056.8640000000005</v>
      </c>
      <c r="I111" s="86">
        <f t="shared" si="226"/>
        <v>6114</v>
      </c>
      <c r="J111" s="86">
        <f t="shared" si="226"/>
        <v>6867</v>
      </c>
      <c r="K111" s="86">
        <f t="shared" si="226"/>
        <v>7483</v>
      </c>
      <c r="L111" s="86">
        <f t="shared" si="226"/>
        <v>6479</v>
      </c>
      <c r="M111" s="86">
        <f t="shared" si="226"/>
        <v>7266</v>
      </c>
      <c r="N111" s="86">
        <f t="shared" si="226"/>
        <v>7310</v>
      </c>
      <c r="O111" s="86">
        <f t="shared" si="226"/>
        <v>7060</v>
      </c>
      <c r="P111" s="86">
        <f t="shared" si="226"/>
        <v>6028</v>
      </c>
      <c r="Q111" s="86">
        <f t="shared" si="226"/>
        <v>5976</v>
      </c>
      <c r="R111" s="86">
        <f t="shared" si="226"/>
        <v>6243</v>
      </c>
      <c r="S111" s="86">
        <f t="shared" si="226"/>
        <v>6141</v>
      </c>
      <c r="T111" s="86">
        <f t="shared" si="226"/>
        <v>6112</v>
      </c>
      <c r="U111" s="86">
        <f t="shared" si="226"/>
        <v>6980</v>
      </c>
      <c r="V111" s="86">
        <f t="shared" si="226"/>
        <v>6554.55071892877</v>
      </c>
      <c r="W111" s="86">
        <f t="shared" si="226"/>
        <v>9358.6727558838702</v>
      </c>
      <c r="X111" s="86">
        <f t="shared" si="226"/>
        <v>11918.106410601</v>
      </c>
      <c r="Y111" s="86">
        <f t="shared" si="226"/>
        <v>10275.786076325399</v>
      </c>
      <c r="Z111" s="86">
        <f t="shared" si="226"/>
        <v>7004.8819204559904</v>
      </c>
      <c r="AA111" s="86">
        <f t="shared" si="226"/>
        <v>7177.1063895853704</v>
      </c>
      <c r="AB111" s="86">
        <f t="shared" si="226"/>
        <v>6626.5429409467697</v>
      </c>
      <c r="AC111" s="86">
        <f t="shared" si="226"/>
        <v>7114.8998082251101</v>
      </c>
      <c r="AD111" s="86">
        <f t="shared" si="226"/>
        <v>8221.4024145028998</v>
      </c>
      <c r="AE111" s="86">
        <f t="shared" si="226"/>
        <v>7762.0000573295601</v>
      </c>
      <c r="AF111" s="86">
        <f t="shared" si="226"/>
        <v>7722.6834652190701</v>
      </c>
      <c r="AG111" s="86">
        <f t="shared" si="226"/>
        <v>7874.1773475670598</v>
      </c>
      <c r="AH111" s="86">
        <f t="shared" ref="AH111:BC111" si="227">AH105/AH19</f>
        <v>4717.9207195264898</v>
      </c>
      <c r="AI111" s="86">
        <f t="shared" si="227"/>
        <v>3528.66811914769</v>
      </c>
      <c r="AJ111" s="86">
        <f t="shared" si="227"/>
        <v>3235.6755209191001</v>
      </c>
      <c r="AK111" s="86">
        <f t="shared" si="227"/>
        <v>3187.4047794226899</v>
      </c>
      <c r="AL111" s="86">
        <f t="shared" si="227"/>
        <v>3101.5605400669201</v>
      </c>
      <c r="AM111" s="86">
        <f t="shared" si="227"/>
        <v>3091.0013994443598</v>
      </c>
      <c r="AN111" s="86">
        <f t="shared" si="227"/>
        <v>3533.97656307744</v>
      </c>
      <c r="AO111" s="86">
        <f t="shared" si="227"/>
        <v>3940.2518694573901</v>
      </c>
      <c r="AP111" s="86">
        <f t="shared" si="227"/>
        <v>4855.2493641851797</v>
      </c>
      <c r="AQ111" s="86">
        <f t="shared" si="227"/>
        <v>4978.8201245772698</v>
      </c>
      <c r="AR111" s="86">
        <f t="shared" si="227"/>
        <v>4928.9608588128003</v>
      </c>
      <c r="AS111" s="86">
        <f t="shared" si="227"/>
        <v>5418.8965790981201</v>
      </c>
      <c r="AT111" s="86">
        <f t="shared" si="227"/>
        <v>5071.9842977394601</v>
      </c>
      <c r="AU111" s="86">
        <f t="shared" si="227"/>
        <v>7321.1752110746202</v>
      </c>
      <c r="AV111" s="86">
        <f t="shared" si="227"/>
        <v>7289.8766739822304</v>
      </c>
      <c r="AW111" s="86">
        <f t="shared" si="227"/>
        <v>7173.7149884650498</v>
      </c>
      <c r="AX111" s="86">
        <f t="shared" si="227"/>
        <v>7211.5358486311197</v>
      </c>
      <c r="AY111" s="86">
        <f t="shared" si="227"/>
        <v>7182.8001527677498</v>
      </c>
      <c r="AZ111" s="86">
        <f t="shared" si="227"/>
        <v>7101.1595881962603</v>
      </c>
      <c r="BA111" s="86">
        <f t="shared" si="227"/>
        <v>6919.45148093849</v>
      </c>
      <c r="BB111" s="86">
        <f t="shared" si="227"/>
        <v>6458.1066880754497</v>
      </c>
      <c r="BC111" s="86">
        <f t="shared" si="227"/>
        <v>5302.0995520185197</v>
      </c>
      <c r="BD111" s="86">
        <f t="shared" ref="BD111:BM111" si="228">BD105/BD19</f>
        <v>5102.1518255668097</v>
      </c>
      <c r="BE111" s="86">
        <f t="shared" si="228"/>
        <v>4808.9924814533797</v>
      </c>
      <c r="BF111" s="86">
        <f t="shared" si="228"/>
        <v>4647.0896443227002</v>
      </c>
      <c r="BG111" s="86">
        <f t="shared" si="228"/>
        <v>4503.2157134106701</v>
      </c>
      <c r="BH111" s="86">
        <f t="shared" si="228"/>
        <v>4365.2649265340297</v>
      </c>
      <c r="BI111" s="86">
        <f t="shared" si="228"/>
        <v>4309.3652962342403</v>
      </c>
      <c r="BJ111" s="86">
        <f t="shared" si="228"/>
        <v>4604.6387985260199</v>
      </c>
      <c r="BK111" s="86">
        <f t="shared" si="228"/>
        <v>4718.4220495234804</v>
      </c>
      <c r="BL111" s="86">
        <f t="shared" si="228"/>
        <v>4732.9360071246401</v>
      </c>
      <c r="BM111" s="86">
        <f t="shared" si="228"/>
        <v>4788.3739426473403</v>
      </c>
    </row>
    <row r="112" spans="1:75">
      <c r="A112" s="79" t="s">
        <v>19</v>
      </c>
      <c r="B112" s="86">
        <f>SUM(B110:B111)</f>
        <v>2659.7382387314033</v>
      </c>
      <c r="C112" s="86">
        <f t="shared" ref="C112:BC112" si="229">SUM(C110:C111)</f>
        <v>3995.9103771276332</v>
      </c>
      <c r="D112" s="86">
        <f t="shared" si="229"/>
        <v>4766.6956872491446</v>
      </c>
      <c r="E112" s="86">
        <f t="shared" si="229"/>
        <v>4110.7506115199994</v>
      </c>
      <c r="F112" s="86">
        <f t="shared" si="229"/>
        <v>5080.284017087999</v>
      </c>
      <c r="G112" s="86">
        <f t="shared" si="229"/>
        <v>6159.0910079999994</v>
      </c>
      <c r="H112" s="86">
        <f t="shared" si="229"/>
        <v>4270.5600000000004</v>
      </c>
      <c r="I112" s="86">
        <f t="shared" si="229"/>
        <v>6436</v>
      </c>
      <c r="J112" s="86">
        <f t="shared" si="229"/>
        <v>7228</v>
      </c>
      <c r="K112" s="86">
        <f t="shared" si="229"/>
        <v>7877</v>
      </c>
      <c r="L112" s="86">
        <f t="shared" si="229"/>
        <v>6820</v>
      </c>
      <c r="M112" s="86">
        <f t="shared" si="229"/>
        <v>7648</v>
      </c>
      <c r="N112" s="86">
        <f t="shared" si="229"/>
        <v>7695</v>
      </c>
      <c r="O112" s="86">
        <f t="shared" si="229"/>
        <v>7432</v>
      </c>
      <c r="P112" s="86">
        <f t="shared" si="229"/>
        <v>6345</v>
      </c>
      <c r="Q112" s="86">
        <f t="shared" si="229"/>
        <v>6291</v>
      </c>
      <c r="R112" s="86">
        <f t="shared" si="229"/>
        <v>6572</v>
      </c>
      <c r="S112" s="86">
        <f t="shared" si="229"/>
        <v>6464</v>
      </c>
      <c r="T112" s="86">
        <f t="shared" si="229"/>
        <v>6434</v>
      </c>
      <c r="U112" s="86">
        <f t="shared" si="229"/>
        <v>7347</v>
      </c>
      <c r="V112" s="86">
        <f t="shared" si="229"/>
        <v>6899.5270725565997</v>
      </c>
      <c r="W112" s="86">
        <f t="shared" si="229"/>
        <v>9851.2344798777576</v>
      </c>
      <c r="X112" s="86">
        <f t="shared" si="229"/>
        <v>12545.375169053685</v>
      </c>
      <c r="Y112" s="86">
        <f t="shared" si="229"/>
        <v>10816.616922447789</v>
      </c>
      <c r="Z112" s="86">
        <f t="shared" si="229"/>
        <v>7373.5599162694634</v>
      </c>
      <c r="AA112" s="86">
        <f t="shared" si="229"/>
        <v>7554.8488311424953</v>
      </c>
      <c r="AB112" s="86">
        <f t="shared" si="229"/>
        <v>6975.3083588913369</v>
      </c>
      <c r="AC112" s="86">
        <f t="shared" si="229"/>
        <v>7489.3682191843263</v>
      </c>
      <c r="AD112" s="86">
        <f t="shared" si="229"/>
        <v>8654.1078047398951</v>
      </c>
      <c r="AE112" s="86">
        <f t="shared" si="229"/>
        <v>8170.5263761363794</v>
      </c>
      <c r="AF112" s="86">
        <f t="shared" si="229"/>
        <v>8129.1404897042848</v>
      </c>
      <c r="AG112" s="86">
        <f t="shared" si="229"/>
        <v>8288.607734281115</v>
      </c>
      <c r="AH112" s="86">
        <f t="shared" si="229"/>
        <v>4966.2323363436735</v>
      </c>
      <c r="AI112" s="86">
        <f t="shared" si="229"/>
        <v>3714.3874938396739</v>
      </c>
      <c r="AJ112" s="86">
        <f t="shared" si="229"/>
        <v>3405.9742325464213</v>
      </c>
      <c r="AK112" s="86">
        <f t="shared" si="229"/>
        <v>3355.1629257080949</v>
      </c>
      <c r="AL112" s="86">
        <f t="shared" si="229"/>
        <v>3264.8005684914951</v>
      </c>
      <c r="AM112" s="86">
        <f t="shared" si="229"/>
        <v>3253.685683625642</v>
      </c>
      <c r="AN112" s="86">
        <f t="shared" si="229"/>
        <v>3719.9753295552</v>
      </c>
      <c r="AO112" s="86">
        <f t="shared" si="229"/>
        <v>4147.6335467972522</v>
      </c>
      <c r="AP112" s="86">
        <f t="shared" si="229"/>
        <v>5110.7888044054525</v>
      </c>
      <c r="AQ112" s="86">
        <f t="shared" si="229"/>
        <v>5240.8632890287045</v>
      </c>
      <c r="AR112" s="86">
        <f t="shared" si="229"/>
        <v>5188.3798513818956</v>
      </c>
      <c r="AS112" s="86">
        <f t="shared" si="229"/>
        <v>5704.1016622085472</v>
      </c>
      <c r="AT112" s="86">
        <f t="shared" si="229"/>
        <v>5338.9308397257473</v>
      </c>
      <c r="AU112" s="86">
        <f t="shared" si="229"/>
        <v>7706.5002221838113</v>
      </c>
      <c r="AV112" s="86">
        <f t="shared" si="229"/>
        <v>7673.5543936655049</v>
      </c>
      <c r="AW112" s="86">
        <f t="shared" si="229"/>
        <v>7551.278935226369</v>
      </c>
      <c r="AX112" s="86">
        <f t="shared" si="229"/>
        <v>7591.0903669801255</v>
      </c>
      <c r="AY112" s="86">
        <f t="shared" si="229"/>
        <v>7560.8422660713159</v>
      </c>
      <c r="AZ112" s="86">
        <f t="shared" si="229"/>
        <v>7474.9048296802739</v>
      </c>
      <c r="BA112" s="86">
        <f t="shared" si="229"/>
        <v>7283.6331378299892</v>
      </c>
      <c r="BB112" s="86">
        <f t="shared" si="229"/>
        <v>6798.0070400794211</v>
      </c>
      <c r="BC112" s="86">
        <f t="shared" si="229"/>
        <v>5581.1574231773884</v>
      </c>
      <c r="BD112" s="86">
        <f t="shared" ref="BD112:BM112" si="230">SUM(BD110:BD111)</f>
        <v>5370.6861321755896</v>
      </c>
      <c r="BE112" s="86">
        <f t="shared" si="230"/>
        <v>5062.0973488982945</v>
      </c>
      <c r="BF112" s="86">
        <f t="shared" si="230"/>
        <v>4891.6733098133682</v>
      </c>
      <c r="BG112" s="86">
        <f t="shared" si="230"/>
        <v>4740.2270667480743</v>
      </c>
      <c r="BH112" s="86">
        <f t="shared" si="230"/>
        <v>4595.0157121410839</v>
      </c>
      <c r="BI112" s="86">
        <f t="shared" si="230"/>
        <v>4536.1739960360419</v>
      </c>
      <c r="BJ112" s="86">
        <f t="shared" si="230"/>
        <v>4846.988208974758</v>
      </c>
      <c r="BK112" s="86">
        <f t="shared" si="230"/>
        <v>4966.7600521299792</v>
      </c>
      <c r="BL112" s="86">
        <f t="shared" si="230"/>
        <v>4982.0379022364632</v>
      </c>
      <c r="BM112" s="86">
        <f t="shared" si="230"/>
        <v>5040.3936238393053</v>
      </c>
    </row>
    <row r="113" spans="1:75">
      <c r="A113" s="100" t="s">
        <v>20</v>
      </c>
      <c r="B113" s="86"/>
      <c r="C113" s="86"/>
      <c r="D113" s="86"/>
      <c r="E113" s="86"/>
      <c r="F113" s="86"/>
      <c r="G113" s="86"/>
      <c r="H113" s="86"/>
      <c r="J113" s="86"/>
      <c r="K113" s="86"/>
      <c r="L113" s="125"/>
      <c r="M113" s="125"/>
      <c r="N113" s="125"/>
      <c r="O113" s="125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</row>
    <row r="114" spans="1:75">
      <c r="A114" s="100"/>
      <c r="B114" s="96"/>
      <c r="C114" s="96"/>
      <c r="D114" s="96"/>
      <c r="E114" s="96"/>
      <c r="F114" s="96"/>
      <c r="G114" s="86"/>
      <c r="H114" s="86"/>
      <c r="J114" s="86"/>
      <c r="K114" s="86"/>
      <c r="L114" s="125"/>
      <c r="M114" s="125"/>
      <c r="N114" s="125"/>
      <c r="O114" s="125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</row>
    <row r="115" spans="1:75">
      <c r="A115" s="79" t="s">
        <v>311</v>
      </c>
      <c r="B115" s="96"/>
      <c r="C115" s="96">
        <f>(C112/B112-1)*100</f>
        <v>50.236978922915924</v>
      </c>
      <c r="D115" s="96">
        <f t="shared" ref="D115:AI115" si="231">(D112/C112-1)*100</f>
        <v>19.289354299171556</v>
      </c>
      <c r="E115" s="96">
        <f>(E112/D112-1)*100</f>
        <v>-13.76100172460748</v>
      </c>
      <c r="F115" s="96">
        <f t="shared" si="231"/>
        <v>23.585313174945988</v>
      </c>
      <c r="G115" s="96">
        <f t="shared" si="231"/>
        <v>21.235170854293472</v>
      </c>
      <c r="H115" s="96">
        <f t="shared" si="231"/>
        <v>-30.662495578438431</v>
      </c>
      <c r="I115" s="96">
        <f t="shared" si="231"/>
        <v>50.70623056460979</v>
      </c>
      <c r="J115" s="96">
        <f t="shared" si="231"/>
        <v>12.30577998756992</v>
      </c>
      <c r="K115" s="96">
        <f t="shared" si="231"/>
        <v>8.9789706696181462</v>
      </c>
      <c r="L115" s="96">
        <f>(L112/K112-1)*100</f>
        <v>-13.418814269391898</v>
      </c>
      <c r="M115" s="96">
        <f>(M112/L112-1)*100</f>
        <v>12.140762463343101</v>
      </c>
      <c r="N115" s="96">
        <f>(N112/M112-1)*100</f>
        <v>0.61453974895397945</v>
      </c>
      <c r="O115" s="96">
        <f t="shared" si="231"/>
        <v>-3.4178037686809604</v>
      </c>
      <c r="P115" s="96">
        <f t="shared" si="231"/>
        <v>-14.625941872981695</v>
      </c>
      <c r="Q115" s="96">
        <f t="shared" si="231"/>
        <v>-0.85106382978723527</v>
      </c>
      <c r="R115" s="96">
        <f t="shared" si="231"/>
        <v>4.4666984581147595</v>
      </c>
      <c r="S115" s="96">
        <f>(S112/R112-1)*100</f>
        <v>-1.6433353621424174</v>
      </c>
      <c r="T115" s="96">
        <f t="shared" si="231"/>
        <v>-0.4641089108910923</v>
      </c>
      <c r="U115" s="96">
        <f t="shared" si="231"/>
        <v>14.190239353434887</v>
      </c>
      <c r="V115" s="96">
        <f t="shared" si="231"/>
        <v>-6.0905529800381109</v>
      </c>
      <c r="W115" s="96">
        <f t="shared" si="231"/>
        <v>42.781300461328733</v>
      </c>
      <c r="X115" s="96">
        <f t="shared" si="231"/>
        <v>27.348254624118518</v>
      </c>
      <c r="Y115" s="96">
        <f t="shared" si="231"/>
        <v>-13.780044225941612</v>
      </c>
      <c r="Z115" s="96">
        <f t="shared" si="231"/>
        <v>-31.831181883061134</v>
      </c>
      <c r="AA115" s="96">
        <f t="shared" si="231"/>
        <v>2.4586348647283041</v>
      </c>
      <c r="AB115" s="96">
        <f t="shared" si="231"/>
        <v>-7.6711061359981736</v>
      </c>
      <c r="AC115" s="96">
        <f t="shared" si="231"/>
        <v>7.3697080307241647</v>
      </c>
      <c r="AD115" s="96">
        <f t="shared" si="231"/>
        <v>15.551907069705017</v>
      </c>
      <c r="AE115" s="96">
        <f t="shared" si="231"/>
        <v>-5.5878831130189539</v>
      </c>
      <c r="AF115" s="96">
        <f t="shared" si="231"/>
        <v>-0.50652656300052001</v>
      </c>
      <c r="AG115" s="96">
        <f t="shared" si="231"/>
        <v>1.9616741127650439</v>
      </c>
      <c r="AH115" s="96">
        <f t="shared" si="231"/>
        <v>-40.083636533990187</v>
      </c>
      <c r="AI115" s="96">
        <f t="shared" si="231"/>
        <v>-25.207134054981704</v>
      </c>
      <c r="AJ115" s="96">
        <f t="shared" ref="AJ115:BC115" si="232">(AJ112/AI112-1)*100</f>
        <v>-8.3032064318748979</v>
      </c>
      <c r="AK115" s="96">
        <f t="shared" si="232"/>
        <v>-1.4918288680163649</v>
      </c>
      <c r="AL115" s="96">
        <f t="shared" si="232"/>
        <v>-2.6932330625204726</v>
      </c>
      <c r="AM115" s="96">
        <f t="shared" si="232"/>
        <v>-0.34044605888404744</v>
      </c>
      <c r="AN115" s="96">
        <f t="shared" si="232"/>
        <v>14.331121419508563</v>
      </c>
      <c r="AO115" s="96">
        <f t="shared" si="232"/>
        <v>11.496264876928297</v>
      </c>
      <c r="AP115" s="96">
        <f t="shared" si="232"/>
        <v>23.221802185295193</v>
      </c>
      <c r="AQ115" s="96">
        <f t="shared" si="232"/>
        <v>2.5450960624929131</v>
      </c>
      <c r="AR115" s="96">
        <f t="shared" si="232"/>
        <v>-1.0014273365359205</v>
      </c>
      <c r="AS115" s="96">
        <f t="shared" si="232"/>
        <v>9.9399393567780603</v>
      </c>
      <c r="AT115" s="96">
        <f t="shared" si="232"/>
        <v>-6.4018989160408939</v>
      </c>
      <c r="AU115" s="96">
        <f t="shared" si="232"/>
        <v>44.345384001634343</v>
      </c>
      <c r="AV115" s="96">
        <f t="shared" si="232"/>
        <v>-0.42750700796022612</v>
      </c>
      <c r="AW115" s="96">
        <f t="shared" si="232"/>
        <v>-1.5934657157063215</v>
      </c>
      <c r="AX115" s="96">
        <f t="shared" si="232"/>
        <v>0.527214424142608</v>
      </c>
      <c r="AY115" s="96">
        <f t="shared" si="232"/>
        <v>-0.39846846034640171</v>
      </c>
      <c r="AZ115" s="96">
        <f t="shared" si="232"/>
        <v>-1.1366119456912793</v>
      </c>
      <c r="BA115" s="96">
        <f t="shared" si="232"/>
        <v>-2.5588511988916651</v>
      </c>
      <c r="BB115" s="96">
        <f t="shared" si="232"/>
        <v>-6.6673607602270142</v>
      </c>
      <c r="BC115" s="96">
        <f t="shared" si="232"/>
        <v>-17.900093508697168</v>
      </c>
      <c r="BD115" s="96">
        <f t="shared" ref="BD115" si="233">(BD112/BC112-1)*100</f>
        <v>-3.7711047197442449</v>
      </c>
      <c r="BE115" s="96">
        <f t="shared" ref="BE115" si="234">(BE112/BD112-1)*100</f>
        <v>-5.7457981286329618</v>
      </c>
      <c r="BF115" s="96">
        <f t="shared" ref="BF115" si="235">(BF112/BE112-1)*100</f>
        <v>-3.3666685434648347</v>
      </c>
      <c r="BG115" s="96">
        <f t="shared" ref="BG115" si="236">(BG112/BF112-1)*100</f>
        <v>-3.096000764431095</v>
      </c>
      <c r="BH115" s="96">
        <f t="shared" ref="BH115" si="237">(BH112/BG112-1)*100</f>
        <v>-3.0633839384114014</v>
      </c>
      <c r="BI115" s="96">
        <f t="shared" ref="BI115" si="238">(BI112/BH112-1)*100</f>
        <v>-1.2805552753512583</v>
      </c>
      <c r="BJ115" s="96">
        <f t="shared" ref="BJ115" si="239">(BJ112/BI112-1)*100</f>
        <v>6.8519023567068293</v>
      </c>
      <c r="BK115" s="96">
        <f t="shared" ref="BK115" si="240">(BK112/BJ112-1)*100</f>
        <v>2.4710570356546224</v>
      </c>
      <c r="BL115" s="96">
        <f t="shared" ref="BL115" si="241">(BL112/BK112-1)*100</f>
        <v>0.30760193659711277</v>
      </c>
      <c r="BM115" s="96">
        <f t="shared" ref="BM115" si="242">(BM112/BL112-1)*100</f>
        <v>1.171322313237444</v>
      </c>
    </row>
    <row r="116" spans="1:75">
      <c r="A116" s="100"/>
      <c r="B116" s="96"/>
      <c r="C116" s="96"/>
      <c r="D116" s="96"/>
      <c r="E116" s="96"/>
      <c r="F116" s="96"/>
      <c r="G116" s="86"/>
      <c r="H116" s="86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</row>
    <row r="117" spans="1:75">
      <c r="A117" s="130" t="s">
        <v>429</v>
      </c>
      <c r="B117" s="131"/>
      <c r="C117" s="132">
        <f t="shared" ref="C117:L117" si="243">(C112/B112-1)*100</f>
        <v>50.236978922915924</v>
      </c>
      <c r="D117" s="132">
        <f t="shared" si="243"/>
        <v>19.289354299171556</v>
      </c>
      <c r="E117" s="132">
        <f t="shared" si="243"/>
        <v>-13.76100172460748</v>
      </c>
      <c r="F117" s="132">
        <f t="shared" si="243"/>
        <v>23.585313174945988</v>
      </c>
      <c r="G117" s="132">
        <f t="shared" si="243"/>
        <v>21.235170854293472</v>
      </c>
      <c r="H117" s="132">
        <f t="shared" si="243"/>
        <v>-30.662495578438431</v>
      </c>
      <c r="I117" s="132">
        <f t="shared" si="243"/>
        <v>50.70623056460979</v>
      </c>
      <c r="J117" s="132">
        <f t="shared" si="243"/>
        <v>12.30577998756992</v>
      </c>
      <c r="K117" s="132">
        <f t="shared" si="243"/>
        <v>8.9789706696181462</v>
      </c>
      <c r="L117" s="132">
        <f t="shared" si="243"/>
        <v>-13.418814269391898</v>
      </c>
      <c r="M117" s="133">
        <v>2</v>
      </c>
      <c r="N117" s="133">
        <v>2</v>
      </c>
      <c r="O117" s="133">
        <v>2</v>
      </c>
      <c r="P117" s="133">
        <v>0</v>
      </c>
      <c r="Q117" s="133">
        <v>0</v>
      </c>
      <c r="R117" s="133">
        <v>0</v>
      </c>
      <c r="S117" s="133">
        <v>0</v>
      </c>
      <c r="T117" s="133">
        <v>0</v>
      </c>
      <c r="U117" s="133">
        <v>0</v>
      </c>
      <c r="V117" s="133">
        <v>0</v>
      </c>
      <c r="W117" s="133">
        <v>0</v>
      </c>
      <c r="X117" s="133">
        <v>0</v>
      </c>
      <c r="Y117" s="133">
        <v>0</v>
      </c>
      <c r="Z117" s="133">
        <v>0</v>
      </c>
      <c r="AA117" s="133">
        <v>0</v>
      </c>
      <c r="AB117" s="133">
        <v>0</v>
      </c>
      <c r="AC117" s="133">
        <v>0</v>
      </c>
      <c r="AD117" s="133">
        <v>0</v>
      </c>
      <c r="AE117" s="133">
        <v>0</v>
      </c>
      <c r="AF117" s="133">
        <v>0</v>
      </c>
      <c r="AG117" s="133">
        <v>0</v>
      </c>
      <c r="AH117" s="133">
        <v>0</v>
      </c>
      <c r="AI117" s="133">
        <v>0</v>
      </c>
      <c r="AJ117" s="133">
        <v>0</v>
      </c>
      <c r="AK117" s="133">
        <v>0</v>
      </c>
      <c r="AL117" s="133">
        <v>0</v>
      </c>
      <c r="AM117" s="133">
        <v>0</v>
      </c>
      <c r="AN117" s="133">
        <v>0</v>
      </c>
      <c r="AO117" s="133">
        <v>0</v>
      </c>
      <c r="AP117" s="133">
        <v>0</v>
      </c>
      <c r="AQ117" s="133">
        <v>0</v>
      </c>
      <c r="AR117" s="133">
        <v>0</v>
      </c>
      <c r="AS117" s="133">
        <v>0</v>
      </c>
      <c r="AT117" s="133">
        <v>0</v>
      </c>
      <c r="AU117" s="133">
        <v>0</v>
      </c>
      <c r="AV117" s="133">
        <v>0</v>
      </c>
      <c r="AW117" s="133">
        <v>0</v>
      </c>
      <c r="AX117" s="133">
        <v>0</v>
      </c>
      <c r="AY117" s="133">
        <v>0</v>
      </c>
      <c r="AZ117" s="133">
        <v>0</v>
      </c>
      <c r="BA117" s="133">
        <v>0</v>
      </c>
      <c r="BB117" s="133">
        <v>0</v>
      </c>
      <c r="BC117" s="133">
        <v>0</v>
      </c>
      <c r="BD117" s="133">
        <v>0</v>
      </c>
      <c r="BE117" s="133">
        <v>0</v>
      </c>
      <c r="BF117" s="133">
        <v>0</v>
      </c>
      <c r="BG117" s="133">
        <v>0</v>
      </c>
      <c r="BH117" s="133">
        <v>0</v>
      </c>
      <c r="BI117" s="133">
        <v>0</v>
      </c>
      <c r="BJ117" s="133">
        <v>0</v>
      </c>
      <c r="BK117" s="133">
        <v>0</v>
      </c>
      <c r="BL117" s="133">
        <v>0</v>
      </c>
      <c r="BM117" s="133">
        <v>0</v>
      </c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</row>
    <row r="118" spans="1:75">
      <c r="A118" s="100"/>
      <c r="B118" s="86"/>
      <c r="C118" s="86"/>
      <c r="D118" s="86"/>
      <c r="E118" s="86"/>
      <c r="F118" s="86"/>
      <c r="G118" s="86"/>
      <c r="H118" s="86"/>
      <c r="J118" s="86"/>
      <c r="K118" s="86"/>
      <c r="L118" s="125"/>
      <c r="M118" s="125"/>
      <c r="N118" s="125"/>
      <c r="O118" s="125"/>
      <c r="P118" s="125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</row>
    <row r="119" spans="1:75">
      <c r="A119" s="100"/>
      <c r="B119" s="100"/>
      <c r="C119" s="100"/>
      <c r="D119" s="100"/>
      <c r="G119" s="88"/>
      <c r="H119" s="114"/>
      <c r="J119" s="114"/>
      <c r="K119" s="114"/>
      <c r="L119" s="114"/>
      <c r="M119" s="114"/>
      <c r="N119" s="114"/>
      <c r="O119" s="114"/>
    </row>
    <row r="120" spans="1:75">
      <c r="A120" s="78" t="s">
        <v>23</v>
      </c>
      <c r="B120" s="127"/>
      <c r="C120" s="127"/>
      <c r="D120" s="127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</row>
    <row r="121" spans="1:75">
      <c r="A121" s="79" t="s">
        <v>17</v>
      </c>
      <c r="B121" s="86">
        <f>B80-B98-B104</f>
        <v>149561.91376165682</v>
      </c>
      <c r="C121" s="86">
        <f t="shared" ref="C121:AH121" si="244">C80-C98-C104</f>
        <v>101775.46208912965</v>
      </c>
      <c r="D121" s="86">
        <f t="shared" si="244"/>
        <v>142322.0113265214</v>
      </c>
      <c r="E121" s="86">
        <f t="shared" si="244"/>
        <v>285437.53172580001</v>
      </c>
      <c r="F121" s="86">
        <f t="shared" si="244"/>
        <v>253045.28571439997</v>
      </c>
      <c r="G121" s="86">
        <f t="shared" ref="G121:L121" si="245">G80-G98-G104</f>
        <v>215096.650287</v>
      </c>
      <c r="H121" s="86">
        <f t="shared" si="245"/>
        <v>208200.38951879999</v>
      </c>
      <c r="I121" s="86">
        <f t="shared" si="245"/>
        <v>259983.09430900001</v>
      </c>
      <c r="J121" s="86">
        <f t="shared" si="245"/>
        <v>329639.22095699998</v>
      </c>
      <c r="K121" s="86">
        <f t="shared" si="245"/>
        <v>362140.33166540001</v>
      </c>
      <c r="L121" s="86">
        <f t="shared" si="245"/>
        <v>341138.15139000001</v>
      </c>
      <c r="M121" s="86">
        <f>M80-M98-M104</f>
        <v>427102.50059760001</v>
      </c>
      <c r="N121" s="86">
        <f>N80-N98-N104</f>
        <v>280702.74770740001</v>
      </c>
      <c r="O121" s="86">
        <f t="shared" si="244"/>
        <v>316416.73396149999</v>
      </c>
      <c r="P121" s="86">
        <f t="shared" si="244"/>
        <v>379861.03697720001</v>
      </c>
      <c r="Q121" s="86">
        <f t="shared" si="244"/>
        <v>363357.18380000006</v>
      </c>
      <c r="R121" s="86">
        <f>R80-R98-R104</f>
        <v>340039.87883460004</v>
      </c>
      <c r="S121" s="86">
        <f>S80-S98-S104</f>
        <v>344290.44329899998</v>
      </c>
      <c r="T121" s="86">
        <f>T80-T98-T104</f>
        <v>244396.00179349998</v>
      </c>
      <c r="U121" s="86">
        <f>U80-U98-U104</f>
        <v>221898.38726100003</v>
      </c>
      <c r="V121" s="86">
        <f>V80-V98-V104</f>
        <v>260150.03221673871</v>
      </c>
      <c r="W121" s="86">
        <f t="shared" si="244"/>
        <v>314017.02016582969</v>
      </c>
      <c r="X121" s="86">
        <f t="shared" si="244"/>
        <v>293099.59369256167</v>
      </c>
      <c r="Y121" s="86">
        <f t="shared" si="244"/>
        <v>249796.44805771843</v>
      </c>
      <c r="Z121" s="86">
        <f t="shared" si="244"/>
        <v>389662.24484323297</v>
      </c>
      <c r="AA121" s="86">
        <f t="shared" si="244"/>
        <v>582127.51958137669</v>
      </c>
      <c r="AB121" s="86">
        <f t="shared" si="244"/>
        <v>564099.1180861867</v>
      </c>
      <c r="AC121" s="86">
        <f t="shared" si="244"/>
        <v>550012.81510394439</v>
      </c>
      <c r="AD121" s="86">
        <f t="shared" si="244"/>
        <v>474954.70241043891</v>
      </c>
      <c r="AE121" s="86">
        <f t="shared" si="244"/>
        <v>424638.42808003188</v>
      </c>
      <c r="AF121" s="86">
        <f t="shared" si="244"/>
        <v>405450.78784322762</v>
      </c>
      <c r="AG121" s="86">
        <f>AG80-AG98-AG104</f>
        <v>367325.85860778671</v>
      </c>
      <c r="AH121" s="86">
        <f t="shared" si="244"/>
        <v>334481.31938482594</v>
      </c>
      <c r="AI121" s="86">
        <f>AI80-AI98-AI104</f>
        <v>313146.99544066284</v>
      </c>
      <c r="AJ121" s="86">
        <f t="shared" ref="AJ121:BC121" si="246">AJ80-AJ98-AJ104</f>
        <v>318539.87464733096</v>
      </c>
      <c r="AK121" s="86">
        <f t="shared" si="246"/>
        <v>328625.4410362526</v>
      </c>
      <c r="AL121" s="86">
        <f t="shared" si="246"/>
        <v>338067.12440304586</v>
      </c>
      <c r="AM121" s="86">
        <f t="shared" si="246"/>
        <v>354258.28511562495</v>
      </c>
      <c r="AN121" s="86">
        <f t="shared" si="246"/>
        <v>367981.86084642622</v>
      </c>
      <c r="AO121" s="86">
        <f t="shared" si="246"/>
        <v>369201.47694664518</v>
      </c>
      <c r="AP121" s="86">
        <f t="shared" si="246"/>
        <v>368339.39319102303</v>
      </c>
      <c r="AQ121" s="86">
        <f t="shared" si="246"/>
        <v>361630.16676757066</v>
      </c>
      <c r="AR121" s="86">
        <f t="shared" si="246"/>
        <v>356269.45911099348</v>
      </c>
      <c r="AS121" s="86">
        <f t="shared" si="246"/>
        <v>351644.15278415463</v>
      </c>
      <c r="AT121" s="86">
        <f t="shared" si="246"/>
        <v>349010.31952278462</v>
      </c>
      <c r="AU121" s="86">
        <f t="shared" si="246"/>
        <v>344322.48071086162</v>
      </c>
      <c r="AV121" s="86">
        <f t="shared" si="246"/>
        <v>340279.95134764904</v>
      </c>
      <c r="AW121" s="86">
        <f t="shared" si="246"/>
        <v>338400.1896439555</v>
      </c>
      <c r="AX121" s="86">
        <f t="shared" si="246"/>
        <v>333265.45828425314</v>
      </c>
      <c r="AY121" s="86">
        <f t="shared" si="246"/>
        <v>329485.30433865788</v>
      </c>
      <c r="AZ121" s="86">
        <f t="shared" si="246"/>
        <v>324069.56810898683</v>
      </c>
      <c r="BA121" s="86">
        <f t="shared" si="246"/>
        <v>321777.11339955666</v>
      </c>
      <c r="BB121" s="86">
        <f t="shared" si="246"/>
        <v>316803.5959769843</v>
      </c>
      <c r="BC121" s="86">
        <f t="shared" si="246"/>
        <v>311204.18715746334</v>
      </c>
      <c r="BD121" s="86">
        <f t="shared" ref="BD121:BM121" si="247">BD80-BD98-BD104</f>
        <v>307761.85785356699</v>
      </c>
      <c r="BE121" s="86">
        <f t="shared" si="247"/>
        <v>302595.00053896697</v>
      </c>
      <c r="BF121" s="86">
        <f t="shared" si="247"/>
        <v>298176.25629889243</v>
      </c>
      <c r="BG121" s="86">
        <f t="shared" si="247"/>
        <v>292501.11122958869</v>
      </c>
      <c r="BH121" s="86">
        <f t="shared" si="247"/>
        <v>285794.59569498309</v>
      </c>
      <c r="BI121" s="86">
        <f t="shared" si="247"/>
        <v>279818.75916565955</v>
      </c>
      <c r="BJ121" s="86">
        <f t="shared" si="247"/>
        <v>273232.34874708543</v>
      </c>
      <c r="BK121" s="86">
        <f t="shared" si="247"/>
        <v>263693.86529409472</v>
      </c>
      <c r="BL121" s="86">
        <f t="shared" si="247"/>
        <v>254952.17194976282</v>
      </c>
      <c r="BM121" s="86">
        <f t="shared" si="247"/>
        <v>245512.22654545927</v>
      </c>
    </row>
    <row r="122" spans="1:75">
      <c r="A122" s="79" t="s">
        <v>9</v>
      </c>
      <c r="B122" s="86">
        <f>B81-B99-B105</f>
        <v>26179</v>
      </c>
      <c r="C122" s="86">
        <f t="shared" ref="C122:AI122" si="248">C81-C99-C105</f>
        <v>25327.4</v>
      </c>
      <c r="D122" s="86">
        <f t="shared" si="248"/>
        <v>20559</v>
      </c>
      <c r="E122" s="86">
        <f t="shared" si="248"/>
        <v>41541.699999999997</v>
      </c>
      <c r="F122" s="86">
        <f t="shared" si="248"/>
        <v>59401.5</v>
      </c>
      <c r="G122" s="86">
        <f t="shared" si="248"/>
        <v>53175.6</v>
      </c>
      <c r="H122" s="86">
        <f t="shared" si="248"/>
        <v>57845.400000000009</v>
      </c>
      <c r="I122" s="86">
        <f t="shared" si="248"/>
        <v>70280</v>
      </c>
      <c r="J122" s="86">
        <f t="shared" si="248"/>
        <v>99886.5</v>
      </c>
      <c r="K122" s="86">
        <f t="shared" si="248"/>
        <v>145673.20000000001</v>
      </c>
      <c r="L122" s="86">
        <f t="shared" si="248"/>
        <v>133436.70000000001</v>
      </c>
      <c r="M122" s="86">
        <f>M81-M99-M105</f>
        <v>212903.19999999998</v>
      </c>
      <c r="N122" s="86">
        <f>N81-N99-N105</f>
        <v>165155.6</v>
      </c>
      <c r="O122" s="86">
        <f t="shared" si="248"/>
        <v>161611.70000000001</v>
      </c>
      <c r="P122" s="86">
        <f>P81-P99-P105</f>
        <v>193428</v>
      </c>
      <c r="Q122" s="86">
        <f>Q81-Q99-Q105</f>
        <v>242609.6</v>
      </c>
      <c r="R122" s="86">
        <f t="shared" si="248"/>
        <v>239756.5</v>
      </c>
      <c r="S122" s="86">
        <f t="shared" si="248"/>
        <v>211284</v>
      </c>
      <c r="T122" s="86">
        <f t="shared" si="248"/>
        <v>212553.4</v>
      </c>
      <c r="U122" s="86">
        <f>U81-U99-U105</f>
        <v>151609</v>
      </c>
      <c r="V122" s="86">
        <f>V81-V99-V105</f>
        <v>192902.35129488568</v>
      </c>
      <c r="W122" s="86">
        <f t="shared" si="248"/>
        <v>251858.83341138251</v>
      </c>
      <c r="X122" s="86">
        <f t="shared" si="248"/>
        <v>163662.41727506038</v>
      </c>
      <c r="Y122" s="86">
        <f t="shared" si="248"/>
        <v>112146.58335341416</v>
      </c>
      <c r="Z122" s="86">
        <f t="shared" si="248"/>
        <v>511732.6004368111</v>
      </c>
      <c r="AA122" s="86">
        <f t="shared" si="248"/>
        <v>1469774.8685528643</v>
      </c>
      <c r="AB122" s="86">
        <f t="shared" si="248"/>
        <v>620998.74945507175</v>
      </c>
      <c r="AC122" s="86">
        <f t="shared" si="248"/>
        <v>538443.4572053462</v>
      </c>
      <c r="AD122" s="86">
        <f t="shared" si="248"/>
        <v>599371.7560640726</v>
      </c>
      <c r="AE122" s="86">
        <f t="shared" si="248"/>
        <v>466717.87408761663</v>
      </c>
      <c r="AF122" s="86">
        <f t="shared" si="248"/>
        <v>378052.25442396384</v>
      </c>
      <c r="AG122" s="86">
        <f t="shared" si="248"/>
        <v>373005.5239808918</v>
      </c>
      <c r="AH122" s="86">
        <f t="shared" si="248"/>
        <v>365874.06432362407</v>
      </c>
      <c r="AI122" s="86">
        <f t="shared" si="248"/>
        <v>280522.9292591344</v>
      </c>
      <c r="AJ122" s="86">
        <f t="shared" ref="AJ122:BC122" si="249">AJ81-AJ99-AJ105</f>
        <v>269394.80263426603</v>
      </c>
      <c r="AK122" s="86">
        <f t="shared" si="249"/>
        <v>252150.91826082702</v>
      </c>
      <c r="AL122" s="86">
        <f t="shared" si="249"/>
        <v>243128.93146380462</v>
      </c>
      <c r="AM122" s="86">
        <f t="shared" si="249"/>
        <v>237677.19820092799</v>
      </c>
      <c r="AN122" s="86">
        <f t="shared" si="249"/>
        <v>231994.03058261666</v>
      </c>
      <c r="AO122" s="86">
        <f t="shared" si="249"/>
        <v>226882.02946525643</v>
      </c>
      <c r="AP122" s="86">
        <f t="shared" si="249"/>
        <v>217659.30952621074</v>
      </c>
      <c r="AQ122" s="86">
        <f t="shared" si="249"/>
        <v>204643.53019719193</v>
      </c>
      <c r="AR122" s="86">
        <f t="shared" si="249"/>
        <v>190381.86644772542</v>
      </c>
      <c r="AS122" s="86">
        <f t="shared" si="249"/>
        <v>179648.81381490058</v>
      </c>
      <c r="AT122" s="86">
        <f t="shared" si="249"/>
        <v>173537.43190509549</v>
      </c>
      <c r="AU122" s="86">
        <f t="shared" si="249"/>
        <v>166868.27499963267</v>
      </c>
      <c r="AV122" s="86">
        <f t="shared" si="249"/>
        <v>161884.08648380107</v>
      </c>
      <c r="AW122" s="86">
        <f t="shared" si="249"/>
        <v>155761.32900463371</v>
      </c>
      <c r="AX122" s="86">
        <f t="shared" si="249"/>
        <v>150976.09167858653</v>
      </c>
      <c r="AY122" s="86">
        <f t="shared" si="249"/>
        <v>147850.26773627021</v>
      </c>
      <c r="AZ122" s="86">
        <f t="shared" si="249"/>
        <v>144817.44480078304</v>
      </c>
      <c r="BA122" s="86">
        <f t="shared" si="249"/>
        <v>142246.83872112687</v>
      </c>
      <c r="BB122" s="86">
        <f t="shared" si="249"/>
        <v>141824.44394263398</v>
      </c>
      <c r="BC122" s="86">
        <f t="shared" si="249"/>
        <v>140117.77287370505</v>
      </c>
      <c r="BD122" s="86">
        <f t="shared" ref="BD122:BM122" si="250">BD81-BD99-BD105</f>
        <v>137835.93400938401</v>
      </c>
      <c r="BE122" s="86">
        <f t="shared" si="250"/>
        <v>134660.33067955458</v>
      </c>
      <c r="BF122" s="86">
        <f t="shared" si="250"/>
        <v>132172.22520335123</v>
      </c>
      <c r="BG122" s="86">
        <f t="shared" si="250"/>
        <v>130914.07372186444</v>
      </c>
      <c r="BH122" s="86">
        <f t="shared" si="250"/>
        <v>131477.24382306341</v>
      </c>
      <c r="BI122" s="86">
        <f t="shared" si="250"/>
        <v>131120.54701052699</v>
      </c>
      <c r="BJ122" s="86">
        <f t="shared" si="250"/>
        <v>131449.28272541671</v>
      </c>
      <c r="BK122" s="86">
        <f t="shared" si="250"/>
        <v>132261.75721298828</v>
      </c>
      <c r="BL122" s="86">
        <f t="shared" si="250"/>
        <v>132965.97824213846</v>
      </c>
      <c r="BM122" s="86">
        <f t="shared" si="250"/>
        <v>133961.03101236446</v>
      </c>
    </row>
    <row r="123" spans="1:75">
      <c r="A123" s="79" t="s">
        <v>10</v>
      </c>
      <c r="B123" s="86">
        <f>B82</f>
        <v>13364.323499999999</v>
      </c>
      <c r="C123" s="86">
        <f t="shared" ref="C123:AI123" si="251">C82</f>
        <v>7653.4611999999997</v>
      </c>
      <c r="D123" s="86">
        <f t="shared" si="251"/>
        <v>12724.625</v>
      </c>
      <c r="E123" s="86">
        <f t="shared" si="251"/>
        <v>21706.292799999999</v>
      </c>
      <c r="F123" s="86">
        <f t="shared" si="251"/>
        <v>25322.478299999999</v>
      </c>
      <c r="G123" s="86">
        <f t="shared" si="251"/>
        <v>26330.151999999998</v>
      </c>
      <c r="H123" s="86">
        <f t="shared" si="251"/>
        <v>25438.039848197346</v>
      </c>
      <c r="I123" s="86">
        <f t="shared" si="251"/>
        <v>29719.774687065368</v>
      </c>
      <c r="J123" s="86">
        <f t="shared" si="251"/>
        <v>43885.822784810131</v>
      </c>
      <c r="K123" s="86">
        <f t="shared" si="251"/>
        <v>47822.778290993076</v>
      </c>
      <c r="L123" s="86">
        <f t="shared" si="251"/>
        <v>35857.534743202414</v>
      </c>
      <c r="M123" s="86">
        <f>M82</f>
        <v>52589.918813739998</v>
      </c>
      <c r="N123" s="86">
        <f t="shared" si="251"/>
        <v>37739.270346117868</v>
      </c>
      <c r="O123" s="86">
        <f t="shared" si="251"/>
        <v>43366.956786985254</v>
      </c>
      <c r="P123" s="86">
        <f t="shared" si="251"/>
        <v>58408.44</v>
      </c>
      <c r="Q123" s="86">
        <f t="shared" si="251"/>
        <v>64812.48000000001</v>
      </c>
      <c r="R123" s="86">
        <f>R82</f>
        <v>61110.548571428568</v>
      </c>
      <c r="S123" s="86">
        <f>S82</f>
        <v>51421.601851851847</v>
      </c>
      <c r="T123" s="86">
        <f>T82</f>
        <v>35960.11900452488</v>
      </c>
      <c r="U123" s="86">
        <f>U82</f>
        <v>32787.829411764702</v>
      </c>
      <c r="V123" s="86">
        <f t="shared" si="251"/>
        <v>42269.526176690175</v>
      </c>
      <c r="W123" s="86">
        <f t="shared" si="251"/>
        <v>47625.456678698567</v>
      </c>
      <c r="X123" s="86">
        <f t="shared" si="251"/>
        <v>40438.896815883782</v>
      </c>
      <c r="Y123" s="86">
        <f t="shared" si="251"/>
        <v>28561.264967963682</v>
      </c>
      <c r="Z123" s="86">
        <f t="shared" si="251"/>
        <v>33520.330295933367</v>
      </c>
      <c r="AA123" s="86">
        <f t="shared" si="251"/>
        <v>50089.649639400792</v>
      </c>
      <c r="AB123" s="86">
        <f t="shared" si="251"/>
        <v>48524.560773329205</v>
      </c>
      <c r="AC123" s="86">
        <f t="shared" si="251"/>
        <v>45906.988620913697</v>
      </c>
      <c r="AD123" s="86">
        <f t="shared" si="251"/>
        <v>40000.2267792434</v>
      </c>
      <c r="AE123" s="86">
        <f t="shared" si="251"/>
        <v>39748.416718053697</v>
      </c>
      <c r="AF123" s="86">
        <f t="shared" si="251"/>
        <v>40083.763571209303</v>
      </c>
      <c r="AG123" s="86">
        <f t="shared" si="251"/>
        <v>40185.398604176196</v>
      </c>
      <c r="AH123" s="86">
        <f t="shared" si="251"/>
        <v>39827.777266037003</v>
      </c>
      <c r="AI123" s="86">
        <f t="shared" si="251"/>
        <v>38247.754743086502</v>
      </c>
      <c r="AJ123" s="86">
        <f t="shared" ref="AJ123:BC123" si="252">AJ82</f>
        <v>36013.567790430498</v>
      </c>
      <c r="AK123" s="86">
        <f t="shared" si="252"/>
        <v>35085.924126697697</v>
      </c>
      <c r="AL123" s="86">
        <f t="shared" si="252"/>
        <v>32544.552850571603</v>
      </c>
      <c r="AM123" s="86">
        <f t="shared" si="252"/>
        <v>30387.614435446099</v>
      </c>
      <c r="AN123" s="86">
        <f t="shared" si="252"/>
        <v>28101.384572021499</v>
      </c>
      <c r="AO123" s="86">
        <f t="shared" si="252"/>
        <v>26224.587376376199</v>
      </c>
      <c r="AP123" s="86">
        <f t="shared" si="252"/>
        <v>23196.082085607199</v>
      </c>
      <c r="AQ123" s="86">
        <f t="shared" si="252"/>
        <v>20173.875250811299</v>
      </c>
      <c r="AR123" s="86">
        <f t="shared" si="252"/>
        <v>18301.638477121502</v>
      </c>
      <c r="AS123" s="86">
        <f t="shared" si="252"/>
        <v>16913.8133251892</v>
      </c>
      <c r="AT123" s="86">
        <f t="shared" si="252"/>
        <v>15045.762580700301</v>
      </c>
      <c r="AU123" s="86">
        <f t="shared" si="252"/>
        <v>13898.6281530164</v>
      </c>
      <c r="AV123" s="86">
        <f t="shared" si="252"/>
        <v>12901.250648536001</v>
      </c>
      <c r="AW123" s="86">
        <f t="shared" si="252"/>
        <v>11643.0075663225</v>
      </c>
      <c r="AX123" s="86">
        <f t="shared" si="252"/>
        <v>10788.075374693401</v>
      </c>
      <c r="AY123" s="86">
        <f t="shared" si="252"/>
        <v>9314.1983479089704</v>
      </c>
      <c r="AZ123" s="86">
        <f t="shared" si="252"/>
        <v>9007.0671299832393</v>
      </c>
      <c r="BA123" s="86">
        <f t="shared" si="252"/>
        <v>7284.6802465119308</v>
      </c>
      <c r="BB123" s="86">
        <f t="shared" si="252"/>
        <v>5894.56915577773</v>
      </c>
      <c r="BC123" s="86">
        <f t="shared" si="252"/>
        <v>4936.5220261379</v>
      </c>
      <c r="BD123" s="86">
        <f t="shared" ref="BD123:BM123" si="253">BD82</f>
        <v>4068.9352038332099</v>
      </c>
      <c r="BE123" s="86">
        <f t="shared" si="253"/>
        <v>2866.17143066273</v>
      </c>
      <c r="BF123" s="86">
        <f t="shared" si="253"/>
        <v>2298.6478798009698</v>
      </c>
      <c r="BG123" s="86">
        <f t="shared" si="253"/>
        <v>1654.7301772676099</v>
      </c>
      <c r="BH123" s="86">
        <f t="shared" si="253"/>
        <v>1127.35993946084</v>
      </c>
      <c r="BI123" s="86">
        <f t="shared" si="253"/>
        <v>766.13320039530402</v>
      </c>
      <c r="BJ123" s="86">
        <f t="shared" si="253"/>
        <v>370.63270531389799</v>
      </c>
      <c r="BK123" s="86">
        <f t="shared" si="253"/>
        <v>356.30239790945802</v>
      </c>
      <c r="BL123" s="86">
        <f t="shared" si="253"/>
        <v>338.613549067951</v>
      </c>
      <c r="BM123" s="86">
        <f t="shared" si="253"/>
        <v>240.14449656531301</v>
      </c>
    </row>
    <row r="124" spans="1:75">
      <c r="A124" s="79" t="s">
        <v>14</v>
      </c>
      <c r="B124" s="86">
        <f t="shared" ref="B124:AI124" si="254">B80+B82-B98-B104</f>
        <v>162926.23726165682</v>
      </c>
      <c r="C124" s="86">
        <f t="shared" si="254"/>
        <v>109428.92328912966</v>
      </c>
      <c r="D124" s="86">
        <f t="shared" si="254"/>
        <v>155046.6363265214</v>
      </c>
      <c r="E124" s="86">
        <f t="shared" si="254"/>
        <v>307143.82452580001</v>
      </c>
      <c r="F124" s="86">
        <f t="shared" si="254"/>
        <v>278367.76401439996</v>
      </c>
      <c r="G124" s="86">
        <f t="shared" si="254"/>
        <v>241426.802287</v>
      </c>
      <c r="H124" s="86">
        <f t="shared" si="254"/>
        <v>233638.42936699733</v>
      </c>
      <c r="I124" s="86">
        <f t="shared" si="254"/>
        <v>289702.8689960654</v>
      </c>
      <c r="J124" s="86">
        <f t="shared" si="254"/>
        <v>373525.04374181014</v>
      </c>
      <c r="K124" s="86">
        <f t="shared" si="254"/>
        <v>409963.10995639308</v>
      </c>
      <c r="L124" s="86">
        <f t="shared" si="254"/>
        <v>376995.6861332024</v>
      </c>
      <c r="M124" s="86">
        <f t="shared" si="254"/>
        <v>479692.41941134003</v>
      </c>
      <c r="N124" s="86">
        <f t="shared" si="254"/>
        <v>318442.01805351785</v>
      </c>
      <c r="O124" s="86">
        <f t="shared" si="254"/>
        <v>359783.69074848527</v>
      </c>
      <c r="P124" s="86">
        <f t="shared" si="254"/>
        <v>438269.47697720001</v>
      </c>
      <c r="Q124" s="86">
        <f t="shared" si="254"/>
        <v>428169.6638000001</v>
      </c>
      <c r="R124" s="86">
        <f t="shared" si="254"/>
        <v>401150.42740602861</v>
      </c>
      <c r="S124" s="86">
        <f t="shared" si="254"/>
        <v>395712.04515085183</v>
      </c>
      <c r="T124" s="86">
        <f t="shared" si="254"/>
        <v>280356.12079802487</v>
      </c>
      <c r="U124" s="86">
        <f t="shared" si="254"/>
        <v>254686.21667276474</v>
      </c>
      <c r="V124" s="86">
        <f t="shared" si="254"/>
        <v>302419.55839342892</v>
      </c>
      <c r="W124" s="86">
        <f t="shared" si="254"/>
        <v>361642.47684452822</v>
      </c>
      <c r="X124" s="86">
        <f t="shared" si="254"/>
        <v>333538.49050844548</v>
      </c>
      <c r="Y124" s="86">
        <f t="shared" si="254"/>
        <v>278357.71302568208</v>
      </c>
      <c r="Z124" s="86">
        <f t="shared" si="254"/>
        <v>423182.57513916632</v>
      </c>
      <c r="AA124" s="86">
        <f t="shared" si="254"/>
        <v>632217.16922077746</v>
      </c>
      <c r="AB124" s="86">
        <f t="shared" si="254"/>
        <v>612623.67885951593</v>
      </c>
      <c r="AC124" s="86">
        <f t="shared" si="254"/>
        <v>595919.80372485809</v>
      </c>
      <c r="AD124" s="86">
        <f t="shared" si="254"/>
        <v>514954.9291896823</v>
      </c>
      <c r="AE124" s="86">
        <f t="shared" si="254"/>
        <v>464386.84479808557</v>
      </c>
      <c r="AF124" s="86">
        <f t="shared" si="254"/>
        <v>445534.55141443695</v>
      </c>
      <c r="AG124" s="86">
        <f t="shared" si="254"/>
        <v>407511.25721196289</v>
      </c>
      <c r="AH124" s="86">
        <f t="shared" si="254"/>
        <v>374309.09665086295</v>
      </c>
      <c r="AI124" s="86">
        <f t="shared" si="254"/>
        <v>351394.75018374936</v>
      </c>
      <c r="AJ124" s="86">
        <f t="shared" ref="AJ124:BC124" si="255">AJ80+AJ82-AJ98-AJ104</f>
        <v>354553.44243776146</v>
      </c>
      <c r="AK124" s="86">
        <f t="shared" si="255"/>
        <v>363711.3651629503</v>
      </c>
      <c r="AL124" s="86">
        <f t="shared" si="255"/>
        <v>370611.67725361744</v>
      </c>
      <c r="AM124" s="86">
        <f t="shared" si="255"/>
        <v>384645.89955107105</v>
      </c>
      <c r="AN124" s="86">
        <f t="shared" si="255"/>
        <v>396083.24541844771</v>
      </c>
      <c r="AO124" s="86">
        <f t="shared" si="255"/>
        <v>395426.06432302139</v>
      </c>
      <c r="AP124" s="86">
        <f t="shared" si="255"/>
        <v>391535.47527663026</v>
      </c>
      <c r="AQ124" s="86">
        <f t="shared" si="255"/>
        <v>381804.04201838194</v>
      </c>
      <c r="AR124" s="86">
        <f t="shared" si="255"/>
        <v>374571.09758811496</v>
      </c>
      <c r="AS124" s="86">
        <f t="shared" si="255"/>
        <v>368557.9661093438</v>
      </c>
      <c r="AT124" s="86">
        <f t="shared" si="255"/>
        <v>364056.08210348489</v>
      </c>
      <c r="AU124" s="86">
        <f t="shared" si="255"/>
        <v>358221.10886387801</v>
      </c>
      <c r="AV124" s="86">
        <f t="shared" si="255"/>
        <v>353181.20199618506</v>
      </c>
      <c r="AW124" s="86">
        <f t="shared" si="255"/>
        <v>350043.19721027801</v>
      </c>
      <c r="AX124" s="86">
        <f t="shared" si="255"/>
        <v>344053.53365894652</v>
      </c>
      <c r="AY124" s="86">
        <f t="shared" si="255"/>
        <v>338799.50268656685</v>
      </c>
      <c r="AZ124" s="86">
        <f t="shared" si="255"/>
        <v>333076.63523897005</v>
      </c>
      <c r="BA124" s="86">
        <f t="shared" si="255"/>
        <v>329061.7936460686</v>
      </c>
      <c r="BB124" s="86">
        <f t="shared" si="255"/>
        <v>322698.16513276205</v>
      </c>
      <c r="BC124" s="86">
        <f t="shared" si="255"/>
        <v>316140.70918360126</v>
      </c>
      <c r="BD124" s="86">
        <f t="shared" ref="BD124:BM124" si="256">BD80+BD82-BD98-BD104</f>
        <v>311830.79305740021</v>
      </c>
      <c r="BE124" s="86">
        <f t="shared" si="256"/>
        <v>305461.17196962971</v>
      </c>
      <c r="BF124" s="86">
        <f t="shared" si="256"/>
        <v>300474.90417869342</v>
      </c>
      <c r="BG124" s="86">
        <f t="shared" si="256"/>
        <v>294155.84140685631</v>
      </c>
      <c r="BH124" s="86">
        <f t="shared" si="256"/>
        <v>286921.9556344439</v>
      </c>
      <c r="BI124" s="86">
        <f t="shared" si="256"/>
        <v>280584.89236605488</v>
      </c>
      <c r="BJ124" s="86">
        <f t="shared" si="256"/>
        <v>273602.98145239934</v>
      </c>
      <c r="BK124" s="86">
        <f t="shared" si="256"/>
        <v>264050.16769200418</v>
      </c>
      <c r="BL124" s="86">
        <f t="shared" si="256"/>
        <v>255290.78549883078</v>
      </c>
      <c r="BM124" s="86">
        <f t="shared" si="256"/>
        <v>245752.37104202458</v>
      </c>
    </row>
    <row r="125" spans="1:75">
      <c r="A125" s="79" t="s">
        <v>11</v>
      </c>
      <c r="B125" s="86">
        <f>SUM(B121:B123)</f>
        <v>189105.23726165682</v>
      </c>
      <c r="C125" s="86">
        <f t="shared" ref="C125:AI125" si="257">SUM(C121:C123)</f>
        <v>134756.32328912965</v>
      </c>
      <c r="D125" s="86">
        <f t="shared" si="257"/>
        <v>175605.6363265214</v>
      </c>
      <c r="E125" s="86">
        <f t="shared" si="257"/>
        <v>348685.52452580002</v>
      </c>
      <c r="F125" s="86">
        <f t="shared" si="257"/>
        <v>337769.26401440002</v>
      </c>
      <c r="G125" s="86">
        <f t="shared" si="257"/>
        <v>294602.40228699998</v>
      </c>
      <c r="H125" s="86">
        <f t="shared" si="257"/>
        <v>291483.82936699735</v>
      </c>
      <c r="I125" s="86">
        <f t="shared" si="257"/>
        <v>359982.8689960654</v>
      </c>
      <c r="J125" s="86">
        <f t="shared" si="257"/>
        <v>473411.54374181014</v>
      </c>
      <c r="K125" s="86">
        <f t="shared" si="257"/>
        <v>555636.30995639309</v>
      </c>
      <c r="L125" s="86">
        <f t="shared" si="257"/>
        <v>510432.38613320247</v>
      </c>
      <c r="M125" s="86">
        <f t="shared" si="257"/>
        <v>692595.61941133998</v>
      </c>
      <c r="N125" s="86">
        <f t="shared" si="257"/>
        <v>483597.61805351783</v>
      </c>
      <c r="O125" s="86">
        <f t="shared" si="257"/>
        <v>521395.39074848528</v>
      </c>
      <c r="P125" s="86">
        <f t="shared" si="257"/>
        <v>631697.47697720001</v>
      </c>
      <c r="Q125" s="86">
        <f t="shared" si="257"/>
        <v>670779.26380000007</v>
      </c>
      <c r="R125" s="86">
        <f t="shared" si="257"/>
        <v>640906.92740602861</v>
      </c>
      <c r="S125" s="86">
        <f t="shared" si="257"/>
        <v>606996.04515085171</v>
      </c>
      <c r="T125" s="86">
        <f t="shared" si="257"/>
        <v>492909.52079802484</v>
      </c>
      <c r="U125" s="86">
        <f t="shared" si="257"/>
        <v>406295.21667276468</v>
      </c>
      <c r="V125" s="86">
        <f t="shared" si="257"/>
        <v>495321.9096883146</v>
      </c>
      <c r="W125" s="86">
        <f t="shared" si="257"/>
        <v>613501.31025591074</v>
      </c>
      <c r="X125" s="86">
        <f t="shared" si="257"/>
        <v>497200.90778350586</v>
      </c>
      <c r="Y125" s="86">
        <f t="shared" si="257"/>
        <v>390504.29637909628</v>
      </c>
      <c r="Z125" s="86">
        <f t="shared" si="257"/>
        <v>934915.17557597742</v>
      </c>
      <c r="AA125" s="86">
        <f t="shared" si="257"/>
        <v>2101992.0377736418</v>
      </c>
      <c r="AB125" s="86">
        <f t="shared" si="257"/>
        <v>1233622.4283145876</v>
      </c>
      <c r="AC125" s="86">
        <f t="shared" si="257"/>
        <v>1134363.2609302043</v>
      </c>
      <c r="AD125" s="86">
        <f t="shared" si="257"/>
        <v>1114326.685253755</v>
      </c>
      <c r="AE125" s="86">
        <f t="shared" si="257"/>
        <v>931104.7188857022</v>
      </c>
      <c r="AF125" s="86">
        <f t="shared" si="257"/>
        <v>823586.80583840073</v>
      </c>
      <c r="AG125" s="86">
        <f t="shared" si="257"/>
        <v>780516.78119285475</v>
      </c>
      <c r="AH125" s="86">
        <f t="shared" si="257"/>
        <v>740183.16097448696</v>
      </c>
      <c r="AI125" s="86">
        <f t="shared" si="257"/>
        <v>631917.67944288382</v>
      </c>
      <c r="AJ125" s="86">
        <f t="shared" ref="AJ125:BC125" si="258">SUM(AJ121:AJ123)</f>
        <v>623948.24507202744</v>
      </c>
      <c r="AK125" s="86">
        <f t="shared" si="258"/>
        <v>615862.28342377732</v>
      </c>
      <c r="AL125" s="86">
        <f t="shared" si="258"/>
        <v>613740.60871742212</v>
      </c>
      <c r="AM125" s="86">
        <f t="shared" si="258"/>
        <v>622323.09775199904</v>
      </c>
      <c r="AN125" s="86">
        <f t="shared" si="258"/>
        <v>628077.27600106446</v>
      </c>
      <c r="AO125" s="86">
        <f t="shared" si="258"/>
        <v>622308.09378827782</v>
      </c>
      <c r="AP125" s="86">
        <f t="shared" si="258"/>
        <v>609194.78480284102</v>
      </c>
      <c r="AQ125" s="86">
        <f t="shared" si="258"/>
        <v>586447.57221557398</v>
      </c>
      <c r="AR125" s="86">
        <f t="shared" si="258"/>
        <v>564952.96403584036</v>
      </c>
      <c r="AS125" s="86">
        <f t="shared" si="258"/>
        <v>548206.77992424439</v>
      </c>
      <c r="AT125" s="86">
        <f t="shared" si="258"/>
        <v>537593.51400858047</v>
      </c>
      <c r="AU125" s="86">
        <f t="shared" si="258"/>
        <v>525089.38386351068</v>
      </c>
      <c r="AV125" s="86">
        <f t="shared" si="258"/>
        <v>515065.28847998613</v>
      </c>
      <c r="AW125" s="86">
        <f t="shared" si="258"/>
        <v>505804.52621491172</v>
      </c>
      <c r="AX125" s="86">
        <f t="shared" si="258"/>
        <v>495029.62533753307</v>
      </c>
      <c r="AY125" s="86">
        <f t="shared" si="258"/>
        <v>486649.77042283706</v>
      </c>
      <c r="AZ125" s="86">
        <f t="shared" si="258"/>
        <v>477894.08003975311</v>
      </c>
      <c r="BA125" s="86">
        <f t="shared" si="258"/>
        <v>471308.63236719545</v>
      </c>
      <c r="BB125" s="86">
        <f t="shared" si="258"/>
        <v>464522.60907539603</v>
      </c>
      <c r="BC125" s="86">
        <f t="shared" si="258"/>
        <v>456258.48205730633</v>
      </c>
      <c r="BD125" s="86">
        <f t="shared" ref="BD125:BM125" si="259">SUM(BD121:BD123)</f>
        <v>449666.72706678422</v>
      </c>
      <c r="BE125" s="86">
        <f t="shared" si="259"/>
        <v>440121.50264918432</v>
      </c>
      <c r="BF125" s="86">
        <f t="shared" si="259"/>
        <v>432647.12938204466</v>
      </c>
      <c r="BG125" s="86">
        <f t="shared" si="259"/>
        <v>425069.91512872075</v>
      </c>
      <c r="BH125" s="86">
        <f t="shared" si="259"/>
        <v>418399.19945750729</v>
      </c>
      <c r="BI125" s="86">
        <f t="shared" si="259"/>
        <v>411705.43937658187</v>
      </c>
      <c r="BJ125" s="86">
        <f t="shared" si="259"/>
        <v>405052.26417781605</v>
      </c>
      <c r="BK125" s="86">
        <f t="shared" si="259"/>
        <v>396311.92490499245</v>
      </c>
      <c r="BL125" s="86">
        <f t="shared" si="259"/>
        <v>388256.76374096918</v>
      </c>
      <c r="BM125" s="86">
        <f t="shared" si="259"/>
        <v>379713.40205438907</v>
      </c>
    </row>
    <row r="126" spans="1:7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</row>
    <row r="127" spans="1:75">
      <c r="A127" s="78" t="s">
        <v>465</v>
      </c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</row>
    <row r="128" spans="1:75">
      <c r="A128" s="79" t="s">
        <v>8</v>
      </c>
      <c r="B128" s="86"/>
      <c r="C128" s="86"/>
      <c r="D128" s="86"/>
      <c r="E128" s="86"/>
      <c r="F128" s="86"/>
      <c r="G128" s="86">
        <f t="shared" ref="G128:AL128" si="260">G121/G40</f>
        <v>681139.39257549995</v>
      </c>
      <c r="H128" s="86">
        <f t="shared" si="260"/>
        <v>649460.91655864473</v>
      </c>
      <c r="I128" s="86">
        <f t="shared" si="260"/>
        <v>639252.54953624704</v>
      </c>
      <c r="J128" s="86">
        <f t="shared" si="260"/>
        <v>582207.86349306745</v>
      </c>
      <c r="K128" s="86">
        <f t="shared" si="260"/>
        <v>536789.56963169225</v>
      </c>
      <c r="L128" s="86">
        <f t="shared" si="260"/>
        <v>503279.10805065889</v>
      </c>
      <c r="M128" s="86">
        <f t="shared" si="260"/>
        <v>481642.56811995542</v>
      </c>
      <c r="N128" s="86">
        <f t="shared" si="260"/>
        <v>450129.47010879748</v>
      </c>
      <c r="O128" s="86">
        <f t="shared" si="260"/>
        <v>409058.33442033088</v>
      </c>
      <c r="P128" s="86">
        <f t="shared" si="260"/>
        <v>382914.58229052153</v>
      </c>
      <c r="Q128" s="86">
        <f t="shared" si="260"/>
        <v>350499.929604</v>
      </c>
      <c r="R128" s="86">
        <f t="shared" si="260"/>
        <v>333654.15341047605</v>
      </c>
      <c r="S128" s="86">
        <f t="shared" si="260"/>
        <v>344290.44329899998</v>
      </c>
      <c r="T128" s="86">
        <f t="shared" si="260"/>
        <v>355536.64298033522</v>
      </c>
      <c r="U128" s="86">
        <f t="shared" si="260"/>
        <v>367098.38736846182</v>
      </c>
      <c r="V128" s="86">
        <f t="shared" si="260"/>
        <v>360871.83672543179</v>
      </c>
      <c r="W128" s="86">
        <f t="shared" si="260"/>
        <v>337716.41791419417</v>
      </c>
      <c r="X128" s="86">
        <f t="shared" si="260"/>
        <v>325839.44192417758</v>
      </c>
      <c r="Y128" s="86">
        <f t="shared" si="260"/>
        <v>384821.55511594459</v>
      </c>
      <c r="Z128" s="86">
        <f t="shared" si="260"/>
        <v>401179.35552825459</v>
      </c>
      <c r="AA128" s="86">
        <f t="shared" si="260"/>
        <v>383800.16275239032</v>
      </c>
      <c r="AB128" s="86">
        <f t="shared" si="260"/>
        <v>407947.11307962984</v>
      </c>
      <c r="AC128" s="86">
        <f t="shared" si="260"/>
        <v>402871.53629693115</v>
      </c>
      <c r="AD128" s="86">
        <f t="shared" si="260"/>
        <v>411313.53058462887</v>
      </c>
      <c r="AE128" s="86">
        <f t="shared" si="260"/>
        <v>394737.08409166138</v>
      </c>
      <c r="AF128" s="86">
        <f t="shared" si="260"/>
        <v>377197.4888931649</v>
      </c>
      <c r="AG128" s="86">
        <f t="shared" si="260"/>
        <v>339821.23476584745</v>
      </c>
      <c r="AH128" s="86">
        <f t="shared" si="260"/>
        <v>308022.64163596916</v>
      </c>
      <c r="AI128" s="86">
        <f t="shared" si="260"/>
        <v>288186.87337134196</v>
      </c>
      <c r="AJ128" s="86">
        <f t="shared" si="260"/>
        <v>279847.90482761961</v>
      </c>
      <c r="AK128" s="86">
        <f t="shared" si="260"/>
        <v>275798.48249496362</v>
      </c>
      <c r="AL128" s="86">
        <f t="shared" si="260"/>
        <v>271213.31733054679</v>
      </c>
      <c r="AM128" s="86">
        <f t="shared" ref="AM128:BC128" si="261">AM121/AM40</f>
        <v>271841.87461253826</v>
      </c>
      <c r="AN128" s="86">
        <f t="shared" si="261"/>
        <v>270251.45987661823</v>
      </c>
      <c r="AO128" s="86">
        <f t="shared" si="261"/>
        <v>265830.55337140698</v>
      </c>
      <c r="AP128" s="86">
        <f t="shared" si="261"/>
        <v>260009.64730225952</v>
      </c>
      <c r="AQ128" s="86">
        <f t="shared" si="261"/>
        <v>250268.25976378532</v>
      </c>
      <c r="AR128" s="86">
        <f t="shared" si="261"/>
        <v>241723.87339013553</v>
      </c>
      <c r="AS128" s="86">
        <f t="shared" si="261"/>
        <v>233907.51703060375</v>
      </c>
      <c r="AT128" s="86">
        <f t="shared" si="261"/>
        <v>227603.46802376746</v>
      </c>
      <c r="AU128" s="86">
        <f t="shared" si="261"/>
        <v>220143.47299635285</v>
      </c>
      <c r="AV128" s="86">
        <f t="shared" si="261"/>
        <v>213293.01111838012</v>
      </c>
      <c r="AW128" s="86">
        <f t="shared" si="261"/>
        <v>207955.63322728229</v>
      </c>
      <c r="AX128" s="86">
        <f t="shared" si="261"/>
        <v>200784.51818001861</v>
      </c>
      <c r="AY128" s="86">
        <f t="shared" si="261"/>
        <v>194614.76987009414</v>
      </c>
      <c r="AZ128" s="86">
        <f t="shared" si="261"/>
        <v>187662.64215715937</v>
      </c>
      <c r="BA128" s="86">
        <f t="shared" si="261"/>
        <v>182681.49450503118</v>
      </c>
      <c r="BB128" s="86">
        <f t="shared" si="261"/>
        <v>176331.26991990607</v>
      </c>
      <c r="BC128" s="86">
        <f t="shared" si="261"/>
        <v>169818.30142698466</v>
      </c>
      <c r="BD128" s="86">
        <f t="shared" ref="BD128:BM128" si="262">BD121/BD40</f>
        <v>164646.94778578714</v>
      </c>
      <c r="BE128" s="86">
        <f t="shared" si="262"/>
        <v>158708.60187557206</v>
      </c>
      <c r="BF128" s="86">
        <f t="shared" si="262"/>
        <v>153324.51634991268</v>
      </c>
      <c r="BG128" s="86">
        <f t="shared" si="262"/>
        <v>147457.1698611124</v>
      </c>
      <c r="BH128" s="86">
        <f t="shared" si="262"/>
        <v>141251.22219203878</v>
      </c>
      <c r="BI128" s="86">
        <f t="shared" si="262"/>
        <v>135586.00257785301</v>
      </c>
      <c r="BJ128" s="86">
        <f t="shared" si="262"/>
        <v>129798.58978423684</v>
      </c>
      <c r="BK128" s="86">
        <f t="shared" si="262"/>
        <v>122811.12597304842</v>
      </c>
      <c r="BL128" s="86">
        <f t="shared" si="262"/>
        <v>116411.59272021693</v>
      </c>
      <c r="BM128" s="86">
        <f t="shared" si="262"/>
        <v>109903.23302937798</v>
      </c>
    </row>
    <row r="129" spans="1:65">
      <c r="A129" s="79" t="s">
        <v>9</v>
      </c>
      <c r="B129" s="86"/>
      <c r="C129" s="86"/>
      <c r="D129" s="86"/>
      <c r="E129" s="86"/>
      <c r="F129" s="86"/>
      <c r="G129" s="86">
        <f t="shared" ref="G129:AL129" si="263">G122/G41</f>
        <v>118489.10869565216</v>
      </c>
      <c r="H129" s="86">
        <f t="shared" si="263"/>
        <v>134753.48863636365</v>
      </c>
      <c r="I129" s="86">
        <f t="shared" si="263"/>
        <v>148529.89690721649</v>
      </c>
      <c r="J129" s="86">
        <f t="shared" si="263"/>
        <v>163813.86000000002</v>
      </c>
      <c r="K129" s="86">
        <f t="shared" si="263"/>
        <v>171626.47126436784</v>
      </c>
      <c r="L129" s="86">
        <f t="shared" si="263"/>
        <v>174232.6337579618</v>
      </c>
      <c r="M129" s="86">
        <f t="shared" si="263"/>
        <v>196599.80180180178</v>
      </c>
      <c r="N129" s="86">
        <f t="shared" si="263"/>
        <v>202735.91616766469</v>
      </c>
      <c r="O129" s="86">
        <f t="shared" si="263"/>
        <v>208367.28616352202</v>
      </c>
      <c r="P129" s="86">
        <f t="shared" si="263"/>
        <v>198263.7</v>
      </c>
      <c r="Q129" s="86">
        <f t="shared" si="263"/>
        <v>225045.10407239819</v>
      </c>
      <c r="R129" s="86">
        <f t="shared" si="263"/>
        <v>212770.91991341993</v>
      </c>
      <c r="S129" s="86">
        <f t="shared" si="263"/>
        <v>211284</v>
      </c>
      <c r="T129" s="86">
        <f t="shared" si="263"/>
        <v>226945.03645833331</v>
      </c>
      <c r="U129" s="86">
        <f t="shared" si="263"/>
        <v>221998.89285714284</v>
      </c>
      <c r="V129" s="86">
        <f t="shared" si="263"/>
        <v>239666.55766940341</v>
      </c>
      <c r="W129" s="86">
        <f t="shared" si="263"/>
        <v>234686.64022424279</v>
      </c>
      <c r="X129" s="86">
        <f t="shared" si="263"/>
        <v>213699.33465851832</v>
      </c>
      <c r="Y129" s="86">
        <f t="shared" si="263"/>
        <v>203446.22898171359</v>
      </c>
      <c r="Z129" s="86">
        <f t="shared" si="263"/>
        <v>227688.90990701682</v>
      </c>
      <c r="AA129" s="86">
        <f t="shared" si="263"/>
        <v>250077.05775792745</v>
      </c>
      <c r="AB129" s="86">
        <f t="shared" si="263"/>
        <v>233893.98544478675</v>
      </c>
      <c r="AC129" s="86">
        <f t="shared" si="263"/>
        <v>249402.17198547316</v>
      </c>
      <c r="AD129" s="86">
        <f t="shared" si="263"/>
        <v>237937.05975808442</v>
      </c>
      <c r="AE129" s="86">
        <f t="shared" si="263"/>
        <v>239964.9645411876</v>
      </c>
      <c r="AF129" s="86">
        <f t="shared" si="263"/>
        <v>238547.42987296105</v>
      </c>
      <c r="AG129" s="86">
        <f t="shared" si="263"/>
        <v>230522.02767434326</v>
      </c>
      <c r="AH129" s="86">
        <f t="shared" si="263"/>
        <v>221463.95435287163</v>
      </c>
      <c r="AI129" s="86">
        <f t="shared" si="263"/>
        <v>209422.6699408479</v>
      </c>
      <c r="AJ129" s="86">
        <f t="shared" si="263"/>
        <v>199836.09583288073</v>
      </c>
      <c r="AK129" s="86">
        <f t="shared" si="263"/>
        <v>185889.1283805437</v>
      </c>
      <c r="AL129" s="86">
        <f t="shared" si="263"/>
        <v>178164.14026840954</v>
      </c>
      <c r="AM129" s="86">
        <f t="shared" ref="AM129:BC129" si="264">AM122/AM41</f>
        <v>173159.04312838207</v>
      </c>
      <c r="AN129" s="86">
        <f t="shared" si="264"/>
        <v>168071.7154907533</v>
      </c>
      <c r="AO129" s="86">
        <f t="shared" si="264"/>
        <v>163480.78972023964</v>
      </c>
      <c r="AP129" s="86">
        <f t="shared" si="264"/>
        <v>156021.30690938505</v>
      </c>
      <c r="AQ129" s="86">
        <f t="shared" si="264"/>
        <v>145961.61223120982</v>
      </c>
      <c r="AR129" s="86">
        <f t="shared" si="264"/>
        <v>135144.05304401455</v>
      </c>
      <c r="AS129" s="86">
        <f t="shared" si="264"/>
        <v>126948.00200591183</v>
      </c>
      <c r="AT129" s="86">
        <f t="shared" si="264"/>
        <v>120224.92381582012</v>
      </c>
      <c r="AU129" s="86">
        <f t="shared" si="264"/>
        <v>113337.84454223151</v>
      </c>
      <c r="AV129" s="86">
        <f t="shared" si="264"/>
        <v>107796.62397735049</v>
      </c>
      <c r="AW129" s="86">
        <f t="shared" si="264"/>
        <v>101685.838242825</v>
      </c>
      <c r="AX129" s="86">
        <f t="shared" si="264"/>
        <v>96629.300531226676</v>
      </c>
      <c r="AY129" s="86">
        <f t="shared" si="264"/>
        <v>92773.213657689164</v>
      </c>
      <c r="AZ129" s="86">
        <f t="shared" si="264"/>
        <v>89088.40716028992</v>
      </c>
      <c r="BA129" s="86">
        <f t="shared" si="264"/>
        <v>85791.20451854245</v>
      </c>
      <c r="BB129" s="86">
        <f t="shared" si="264"/>
        <v>83859.266553563502</v>
      </c>
      <c r="BC129" s="86">
        <f t="shared" si="264"/>
        <v>81225.617968380975</v>
      </c>
      <c r="BD129" s="86">
        <f t="shared" ref="BD129:BM129" si="265">BD122/BD41</f>
        <v>78336.124161726941</v>
      </c>
      <c r="BE129" s="86">
        <f t="shared" si="265"/>
        <v>75030.723028353808</v>
      </c>
      <c r="BF129" s="86">
        <f t="shared" si="265"/>
        <v>72200.380250190574</v>
      </c>
      <c r="BG129" s="86">
        <f t="shared" si="265"/>
        <v>70110.884909248736</v>
      </c>
      <c r="BH129" s="86">
        <f t="shared" si="265"/>
        <v>69031.852964122154</v>
      </c>
      <c r="BI129" s="86">
        <f t="shared" si="265"/>
        <v>67494.676515492814</v>
      </c>
      <c r="BJ129" s="86">
        <f t="shared" si="265"/>
        <v>66337.151141920229</v>
      </c>
      <c r="BK129" s="86">
        <f t="shared" si="265"/>
        <v>65438.406123147957</v>
      </c>
      <c r="BL129" s="86">
        <f t="shared" si="265"/>
        <v>64496.891767695211</v>
      </c>
      <c r="BM129" s="86">
        <f t="shared" si="265"/>
        <v>63705.446240491787</v>
      </c>
    </row>
    <row r="130" spans="1:65">
      <c r="A130" s="79" t="s">
        <v>10</v>
      </c>
      <c r="B130" s="86"/>
      <c r="C130" s="86"/>
      <c r="D130" s="86"/>
      <c r="E130" s="86"/>
      <c r="F130" s="86"/>
      <c r="G130" s="86">
        <f t="shared" ref="G130:AL130" si="266">G123/G42</f>
        <v>44976.259259259255</v>
      </c>
      <c r="H130" s="86">
        <f t="shared" si="266"/>
        <v>54738.365740740745</v>
      </c>
      <c r="I130" s="86">
        <f t="shared" si="266"/>
        <v>52480.143518518526</v>
      </c>
      <c r="J130" s="86">
        <f t="shared" si="266"/>
        <v>55891</v>
      </c>
      <c r="K130" s="86">
        <f t="shared" si="266"/>
        <v>57231.819444444438</v>
      </c>
      <c r="L130" s="86">
        <f t="shared" si="266"/>
        <v>46481.740740740737</v>
      </c>
      <c r="M130" s="86">
        <f t="shared" si="266"/>
        <v>49069.287037037036</v>
      </c>
      <c r="N130" s="86">
        <f t="shared" si="266"/>
        <v>50339.537037037036</v>
      </c>
      <c r="O130" s="86">
        <f t="shared" si="266"/>
        <v>46387.648148148146</v>
      </c>
      <c r="P130" s="86">
        <f t="shared" si="266"/>
        <v>49139.856481481489</v>
      </c>
      <c r="Q130" s="86">
        <f t="shared" si="266"/>
        <v>52644.805555555569</v>
      </c>
      <c r="R130" s="86">
        <f t="shared" si="266"/>
        <v>51068.754629629635</v>
      </c>
      <c r="S130" s="86">
        <f t="shared" si="266"/>
        <v>51421.601851851847</v>
      </c>
      <c r="T130" s="86">
        <f t="shared" si="266"/>
        <v>51915.587962962956</v>
      </c>
      <c r="U130" s="86">
        <f t="shared" si="266"/>
        <v>52009.680555555555</v>
      </c>
      <c r="V130" s="86">
        <f t="shared" si="266"/>
        <v>51986.157407407416</v>
      </c>
      <c r="W130" s="86">
        <f t="shared" si="266"/>
        <v>49798.504629629628</v>
      </c>
      <c r="X130" s="86">
        <f t="shared" si="266"/>
        <v>44882.166666666672</v>
      </c>
      <c r="Y130" s="86">
        <f t="shared" si="266"/>
        <v>42929.745370370372</v>
      </c>
      <c r="Z130" s="86">
        <f t="shared" si="266"/>
        <v>36013.93981481481</v>
      </c>
      <c r="AA130" s="86">
        <f t="shared" si="266"/>
        <v>29474.504629629628</v>
      </c>
      <c r="AB130" s="86">
        <f t="shared" si="266"/>
        <v>30556.569444444445</v>
      </c>
      <c r="AC130" s="86">
        <f t="shared" si="266"/>
        <v>33146.010927454088</v>
      </c>
      <c r="AD130" s="86">
        <f t="shared" si="266"/>
        <v>34170.706370155713</v>
      </c>
      <c r="AE130" s="86">
        <f t="shared" si="266"/>
        <v>35949.47313343612</v>
      </c>
      <c r="AF130" s="86">
        <f t="shared" si="266"/>
        <v>36265.485138342272</v>
      </c>
      <c r="AG130" s="86">
        <f t="shared" si="266"/>
        <v>36182.638858217768</v>
      </c>
      <c r="AH130" s="86">
        <f t="shared" si="266"/>
        <v>35576.003001852929</v>
      </c>
      <c r="AI130" s="86">
        <f t="shared" si="266"/>
        <v>34010.161706914201</v>
      </c>
      <c r="AJ130" s="86">
        <f t="shared" si="266"/>
        <v>30579.285387296262</v>
      </c>
      <c r="AK130" s="86">
        <f t="shared" si="266"/>
        <v>28465.462662513259</v>
      </c>
      <c r="AL130" s="86">
        <f t="shared" si="266"/>
        <v>25178.352587915691</v>
      </c>
      <c r="AM130" s="86">
        <f t="shared" ref="AM130:BC130" si="267">AM123/AM42</f>
        <v>22450.979879878349</v>
      </c>
      <c r="AN130" s="86">
        <f t="shared" si="267"/>
        <v>19774.698189742307</v>
      </c>
      <c r="AO130" s="86">
        <f t="shared" si="267"/>
        <v>17936.929879211741</v>
      </c>
      <c r="AP130" s="86">
        <f t="shared" si="267"/>
        <v>15407.938765533649</v>
      </c>
      <c r="AQ130" s="86">
        <f t="shared" si="267"/>
        <v>12989.991369804504</v>
      </c>
      <c r="AR130" s="86">
        <f t="shared" si="267"/>
        <v>11492.073441502363</v>
      </c>
      <c r="AS130" s="86">
        <f t="shared" si="267"/>
        <v>10395.388810018252</v>
      </c>
      <c r="AT130" s="86">
        <f t="shared" si="267"/>
        <v>9198.9986784131488</v>
      </c>
      <c r="AU130" s="86">
        <f t="shared" si="267"/>
        <v>8265.7180073634554</v>
      </c>
      <c r="AV130" s="86">
        <f t="shared" si="267"/>
        <v>7431.3489380012634</v>
      </c>
      <c r="AW130" s="86">
        <f t="shared" si="267"/>
        <v>6461.3023613137439</v>
      </c>
      <c r="AX130" s="86">
        <f t="shared" si="267"/>
        <v>5818.9707466965692</v>
      </c>
      <c r="AY130" s="86">
        <f t="shared" si="267"/>
        <v>4819.2919092127731</v>
      </c>
      <c r="AZ130" s="86">
        <f t="shared" si="267"/>
        <v>4510.1954760380431</v>
      </c>
      <c r="BA130" s="86">
        <f t="shared" si="267"/>
        <v>3475.1584236726649</v>
      </c>
      <c r="BB130" s="86">
        <f t="shared" si="267"/>
        <v>2698.6469109978621</v>
      </c>
      <c r="BC130" s="86">
        <f t="shared" si="267"/>
        <v>2247.1702049373293</v>
      </c>
      <c r="BD130" s="86">
        <f t="shared" ref="BD130:BM130" si="268">BD123/BD42</f>
        <v>1837.2035448179431</v>
      </c>
      <c r="BE130" s="86">
        <f t="shared" si="268"/>
        <v>1256.4191283915804</v>
      </c>
      <c r="BF130" s="86">
        <f t="shared" si="268"/>
        <v>1000.040345623942</v>
      </c>
      <c r="BG130" s="86">
        <f t="shared" si="268"/>
        <v>716.73041358796104</v>
      </c>
      <c r="BH130" s="86">
        <f t="shared" si="268"/>
        <v>490.8720813136834</v>
      </c>
      <c r="BI130" s="86">
        <f t="shared" si="268"/>
        <v>329.26676817357196</v>
      </c>
      <c r="BJ130" s="86">
        <f t="shared" si="268"/>
        <v>181.00667639334492</v>
      </c>
      <c r="BK130" s="86">
        <f t="shared" si="268"/>
        <v>170.59622934000799</v>
      </c>
      <c r="BL130" s="86">
        <f t="shared" si="268"/>
        <v>158.94791761971072</v>
      </c>
      <c r="BM130" s="86">
        <f t="shared" si="268"/>
        <v>110.51544516633794</v>
      </c>
    </row>
    <row r="131" spans="1:65">
      <c r="A131" s="79" t="s">
        <v>14</v>
      </c>
      <c r="B131" s="86"/>
      <c r="C131" s="86"/>
      <c r="D131" s="86"/>
      <c r="E131" s="86"/>
      <c r="F131" s="86"/>
      <c r="G131" s="86">
        <f>G128+G130</f>
        <v>726115.65183475916</v>
      </c>
      <c r="H131" s="86">
        <f t="shared" ref="H131:AH131" si="269">H128+H130</f>
        <v>704199.28229938552</v>
      </c>
      <c r="I131" s="86">
        <f t="shared" si="269"/>
        <v>691732.69305476558</v>
      </c>
      <c r="J131" s="86">
        <f t="shared" si="269"/>
        <v>638098.86349306745</v>
      </c>
      <c r="K131" s="86">
        <f t="shared" si="269"/>
        <v>594021.38907613675</v>
      </c>
      <c r="L131" s="86">
        <f>L128+L130</f>
        <v>549760.84879139962</v>
      </c>
      <c r="M131" s="86">
        <f>M128+M130</f>
        <v>530711.85515699245</v>
      </c>
      <c r="N131" s="86">
        <f>N128+N130</f>
        <v>500469.0071458345</v>
      </c>
      <c r="O131" s="86">
        <f t="shared" si="269"/>
        <v>455445.98256847903</v>
      </c>
      <c r="P131" s="86">
        <f t="shared" si="269"/>
        <v>432054.43877200305</v>
      </c>
      <c r="Q131" s="86">
        <f t="shared" si="269"/>
        <v>403144.73515955557</v>
      </c>
      <c r="R131" s="86">
        <f>R128+R130</f>
        <v>384722.90804010571</v>
      </c>
      <c r="S131" s="86">
        <f t="shared" si="269"/>
        <v>395712.04515085183</v>
      </c>
      <c r="T131" s="86">
        <f t="shared" si="269"/>
        <v>407452.2309432982</v>
      </c>
      <c r="U131" s="86">
        <f t="shared" si="269"/>
        <v>419108.06792401738</v>
      </c>
      <c r="V131" s="86">
        <f t="shared" si="269"/>
        <v>412857.9941328392</v>
      </c>
      <c r="W131" s="86">
        <f t="shared" si="269"/>
        <v>387514.92254382378</v>
      </c>
      <c r="X131" s="86">
        <f t="shared" si="269"/>
        <v>370721.60859084426</v>
      </c>
      <c r="Y131" s="86">
        <f t="shared" si="269"/>
        <v>427751.30048631498</v>
      </c>
      <c r="Z131" s="86">
        <f t="shared" si="269"/>
        <v>437193.29534306942</v>
      </c>
      <c r="AA131" s="86">
        <f t="shared" si="269"/>
        <v>413274.66738201992</v>
      </c>
      <c r="AB131" s="86">
        <f t="shared" si="269"/>
        <v>438503.68252407428</v>
      </c>
      <c r="AC131" s="86">
        <f t="shared" si="269"/>
        <v>436017.54722438526</v>
      </c>
      <c r="AD131" s="86">
        <f t="shared" si="269"/>
        <v>445484.2369547846</v>
      </c>
      <c r="AE131" s="86">
        <f t="shared" si="269"/>
        <v>430686.55722509749</v>
      </c>
      <c r="AF131" s="86">
        <f t="shared" si="269"/>
        <v>413462.97403150715</v>
      </c>
      <c r="AG131" s="86">
        <f t="shared" si="269"/>
        <v>376003.87362406519</v>
      </c>
      <c r="AH131" s="86">
        <f t="shared" si="269"/>
        <v>343598.64463782212</v>
      </c>
      <c r="AI131" s="86">
        <f>AI128+AI130</f>
        <v>322197.03507825616</v>
      </c>
      <c r="AJ131" s="86">
        <f t="shared" ref="AJ131:BC131" si="270">AJ128+AJ130</f>
        <v>310427.1902149159</v>
      </c>
      <c r="AK131" s="86">
        <f t="shared" si="270"/>
        <v>304263.94515747688</v>
      </c>
      <c r="AL131" s="86">
        <f t="shared" si="270"/>
        <v>296391.66991846246</v>
      </c>
      <c r="AM131" s="86">
        <f t="shared" si="270"/>
        <v>294292.85449241661</v>
      </c>
      <c r="AN131" s="86">
        <f t="shared" si="270"/>
        <v>290026.15806636051</v>
      </c>
      <c r="AO131" s="86">
        <f t="shared" si="270"/>
        <v>283767.48325061874</v>
      </c>
      <c r="AP131" s="86">
        <f t="shared" si="270"/>
        <v>275417.58606779319</v>
      </c>
      <c r="AQ131" s="86">
        <f t="shared" si="270"/>
        <v>263258.25113358983</v>
      </c>
      <c r="AR131" s="86">
        <f t="shared" si="270"/>
        <v>253215.94683163791</v>
      </c>
      <c r="AS131" s="86">
        <f t="shared" si="270"/>
        <v>244302.905840622</v>
      </c>
      <c r="AT131" s="86">
        <f t="shared" si="270"/>
        <v>236802.46670218062</v>
      </c>
      <c r="AU131" s="86">
        <f t="shared" si="270"/>
        <v>228409.19100371632</v>
      </c>
      <c r="AV131" s="86">
        <f t="shared" si="270"/>
        <v>220724.36005638138</v>
      </c>
      <c r="AW131" s="86">
        <f t="shared" si="270"/>
        <v>214416.93558859604</v>
      </c>
      <c r="AX131" s="86">
        <f t="shared" si="270"/>
        <v>206603.48892671519</v>
      </c>
      <c r="AY131" s="86">
        <f t="shared" si="270"/>
        <v>199434.06177930691</v>
      </c>
      <c r="AZ131" s="86">
        <f t="shared" si="270"/>
        <v>192172.8376331974</v>
      </c>
      <c r="BA131" s="86">
        <f t="shared" si="270"/>
        <v>186156.65292870384</v>
      </c>
      <c r="BB131" s="86">
        <f t="shared" si="270"/>
        <v>179029.91683090394</v>
      </c>
      <c r="BC131" s="86">
        <f t="shared" si="270"/>
        <v>172065.471631922</v>
      </c>
      <c r="BD131" s="86">
        <f t="shared" ref="BD131:BM131" si="271">BD128+BD130</f>
        <v>166484.15133060509</v>
      </c>
      <c r="BE131" s="86">
        <f t="shared" si="271"/>
        <v>159965.02100396363</v>
      </c>
      <c r="BF131" s="86">
        <f t="shared" si="271"/>
        <v>154324.55669553662</v>
      </c>
      <c r="BG131" s="86">
        <f t="shared" si="271"/>
        <v>148173.90027470037</v>
      </c>
      <c r="BH131" s="86">
        <f t="shared" si="271"/>
        <v>141742.09427335247</v>
      </c>
      <c r="BI131" s="86">
        <f t="shared" si="271"/>
        <v>135915.26934602659</v>
      </c>
      <c r="BJ131" s="86">
        <f t="shared" si="271"/>
        <v>129979.59646063019</v>
      </c>
      <c r="BK131" s="86">
        <f t="shared" si="271"/>
        <v>122981.72220238842</v>
      </c>
      <c r="BL131" s="86">
        <f t="shared" si="271"/>
        <v>116570.54063783663</v>
      </c>
      <c r="BM131" s="86">
        <f t="shared" si="271"/>
        <v>110013.74847454432</v>
      </c>
    </row>
    <row r="132" spans="1:65">
      <c r="A132" s="79" t="s">
        <v>11</v>
      </c>
      <c r="B132" s="86"/>
      <c r="C132" s="86"/>
      <c r="D132" s="86"/>
      <c r="E132" s="86"/>
      <c r="F132" s="86"/>
      <c r="G132" s="86">
        <f t="shared" ref="G132:AI132" si="272">SUM(G128:G130)</f>
        <v>844604.76053041138</v>
      </c>
      <c r="H132" s="86">
        <f t="shared" si="272"/>
        <v>838952.77093574917</v>
      </c>
      <c r="I132" s="86">
        <f t="shared" si="272"/>
        <v>840262.5899619821</v>
      </c>
      <c r="J132" s="86">
        <f t="shared" si="272"/>
        <v>801912.72349306743</v>
      </c>
      <c r="K132" s="86">
        <f t="shared" si="272"/>
        <v>765647.86034050444</v>
      </c>
      <c r="L132" s="86">
        <f t="shared" si="272"/>
        <v>723993.48254936154</v>
      </c>
      <c r="M132" s="86">
        <f t="shared" si="272"/>
        <v>727311.65695879422</v>
      </c>
      <c r="N132" s="86">
        <f t="shared" si="272"/>
        <v>703204.9233134992</v>
      </c>
      <c r="O132" s="86">
        <f t="shared" si="272"/>
        <v>663813.26873200107</v>
      </c>
      <c r="P132" s="86">
        <f t="shared" si="272"/>
        <v>630318.138772003</v>
      </c>
      <c r="Q132" s="86">
        <f t="shared" si="272"/>
        <v>628189.83923195384</v>
      </c>
      <c r="R132" s="86">
        <f t="shared" si="272"/>
        <v>597493.82795352559</v>
      </c>
      <c r="S132" s="86">
        <f t="shared" si="272"/>
        <v>606996.04515085171</v>
      </c>
      <c r="T132" s="86">
        <f t="shared" si="272"/>
        <v>634397.26740163146</v>
      </c>
      <c r="U132" s="86">
        <f t="shared" si="272"/>
        <v>641106.96078116016</v>
      </c>
      <c r="V132" s="86">
        <f t="shared" si="272"/>
        <v>652524.55180224264</v>
      </c>
      <c r="W132" s="86">
        <f t="shared" si="272"/>
        <v>622201.56276806665</v>
      </c>
      <c r="X132" s="86">
        <f t="shared" si="272"/>
        <v>584420.94324936252</v>
      </c>
      <c r="Y132" s="86">
        <f t="shared" si="272"/>
        <v>631197.52946802857</v>
      </c>
      <c r="Z132" s="86">
        <f t="shared" si="272"/>
        <v>664882.20525008626</v>
      </c>
      <c r="AA132" s="86">
        <f t="shared" si="272"/>
        <v>663351.72513994738</v>
      </c>
      <c r="AB132" s="86">
        <f t="shared" si="272"/>
        <v>672397.66796886106</v>
      </c>
      <c r="AC132" s="86">
        <f t="shared" si="272"/>
        <v>685419.71920985845</v>
      </c>
      <c r="AD132" s="86">
        <f t="shared" si="272"/>
        <v>683421.29671286896</v>
      </c>
      <c r="AE132" s="86">
        <f t="shared" si="272"/>
        <v>670651.52176628518</v>
      </c>
      <c r="AF132" s="86">
        <f t="shared" si="272"/>
        <v>652010.40390446817</v>
      </c>
      <c r="AG132" s="86">
        <f t="shared" si="272"/>
        <v>606525.9012984084</v>
      </c>
      <c r="AH132" s="86">
        <f t="shared" si="272"/>
        <v>565062.59899069369</v>
      </c>
      <c r="AI132" s="86">
        <f t="shared" si="272"/>
        <v>531619.70501910406</v>
      </c>
      <c r="AJ132" s="86">
        <f t="shared" ref="AJ132:BC132" si="273">SUM(AJ128:AJ130)</f>
        <v>510263.28604779666</v>
      </c>
      <c r="AK132" s="86">
        <f t="shared" si="273"/>
        <v>490153.0735380206</v>
      </c>
      <c r="AL132" s="86">
        <f t="shared" si="273"/>
        <v>474555.81018687197</v>
      </c>
      <c r="AM132" s="86">
        <f t="shared" si="273"/>
        <v>467451.89762079867</v>
      </c>
      <c r="AN132" s="86">
        <f t="shared" si="273"/>
        <v>458097.87355711381</v>
      </c>
      <c r="AO132" s="86">
        <f t="shared" si="273"/>
        <v>447248.27297085838</v>
      </c>
      <c r="AP132" s="86">
        <f t="shared" si="273"/>
        <v>431438.89297717827</v>
      </c>
      <c r="AQ132" s="86">
        <f t="shared" si="273"/>
        <v>409219.86336479965</v>
      </c>
      <c r="AR132" s="86">
        <f t="shared" si="273"/>
        <v>388359.99987565243</v>
      </c>
      <c r="AS132" s="86">
        <f t="shared" si="273"/>
        <v>371250.90784653381</v>
      </c>
      <c r="AT132" s="86">
        <f t="shared" si="273"/>
        <v>357027.39051800076</v>
      </c>
      <c r="AU132" s="86">
        <f t="shared" si="273"/>
        <v>341747.03554594779</v>
      </c>
      <c r="AV132" s="86">
        <f t="shared" si="273"/>
        <v>328520.98403373186</v>
      </c>
      <c r="AW132" s="86">
        <f t="shared" si="273"/>
        <v>316102.77383142104</v>
      </c>
      <c r="AX132" s="86">
        <f t="shared" si="273"/>
        <v>303232.78945794189</v>
      </c>
      <c r="AY132" s="86">
        <f t="shared" si="273"/>
        <v>292207.27543699607</v>
      </c>
      <c r="AZ132" s="86">
        <f t="shared" si="273"/>
        <v>281261.24479348731</v>
      </c>
      <c r="BA132" s="86">
        <f t="shared" si="273"/>
        <v>271947.85744724632</v>
      </c>
      <c r="BB132" s="86">
        <f t="shared" si="273"/>
        <v>262889.18338446744</v>
      </c>
      <c r="BC132" s="86">
        <f t="shared" si="273"/>
        <v>253291.08960030298</v>
      </c>
      <c r="BD132" s="86">
        <f t="shared" ref="BD132:BM132" si="274">SUM(BD128:BD130)</f>
        <v>244820.27549233203</v>
      </c>
      <c r="BE132" s="86">
        <f t="shared" si="274"/>
        <v>234995.74403231745</v>
      </c>
      <c r="BF132" s="86">
        <f t="shared" si="274"/>
        <v>226524.93694572718</v>
      </c>
      <c r="BG132" s="86">
        <f t="shared" si="274"/>
        <v>218284.7851839491</v>
      </c>
      <c r="BH132" s="86">
        <f t="shared" si="274"/>
        <v>210773.94723747461</v>
      </c>
      <c r="BI132" s="86">
        <f t="shared" si="274"/>
        <v>203409.9458615194</v>
      </c>
      <c r="BJ132" s="86">
        <f t="shared" si="274"/>
        <v>196316.74760255043</v>
      </c>
      <c r="BK132" s="86">
        <f t="shared" si="274"/>
        <v>188420.12832553638</v>
      </c>
      <c r="BL132" s="86">
        <f t="shared" si="274"/>
        <v>181067.43240553187</v>
      </c>
      <c r="BM132" s="86">
        <f t="shared" si="274"/>
        <v>173719.19471503608</v>
      </c>
    </row>
    <row r="133" spans="1:65"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</row>
    <row r="134" spans="1:65">
      <c r="A134" s="78" t="s">
        <v>247</v>
      </c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</row>
    <row r="135" spans="1:65">
      <c r="A135" s="79" t="s">
        <v>8</v>
      </c>
      <c r="B135" s="86"/>
      <c r="C135" s="86"/>
      <c r="D135" s="86"/>
      <c r="E135" s="86"/>
      <c r="F135" s="86"/>
      <c r="G135" s="135"/>
      <c r="H135" s="135">
        <f>(H128/G128-1)*100</f>
        <v>-4.6508066281519378</v>
      </c>
      <c r="I135" s="135">
        <f>(I128/H128-1)*100</f>
        <v>-1.5718216080637504</v>
      </c>
      <c r="J135" s="135">
        <f t="shared" ref="J135:AH135" si="275">(J128/I128-1)*100</f>
        <v>-8.9236540526218207</v>
      </c>
      <c r="K135" s="135">
        <f t="shared" si="275"/>
        <v>-7.8010443879750202</v>
      </c>
      <c r="L135" s="135">
        <f>(L128/K128-1)*100</f>
        <v>-6.2427557234440929</v>
      </c>
      <c r="M135" s="135">
        <f>(M128/L128-1)*100</f>
        <v>-4.2991134709540857</v>
      </c>
      <c r="N135" s="135">
        <f>(N128/M128-1)*100</f>
        <v>-6.5428390464252857</v>
      </c>
      <c r="O135" s="135">
        <f t="shared" si="275"/>
        <v>-9.1242938789454548</v>
      </c>
      <c r="P135" s="135">
        <f t="shared" si="275"/>
        <v>-6.3912038772800379</v>
      </c>
      <c r="Q135" s="135">
        <f t="shared" si="275"/>
        <v>-8.4652437346792286</v>
      </c>
      <c r="R135" s="135">
        <f t="shared" ref="R135:W135" si="276">(R128/Q128-1)*100</f>
        <v>-4.8062138593170545</v>
      </c>
      <c r="S135" s="135">
        <f t="shared" si="276"/>
        <v>3.1878188177201228</v>
      </c>
      <c r="T135" s="135">
        <f t="shared" si="276"/>
        <v>3.2664861602238693</v>
      </c>
      <c r="U135" s="135">
        <f>(U128/T128-1)*100</f>
        <v>3.2519135837050905</v>
      </c>
      <c r="V135" s="135">
        <f>(V128/U128-1)*100</f>
        <v>-1.6961530906373534</v>
      </c>
      <c r="W135" s="135">
        <f t="shared" si="276"/>
        <v>-6.4165214502054262</v>
      </c>
      <c r="X135" s="135">
        <f t="shared" si="275"/>
        <v>-3.5168488589838898</v>
      </c>
      <c r="Y135" s="135">
        <f t="shared" si="275"/>
        <v>18.101587961070731</v>
      </c>
      <c r="Z135" s="135">
        <f t="shared" si="275"/>
        <v>4.2507495213934821</v>
      </c>
      <c r="AA135" s="135">
        <f t="shared" si="275"/>
        <v>-4.3320256978278788</v>
      </c>
      <c r="AB135" s="135">
        <f>(AB128/AA128-1)*100</f>
        <v>6.2915424928618346</v>
      </c>
      <c r="AC135" s="135">
        <f t="shared" si="275"/>
        <v>-1.2441751932947165</v>
      </c>
      <c r="AD135" s="135">
        <f t="shared" si="275"/>
        <v>2.0954556296763682</v>
      </c>
      <c r="AE135" s="135">
        <f t="shared" si="275"/>
        <v>-4.0301242872818221</v>
      </c>
      <c r="AF135" s="135">
        <f t="shared" si="275"/>
        <v>-4.4433613930287885</v>
      </c>
      <c r="AG135" s="135">
        <f t="shared" si="275"/>
        <v>-9.9089350347991498</v>
      </c>
      <c r="AH135" s="135">
        <f t="shared" si="275"/>
        <v>-9.3574473507486928</v>
      </c>
      <c r="AI135" s="135">
        <f>(AI128/AH128-1)*100</f>
        <v>-6.4397111067145962</v>
      </c>
      <c r="AJ135" s="135">
        <f t="shared" ref="AJ135:BC137" si="277">(AJ128/AI128-1)*100</f>
        <v>-2.8935976320396795</v>
      </c>
      <c r="AK135" s="135">
        <f t="shared" si="277"/>
        <v>-1.4470082722793154</v>
      </c>
      <c r="AL135" s="135">
        <f t="shared" si="277"/>
        <v>-1.6625055812265255</v>
      </c>
      <c r="AM135" s="135">
        <f t="shared" si="277"/>
        <v>0.23175752878883404</v>
      </c>
      <c r="AN135" s="135">
        <f t="shared" si="277"/>
        <v>-0.58505141571248975</v>
      </c>
      <c r="AO135" s="135">
        <f t="shared" si="277"/>
        <v>-1.6358492595117125</v>
      </c>
      <c r="AP135" s="135">
        <f t="shared" si="277"/>
        <v>-2.1897054327742138</v>
      </c>
      <c r="AQ135" s="135">
        <f t="shared" si="277"/>
        <v>-3.7465484990831466</v>
      </c>
      <c r="AR135" s="135">
        <f t="shared" si="277"/>
        <v>-3.4140910963756932</v>
      </c>
      <c r="AS135" s="135">
        <f t="shared" si="277"/>
        <v>-3.2335889086620773</v>
      </c>
      <c r="AT135" s="135">
        <f t="shared" si="277"/>
        <v>-2.6951032129555186</v>
      </c>
      <c r="AU135" s="135">
        <f t="shared" si="277"/>
        <v>-3.2776280133989921</v>
      </c>
      <c r="AV135" s="135">
        <f t="shared" si="277"/>
        <v>-3.1118169368056781</v>
      </c>
      <c r="AW135" s="135">
        <f t="shared" si="277"/>
        <v>-2.5023688601477523</v>
      </c>
      <c r="AX135" s="135">
        <f t="shared" si="277"/>
        <v>-3.448387012159515</v>
      </c>
      <c r="AY135" s="135">
        <f t="shared" si="277"/>
        <v>-3.0728207363043936</v>
      </c>
      <c r="AZ135" s="135">
        <f t="shared" si="277"/>
        <v>-3.5722508202102765</v>
      </c>
      <c r="BA135" s="135">
        <f t="shared" si="277"/>
        <v>-2.6543096670016419</v>
      </c>
      <c r="BB135" s="135">
        <f t="shared" si="277"/>
        <v>-3.4761181488747961</v>
      </c>
      <c r="BC135" s="135">
        <f t="shared" si="277"/>
        <v>-3.6935981325829315</v>
      </c>
      <c r="BD135" s="135">
        <f t="shared" ref="BD135:BD139" si="278">(BD128/BC128-1)*100</f>
        <v>-3.045227515375315</v>
      </c>
      <c r="BE135" s="135">
        <f t="shared" ref="BE135:BE139" si="279">(BE128/BD128-1)*100</f>
        <v>-3.6067148465704468</v>
      </c>
      <c r="BF135" s="135">
        <f t="shared" ref="BF135:BF139" si="280">(BF128/BE128-1)*100</f>
        <v>-3.3924346015476337</v>
      </c>
      <c r="BG135" s="135">
        <f t="shared" ref="BG135:BG139" si="281">(BG128/BF128-1)*100</f>
        <v>-3.8267503648340195</v>
      </c>
      <c r="BH135" s="135">
        <f t="shared" ref="BH135:BH139" si="282">(BH128/BG128-1)*100</f>
        <v>-4.2086442286386694</v>
      </c>
      <c r="BI135" s="135">
        <f t="shared" ref="BI135:BI139" si="283">(BI128/BH128-1)*100</f>
        <v>-4.0107402444161444</v>
      </c>
      <c r="BJ135" s="135">
        <f t="shared" ref="BJ135:BJ139" si="284">(BJ128/BI128-1)*100</f>
        <v>-4.2684441487926161</v>
      </c>
      <c r="BK135" s="135">
        <f t="shared" ref="BK135:BK139" si="285">(BK128/BJ128-1)*100</f>
        <v>-5.3833125789761187</v>
      </c>
      <c r="BL135" s="135">
        <f t="shared" ref="BL135:BL139" si="286">(BL128/BK128-1)*100</f>
        <v>-5.2108741794582247</v>
      </c>
      <c r="BM135" s="135">
        <f t="shared" ref="BM135:BM139" si="287">(BM128/BL128-1)*100</f>
        <v>-5.5908174939940043</v>
      </c>
    </row>
    <row r="136" spans="1:65">
      <c r="A136" s="79" t="s">
        <v>9</v>
      </c>
      <c r="B136" s="86"/>
      <c r="C136" s="86"/>
      <c r="D136" s="86"/>
      <c r="E136" s="86"/>
      <c r="F136" s="86"/>
      <c r="G136" s="135"/>
      <c r="H136" s="135">
        <f t="shared" ref="H136:AI136" si="288">(H129/G129-1)*100</f>
        <v>13.726476736767189</v>
      </c>
      <c r="I136" s="135">
        <f>(I129/H129-1)*100</f>
        <v>10.223414926220498</v>
      </c>
      <c r="J136" s="135">
        <f t="shared" si="288"/>
        <v>10.290159362549822</v>
      </c>
      <c r="K136" s="135">
        <f t="shared" si="288"/>
        <v>4.7692003987744425</v>
      </c>
      <c r="L136" s="135">
        <f t="shared" si="288"/>
        <v>1.5185084645710223</v>
      </c>
      <c r="M136" s="135">
        <f t="shared" si="288"/>
        <v>12.837530812345822</v>
      </c>
      <c r="N136" s="135">
        <f>(N129/M129-1)*100</f>
        <v>3.1211193041023044</v>
      </c>
      <c r="O136" s="135">
        <f t="shared" si="288"/>
        <v>2.7776873986157025</v>
      </c>
      <c r="P136" s="135">
        <f t="shared" si="288"/>
        <v>-4.848931110804477</v>
      </c>
      <c r="Q136" s="135">
        <f t="shared" si="288"/>
        <v>13.507971490695558</v>
      </c>
      <c r="R136" s="135">
        <f t="shared" si="288"/>
        <v>-5.454099616861507</v>
      </c>
      <c r="S136" s="135">
        <f t="shared" si="288"/>
        <v>-0.69883605993947828</v>
      </c>
      <c r="T136" s="135">
        <f t="shared" si="288"/>
        <v>7.4123153946031417</v>
      </c>
      <c r="U136" s="135">
        <f>(U129/T129-1)*100</f>
        <v>-2.1794455954530556</v>
      </c>
      <c r="V136" s="135">
        <f>(V129/U129-1)*100</f>
        <v>7.9584472629013359</v>
      </c>
      <c r="W136" s="135">
        <f t="shared" si="288"/>
        <v>-2.0778524520012276</v>
      </c>
      <c r="X136" s="135">
        <f t="shared" si="288"/>
        <v>-8.9426929226440581</v>
      </c>
      <c r="Y136" s="135">
        <f t="shared" si="288"/>
        <v>-4.7979118387002533</v>
      </c>
      <c r="Z136" s="135">
        <f t="shared" si="288"/>
        <v>11.916013900401289</v>
      </c>
      <c r="AA136" s="135">
        <f t="shared" si="288"/>
        <v>9.8327792337595596</v>
      </c>
      <c r="AB136" s="135">
        <f t="shared" si="288"/>
        <v>-6.471234290034622</v>
      </c>
      <c r="AC136" s="135">
        <f t="shared" si="288"/>
        <v>6.6304340879886681</v>
      </c>
      <c r="AD136" s="135">
        <f t="shared" si="288"/>
        <v>-4.5970378429809884</v>
      </c>
      <c r="AE136" s="135">
        <f t="shared" si="288"/>
        <v>0.85228622441790858</v>
      </c>
      <c r="AF136" s="135">
        <f t="shared" si="288"/>
        <v>-0.59072567986617752</v>
      </c>
      <c r="AG136" s="135">
        <f t="shared" si="288"/>
        <v>-3.3642794654680341</v>
      </c>
      <c r="AH136" s="135">
        <f t="shared" si="288"/>
        <v>-3.929374304423483</v>
      </c>
      <c r="AI136" s="135">
        <f t="shared" si="288"/>
        <v>-5.4371305918423314</v>
      </c>
      <c r="AJ136" s="135">
        <f t="shared" si="277"/>
        <v>-4.5776200402157681</v>
      </c>
      <c r="AK136" s="135">
        <f t="shared" si="277"/>
        <v>-6.9792033287122575</v>
      </c>
      <c r="AL136" s="135">
        <f t="shared" si="277"/>
        <v>-4.1556965592521973</v>
      </c>
      <c r="AM136" s="135">
        <f t="shared" si="277"/>
        <v>-2.8092618034623262</v>
      </c>
      <c r="AN136" s="135">
        <f t="shared" si="277"/>
        <v>-2.93795088360298</v>
      </c>
      <c r="AO136" s="135">
        <f t="shared" si="277"/>
        <v>-2.7315278820761679</v>
      </c>
      <c r="AP136" s="135">
        <f t="shared" si="277"/>
        <v>-4.5629109228183973</v>
      </c>
      <c r="AQ136" s="135">
        <f t="shared" si="277"/>
        <v>-6.4476415929638158</v>
      </c>
      <c r="AR136" s="135">
        <f t="shared" si="277"/>
        <v>-7.4112357501640584</v>
      </c>
      <c r="AS136" s="135">
        <f t="shared" si="277"/>
        <v>-6.0646775448072283</v>
      </c>
      <c r="AT136" s="135">
        <f t="shared" si="277"/>
        <v>-5.2959306833191615</v>
      </c>
      <c r="AU136" s="135">
        <f t="shared" si="277"/>
        <v>-5.7284954358876039</v>
      </c>
      <c r="AV136" s="135">
        <f t="shared" si="277"/>
        <v>-4.8891176528562568</v>
      </c>
      <c r="AW136" s="135">
        <f t="shared" si="277"/>
        <v>-5.6688099395482467</v>
      </c>
      <c r="AX136" s="135">
        <f t="shared" si="277"/>
        <v>-4.9727059332720032</v>
      </c>
      <c r="AY136" s="135">
        <f t="shared" si="277"/>
        <v>-3.9905979370008837</v>
      </c>
      <c r="AZ136" s="135">
        <f t="shared" si="277"/>
        <v>-3.9718431130296827</v>
      </c>
      <c r="BA136" s="135">
        <f t="shared" si="277"/>
        <v>-3.7010456768129973</v>
      </c>
      <c r="BB136" s="135">
        <f t="shared" si="277"/>
        <v>-2.2519067960648398</v>
      </c>
      <c r="BC136" s="135">
        <f t="shared" si="277"/>
        <v>-3.140557619234996</v>
      </c>
      <c r="BD136" s="135">
        <f t="shared" si="278"/>
        <v>-3.5573675878696753</v>
      </c>
      <c r="BE136" s="135">
        <f t="shared" si="279"/>
        <v>-4.219510690303041</v>
      </c>
      <c r="BF136" s="135">
        <f t="shared" si="280"/>
        <v>-3.7722451069725937</v>
      </c>
      <c r="BG136" s="135">
        <f t="shared" si="281"/>
        <v>-2.8940226266139679</v>
      </c>
      <c r="BH136" s="135">
        <f t="shared" si="282"/>
        <v>-1.5390362659425505</v>
      </c>
      <c r="BI136" s="135">
        <f t="shared" si="283"/>
        <v>-2.2267639975248166</v>
      </c>
      <c r="BJ136" s="135">
        <f t="shared" si="284"/>
        <v>-1.7149876602592262</v>
      </c>
      <c r="BK136" s="135">
        <f t="shared" si="285"/>
        <v>-1.3548140119094332</v>
      </c>
      <c r="BL136" s="135">
        <f t="shared" si="286"/>
        <v>-1.4387794740613358</v>
      </c>
      <c r="BM136" s="135">
        <f t="shared" si="287"/>
        <v>-1.2271064628262218</v>
      </c>
    </row>
    <row r="137" spans="1:65">
      <c r="A137" s="79" t="s">
        <v>10</v>
      </c>
      <c r="B137" s="86"/>
      <c r="C137" s="86"/>
      <c r="D137" s="86"/>
      <c r="E137" s="86"/>
      <c r="F137" s="86"/>
      <c r="G137" s="135"/>
      <c r="H137" s="135">
        <f t="shared" ref="H137:AI137" si="289">(H130/G130-1)*100</f>
        <v>21.705020920502104</v>
      </c>
      <c r="I137" s="135">
        <f t="shared" si="289"/>
        <v>-4.1254834550923825</v>
      </c>
      <c r="J137" s="135">
        <f t="shared" si="289"/>
        <v>6.4993276557597346</v>
      </c>
      <c r="K137" s="135">
        <f t="shared" si="289"/>
        <v>2.3989898989898784</v>
      </c>
      <c r="L137" s="135">
        <f t="shared" si="289"/>
        <v>-18.783394985614464</v>
      </c>
      <c r="M137" s="135">
        <f t="shared" si="289"/>
        <v>5.5668016194332148</v>
      </c>
      <c r="N137" s="135">
        <f>(N130/M130-1)*100</f>
        <v>2.5886864813039256</v>
      </c>
      <c r="O137" s="135">
        <f t="shared" si="289"/>
        <v>-7.8504672897196315</v>
      </c>
      <c r="P137" s="135">
        <f t="shared" si="289"/>
        <v>5.9330628803245578</v>
      </c>
      <c r="Q137" s="135">
        <f t="shared" si="289"/>
        <v>7.1325993298228862</v>
      </c>
      <c r="R137" s="135">
        <f>(R130/Q130-1)*100</f>
        <v>-2.9937444146559633</v>
      </c>
      <c r="S137" s="135">
        <f>(S130/R130-1)*100</f>
        <v>0.69092584062642182</v>
      </c>
      <c r="T137" s="135">
        <f>(T130/S130-1)*100</f>
        <v>0.96065873741995045</v>
      </c>
      <c r="U137" s="135">
        <f>(U130/T130-1)*100</f>
        <v>0.18124150430449681</v>
      </c>
      <c r="V137" s="135">
        <f t="shared" si="289"/>
        <v>-4.5228403437336251E-2</v>
      </c>
      <c r="W137" s="135">
        <f t="shared" si="289"/>
        <v>-4.2081447963801093</v>
      </c>
      <c r="X137" s="135">
        <f t="shared" si="289"/>
        <v>-9.8724610297590836</v>
      </c>
      <c r="Y137" s="135">
        <f t="shared" si="289"/>
        <v>-4.3501048218029359</v>
      </c>
      <c r="Z137" s="135">
        <f t="shared" si="289"/>
        <v>-16.109589041095905</v>
      </c>
      <c r="AA137" s="135">
        <f t="shared" si="289"/>
        <v>-18.158066623122139</v>
      </c>
      <c r="AB137" s="135">
        <f t="shared" si="289"/>
        <v>3.6711891460494916</v>
      </c>
      <c r="AC137" s="135">
        <f t="shared" si="289"/>
        <v>8.4742545714026072</v>
      </c>
      <c r="AD137" s="135">
        <f t="shared" si="289"/>
        <v>3.0914593160074499</v>
      </c>
      <c r="AE137" s="135">
        <f t="shared" si="289"/>
        <v>5.2055311470937671</v>
      </c>
      <c r="AF137" s="135">
        <f t="shared" si="289"/>
        <v>0.87904488539565229</v>
      </c>
      <c r="AG137" s="135">
        <f t="shared" si="289"/>
        <v>-0.22844387661841159</v>
      </c>
      <c r="AH137" s="135">
        <f t="shared" si="289"/>
        <v>-1.6765937353047988</v>
      </c>
      <c r="AI137" s="135">
        <f t="shared" si="289"/>
        <v>-4.4013974668744353</v>
      </c>
      <c r="AJ137" s="135">
        <f t="shared" si="277"/>
        <v>-10.08779772699654</v>
      </c>
      <c r="AK137" s="135">
        <f t="shared" si="277"/>
        <v>-6.9125968707599794</v>
      </c>
      <c r="AL137" s="135">
        <f t="shared" si="277"/>
        <v>-11.54771349958218</v>
      </c>
      <c r="AM137" s="135">
        <f t="shared" si="277"/>
        <v>-10.83221270539495</v>
      </c>
      <c r="AN137" s="135">
        <f t="shared" si="277"/>
        <v>-11.92055627173162</v>
      </c>
      <c r="AO137" s="135">
        <f t="shared" si="277"/>
        <v>-9.2935340549666012</v>
      </c>
      <c r="AP137" s="135">
        <f t="shared" si="277"/>
        <v>-14.099353293503714</v>
      </c>
      <c r="AQ137" s="135">
        <f t="shared" si="277"/>
        <v>-15.692867375212472</v>
      </c>
      <c r="AR137" s="135">
        <f t="shared" si="277"/>
        <v>-11.531323506373381</v>
      </c>
      <c r="AS137" s="135">
        <f t="shared" si="277"/>
        <v>-9.5429657412695832</v>
      </c>
      <c r="AT137" s="135">
        <f t="shared" si="277"/>
        <v>-11.508854103197342</v>
      </c>
      <c r="AU137" s="135">
        <f t="shared" si="277"/>
        <v>-10.145459344828245</v>
      </c>
      <c r="AV137" s="135">
        <f t="shared" si="277"/>
        <v>-10.094332623238545</v>
      </c>
      <c r="AW137" s="135">
        <f t="shared" si="277"/>
        <v>-13.053438679578722</v>
      </c>
      <c r="AX137" s="135">
        <f t="shared" si="277"/>
        <v>-9.941209661740281</v>
      </c>
      <c r="AY137" s="135">
        <f t="shared" si="277"/>
        <v>-17.179650508662792</v>
      </c>
      <c r="AZ137" s="135">
        <f t="shared" si="277"/>
        <v>-6.413731290770075</v>
      </c>
      <c r="BA137" s="135">
        <f t="shared" si="277"/>
        <v>-22.94882911094135</v>
      </c>
      <c r="BB137" s="135">
        <f t="shared" si="277"/>
        <v>-22.344636359172341</v>
      </c>
      <c r="BC137" s="135">
        <f t="shared" si="277"/>
        <v>-16.729743495550252</v>
      </c>
      <c r="BD137" s="135">
        <f t="shared" si="278"/>
        <v>-18.243685289998744</v>
      </c>
      <c r="BE137" s="135">
        <f t="shared" si="279"/>
        <v>-31.612415405170324</v>
      </c>
      <c r="BF137" s="135">
        <f t="shared" si="280"/>
        <v>-20.405514129337131</v>
      </c>
      <c r="BG137" s="135">
        <f t="shared" si="281"/>
        <v>-28.32985021811486</v>
      </c>
      <c r="BH137" s="135">
        <f t="shared" si="282"/>
        <v>-31.512313136487137</v>
      </c>
      <c r="BI137" s="135">
        <f t="shared" si="283"/>
        <v>-32.9220828179145</v>
      </c>
      <c r="BJ137" s="135">
        <f t="shared" si="284"/>
        <v>-45.027347461336333</v>
      </c>
      <c r="BK137" s="135">
        <f t="shared" si="285"/>
        <v>-5.7514160586618512</v>
      </c>
      <c r="BL137" s="135">
        <f t="shared" si="286"/>
        <v>-6.8280006922553538</v>
      </c>
      <c r="BM137" s="135">
        <f t="shared" si="287"/>
        <v>-30.470655532115508</v>
      </c>
    </row>
    <row r="138" spans="1:65">
      <c r="A138" s="79" t="s">
        <v>14</v>
      </c>
      <c r="B138" s="86"/>
      <c r="C138" s="86"/>
      <c r="D138" s="86"/>
      <c r="E138" s="86"/>
      <c r="F138" s="86"/>
      <c r="G138" s="135"/>
      <c r="H138" s="135">
        <f t="shared" ref="H138:AH138" si="290">(H131/G131-1)*100</f>
        <v>-3.0183028667671641</v>
      </c>
      <c r="I138" s="135">
        <f t="shared" si="290"/>
        <v>-1.7703212084956177</v>
      </c>
      <c r="J138" s="135">
        <f>(J131/I131-1)*100</f>
        <v>-7.7535484588483694</v>
      </c>
      <c r="K138" s="135">
        <f>(K131/J131-1)*100</f>
        <v>-6.9076246548446569</v>
      </c>
      <c r="L138" s="135">
        <f>(L131/K131-1)*100</f>
        <v>-7.451001108491095</v>
      </c>
      <c r="M138" s="135">
        <f>(M131/L131-1)*100</f>
        <v>-3.46496002330553</v>
      </c>
      <c r="N138" s="135">
        <f>(N131/M131-1)*100</f>
        <v>-5.6985438929401111</v>
      </c>
      <c r="O138" s="135">
        <f t="shared" si="290"/>
        <v>-8.9961663828337706</v>
      </c>
      <c r="P138" s="135">
        <f t="shared" si="290"/>
        <v>-5.1359644593986342</v>
      </c>
      <c r="Q138" s="135">
        <f t="shared" si="290"/>
        <v>-6.6912178230630897</v>
      </c>
      <c r="R138" s="135">
        <f t="shared" si="290"/>
        <v>-4.5695318610967099</v>
      </c>
      <c r="S138" s="135">
        <f t="shared" si="290"/>
        <v>2.8563771174241026</v>
      </c>
      <c r="T138" s="135">
        <f t="shared" si="290"/>
        <v>2.9668507532973454</v>
      </c>
      <c r="U138" s="135">
        <f t="shared" si="290"/>
        <v>2.8606634337808412</v>
      </c>
      <c r="V138" s="135">
        <f t="shared" si="290"/>
        <v>-1.4912797604056838</v>
      </c>
      <c r="W138" s="135">
        <f t="shared" si="290"/>
        <v>-6.1384475895266739</v>
      </c>
      <c r="X138" s="135">
        <f t="shared" si="290"/>
        <v>-4.3335915537756842</v>
      </c>
      <c r="Y138" s="135">
        <f t="shared" si="290"/>
        <v>15.383428042472946</v>
      </c>
      <c r="Z138" s="135">
        <f t="shared" si="290"/>
        <v>2.2073562011429848</v>
      </c>
      <c r="AA138" s="135">
        <f t="shared" si="290"/>
        <v>-5.4709503132431063</v>
      </c>
      <c r="AB138" s="135">
        <f t="shared" si="290"/>
        <v>6.1046604433494966</v>
      </c>
      <c r="AC138" s="135">
        <f t="shared" si="290"/>
        <v>-0.56695881899521128</v>
      </c>
      <c r="AD138" s="135">
        <f t="shared" si="290"/>
        <v>2.1711717316568402</v>
      </c>
      <c r="AE138" s="135">
        <f t="shared" si="290"/>
        <v>-3.3217066962549002</v>
      </c>
      <c r="AF138" s="135">
        <f t="shared" si="290"/>
        <v>-3.9990993228489535</v>
      </c>
      <c r="AG138" s="135">
        <f t="shared" si="290"/>
        <v>-9.0598439909125865</v>
      </c>
      <c r="AH138" s="135">
        <f t="shared" si="290"/>
        <v>-8.6183231768091737</v>
      </c>
      <c r="AI138" s="135">
        <f>(AI131/AH131-1)*100</f>
        <v>-6.2286653028345906</v>
      </c>
      <c r="AJ138" s="135">
        <f t="shared" ref="AJ138:BC139" si="291">(AJ131/AI131-1)*100</f>
        <v>-3.652996018564092</v>
      </c>
      <c r="AK138" s="135">
        <f t="shared" si="291"/>
        <v>-1.9854076098076545</v>
      </c>
      <c r="AL138" s="135">
        <f t="shared" si="291"/>
        <v>-2.5873178088649307</v>
      </c>
      <c r="AM138" s="135">
        <f t="shared" si="291"/>
        <v>-0.70812227166278108</v>
      </c>
      <c r="AN138" s="135">
        <f t="shared" si="291"/>
        <v>-1.4498131235347489</v>
      </c>
      <c r="AO138" s="135">
        <f t="shared" si="291"/>
        <v>-2.1579690802612794</v>
      </c>
      <c r="AP138" s="135">
        <f t="shared" si="291"/>
        <v>-2.9425137394798129</v>
      </c>
      <c r="AQ138" s="135">
        <f t="shared" si="291"/>
        <v>-4.4148723789955717</v>
      </c>
      <c r="AR138" s="135">
        <f t="shared" si="291"/>
        <v>-3.8146209126246777</v>
      </c>
      <c r="AS138" s="135">
        <f t="shared" si="291"/>
        <v>-3.5199366795576004</v>
      </c>
      <c r="AT138" s="135">
        <f t="shared" si="291"/>
        <v>-3.0701391424850732</v>
      </c>
      <c r="AU138" s="135">
        <f t="shared" si="291"/>
        <v>-3.5444207213518042</v>
      </c>
      <c r="AV138" s="135">
        <f t="shared" si="291"/>
        <v>-3.3645016269112871</v>
      </c>
      <c r="AW138" s="135">
        <f t="shared" si="291"/>
        <v>-2.8576023354079161</v>
      </c>
      <c r="AX138" s="135">
        <f t="shared" si="291"/>
        <v>-3.6440436201702786</v>
      </c>
      <c r="AY138" s="135">
        <f t="shared" si="291"/>
        <v>-3.4701384689352244</v>
      </c>
      <c r="AZ138" s="135">
        <f t="shared" si="291"/>
        <v>-3.6409147370947914</v>
      </c>
      <c r="BA138" s="135">
        <f t="shared" si="291"/>
        <v>-3.1306113697382787</v>
      </c>
      <c r="BB138" s="135">
        <f t="shared" si="291"/>
        <v>-3.8283542305250662</v>
      </c>
      <c r="BC138" s="135">
        <f t="shared" si="291"/>
        <v>-3.8901013429838871</v>
      </c>
      <c r="BD138" s="135">
        <f t="shared" si="278"/>
        <v>-3.2437189451096415</v>
      </c>
      <c r="BE138" s="135">
        <f t="shared" si="279"/>
        <v>-3.915766320420333</v>
      </c>
      <c r="BF138" s="135">
        <f t="shared" si="280"/>
        <v>-3.5260610557399596</v>
      </c>
      <c r="BG138" s="135">
        <f t="shared" si="281"/>
        <v>-3.9855331857331922</v>
      </c>
      <c r="BH138" s="135">
        <f t="shared" si="282"/>
        <v>-4.3407145181600377</v>
      </c>
      <c r="BI138" s="135">
        <f t="shared" si="283"/>
        <v>-4.1108641418044378</v>
      </c>
      <c r="BJ138" s="135">
        <f t="shared" si="284"/>
        <v>-4.3671861991346761</v>
      </c>
      <c r="BK138" s="135">
        <f t="shared" si="285"/>
        <v>-5.3838251916418001</v>
      </c>
      <c r="BL138" s="135">
        <f t="shared" si="286"/>
        <v>-5.2131174045530475</v>
      </c>
      <c r="BM138" s="135">
        <f t="shared" si="287"/>
        <v>-5.6247420037821243</v>
      </c>
    </row>
    <row r="139" spans="1:65">
      <c r="A139" s="79" t="s">
        <v>11</v>
      </c>
      <c r="B139" s="86"/>
      <c r="C139" s="86"/>
      <c r="D139" s="86"/>
      <c r="E139" s="86"/>
      <c r="F139" s="86"/>
      <c r="G139" s="135"/>
      <c r="H139" s="135">
        <f t="shared" ref="H139:AI139" si="292">(H132/G132-1)*100</f>
        <v>-0.66918751335390825</v>
      </c>
      <c r="I139" s="135">
        <f t="shared" si="292"/>
        <v>0.15612547828789403</v>
      </c>
      <c r="J139" s="135">
        <f t="shared" si="292"/>
        <v>-4.5640335446386793</v>
      </c>
      <c r="K139" s="135">
        <f t="shared" si="292"/>
        <v>-4.5222955179706092</v>
      </c>
      <c r="L139" s="135">
        <f t="shared" si="292"/>
        <v>-5.4404093511889462</v>
      </c>
      <c r="M139" s="135">
        <f t="shared" si="292"/>
        <v>0.45831550827619694</v>
      </c>
      <c r="N139" s="135">
        <f>(N132/M132-1)*100</f>
        <v>-3.3144984566995328</v>
      </c>
      <c r="O139" s="135">
        <f t="shared" si="292"/>
        <v>-5.6017319099366913</v>
      </c>
      <c r="P139" s="135">
        <f t="shared" si="292"/>
        <v>-5.0458662906783358</v>
      </c>
      <c r="Q139" s="135">
        <f t="shared" si="292"/>
        <v>-0.33765481415394261</v>
      </c>
      <c r="R139" s="135">
        <f t="shared" si="292"/>
        <v>-4.8864227597119729</v>
      </c>
      <c r="S139" s="135">
        <f t="shared" si="292"/>
        <v>1.5903456659748461</v>
      </c>
      <c r="T139" s="135">
        <f t="shared" si="292"/>
        <v>4.5142340662153613</v>
      </c>
      <c r="U139" s="135">
        <f t="shared" si="292"/>
        <v>1.0576485310238359</v>
      </c>
      <c r="V139" s="135">
        <f t="shared" si="292"/>
        <v>1.7809182741005847</v>
      </c>
      <c r="W139" s="135">
        <f t="shared" si="292"/>
        <v>-4.6470265295651014</v>
      </c>
      <c r="X139" s="135">
        <f t="shared" si="292"/>
        <v>-6.072086889435746</v>
      </c>
      <c r="Y139" s="135">
        <f t="shared" si="292"/>
        <v>8.0039202494335058</v>
      </c>
      <c r="Z139" s="135">
        <f t="shared" si="292"/>
        <v>5.3366298519018418</v>
      </c>
      <c r="AA139" s="135">
        <f t="shared" si="292"/>
        <v>-0.23018815935421655</v>
      </c>
      <c r="AB139" s="135">
        <f t="shared" si="292"/>
        <v>1.3636721645677863</v>
      </c>
      <c r="AC139" s="135">
        <f t="shared" si="292"/>
        <v>1.9366591916259335</v>
      </c>
      <c r="AD139" s="135">
        <f t="shared" si="292"/>
        <v>-0.29156186216720004</v>
      </c>
      <c r="AE139" s="135">
        <f t="shared" si="292"/>
        <v>-1.8685070260473391</v>
      </c>
      <c r="AF139" s="135">
        <f t="shared" si="292"/>
        <v>-2.7795535023497964</v>
      </c>
      <c r="AG139" s="135">
        <f t="shared" si="292"/>
        <v>-6.9760393904272906</v>
      </c>
      <c r="AH139" s="135">
        <f t="shared" si="292"/>
        <v>-6.8361964788235641</v>
      </c>
      <c r="AI139" s="135">
        <f t="shared" si="292"/>
        <v>-5.9184405464677408</v>
      </c>
      <c r="AJ139" s="135">
        <f t="shared" si="291"/>
        <v>-4.0172361501423222</v>
      </c>
      <c r="AK139" s="135">
        <f t="shared" si="291"/>
        <v>-3.9411443189530826</v>
      </c>
      <c r="AL139" s="135">
        <f t="shared" si="291"/>
        <v>-3.1821208910442045</v>
      </c>
      <c r="AM139" s="135">
        <f t="shared" si="291"/>
        <v>-1.4969604024605454</v>
      </c>
      <c r="AN139" s="135">
        <f t="shared" si="291"/>
        <v>-2.0010666576163794</v>
      </c>
      <c r="AO139" s="135">
        <f t="shared" si="291"/>
        <v>-2.3684023027674583</v>
      </c>
      <c r="AP139" s="135">
        <f t="shared" si="291"/>
        <v>-3.5348107413955776</v>
      </c>
      <c r="AQ139" s="135">
        <f t="shared" si="291"/>
        <v>-5.149982992737268</v>
      </c>
      <c r="AR139" s="135">
        <f t="shared" si="291"/>
        <v>-5.0974709090676917</v>
      </c>
      <c r="AS139" s="135">
        <f t="shared" si="291"/>
        <v>-4.405472251157871</v>
      </c>
      <c r="AT139" s="135">
        <f t="shared" si="291"/>
        <v>-3.8312410900319449</v>
      </c>
      <c r="AU139" s="135">
        <f t="shared" si="291"/>
        <v>-4.2798831064146503</v>
      </c>
      <c r="AV139" s="135">
        <f t="shared" si="291"/>
        <v>-3.8701291120454173</v>
      </c>
      <c r="AW139" s="135">
        <f t="shared" si="291"/>
        <v>-3.7800356159397586</v>
      </c>
      <c r="AX139" s="135">
        <f t="shared" si="291"/>
        <v>-4.0714556906554566</v>
      </c>
      <c r="AY139" s="135">
        <f t="shared" si="291"/>
        <v>-3.6359900394198785</v>
      </c>
      <c r="AZ139" s="135">
        <f t="shared" si="291"/>
        <v>-3.7459815561193599</v>
      </c>
      <c r="BA139" s="135">
        <f t="shared" si="291"/>
        <v>-3.3112942215267616</v>
      </c>
      <c r="BB139" s="135">
        <f t="shared" si="291"/>
        <v>-3.3310334370022066</v>
      </c>
      <c r="BC139" s="135">
        <f t="shared" si="291"/>
        <v>-3.6510036893102393</v>
      </c>
      <c r="BD139" s="135">
        <f t="shared" si="278"/>
        <v>-3.3443000783556998</v>
      </c>
      <c r="BE139" s="135">
        <f t="shared" si="279"/>
        <v>-4.0129566230809548</v>
      </c>
      <c r="BF139" s="135">
        <f t="shared" si="280"/>
        <v>-3.604664042522121</v>
      </c>
      <c r="BG139" s="135">
        <f t="shared" si="281"/>
        <v>-3.6376356055458636</v>
      </c>
      <c r="BH139" s="135">
        <f t="shared" si="282"/>
        <v>-3.4408435476366739</v>
      </c>
      <c r="BI139" s="135">
        <f t="shared" si="283"/>
        <v>-3.493791083989306</v>
      </c>
      <c r="BJ139" s="135">
        <f t="shared" si="284"/>
        <v>-3.4871442637313232</v>
      </c>
      <c r="BK139" s="135">
        <f t="shared" si="285"/>
        <v>-4.0223869707749049</v>
      </c>
      <c r="BL139" s="135">
        <f t="shared" si="286"/>
        <v>-3.9022879271694011</v>
      </c>
      <c r="BM139" s="135">
        <f t="shared" si="287"/>
        <v>-4.0582878946657459</v>
      </c>
    </row>
    <row r="140" spans="1:65"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</row>
    <row r="141" spans="1:65">
      <c r="B141" s="86"/>
      <c r="C141" s="86"/>
      <c r="D141" s="86"/>
      <c r="E141" s="86"/>
      <c r="F141" s="86"/>
      <c r="G141" s="86"/>
      <c r="H141" s="8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309" t="s">
        <v>482</v>
      </c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</row>
    <row r="142" spans="1:65">
      <c r="A142" s="78" t="s">
        <v>430</v>
      </c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251" t="s">
        <v>461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</row>
    <row r="143" spans="1:65">
      <c r="A143" s="79" t="s">
        <v>431</v>
      </c>
      <c r="B143" s="291">
        <v>13413.662116609399</v>
      </c>
      <c r="C143" s="291">
        <v>13757.429336683301</v>
      </c>
      <c r="D143" s="291">
        <v>14671.590967111</v>
      </c>
      <c r="E143" s="291">
        <v>15383.9156655926</v>
      </c>
      <c r="F143" s="291">
        <v>15168.0167330034</v>
      </c>
      <c r="G143" s="291">
        <v>13315.8276346244</v>
      </c>
      <c r="H143" s="291">
        <v>14329.3886669208</v>
      </c>
      <c r="I143" s="291">
        <v>14569.299643001201</v>
      </c>
      <c r="J143" s="290">
        <v>17998.573944444099</v>
      </c>
      <c r="K143" s="290">
        <v>21744.402617752701</v>
      </c>
      <c r="L143" s="216">
        <v>19046.923200640798</v>
      </c>
      <c r="M143" s="216">
        <v>21691.5072206158</v>
      </c>
      <c r="N143" s="216">
        <v>18832.269896193699</v>
      </c>
      <c r="O143" s="216">
        <v>20773</v>
      </c>
      <c r="P143" s="216">
        <v>23276.991469163801</v>
      </c>
      <c r="Q143" s="79">
        <v>26230.506866868502</v>
      </c>
      <c r="R143" s="447">
        <v>30035</v>
      </c>
      <c r="S143" s="448">
        <v>27523</v>
      </c>
      <c r="T143" s="136">
        <f>S143</f>
        <v>27523</v>
      </c>
      <c r="U143" s="136">
        <f t="shared" ref="U143:AI143" si="293">T143</f>
        <v>27523</v>
      </c>
      <c r="V143" s="136">
        <f t="shared" si="293"/>
        <v>27523</v>
      </c>
      <c r="W143" s="136">
        <f t="shared" si="293"/>
        <v>27523</v>
      </c>
      <c r="X143" s="136">
        <f t="shared" si="293"/>
        <v>27523</v>
      </c>
      <c r="Y143" s="136">
        <f t="shared" si="293"/>
        <v>27523</v>
      </c>
      <c r="Z143" s="136">
        <f t="shared" si="293"/>
        <v>27523</v>
      </c>
      <c r="AA143" s="136">
        <f t="shared" si="293"/>
        <v>27523</v>
      </c>
      <c r="AB143" s="136">
        <f t="shared" si="293"/>
        <v>27523</v>
      </c>
      <c r="AC143" s="136">
        <f t="shared" si="293"/>
        <v>27523</v>
      </c>
      <c r="AD143" s="136">
        <f t="shared" si="293"/>
        <v>27523</v>
      </c>
      <c r="AE143" s="136">
        <f t="shared" si="293"/>
        <v>27523</v>
      </c>
      <c r="AF143" s="136">
        <f t="shared" si="293"/>
        <v>27523</v>
      </c>
      <c r="AG143" s="136">
        <f t="shared" si="293"/>
        <v>27523</v>
      </c>
      <c r="AH143" s="136">
        <f t="shared" si="293"/>
        <v>27523</v>
      </c>
      <c r="AI143" s="136">
        <f t="shared" si="293"/>
        <v>27523</v>
      </c>
      <c r="AJ143" s="136">
        <f t="shared" ref="AJ143:BC143" si="294">AI143</f>
        <v>27523</v>
      </c>
      <c r="AK143" s="136">
        <f t="shared" si="294"/>
        <v>27523</v>
      </c>
      <c r="AL143" s="136">
        <f t="shared" si="294"/>
        <v>27523</v>
      </c>
      <c r="AM143" s="136">
        <f t="shared" si="294"/>
        <v>27523</v>
      </c>
      <c r="AN143" s="136">
        <f t="shared" si="294"/>
        <v>27523</v>
      </c>
      <c r="AO143" s="136">
        <f t="shared" si="294"/>
        <v>27523</v>
      </c>
      <c r="AP143" s="136">
        <f t="shared" si="294"/>
        <v>27523</v>
      </c>
      <c r="AQ143" s="136">
        <f t="shared" si="294"/>
        <v>27523</v>
      </c>
      <c r="AR143" s="136">
        <f t="shared" si="294"/>
        <v>27523</v>
      </c>
      <c r="AS143" s="136">
        <f t="shared" si="294"/>
        <v>27523</v>
      </c>
      <c r="AT143" s="136">
        <f t="shared" si="294"/>
        <v>27523</v>
      </c>
      <c r="AU143" s="136">
        <f t="shared" si="294"/>
        <v>27523</v>
      </c>
      <c r="AV143" s="136">
        <f t="shared" si="294"/>
        <v>27523</v>
      </c>
      <c r="AW143" s="136">
        <f t="shared" si="294"/>
        <v>27523</v>
      </c>
      <c r="AX143" s="136">
        <f t="shared" si="294"/>
        <v>27523</v>
      </c>
      <c r="AY143" s="136">
        <f t="shared" si="294"/>
        <v>27523</v>
      </c>
      <c r="AZ143" s="136">
        <f t="shared" si="294"/>
        <v>27523</v>
      </c>
      <c r="BA143" s="136">
        <f t="shared" si="294"/>
        <v>27523</v>
      </c>
      <c r="BB143" s="136">
        <f t="shared" si="294"/>
        <v>27523</v>
      </c>
      <c r="BC143" s="136">
        <f t="shared" si="294"/>
        <v>27523</v>
      </c>
      <c r="BD143" s="136">
        <f t="shared" ref="BD143:BD144" si="295">BC143</f>
        <v>27523</v>
      </c>
      <c r="BE143" s="136">
        <f t="shared" ref="BE143:BE144" si="296">BD143</f>
        <v>27523</v>
      </c>
      <c r="BF143" s="136">
        <f t="shared" ref="BF143:BF144" si="297">BE143</f>
        <v>27523</v>
      </c>
      <c r="BG143" s="136">
        <f t="shared" ref="BG143:BG144" si="298">BF143</f>
        <v>27523</v>
      </c>
      <c r="BH143" s="136">
        <f t="shared" ref="BH143:BH144" si="299">BG143</f>
        <v>27523</v>
      </c>
      <c r="BI143" s="136">
        <f t="shared" ref="BI143:BI144" si="300">BH143</f>
        <v>27523</v>
      </c>
      <c r="BJ143" s="136">
        <f t="shared" ref="BJ143:BJ144" si="301">BI143</f>
        <v>27523</v>
      </c>
      <c r="BK143" s="136">
        <f t="shared" ref="BK143:BK144" si="302">BJ143</f>
        <v>27523</v>
      </c>
      <c r="BL143" s="136">
        <f t="shared" ref="BL143:BL144" si="303">BK143</f>
        <v>27523</v>
      </c>
      <c r="BM143" s="136">
        <f t="shared" ref="BM143:BM144" si="304">BL143</f>
        <v>27523</v>
      </c>
    </row>
    <row r="144" spans="1:65">
      <c r="A144" s="79" t="s">
        <v>432</v>
      </c>
      <c r="B144" s="289">
        <v>14897.286164323799</v>
      </c>
      <c r="C144" s="289">
        <v>13367.7377578295</v>
      </c>
      <c r="D144" s="289">
        <v>15869.7499740477</v>
      </c>
      <c r="E144" s="289">
        <v>15372.7213147926</v>
      </c>
      <c r="F144" s="289">
        <v>13554.753776276801</v>
      </c>
      <c r="G144" s="289">
        <v>16875.931906348502</v>
      </c>
      <c r="H144" s="289">
        <v>18652.345791227301</v>
      </c>
      <c r="I144" s="289">
        <v>23813.8598532291</v>
      </c>
      <c r="J144" s="288">
        <v>18968.588988572599</v>
      </c>
      <c r="K144" s="288">
        <v>18079.379900497501</v>
      </c>
      <c r="L144" s="216">
        <v>35117.912168750299</v>
      </c>
      <c r="M144" s="216">
        <v>20193.1900432076</v>
      </c>
      <c r="N144" s="216">
        <v>34520.375574655198</v>
      </c>
      <c r="O144" s="216">
        <v>35382</v>
      </c>
      <c r="P144" s="216">
        <v>39646.970209500498</v>
      </c>
      <c r="Q144" s="79">
        <v>43262.957286482102</v>
      </c>
      <c r="R144" s="448">
        <v>48474.760920824403</v>
      </c>
      <c r="S144" s="448">
        <v>44422</v>
      </c>
      <c r="T144" s="136">
        <f t="shared" ref="T144:AI144" si="305">S144</f>
        <v>44422</v>
      </c>
      <c r="U144" s="136">
        <f t="shared" si="305"/>
        <v>44422</v>
      </c>
      <c r="V144" s="136">
        <f t="shared" si="305"/>
        <v>44422</v>
      </c>
      <c r="W144" s="136">
        <f t="shared" si="305"/>
        <v>44422</v>
      </c>
      <c r="X144" s="136">
        <f t="shared" si="305"/>
        <v>44422</v>
      </c>
      <c r="Y144" s="136">
        <f t="shared" si="305"/>
        <v>44422</v>
      </c>
      <c r="Z144" s="136">
        <f t="shared" si="305"/>
        <v>44422</v>
      </c>
      <c r="AA144" s="136">
        <f t="shared" si="305"/>
        <v>44422</v>
      </c>
      <c r="AB144" s="136">
        <f t="shared" si="305"/>
        <v>44422</v>
      </c>
      <c r="AC144" s="136">
        <f t="shared" si="305"/>
        <v>44422</v>
      </c>
      <c r="AD144" s="136">
        <f t="shared" si="305"/>
        <v>44422</v>
      </c>
      <c r="AE144" s="136">
        <f t="shared" si="305"/>
        <v>44422</v>
      </c>
      <c r="AF144" s="136">
        <f t="shared" si="305"/>
        <v>44422</v>
      </c>
      <c r="AG144" s="136">
        <f t="shared" si="305"/>
        <v>44422</v>
      </c>
      <c r="AH144" s="136">
        <f t="shared" si="305"/>
        <v>44422</v>
      </c>
      <c r="AI144" s="136">
        <f t="shared" si="305"/>
        <v>44422</v>
      </c>
      <c r="AJ144" s="136">
        <f t="shared" ref="AJ144:BC144" si="306">AI144</f>
        <v>44422</v>
      </c>
      <c r="AK144" s="136">
        <f t="shared" si="306"/>
        <v>44422</v>
      </c>
      <c r="AL144" s="136">
        <f t="shared" si="306"/>
        <v>44422</v>
      </c>
      <c r="AM144" s="136">
        <f t="shared" si="306"/>
        <v>44422</v>
      </c>
      <c r="AN144" s="136">
        <f t="shared" si="306"/>
        <v>44422</v>
      </c>
      <c r="AO144" s="136">
        <f t="shared" si="306"/>
        <v>44422</v>
      </c>
      <c r="AP144" s="136">
        <f t="shared" si="306"/>
        <v>44422</v>
      </c>
      <c r="AQ144" s="136">
        <f t="shared" si="306"/>
        <v>44422</v>
      </c>
      <c r="AR144" s="136">
        <f t="shared" si="306"/>
        <v>44422</v>
      </c>
      <c r="AS144" s="136">
        <f t="shared" si="306"/>
        <v>44422</v>
      </c>
      <c r="AT144" s="136">
        <f t="shared" si="306"/>
        <v>44422</v>
      </c>
      <c r="AU144" s="136">
        <f t="shared" si="306"/>
        <v>44422</v>
      </c>
      <c r="AV144" s="136">
        <f t="shared" si="306"/>
        <v>44422</v>
      </c>
      <c r="AW144" s="136">
        <f t="shared" si="306"/>
        <v>44422</v>
      </c>
      <c r="AX144" s="136">
        <f t="shared" si="306"/>
        <v>44422</v>
      </c>
      <c r="AY144" s="136">
        <f t="shared" si="306"/>
        <v>44422</v>
      </c>
      <c r="AZ144" s="136">
        <f t="shared" si="306"/>
        <v>44422</v>
      </c>
      <c r="BA144" s="136">
        <f t="shared" si="306"/>
        <v>44422</v>
      </c>
      <c r="BB144" s="136">
        <f t="shared" si="306"/>
        <v>44422</v>
      </c>
      <c r="BC144" s="136">
        <f t="shared" si="306"/>
        <v>44422</v>
      </c>
      <c r="BD144" s="136">
        <f t="shared" si="295"/>
        <v>44422</v>
      </c>
      <c r="BE144" s="136">
        <f t="shared" si="296"/>
        <v>44422</v>
      </c>
      <c r="BF144" s="136">
        <f t="shared" si="297"/>
        <v>44422</v>
      </c>
      <c r="BG144" s="136">
        <f t="shared" si="298"/>
        <v>44422</v>
      </c>
      <c r="BH144" s="136">
        <f t="shared" si="299"/>
        <v>44422</v>
      </c>
      <c r="BI144" s="136">
        <f t="shared" si="300"/>
        <v>44422</v>
      </c>
      <c r="BJ144" s="136">
        <f t="shared" si="301"/>
        <v>44422</v>
      </c>
      <c r="BK144" s="136">
        <f t="shared" si="302"/>
        <v>44422</v>
      </c>
      <c r="BL144" s="136">
        <f t="shared" si="303"/>
        <v>44422</v>
      </c>
      <c r="BM144" s="136">
        <f t="shared" si="304"/>
        <v>44422</v>
      </c>
    </row>
    <row r="145" spans="1:65"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</row>
    <row r="146" spans="1:65">
      <c r="A146" s="78" t="s">
        <v>233</v>
      </c>
      <c r="B146" s="80"/>
      <c r="C146" s="80"/>
      <c r="D146" s="80"/>
      <c r="E146" s="80"/>
      <c r="F146" s="80"/>
      <c r="G146" s="80"/>
      <c r="I146" s="80"/>
      <c r="J146" s="80"/>
      <c r="K146" s="80"/>
      <c r="L146" s="80"/>
      <c r="M146" s="80"/>
      <c r="N146" s="80"/>
      <c r="O146" s="80"/>
      <c r="P146" s="80"/>
      <c r="Q146" s="80"/>
      <c r="R146" s="243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</row>
    <row r="147" spans="1:65">
      <c r="A147" s="79" t="s">
        <v>248</v>
      </c>
      <c r="B147" s="87"/>
      <c r="C147" s="87"/>
      <c r="D147" s="87"/>
      <c r="E147" s="87"/>
      <c r="F147" s="87">
        <v>7.9366563795629537</v>
      </c>
      <c r="G147" s="88">
        <v>7.9366563795629537</v>
      </c>
      <c r="H147" s="88">
        <v>7.9366563795629537</v>
      </c>
      <c r="I147" s="88">
        <v>7.9366563795629537</v>
      </c>
      <c r="J147" s="88">
        <v>7.9366563795629537</v>
      </c>
      <c r="K147" s="88">
        <v>14.741107889896817</v>
      </c>
      <c r="L147" s="88">
        <v>14.582748838804202</v>
      </c>
      <c r="M147" s="88">
        <v>12.85121195910156</v>
      </c>
      <c r="N147" s="88">
        <v>17.052192979151439</v>
      </c>
      <c r="O147" s="88">
        <v>20.514395075309487</v>
      </c>
      <c r="P147" s="88">
        <v>24.592936957029512</v>
      </c>
      <c r="Q147" s="88">
        <v>16.88815617030971</v>
      </c>
      <c r="R147" s="88">
        <v>16.899999999999999</v>
      </c>
      <c r="S147" s="449">
        <v>16.2</v>
      </c>
      <c r="T147" s="443">
        <v>16.2</v>
      </c>
      <c r="U147" s="443">
        <v>16.2</v>
      </c>
      <c r="V147" s="443">
        <v>16.2</v>
      </c>
      <c r="W147" s="444">
        <v>16.17379</v>
      </c>
      <c r="X147" s="444">
        <v>16.17379</v>
      </c>
      <c r="Y147" s="444">
        <v>16.17379</v>
      </c>
      <c r="Z147" s="444">
        <v>16.17379</v>
      </c>
      <c r="AA147" s="444">
        <v>16.17379</v>
      </c>
      <c r="AB147" s="444">
        <v>16.17379</v>
      </c>
      <c r="AC147" s="444">
        <v>16.17379</v>
      </c>
      <c r="AD147" s="444">
        <v>16.17379</v>
      </c>
      <c r="AE147" s="444">
        <v>16.17379</v>
      </c>
      <c r="AF147" s="444">
        <v>16.17379</v>
      </c>
      <c r="AG147" s="444">
        <v>16.17379</v>
      </c>
      <c r="AH147" s="444">
        <v>16.17379</v>
      </c>
      <c r="AI147" s="444">
        <v>16.17379</v>
      </c>
      <c r="AJ147" s="444">
        <v>16.17379</v>
      </c>
      <c r="AK147" s="444">
        <v>16.17379</v>
      </c>
      <c r="AL147" s="444">
        <v>16.17379</v>
      </c>
      <c r="AM147" s="444">
        <v>16.17379</v>
      </c>
      <c r="AN147" s="444">
        <v>16.17379</v>
      </c>
      <c r="AO147" s="444">
        <v>16.17379</v>
      </c>
      <c r="AP147" s="444">
        <v>16.17379</v>
      </c>
      <c r="AQ147" s="444">
        <v>16.17379</v>
      </c>
      <c r="AR147" s="444">
        <v>16.17379</v>
      </c>
      <c r="AS147" s="444">
        <v>16.17379</v>
      </c>
      <c r="AT147" s="444">
        <v>16.17379</v>
      </c>
      <c r="AU147" s="444">
        <v>16.17379</v>
      </c>
      <c r="AV147" s="444">
        <v>16.17379</v>
      </c>
      <c r="AW147" s="444">
        <v>16.17379</v>
      </c>
      <c r="AX147" s="444">
        <v>16.17379</v>
      </c>
      <c r="AY147" s="444">
        <v>16.17379</v>
      </c>
      <c r="AZ147" s="444">
        <v>16.17379</v>
      </c>
      <c r="BA147" s="444">
        <v>16.17379</v>
      </c>
      <c r="BB147" s="444">
        <v>16.17379</v>
      </c>
      <c r="BC147" s="444">
        <v>16.17379</v>
      </c>
    </row>
    <row r="148" spans="1:65">
      <c r="A148" s="79" t="s">
        <v>6</v>
      </c>
      <c r="B148" s="87">
        <v>0</v>
      </c>
      <c r="C148" s="87">
        <v>0</v>
      </c>
      <c r="D148" s="87">
        <v>0</v>
      </c>
      <c r="E148" s="87">
        <v>0</v>
      </c>
      <c r="F148" s="87">
        <v>0</v>
      </c>
      <c r="G148" s="87">
        <v>0</v>
      </c>
      <c r="H148" s="87" t="s">
        <v>245</v>
      </c>
      <c r="I148" s="87">
        <v>0</v>
      </c>
      <c r="J148" s="87">
        <v>0</v>
      </c>
      <c r="K148" s="87">
        <v>0</v>
      </c>
      <c r="L148" s="87">
        <v>1</v>
      </c>
      <c r="M148" s="87">
        <v>1</v>
      </c>
      <c r="N148" s="87">
        <v>1</v>
      </c>
      <c r="O148" s="87">
        <v>3.2</v>
      </c>
      <c r="P148" s="87">
        <v>3.2</v>
      </c>
      <c r="Q148" s="87">
        <v>1.3</v>
      </c>
      <c r="R148" s="87">
        <v>1.3</v>
      </c>
      <c r="S148" s="87">
        <v>1.6</v>
      </c>
      <c r="T148" s="443">
        <v>1.6</v>
      </c>
      <c r="U148" s="443">
        <v>1.6</v>
      </c>
      <c r="V148" s="443">
        <v>1.6</v>
      </c>
      <c r="W148" s="444">
        <v>1.6</v>
      </c>
      <c r="X148" s="444">
        <v>1.6</v>
      </c>
      <c r="Y148" s="444">
        <v>1.6</v>
      </c>
      <c r="Z148" s="444">
        <v>1.6</v>
      </c>
      <c r="AA148" s="444">
        <v>1.6</v>
      </c>
      <c r="AB148" s="444">
        <v>1.6</v>
      </c>
      <c r="AC148" s="444">
        <v>1.6</v>
      </c>
      <c r="AD148" s="444">
        <v>1.6</v>
      </c>
      <c r="AE148" s="444">
        <v>1.6</v>
      </c>
      <c r="AF148" s="444">
        <v>1.6</v>
      </c>
      <c r="AG148" s="444">
        <v>1.6</v>
      </c>
      <c r="AH148" s="444">
        <v>1.6</v>
      </c>
      <c r="AI148" s="444">
        <v>1.6</v>
      </c>
      <c r="AJ148" s="444">
        <v>1.6</v>
      </c>
      <c r="AK148" s="444">
        <v>1.6</v>
      </c>
      <c r="AL148" s="444">
        <v>1.6</v>
      </c>
      <c r="AM148" s="444">
        <v>1.6</v>
      </c>
      <c r="AN148" s="444">
        <v>1.6</v>
      </c>
      <c r="AO148" s="444">
        <v>1.6</v>
      </c>
      <c r="AP148" s="444">
        <v>1.6</v>
      </c>
      <c r="AQ148" s="444">
        <v>1.6</v>
      </c>
      <c r="AR148" s="444">
        <v>1.6</v>
      </c>
      <c r="AS148" s="444">
        <v>1.6</v>
      </c>
      <c r="AT148" s="444">
        <v>1.6</v>
      </c>
      <c r="AU148" s="444">
        <v>1.6</v>
      </c>
      <c r="AV148" s="444">
        <v>1.6</v>
      </c>
      <c r="AW148" s="444">
        <v>1.6</v>
      </c>
      <c r="AX148" s="444">
        <v>1.6</v>
      </c>
      <c r="AY148" s="444">
        <v>1.6</v>
      </c>
      <c r="AZ148" s="444">
        <v>1.6</v>
      </c>
      <c r="BA148" s="444">
        <v>1.6</v>
      </c>
      <c r="BB148" s="444">
        <v>1.6</v>
      </c>
      <c r="BC148" s="444">
        <v>1.6</v>
      </c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</row>
    <row r="149" spans="1:65">
      <c r="A149" s="79" t="s">
        <v>7</v>
      </c>
      <c r="B149" s="87">
        <v>9.4499999999999993</v>
      </c>
      <c r="C149" s="87">
        <v>8.99</v>
      </c>
      <c r="D149" s="87">
        <v>9.19</v>
      </c>
      <c r="E149" s="87">
        <v>10.94</v>
      </c>
      <c r="F149" s="87">
        <v>13.91</v>
      </c>
      <c r="G149" s="88">
        <v>16.399999999999999</v>
      </c>
      <c r="H149" s="116">
        <v>19.95</v>
      </c>
      <c r="I149" s="87">
        <v>2.23</v>
      </c>
      <c r="J149" s="87">
        <v>2.23</v>
      </c>
      <c r="K149" s="87">
        <v>2.23</v>
      </c>
      <c r="L149" s="79">
        <v>2.23</v>
      </c>
      <c r="M149" s="79">
        <v>2.23</v>
      </c>
      <c r="N149" s="118">
        <v>4.42</v>
      </c>
      <c r="O149" s="118">
        <v>4.42</v>
      </c>
      <c r="P149" s="212">
        <v>4.42</v>
      </c>
      <c r="Q149" s="236">
        <v>4.42</v>
      </c>
      <c r="R149" s="236">
        <v>4.42</v>
      </c>
      <c r="S149" s="450">
        <v>4.41</v>
      </c>
      <c r="T149" s="451">
        <v>4.41</v>
      </c>
      <c r="U149" s="451">
        <v>4.41</v>
      </c>
      <c r="V149" s="451">
        <v>4.41</v>
      </c>
      <c r="W149" s="444">
        <v>4.4126474</v>
      </c>
      <c r="X149" s="444">
        <v>4.4126474</v>
      </c>
      <c r="Y149" s="444">
        <v>4.4126474</v>
      </c>
      <c r="Z149" s="444">
        <v>4.4126474</v>
      </c>
      <c r="AA149" s="444">
        <v>4.4126474</v>
      </c>
      <c r="AB149" s="444">
        <v>4.4126474</v>
      </c>
      <c r="AC149" s="444">
        <v>4.4126474</v>
      </c>
      <c r="AD149" s="444">
        <v>4.4126474</v>
      </c>
      <c r="AE149" s="444">
        <v>4.4126474</v>
      </c>
      <c r="AF149" s="444">
        <v>4.4126474</v>
      </c>
      <c r="AG149" s="444">
        <v>4.4126474</v>
      </c>
      <c r="AH149" s="444">
        <v>4.4126474</v>
      </c>
      <c r="AI149" s="444">
        <v>4.4126474</v>
      </c>
      <c r="AJ149" s="444">
        <v>4.4126474</v>
      </c>
      <c r="AK149" s="444">
        <v>4.4126474</v>
      </c>
      <c r="AL149" s="444">
        <v>4.4126474</v>
      </c>
      <c r="AM149" s="444">
        <v>4.4126474</v>
      </c>
      <c r="AN149" s="444">
        <v>4.4126474</v>
      </c>
      <c r="AO149" s="444">
        <v>4.4126474</v>
      </c>
      <c r="AP149" s="444">
        <v>4.4126474</v>
      </c>
      <c r="AQ149" s="444">
        <v>4.4126474</v>
      </c>
      <c r="AR149" s="444">
        <v>4.4126474</v>
      </c>
      <c r="AS149" s="444">
        <v>4.4126474</v>
      </c>
      <c r="AT149" s="444">
        <v>4.4126474</v>
      </c>
      <c r="AU149" s="444">
        <v>4.4126474</v>
      </c>
      <c r="AV149" s="444">
        <v>4.4126474</v>
      </c>
      <c r="AW149" s="444">
        <v>4.4126474</v>
      </c>
      <c r="AX149" s="444">
        <v>4.4126474</v>
      </c>
      <c r="AY149" s="444">
        <v>4.4126474</v>
      </c>
      <c r="AZ149" s="444">
        <v>4.4126474</v>
      </c>
      <c r="BA149" s="444">
        <v>4.4126474</v>
      </c>
      <c r="BB149" s="444">
        <v>4.4126474</v>
      </c>
      <c r="BC149" s="444">
        <v>4.4126474</v>
      </c>
    </row>
    <row r="150" spans="1:65">
      <c r="A150" s="100" t="s">
        <v>433</v>
      </c>
      <c r="B150" s="87"/>
      <c r="C150" s="87"/>
      <c r="D150" s="87"/>
      <c r="E150" s="87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</row>
    <row r="151" spans="1:65">
      <c r="A151" s="100"/>
      <c r="B151" s="100"/>
      <c r="C151" s="100"/>
      <c r="D151" s="100"/>
      <c r="G151" s="88"/>
      <c r="H151" s="114"/>
      <c r="I151" s="114"/>
      <c r="J151" s="114"/>
      <c r="K151" s="114"/>
      <c r="L151" s="114"/>
      <c r="M151" s="114"/>
      <c r="N151" s="114"/>
      <c r="O151" s="114"/>
    </row>
    <row r="152" spans="1:65">
      <c r="A152" s="78" t="s">
        <v>24</v>
      </c>
      <c r="B152" s="127"/>
      <c r="C152" s="127"/>
      <c r="D152" s="127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</row>
    <row r="153" spans="1:65" s="239" customFormat="1">
      <c r="A153" s="239" t="s">
        <v>434</v>
      </c>
      <c r="B153" s="240">
        <f t="shared" ref="B153:R153" si="307">0.896634*0.828454*(B$143+B$144)</f>
        <v>21029.939276862562</v>
      </c>
      <c r="C153" s="240">
        <f t="shared" si="307"/>
        <v>20149.117267701484</v>
      </c>
      <c r="D153" s="240">
        <f t="shared" si="307"/>
        <v>22686.719605894908</v>
      </c>
      <c r="E153" s="240">
        <f t="shared" si="307"/>
        <v>22846.645814884934</v>
      </c>
      <c r="F153" s="240">
        <f t="shared" si="307"/>
        <v>21335.84907433948</v>
      </c>
      <c r="G153" s="240">
        <f t="shared" si="307"/>
        <v>22427.043541876275</v>
      </c>
      <c r="H153" s="240">
        <f>0.896634*0.828454*(H$143+H$144)</f>
        <v>24499.4927763542</v>
      </c>
      <c r="I153" s="240">
        <f t="shared" si="307"/>
        <v>28511.779451890783</v>
      </c>
      <c r="J153" s="240">
        <f>0.896634*0.828454*(J$143+J$144)</f>
        <v>27459.948851052763</v>
      </c>
      <c r="K153" s="240">
        <f t="shared" si="307"/>
        <v>29581.903079446296</v>
      </c>
      <c r="L153" s="240">
        <f>0.896634*0.828454*(L$143+L$144)</f>
        <v>40234.724300164118</v>
      </c>
      <c r="M153" s="240">
        <f>0.896634*0.828454*(M$143+M$144)</f>
        <v>31112.791819876948</v>
      </c>
      <c r="N153" s="240">
        <f>0.896634*0.828454*(N$143+N$144)</f>
        <v>39631.413380369639</v>
      </c>
      <c r="O153" s="240">
        <f t="shared" si="307"/>
        <v>41713.058438510583</v>
      </c>
      <c r="P153" s="240">
        <f t="shared" si="307"/>
        <v>46741.178714000976</v>
      </c>
      <c r="Q153" s="240">
        <f t="shared" si="307"/>
        <v>51621.13669883812</v>
      </c>
      <c r="R153" s="240">
        <f t="shared" si="307"/>
        <v>58318.622478565449</v>
      </c>
      <c r="S153" s="240">
        <v>0</v>
      </c>
      <c r="T153" s="240">
        <v>0</v>
      </c>
      <c r="U153" s="240">
        <v>0</v>
      </c>
      <c r="V153" s="240">
        <v>0</v>
      </c>
      <c r="W153" s="240">
        <v>0</v>
      </c>
      <c r="X153" s="240">
        <v>0</v>
      </c>
      <c r="Y153" s="240">
        <v>0</v>
      </c>
      <c r="Z153" s="240">
        <v>0</v>
      </c>
      <c r="AA153" s="240">
        <v>0</v>
      </c>
      <c r="AB153" s="240">
        <v>0</v>
      </c>
      <c r="AC153" s="240">
        <v>0</v>
      </c>
      <c r="AD153" s="240">
        <v>0</v>
      </c>
      <c r="AE153" s="240">
        <v>0</v>
      </c>
      <c r="AF153" s="240">
        <v>0</v>
      </c>
      <c r="AG153" s="240">
        <v>0</v>
      </c>
      <c r="AH153" s="240">
        <v>0</v>
      </c>
      <c r="AI153" s="240">
        <v>0</v>
      </c>
      <c r="AJ153" s="240">
        <v>0</v>
      </c>
      <c r="AK153" s="240">
        <v>0</v>
      </c>
      <c r="AL153" s="240">
        <v>0</v>
      </c>
      <c r="AM153" s="240">
        <v>0</v>
      </c>
      <c r="AN153" s="240">
        <v>0</v>
      </c>
      <c r="AO153" s="240">
        <v>0</v>
      </c>
      <c r="AP153" s="240">
        <v>0</v>
      </c>
      <c r="AQ153" s="240">
        <v>0</v>
      </c>
      <c r="AR153" s="240">
        <v>0</v>
      </c>
      <c r="AS153" s="240">
        <v>0</v>
      </c>
      <c r="AT153" s="240">
        <v>0</v>
      </c>
      <c r="AU153" s="240">
        <v>0</v>
      </c>
      <c r="AV153" s="240">
        <v>0</v>
      </c>
      <c r="AW153" s="240">
        <v>0</v>
      </c>
      <c r="AX153" s="240">
        <v>0</v>
      </c>
      <c r="AY153" s="240">
        <v>0</v>
      </c>
      <c r="AZ153" s="240">
        <v>0</v>
      </c>
      <c r="BA153" s="240">
        <v>0</v>
      </c>
      <c r="BB153" s="240">
        <v>0</v>
      </c>
      <c r="BC153" s="240">
        <v>0</v>
      </c>
      <c r="BD153" s="240"/>
    </row>
    <row r="154" spans="1:65" s="239" customFormat="1">
      <c r="A154" s="239" t="s">
        <v>6</v>
      </c>
      <c r="B154" s="240">
        <f t="shared" ref="B154:AG154" si="308">B35*B148</f>
        <v>0</v>
      </c>
      <c r="C154" s="240">
        <f t="shared" si="308"/>
        <v>0</v>
      </c>
      <c r="D154" s="240">
        <f t="shared" si="308"/>
        <v>0</v>
      </c>
      <c r="E154" s="240">
        <f t="shared" si="308"/>
        <v>0</v>
      </c>
      <c r="F154" s="240">
        <f t="shared" si="308"/>
        <v>0</v>
      </c>
      <c r="G154" s="240">
        <f t="shared" si="308"/>
        <v>0</v>
      </c>
      <c r="H154" s="240">
        <f t="shared" si="308"/>
        <v>0</v>
      </c>
      <c r="I154" s="240">
        <f t="shared" si="308"/>
        <v>0</v>
      </c>
      <c r="J154" s="240">
        <f t="shared" si="308"/>
        <v>0</v>
      </c>
      <c r="K154" s="240">
        <f t="shared" si="308"/>
        <v>0</v>
      </c>
      <c r="L154" s="240">
        <f t="shared" si="308"/>
        <v>950</v>
      </c>
      <c r="M154" s="240">
        <f t="shared" si="308"/>
        <v>1420</v>
      </c>
      <c r="N154" s="240">
        <f t="shared" si="308"/>
        <v>1940</v>
      </c>
      <c r="O154" s="240">
        <f t="shared" si="308"/>
        <v>5632</v>
      </c>
      <c r="P154" s="240">
        <f t="shared" si="308"/>
        <v>7040</v>
      </c>
      <c r="Q154" s="240">
        <f t="shared" si="308"/>
        <v>1690</v>
      </c>
      <c r="R154" s="240">
        <f t="shared" si="308"/>
        <v>1690</v>
      </c>
      <c r="S154" s="240">
        <f t="shared" si="308"/>
        <v>0</v>
      </c>
      <c r="T154" s="240">
        <f t="shared" si="308"/>
        <v>0</v>
      </c>
      <c r="U154" s="240">
        <f t="shared" si="308"/>
        <v>0</v>
      </c>
      <c r="V154" s="240">
        <f t="shared" si="308"/>
        <v>0</v>
      </c>
      <c r="W154" s="240">
        <f t="shared" si="308"/>
        <v>0</v>
      </c>
      <c r="X154" s="240">
        <f t="shared" si="308"/>
        <v>0</v>
      </c>
      <c r="Y154" s="240">
        <f t="shared" si="308"/>
        <v>0</v>
      </c>
      <c r="Z154" s="240">
        <f t="shared" si="308"/>
        <v>0</v>
      </c>
      <c r="AA154" s="240">
        <f t="shared" si="308"/>
        <v>0</v>
      </c>
      <c r="AB154" s="240">
        <f t="shared" si="308"/>
        <v>0</v>
      </c>
      <c r="AC154" s="240">
        <f t="shared" si="308"/>
        <v>0</v>
      </c>
      <c r="AD154" s="240">
        <f t="shared" si="308"/>
        <v>0</v>
      </c>
      <c r="AE154" s="240">
        <f t="shared" si="308"/>
        <v>0</v>
      </c>
      <c r="AF154" s="240">
        <f t="shared" si="308"/>
        <v>0</v>
      </c>
      <c r="AG154" s="240">
        <f t="shared" si="308"/>
        <v>0</v>
      </c>
      <c r="AH154" s="240">
        <f t="shared" ref="AH154:BC154" si="309">AH35*AH148</f>
        <v>0</v>
      </c>
      <c r="AI154" s="240">
        <f t="shared" si="309"/>
        <v>0</v>
      </c>
      <c r="AJ154" s="240">
        <f t="shared" si="309"/>
        <v>0</v>
      </c>
      <c r="AK154" s="240">
        <f t="shared" si="309"/>
        <v>0</v>
      </c>
      <c r="AL154" s="240">
        <f t="shared" si="309"/>
        <v>0</v>
      </c>
      <c r="AM154" s="240">
        <f t="shared" si="309"/>
        <v>0</v>
      </c>
      <c r="AN154" s="240">
        <f t="shared" si="309"/>
        <v>0</v>
      </c>
      <c r="AO154" s="240">
        <f t="shared" si="309"/>
        <v>0</v>
      </c>
      <c r="AP154" s="240">
        <f t="shared" si="309"/>
        <v>0</v>
      </c>
      <c r="AQ154" s="240">
        <f t="shared" si="309"/>
        <v>0</v>
      </c>
      <c r="AR154" s="240">
        <f t="shared" si="309"/>
        <v>0</v>
      </c>
      <c r="AS154" s="240">
        <f t="shared" si="309"/>
        <v>0</v>
      </c>
      <c r="AT154" s="240">
        <f t="shared" si="309"/>
        <v>0</v>
      </c>
      <c r="AU154" s="240">
        <f t="shared" si="309"/>
        <v>0</v>
      </c>
      <c r="AV154" s="240">
        <f t="shared" si="309"/>
        <v>0</v>
      </c>
      <c r="AW154" s="240">
        <f t="shared" si="309"/>
        <v>0</v>
      </c>
      <c r="AX154" s="240">
        <f t="shared" si="309"/>
        <v>0</v>
      </c>
      <c r="AY154" s="240">
        <f t="shared" si="309"/>
        <v>0</v>
      </c>
      <c r="AZ154" s="240">
        <f t="shared" si="309"/>
        <v>0</v>
      </c>
      <c r="BA154" s="240">
        <f t="shared" si="309"/>
        <v>0</v>
      </c>
      <c r="BB154" s="240">
        <f t="shared" si="309"/>
        <v>0</v>
      </c>
      <c r="BC154" s="240">
        <f t="shared" si="309"/>
        <v>0</v>
      </c>
      <c r="BD154" s="240"/>
    </row>
    <row r="155" spans="1:65" s="239" customFormat="1">
      <c r="A155" s="239" t="s">
        <v>7</v>
      </c>
      <c r="B155" s="241">
        <v>0</v>
      </c>
      <c r="C155" s="241">
        <v>0</v>
      </c>
      <c r="D155" s="241">
        <v>0</v>
      </c>
      <c r="E155" s="241">
        <v>0</v>
      </c>
      <c r="F155" s="241">
        <v>0</v>
      </c>
      <c r="G155" s="241">
        <v>0</v>
      </c>
      <c r="H155" s="241">
        <v>0</v>
      </c>
      <c r="I155" s="241">
        <v>0</v>
      </c>
      <c r="J155" s="241">
        <v>0</v>
      </c>
      <c r="K155" s="241">
        <v>0</v>
      </c>
      <c r="L155" s="241">
        <v>0</v>
      </c>
      <c r="M155" s="240">
        <v>0</v>
      </c>
      <c r="N155" s="240">
        <v>0</v>
      </c>
      <c r="O155" s="240">
        <v>0</v>
      </c>
      <c r="P155" s="240">
        <v>0</v>
      </c>
      <c r="Q155" s="240">
        <v>0</v>
      </c>
      <c r="R155" s="240">
        <v>0</v>
      </c>
      <c r="S155" s="240">
        <v>0</v>
      </c>
      <c r="T155" s="240">
        <v>0</v>
      </c>
      <c r="U155" s="240">
        <v>0</v>
      </c>
      <c r="V155" s="240">
        <v>0</v>
      </c>
      <c r="W155" s="240">
        <v>0</v>
      </c>
      <c r="X155" s="240">
        <v>0</v>
      </c>
      <c r="Y155" s="240">
        <v>0</v>
      </c>
      <c r="Z155" s="240">
        <v>0</v>
      </c>
      <c r="AA155" s="240">
        <v>0</v>
      </c>
      <c r="AB155" s="240">
        <v>0</v>
      </c>
      <c r="AC155" s="240">
        <v>0</v>
      </c>
      <c r="AD155" s="240">
        <v>0</v>
      </c>
      <c r="AE155" s="240">
        <v>0</v>
      </c>
      <c r="AF155" s="240">
        <v>0</v>
      </c>
      <c r="AG155" s="240">
        <v>0</v>
      </c>
      <c r="AH155" s="240">
        <v>0</v>
      </c>
      <c r="AI155" s="240">
        <v>0</v>
      </c>
      <c r="AJ155" s="240">
        <v>0</v>
      </c>
      <c r="AK155" s="240">
        <v>0</v>
      </c>
      <c r="AL155" s="240">
        <v>0</v>
      </c>
      <c r="AM155" s="240">
        <v>0</v>
      </c>
      <c r="AN155" s="240">
        <v>0</v>
      </c>
      <c r="AO155" s="240">
        <v>0</v>
      </c>
      <c r="AP155" s="240">
        <v>0</v>
      </c>
      <c r="AQ155" s="240">
        <v>0</v>
      </c>
      <c r="AR155" s="240">
        <v>0</v>
      </c>
      <c r="AS155" s="240">
        <v>0</v>
      </c>
      <c r="AT155" s="240">
        <v>0</v>
      </c>
      <c r="AU155" s="240">
        <v>0</v>
      </c>
      <c r="AV155" s="240">
        <v>0</v>
      </c>
      <c r="AW155" s="240">
        <v>0</v>
      </c>
      <c r="AX155" s="240">
        <v>0</v>
      </c>
      <c r="AY155" s="240">
        <v>0</v>
      </c>
      <c r="AZ155" s="240">
        <v>0</v>
      </c>
      <c r="BA155" s="240">
        <v>0</v>
      </c>
      <c r="BB155" s="240">
        <v>0</v>
      </c>
      <c r="BC155" s="240">
        <v>0</v>
      </c>
      <c r="BD155" s="240"/>
    </row>
    <row r="156" spans="1:65" s="239" customFormat="1">
      <c r="A156" s="239" t="s">
        <v>11</v>
      </c>
      <c r="B156" s="240">
        <f>SUM(B153:B155)</f>
        <v>21029.939276862562</v>
      </c>
      <c r="C156" s="240">
        <f>SUM(C153:C155)</f>
        <v>20149.117267701484</v>
      </c>
      <c r="D156" s="240">
        <f>SUM(D153:D155)</f>
        <v>22686.719605894908</v>
      </c>
      <c r="E156" s="240">
        <f t="shared" ref="E156:J156" si="310">SUM(E153:E155)</f>
        <v>22846.645814884934</v>
      </c>
      <c r="F156" s="240">
        <f t="shared" si="310"/>
        <v>21335.84907433948</v>
      </c>
      <c r="G156" s="240">
        <f t="shared" si="310"/>
        <v>22427.043541876275</v>
      </c>
      <c r="H156" s="240">
        <f t="shared" si="310"/>
        <v>24499.4927763542</v>
      </c>
      <c r="I156" s="240">
        <f t="shared" si="310"/>
        <v>28511.779451890783</v>
      </c>
      <c r="J156" s="240">
        <f t="shared" si="310"/>
        <v>27459.948851052763</v>
      </c>
      <c r="K156" s="240">
        <f t="shared" ref="K156:AI156" si="311">SUM(K153:K155)</f>
        <v>29581.903079446296</v>
      </c>
      <c r="L156" s="240">
        <f>SUM(L153:L155)</f>
        <v>41184.724300164118</v>
      </c>
      <c r="M156" s="240">
        <f>SUM(M153:M155)</f>
        <v>32532.791819876948</v>
      </c>
      <c r="N156" s="240">
        <f t="shared" si="311"/>
        <v>41571.413380369639</v>
      </c>
      <c r="O156" s="240">
        <f t="shared" si="311"/>
        <v>47345.058438510583</v>
      </c>
      <c r="P156" s="240">
        <f t="shared" si="311"/>
        <v>53781.178714000976</v>
      </c>
      <c r="Q156" s="240">
        <f t="shared" si="311"/>
        <v>53311.13669883812</v>
      </c>
      <c r="R156" s="240">
        <f t="shared" si="311"/>
        <v>60008.622478565449</v>
      </c>
      <c r="S156" s="240">
        <f>SUM(S153:S155)</f>
        <v>0</v>
      </c>
      <c r="T156" s="240">
        <f t="shared" si="311"/>
        <v>0</v>
      </c>
      <c r="U156" s="240">
        <f t="shared" si="311"/>
        <v>0</v>
      </c>
      <c r="V156" s="240">
        <f t="shared" si="311"/>
        <v>0</v>
      </c>
      <c r="W156" s="240">
        <f t="shared" si="311"/>
        <v>0</v>
      </c>
      <c r="X156" s="240">
        <f t="shared" si="311"/>
        <v>0</v>
      </c>
      <c r="Y156" s="240">
        <f t="shared" si="311"/>
        <v>0</v>
      </c>
      <c r="Z156" s="240">
        <f t="shared" si="311"/>
        <v>0</v>
      </c>
      <c r="AA156" s="240">
        <f t="shared" si="311"/>
        <v>0</v>
      </c>
      <c r="AB156" s="240">
        <f t="shared" si="311"/>
        <v>0</v>
      </c>
      <c r="AC156" s="240">
        <f t="shared" si="311"/>
        <v>0</v>
      </c>
      <c r="AD156" s="240">
        <f t="shared" si="311"/>
        <v>0</v>
      </c>
      <c r="AE156" s="240">
        <f t="shared" si="311"/>
        <v>0</v>
      </c>
      <c r="AF156" s="240">
        <f t="shared" si="311"/>
        <v>0</v>
      </c>
      <c r="AG156" s="240">
        <f t="shared" si="311"/>
        <v>0</v>
      </c>
      <c r="AH156" s="240">
        <f t="shared" si="311"/>
        <v>0</v>
      </c>
      <c r="AI156" s="240">
        <f t="shared" si="311"/>
        <v>0</v>
      </c>
      <c r="AJ156" s="240">
        <f t="shared" ref="AJ156:BC156" si="312">SUM(AJ153:AJ155)</f>
        <v>0</v>
      </c>
      <c r="AK156" s="240">
        <f t="shared" si="312"/>
        <v>0</v>
      </c>
      <c r="AL156" s="240">
        <f t="shared" si="312"/>
        <v>0</v>
      </c>
      <c r="AM156" s="240">
        <f t="shared" si="312"/>
        <v>0</v>
      </c>
      <c r="AN156" s="240">
        <f t="shared" si="312"/>
        <v>0</v>
      </c>
      <c r="AO156" s="240">
        <f t="shared" si="312"/>
        <v>0</v>
      </c>
      <c r="AP156" s="240">
        <f t="shared" si="312"/>
        <v>0</v>
      </c>
      <c r="AQ156" s="240">
        <f t="shared" si="312"/>
        <v>0</v>
      </c>
      <c r="AR156" s="240">
        <f t="shared" si="312"/>
        <v>0</v>
      </c>
      <c r="AS156" s="240">
        <f t="shared" si="312"/>
        <v>0</v>
      </c>
      <c r="AT156" s="240">
        <f t="shared" si="312"/>
        <v>0</v>
      </c>
      <c r="AU156" s="240">
        <f t="shared" si="312"/>
        <v>0</v>
      </c>
      <c r="AV156" s="240">
        <f t="shared" si="312"/>
        <v>0</v>
      </c>
      <c r="AW156" s="240">
        <f t="shared" si="312"/>
        <v>0</v>
      </c>
      <c r="AX156" s="240">
        <f t="shared" si="312"/>
        <v>0</v>
      </c>
      <c r="AY156" s="240">
        <f t="shared" si="312"/>
        <v>0</v>
      </c>
      <c r="AZ156" s="240">
        <f t="shared" si="312"/>
        <v>0</v>
      </c>
      <c r="BA156" s="240">
        <f t="shared" si="312"/>
        <v>0</v>
      </c>
      <c r="BB156" s="240">
        <f t="shared" si="312"/>
        <v>0</v>
      </c>
      <c r="BC156" s="240">
        <f t="shared" si="312"/>
        <v>0</v>
      </c>
      <c r="BD156" s="240"/>
    </row>
    <row r="157" spans="1:65"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</row>
    <row r="158" spans="1:65"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</row>
    <row r="159" spans="1:65">
      <c r="A159" s="78" t="s">
        <v>238</v>
      </c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</row>
    <row r="160" spans="1:65">
      <c r="A160" s="79" t="s">
        <v>8</v>
      </c>
      <c r="B160" s="86">
        <f t="shared" ref="B160:AG160" si="313">B121-B153</f>
        <v>128531.97448479425</v>
      </c>
      <c r="C160" s="86">
        <f t="shared" si="313"/>
        <v>81626.344821428167</v>
      </c>
      <c r="D160" s="86">
        <f t="shared" si="313"/>
        <v>119635.2917206265</v>
      </c>
      <c r="E160" s="86">
        <f t="shared" si="313"/>
        <v>262590.88591091509</v>
      </c>
      <c r="F160" s="86">
        <f t="shared" si="313"/>
        <v>231709.43664006051</v>
      </c>
      <c r="G160" s="86">
        <f t="shared" si="313"/>
        <v>192669.60674512372</v>
      </c>
      <c r="H160" s="86">
        <f t="shared" si="313"/>
        <v>183700.8967424458</v>
      </c>
      <c r="I160" s="86">
        <f t="shared" si="313"/>
        <v>231471.31485710922</v>
      </c>
      <c r="J160" s="86">
        <f t="shared" si="313"/>
        <v>302179.2721059472</v>
      </c>
      <c r="K160" s="86">
        <f t="shared" si="313"/>
        <v>332558.42858595372</v>
      </c>
      <c r="L160" s="86">
        <f t="shared" si="313"/>
        <v>300903.42708983587</v>
      </c>
      <c r="M160" s="86">
        <f t="shared" si="313"/>
        <v>395989.70877772308</v>
      </c>
      <c r="N160" s="86">
        <f t="shared" si="313"/>
        <v>241071.33432703037</v>
      </c>
      <c r="O160" s="86">
        <f t="shared" si="313"/>
        <v>274703.67552298942</v>
      </c>
      <c r="P160" s="86">
        <f t="shared" si="313"/>
        <v>333119.85826319904</v>
      </c>
      <c r="Q160" s="86">
        <f t="shared" si="313"/>
        <v>311736.04710116191</v>
      </c>
      <c r="R160" s="86">
        <f t="shared" si="313"/>
        <v>281721.2563560346</v>
      </c>
      <c r="S160" s="86">
        <f>S121-S153</f>
        <v>344290.44329899998</v>
      </c>
      <c r="T160" s="86">
        <f t="shared" si="313"/>
        <v>244396.00179349998</v>
      </c>
      <c r="U160" s="86">
        <f t="shared" si="313"/>
        <v>221898.38726100003</v>
      </c>
      <c r="V160" s="86">
        <f t="shared" si="313"/>
        <v>260150.03221673871</v>
      </c>
      <c r="W160" s="86">
        <f t="shared" si="313"/>
        <v>314017.02016582969</v>
      </c>
      <c r="X160" s="86">
        <f t="shared" si="313"/>
        <v>293099.59369256167</v>
      </c>
      <c r="Y160" s="86">
        <f t="shared" si="313"/>
        <v>249796.44805771843</v>
      </c>
      <c r="Z160" s="86">
        <f t="shared" si="313"/>
        <v>389662.24484323297</v>
      </c>
      <c r="AA160" s="86">
        <f t="shared" si="313"/>
        <v>582127.51958137669</v>
      </c>
      <c r="AB160" s="86">
        <f t="shared" si="313"/>
        <v>564099.1180861867</v>
      </c>
      <c r="AC160" s="86">
        <f t="shared" si="313"/>
        <v>550012.81510394439</v>
      </c>
      <c r="AD160" s="86">
        <f t="shared" si="313"/>
        <v>474954.70241043891</v>
      </c>
      <c r="AE160" s="86">
        <f t="shared" si="313"/>
        <v>424638.42808003188</v>
      </c>
      <c r="AF160" s="86">
        <f t="shared" si="313"/>
        <v>405450.78784322762</v>
      </c>
      <c r="AG160" s="86">
        <f t="shared" si="313"/>
        <v>367325.85860778671</v>
      </c>
      <c r="AH160" s="86">
        <f t="shared" ref="AH160:BC160" si="314">AH121-AH153</f>
        <v>334481.31938482594</v>
      </c>
      <c r="AI160" s="86">
        <f t="shared" si="314"/>
        <v>313146.99544066284</v>
      </c>
      <c r="AJ160" s="86">
        <f t="shared" si="314"/>
        <v>318539.87464733096</v>
      </c>
      <c r="AK160" s="86">
        <f t="shared" si="314"/>
        <v>328625.4410362526</v>
      </c>
      <c r="AL160" s="86">
        <f t="shared" si="314"/>
        <v>338067.12440304586</v>
      </c>
      <c r="AM160" s="86">
        <f t="shared" si="314"/>
        <v>354258.28511562495</v>
      </c>
      <c r="AN160" s="86">
        <f t="shared" si="314"/>
        <v>367981.86084642622</v>
      </c>
      <c r="AO160" s="86">
        <f t="shared" si="314"/>
        <v>369201.47694664518</v>
      </c>
      <c r="AP160" s="86">
        <f t="shared" si="314"/>
        <v>368339.39319102303</v>
      </c>
      <c r="AQ160" s="86">
        <f t="shared" si="314"/>
        <v>361630.16676757066</v>
      </c>
      <c r="AR160" s="86">
        <f t="shared" si="314"/>
        <v>356269.45911099348</v>
      </c>
      <c r="AS160" s="86">
        <f t="shared" si="314"/>
        <v>351644.15278415463</v>
      </c>
      <c r="AT160" s="86">
        <f t="shared" si="314"/>
        <v>349010.31952278462</v>
      </c>
      <c r="AU160" s="86">
        <f t="shared" si="314"/>
        <v>344322.48071086162</v>
      </c>
      <c r="AV160" s="86">
        <f t="shared" si="314"/>
        <v>340279.95134764904</v>
      </c>
      <c r="AW160" s="86">
        <f t="shared" si="314"/>
        <v>338400.1896439555</v>
      </c>
      <c r="AX160" s="86">
        <f t="shared" si="314"/>
        <v>333265.45828425314</v>
      </c>
      <c r="AY160" s="86">
        <f t="shared" si="314"/>
        <v>329485.30433865788</v>
      </c>
      <c r="AZ160" s="86">
        <f t="shared" si="314"/>
        <v>324069.56810898683</v>
      </c>
      <c r="BA160" s="86">
        <f t="shared" si="314"/>
        <v>321777.11339955666</v>
      </c>
      <c r="BB160" s="86">
        <f t="shared" si="314"/>
        <v>316803.5959769843</v>
      </c>
      <c r="BC160" s="86">
        <f t="shared" si="314"/>
        <v>311204.18715746334</v>
      </c>
      <c r="BD160" s="86">
        <f t="shared" ref="BD160:BM160" si="315">BD121-BD153</f>
        <v>307761.85785356699</v>
      </c>
      <c r="BE160" s="86">
        <f t="shared" si="315"/>
        <v>302595.00053896697</v>
      </c>
      <c r="BF160" s="86">
        <f t="shared" si="315"/>
        <v>298176.25629889243</v>
      </c>
      <c r="BG160" s="86">
        <f t="shared" si="315"/>
        <v>292501.11122958869</v>
      </c>
      <c r="BH160" s="86">
        <f t="shared" si="315"/>
        <v>285794.59569498309</v>
      </c>
      <c r="BI160" s="86">
        <f t="shared" si="315"/>
        <v>279818.75916565955</v>
      </c>
      <c r="BJ160" s="86">
        <f t="shared" si="315"/>
        <v>273232.34874708543</v>
      </c>
      <c r="BK160" s="86">
        <f t="shared" si="315"/>
        <v>263693.86529409472</v>
      </c>
      <c r="BL160" s="86">
        <f t="shared" si="315"/>
        <v>254952.17194976282</v>
      </c>
      <c r="BM160" s="86">
        <f t="shared" si="315"/>
        <v>245512.22654545927</v>
      </c>
    </row>
    <row r="161" spans="1:95">
      <c r="A161" s="79" t="s">
        <v>9</v>
      </c>
      <c r="B161" s="86">
        <f t="shared" ref="B161:AG161" si="316">B122-B154</f>
        <v>26179</v>
      </c>
      <c r="C161" s="86">
        <f t="shared" si="316"/>
        <v>25327.4</v>
      </c>
      <c r="D161" s="86">
        <f t="shared" si="316"/>
        <v>20559</v>
      </c>
      <c r="E161" s="86">
        <f t="shared" si="316"/>
        <v>41541.699999999997</v>
      </c>
      <c r="F161" s="86">
        <f t="shared" si="316"/>
        <v>59401.5</v>
      </c>
      <c r="G161" s="86">
        <f t="shared" si="316"/>
        <v>53175.6</v>
      </c>
      <c r="H161" s="86">
        <f t="shared" si="316"/>
        <v>57845.400000000009</v>
      </c>
      <c r="I161" s="86">
        <f t="shared" si="316"/>
        <v>70280</v>
      </c>
      <c r="J161" s="86">
        <f t="shared" si="316"/>
        <v>99886.5</v>
      </c>
      <c r="K161" s="86">
        <f t="shared" si="316"/>
        <v>145673.20000000001</v>
      </c>
      <c r="L161" s="86">
        <f t="shared" si="316"/>
        <v>132486.70000000001</v>
      </c>
      <c r="M161" s="86">
        <f t="shared" si="316"/>
        <v>211483.19999999998</v>
      </c>
      <c r="N161" s="86">
        <f t="shared" si="316"/>
        <v>163215.6</v>
      </c>
      <c r="O161" s="86">
        <f t="shared" si="316"/>
        <v>155979.70000000001</v>
      </c>
      <c r="P161" s="86">
        <f t="shared" si="316"/>
        <v>186388</v>
      </c>
      <c r="Q161" s="86">
        <f>Q122-Q154</f>
        <v>240919.6</v>
      </c>
      <c r="R161" s="86">
        <f t="shared" si="316"/>
        <v>238066.5</v>
      </c>
      <c r="S161" s="86">
        <f t="shared" si="316"/>
        <v>211284</v>
      </c>
      <c r="T161" s="86">
        <f t="shared" si="316"/>
        <v>212553.4</v>
      </c>
      <c r="U161" s="86">
        <f t="shared" si="316"/>
        <v>151609</v>
      </c>
      <c r="V161" s="86">
        <f>V122-V154</f>
        <v>192902.35129488568</v>
      </c>
      <c r="W161" s="86">
        <f t="shared" si="316"/>
        <v>251858.83341138251</v>
      </c>
      <c r="X161" s="86">
        <f t="shared" si="316"/>
        <v>163662.41727506038</v>
      </c>
      <c r="Y161" s="86">
        <f t="shared" si="316"/>
        <v>112146.58335341416</v>
      </c>
      <c r="Z161" s="86">
        <f t="shared" si="316"/>
        <v>511732.6004368111</v>
      </c>
      <c r="AA161" s="86">
        <f t="shared" si="316"/>
        <v>1469774.8685528643</v>
      </c>
      <c r="AB161" s="86">
        <f t="shared" si="316"/>
        <v>620998.74945507175</v>
      </c>
      <c r="AC161" s="86">
        <f t="shared" si="316"/>
        <v>538443.4572053462</v>
      </c>
      <c r="AD161" s="86">
        <f t="shared" si="316"/>
        <v>599371.7560640726</v>
      </c>
      <c r="AE161" s="86">
        <f t="shared" si="316"/>
        <v>466717.87408761663</v>
      </c>
      <c r="AF161" s="86">
        <f t="shared" si="316"/>
        <v>378052.25442396384</v>
      </c>
      <c r="AG161" s="86">
        <f t="shared" si="316"/>
        <v>373005.5239808918</v>
      </c>
      <c r="AH161" s="86">
        <f t="shared" ref="AH161:BC161" si="317">AH122-AH154</f>
        <v>365874.06432362407</v>
      </c>
      <c r="AI161" s="86">
        <f t="shared" si="317"/>
        <v>280522.9292591344</v>
      </c>
      <c r="AJ161" s="86">
        <f t="shared" si="317"/>
        <v>269394.80263426603</v>
      </c>
      <c r="AK161" s="86">
        <f t="shared" si="317"/>
        <v>252150.91826082702</v>
      </c>
      <c r="AL161" s="86">
        <f t="shared" si="317"/>
        <v>243128.93146380462</v>
      </c>
      <c r="AM161" s="86">
        <f t="shared" si="317"/>
        <v>237677.19820092799</v>
      </c>
      <c r="AN161" s="86">
        <f t="shared" si="317"/>
        <v>231994.03058261666</v>
      </c>
      <c r="AO161" s="86">
        <f t="shared" si="317"/>
        <v>226882.02946525643</v>
      </c>
      <c r="AP161" s="86">
        <f t="shared" si="317"/>
        <v>217659.30952621074</v>
      </c>
      <c r="AQ161" s="86">
        <f t="shared" si="317"/>
        <v>204643.53019719193</v>
      </c>
      <c r="AR161" s="86">
        <f t="shared" si="317"/>
        <v>190381.86644772542</v>
      </c>
      <c r="AS161" s="86">
        <f t="shared" si="317"/>
        <v>179648.81381490058</v>
      </c>
      <c r="AT161" s="86">
        <f t="shared" si="317"/>
        <v>173537.43190509549</v>
      </c>
      <c r="AU161" s="86">
        <f t="shared" si="317"/>
        <v>166868.27499963267</v>
      </c>
      <c r="AV161" s="86">
        <f t="shared" si="317"/>
        <v>161884.08648380107</v>
      </c>
      <c r="AW161" s="86">
        <f t="shared" si="317"/>
        <v>155761.32900463371</v>
      </c>
      <c r="AX161" s="86">
        <f t="shared" si="317"/>
        <v>150976.09167858653</v>
      </c>
      <c r="AY161" s="86">
        <f t="shared" si="317"/>
        <v>147850.26773627021</v>
      </c>
      <c r="AZ161" s="86">
        <f t="shared" si="317"/>
        <v>144817.44480078304</v>
      </c>
      <c r="BA161" s="86">
        <f t="shared" si="317"/>
        <v>142246.83872112687</v>
      </c>
      <c r="BB161" s="86">
        <f t="shared" si="317"/>
        <v>141824.44394263398</v>
      </c>
      <c r="BC161" s="86">
        <f t="shared" si="317"/>
        <v>140117.77287370505</v>
      </c>
      <c r="BD161" s="86">
        <f t="shared" ref="BD161:BM161" si="318">BD122-BD154</f>
        <v>137835.93400938401</v>
      </c>
      <c r="BE161" s="86">
        <f t="shared" si="318"/>
        <v>134660.33067955458</v>
      </c>
      <c r="BF161" s="86">
        <f t="shared" si="318"/>
        <v>132172.22520335123</v>
      </c>
      <c r="BG161" s="86">
        <f t="shared" si="318"/>
        <v>130914.07372186444</v>
      </c>
      <c r="BH161" s="86">
        <f t="shared" si="318"/>
        <v>131477.24382306341</v>
      </c>
      <c r="BI161" s="86">
        <f t="shared" si="318"/>
        <v>131120.54701052699</v>
      </c>
      <c r="BJ161" s="86">
        <f t="shared" si="318"/>
        <v>131449.28272541671</v>
      </c>
      <c r="BK161" s="86">
        <f t="shared" si="318"/>
        <v>132261.75721298828</v>
      </c>
      <c r="BL161" s="86">
        <f t="shared" si="318"/>
        <v>132965.97824213846</v>
      </c>
      <c r="BM161" s="86">
        <f t="shared" si="318"/>
        <v>133961.03101236446</v>
      </c>
    </row>
    <row r="162" spans="1:95">
      <c r="A162" s="79" t="s">
        <v>10</v>
      </c>
      <c r="B162" s="86">
        <f t="shared" ref="B162:AG162" si="319">B123-B155</f>
        <v>13364.323499999999</v>
      </c>
      <c r="C162" s="86">
        <f t="shared" si="319"/>
        <v>7653.4611999999997</v>
      </c>
      <c r="D162" s="86">
        <f t="shared" si="319"/>
        <v>12724.625</v>
      </c>
      <c r="E162" s="86">
        <f t="shared" si="319"/>
        <v>21706.292799999999</v>
      </c>
      <c r="F162" s="86">
        <f t="shared" si="319"/>
        <v>25322.478299999999</v>
      </c>
      <c r="G162" s="86">
        <f t="shared" si="319"/>
        <v>26330.151999999998</v>
      </c>
      <c r="H162" s="86">
        <f t="shared" si="319"/>
        <v>25438.039848197346</v>
      </c>
      <c r="I162" s="86">
        <f t="shared" si="319"/>
        <v>29719.774687065368</v>
      </c>
      <c r="J162" s="86">
        <f t="shared" si="319"/>
        <v>43885.822784810131</v>
      </c>
      <c r="K162" s="86">
        <f t="shared" si="319"/>
        <v>47822.778290993076</v>
      </c>
      <c r="L162" s="86">
        <f t="shared" si="319"/>
        <v>35857.534743202414</v>
      </c>
      <c r="M162" s="86">
        <f t="shared" si="319"/>
        <v>52589.918813739998</v>
      </c>
      <c r="N162" s="86">
        <f t="shared" si="319"/>
        <v>37739.270346117868</v>
      </c>
      <c r="O162" s="86">
        <f t="shared" si="319"/>
        <v>43366.956786985254</v>
      </c>
      <c r="P162" s="86">
        <f t="shared" si="319"/>
        <v>58408.44</v>
      </c>
      <c r="Q162" s="86">
        <f t="shared" si="319"/>
        <v>64812.48000000001</v>
      </c>
      <c r="R162" s="86">
        <f t="shared" si="319"/>
        <v>61110.548571428568</v>
      </c>
      <c r="S162" s="86">
        <f t="shared" si="319"/>
        <v>51421.601851851847</v>
      </c>
      <c r="T162" s="86">
        <f t="shared" si="319"/>
        <v>35960.11900452488</v>
      </c>
      <c r="U162" s="86">
        <f t="shared" si="319"/>
        <v>32787.829411764702</v>
      </c>
      <c r="V162" s="86">
        <f t="shared" si="319"/>
        <v>42269.526176690175</v>
      </c>
      <c r="W162" s="86">
        <f t="shared" si="319"/>
        <v>47625.456678698567</v>
      </c>
      <c r="X162" s="86">
        <f t="shared" si="319"/>
        <v>40438.896815883782</v>
      </c>
      <c r="Y162" s="86">
        <f t="shared" si="319"/>
        <v>28561.264967963682</v>
      </c>
      <c r="Z162" s="86">
        <f t="shared" si="319"/>
        <v>33520.330295933367</v>
      </c>
      <c r="AA162" s="86">
        <f t="shared" si="319"/>
        <v>50089.649639400792</v>
      </c>
      <c r="AB162" s="86">
        <f t="shared" si="319"/>
        <v>48524.560773329205</v>
      </c>
      <c r="AC162" s="86">
        <f t="shared" si="319"/>
        <v>45906.988620913697</v>
      </c>
      <c r="AD162" s="86">
        <f t="shared" si="319"/>
        <v>40000.2267792434</v>
      </c>
      <c r="AE162" s="86">
        <f t="shared" si="319"/>
        <v>39748.416718053697</v>
      </c>
      <c r="AF162" s="86">
        <f t="shared" si="319"/>
        <v>40083.763571209303</v>
      </c>
      <c r="AG162" s="86">
        <f t="shared" si="319"/>
        <v>40185.398604176196</v>
      </c>
      <c r="AH162" s="86">
        <f t="shared" ref="AH162:BC162" si="320">AH123-AH155</f>
        <v>39827.777266037003</v>
      </c>
      <c r="AI162" s="86">
        <f t="shared" si="320"/>
        <v>38247.754743086502</v>
      </c>
      <c r="AJ162" s="86">
        <f t="shared" si="320"/>
        <v>36013.567790430498</v>
      </c>
      <c r="AK162" s="86">
        <f t="shared" si="320"/>
        <v>35085.924126697697</v>
      </c>
      <c r="AL162" s="86">
        <f t="shared" si="320"/>
        <v>32544.552850571603</v>
      </c>
      <c r="AM162" s="86">
        <f t="shared" si="320"/>
        <v>30387.614435446099</v>
      </c>
      <c r="AN162" s="86">
        <f t="shared" si="320"/>
        <v>28101.384572021499</v>
      </c>
      <c r="AO162" s="86">
        <f t="shared" si="320"/>
        <v>26224.587376376199</v>
      </c>
      <c r="AP162" s="86">
        <f t="shared" si="320"/>
        <v>23196.082085607199</v>
      </c>
      <c r="AQ162" s="86">
        <f t="shared" si="320"/>
        <v>20173.875250811299</v>
      </c>
      <c r="AR162" s="86">
        <f t="shared" si="320"/>
        <v>18301.638477121502</v>
      </c>
      <c r="AS162" s="86">
        <f t="shared" si="320"/>
        <v>16913.8133251892</v>
      </c>
      <c r="AT162" s="86">
        <f t="shared" si="320"/>
        <v>15045.762580700301</v>
      </c>
      <c r="AU162" s="86">
        <f t="shared" si="320"/>
        <v>13898.6281530164</v>
      </c>
      <c r="AV162" s="86">
        <f t="shared" si="320"/>
        <v>12901.250648536001</v>
      </c>
      <c r="AW162" s="86">
        <f t="shared" si="320"/>
        <v>11643.0075663225</v>
      </c>
      <c r="AX162" s="86">
        <f t="shared" si="320"/>
        <v>10788.075374693401</v>
      </c>
      <c r="AY162" s="86">
        <f t="shared" si="320"/>
        <v>9314.1983479089704</v>
      </c>
      <c r="AZ162" s="86">
        <f t="shared" si="320"/>
        <v>9007.0671299832393</v>
      </c>
      <c r="BA162" s="86">
        <f t="shared" si="320"/>
        <v>7284.6802465119308</v>
      </c>
      <c r="BB162" s="86">
        <f t="shared" si="320"/>
        <v>5894.56915577773</v>
      </c>
      <c r="BC162" s="86">
        <f t="shared" si="320"/>
        <v>4936.5220261379</v>
      </c>
      <c r="BD162" s="86">
        <f t="shared" ref="BD162:BM162" si="321">BD123-BD155</f>
        <v>4068.9352038332099</v>
      </c>
      <c r="BE162" s="86">
        <f t="shared" si="321"/>
        <v>2866.17143066273</v>
      </c>
      <c r="BF162" s="86">
        <f t="shared" si="321"/>
        <v>2298.6478798009698</v>
      </c>
      <c r="BG162" s="86">
        <f t="shared" si="321"/>
        <v>1654.7301772676099</v>
      </c>
      <c r="BH162" s="86">
        <f t="shared" si="321"/>
        <v>1127.35993946084</v>
      </c>
      <c r="BI162" s="86">
        <f t="shared" si="321"/>
        <v>766.13320039530402</v>
      </c>
      <c r="BJ162" s="86">
        <f t="shared" si="321"/>
        <v>370.63270531389799</v>
      </c>
      <c r="BK162" s="86">
        <f t="shared" si="321"/>
        <v>356.30239790945802</v>
      </c>
      <c r="BL162" s="86">
        <f t="shared" si="321"/>
        <v>338.613549067951</v>
      </c>
      <c r="BM162" s="86">
        <f t="shared" si="321"/>
        <v>240.14449656531301</v>
      </c>
    </row>
    <row r="163" spans="1:95">
      <c r="A163" s="79" t="s">
        <v>15</v>
      </c>
      <c r="B163" s="86">
        <f t="shared" ref="B163:AG163" si="322">B124-B153-B155</f>
        <v>141896.29798479425</v>
      </c>
      <c r="C163" s="86">
        <f t="shared" si="322"/>
        <v>89279.806021428172</v>
      </c>
      <c r="D163" s="86">
        <f t="shared" si="322"/>
        <v>132359.9167206265</v>
      </c>
      <c r="E163" s="86">
        <f t="shared" si="322"/>
        <v>284297.17871091509</v>
      </c>
      <c r="F163" s="86">
        <f t="shared" si="322"/>
        <v>257031.91494006047</v>
      </c>
      <c r="G163" s="86">
        <f t="shared" si="322"/>
        <v>218999.75874512372</v>
      </c>
      <c r="H163" s="86">
        <f t="shared" si="322"/>
        <v>209138.93659064313</v>
      </c>
      <c r="I163" s="86">
        <f t="shared" si="322"/>
        <v>261191.08954417461</v>
      </c>
      <c r="J163" s="86">
        <f t="shared" si="322"/>
        <v>346065.09489075735</v>
      </c>
      <c r="K163" s="86">
        <f t="shared" si="322"/>
        <v>380381.20687694679</v>
      </c>
      <c r="L163" s="86">
        <f t="shared" si="322"/>
        <v>336760.96183303825</v>
      </c>
      <c r="M163" s="86">
        <f t="shared" si="322"/>
        <v>448579.6275914631</v>
      </c>
      <c r="N163" s="86">
        <f t="shared" si="322"/>
        <v>278810.60467314819</v>
      </c>
      <c r="O163" s="86">
        <f t="shared" si="322"/>
        <v>318070.6323099747</v>
      </c>
      <c r="P163" s="86">
        <f t="shared" si="322"/>
        <v>391528.29826319905</v>
      </c>
      <c r="Q163" s="86">
        <f t="shared" si="322"/>
        <v>376548.52710116201</v>
      </c>
      <c r="R163" s="86">
        <f t="shared" si="322"/>
        <v>342831.80492746318</v>
      </c>
      <c r="S163" s="86">
        <f t="shared" si="322"/>
        <v>395712.04515085183</v>
      </c>
      <c r="T163" s="86">
        <f t="shared" si="322"/>
        <v>280356.12079802487</v>
      </c>
      <c r="U163" s="86">
        <f t="shared" si="322"/>
        <v>254686.21667276474</v>
      </c>
      <c r="V163" s="86">
        <f t="shared" si="322"/>
        <v>302419.55839342892</v>
      </c>
      <c r="W163" s="86">
        <f t="shared" si="322"/>
        <v>361642.47684452822</v>
      </c>
      <c r="X163" s="86">
        <f t="shared" si="322"/>
        <v>333538.49050844548</v>
      </c>
      <c r="Y163" s="86">
        <f t="shared" si="322"/>
        <v>278357.71302568208</v>
      </c>
      <c r="Z163" s="86">
        <f t="shared" si="322"/>
        <v>423182.57513916632</v>
      </c>
      <c r="AA163" s="86">
        <f t="shared" si="322"/>
        <v>632217.16922077746</v>
      </c>
      <c r="AB163" s="86">
        <f t="shared" si="322"/>
        <v>612623.67885951593</v>
      </c>
      <c r="AC163" s="86">
        <f t="shared" si="322"/>
        <v>595919.80372485809</v>
      </c>
      <c r="AD163" s="86">
        <f t="shared" si="322"/>
        <v>514954.9291896823</v>
      </c>
      <c r="AE163" s="86">
        <f t="shared" si="322"/>
        <v>464386.84479808557</v>
      </c>
      <c r="AF163" s="86">
        <f t="shared" si="322"/>
        <v>445534.55141443695</v>
      </c>
      <c r="AG163" s="86">
        <f t="shared" si="322"/>
        <v>407511.25721196289</v>
      </c>
      <c r="AH163" s="86">
        <f t="shared" ref="AH163:BC163" si="323">AH124-AH153-AH155</f>
        <v>374309.09665086295</v>
      </c>
      <c r="AI163" s="86">
        <f t="shared" si="323"/>
        <v>351394.75018374936</v>
      </c>
      <c r="AJ163" s="86">
        <f t="shared" si="323"/>
        <v>354553.44243776146</v>
      </c>
      <c r="AK163" s="86">
        <f t="shared" si="323"/>
        <v>363711.3651629503</v>
      </c>
      <c r="AL163" s="86">
        <f t="shared" si="323"/>
        <v>370611.67725361744</v>
      </c>
      <c r="AM163" s="86">
        <f t="shared" si="323"/>
        <v>384645.89955107105</v>
      </c>
      <c r="AN163" s="86">
        <f t="shared" si="323"/>
        <v>396083.24541844771</v>
      </c>
      <c r="AO163" s="86">
        <f t="shared" si="323"/>
        <v>395426.06432302139</v>
      </c>
      <c r="AP163" s="86">
        <f t="shared" si="323"/>
        <v>391535.47527663026</v>
      </c>
      <c r="AQ163" s="86">
        <f t="shared" si="323"/>
        <v>381804.04201838194</v>
      </c>
      <c r="AR163" s="86">
        <f t="shared" si="323"/>
        <v>374571.09758811496</v>
      </c>
      <c r="AS163" s="86">
        <f t="shared" si="323"/>
        <v>368557.9661093438</v>
      </c>
      <c r="AT163" s="86">
        <f t="shared" si="323"/>
        <v>364056.08210348489</v>
      </c>
      <c r="AU163" s="86">
        <f t="shared" si="323"/>
        <v>358221.10886387801</v>
      </c>
      <c r="AV163" s="86">
        <f t="shared" si="323"/>
        <v>353181.20199618506</v>
      </c>
      <c r="AW163" s="86">
        <f t="shared" si="323"/>
        <v>350043.19721027801</v>
      </c>
      <c r="AX163" s="86">
        <f t="shared" si="323"/>
        <v>344053.53365894652</v>
      </c>
      <c r="AY163" s="86">
        <f t="shared" si="323"/>
        <v>338799.50268656685</v>
      </c>
      <c r="AZ163" s="86">
        <f t="shared" si="323"/>
        <v>333076.63523897005</v>
      </c>
      <c r="BA163" s="86">
        <f t="shared" si="323"/>
        <v>329061.7936460686</v>
      </c>
      <c r="BB163" s="86">
        <f t="shared" si="323"/>
        <v>322698.16513276205</v>
      </c>
      <c r="BC163" s="86">
        <f t="shared" si="323"/>
        <v>316140.70918360126</v>
      </c>
      <c r="BD163" s="86">
        <f t="shared" ref="BD163:BM163" si="324">BD124-BD153-BD155</f>
        <v>311830.79305740021</v>
      </c>
      <c r="BE163" s="86">
        <f t="shared" si="324"/>
        <v>305461.17196962971</v>
      </c>
      <c r="BF163" s="86">
        <f t="shared" si="324"/>
        <v>300474.90417869342</v>
      </c>
      <c r="BG163" s="86">
        <f t="shared" si="324"/>
        <v>294155.84140685631</v>
      </c>
      <c r="BH163" s="86">
        <f t="shared" si="324"/>
        <v>286921.9556344439</v>
      </c>
      <c r="BI163" s="86">
        <f t="shared" si="324"/>
        <v>280584.89236605488</v>
      </c>
      <c r="BJ163" s="86">
        <f t="shared" si="324"/>
        <v>273602.98145239934</v>
      </c>
      <c r="BK163" s="86">
        <f t="shared" si="324"/>
        <v>264050.16769200418</v>
      </c>
      <c r="BL163" s="86">
        <f t="shared" si="324"/>
        <v>255290.78549883078</v>
      </c>
      <c r="BM163" s="86">
        <f t="shared" si="324"/>
        <v>245752.37104202458</v>
      </c>
    </row>
    <row r="164" spans="1:95">
      <c r="A164" s="79" t="s">
        <v>11</v>
      </c>
      <c r="B164" s="86">
        <f>SUM(B160:B162)</f>
        <v>168075.29798479425</v>
      </c>
      <c r="C164" s="86">
        <f t="shared" ref="C164:AI164" si="325">SUM(C160:C162)</f>
        <v>114607.20602142818</v>
      </c>
      <c r="D164" s="86">
        <f t="shared" si="325"/>
        <v>152918.9167206265</v>
      </c>
      <c r="E164" s="86">
        <f t="shared" si="325"/>
        <v>325838.8787109151</v>
      </c>
      <c r="F164" s="86">
        <f t="shared" si="325"/>
        <v>316433.41494006052</v>
      </c>
      <c r="G164" s="86">
        <f t="shared" si="325"/>
        <v>272175.35874512373</v>
      </c>
      <c r="H164" s="86">
        <f t="shared" si="325"/>
        <v>266984.33659064316</v>
      </c>
      <c r="I164" s="86">
        <f t="shared" si="325"/>
        <v>331471.08954417461</v>
      </c>
      <c r="J164" s="86">
        <f t="shared" si="325"/>
        <v>445951.59489075735</v>
      </c>
      <c r="K164" s="86">
        <f t="shared" si="325"/>
        <v>526054.4068769468</v>
      </c>
      <c r="L164" s="86">
        <f>SUM(L160:L162)</f>
        <v>469247.66183303832</v>
      </c>
      <c r="M164" s="86">
        <f t="shared" si="325"/>
        <v>660062.82759146311</v>
      </c>
      <c r="N164" s="86">
        <f t="shared" si="325"/>
        <v>442026.20467314823</v>
      </c>
      <c r="O164" s="86">
        <f t="shared" si="325"/>
        <v>474050.33230997471</v>
      </c>
      <c r="P164" s="86">
        <f t="shared" si="325"/>
        <v>577916.29826319905</v>
      </c>
      <c r="Q164" s="86">
        <f t="shared" si="325"/>
        <v>617468.12710116187</v>
      </c>
      <c r="R164" s="86">
        <f t="shared" si="325"/>
        <v>580898.30492746318</v>
      </c>
      <c r="S164" s="86">
        <f t="shared" si="325"/>
        <v>606996.04515085171</v>
      </c>
      <c r="T164" s="86">
        <f t="shared" si="325"/>
        <v>492909.52079802484</v>
      </c>
      <c r="U164" s="86">
        <f t="shared" si="325"/>
        <v>406295.21667276468</v>
      </c>
      <c r="V164" s="86">
        <f t="shared" si="325"/>
        <v>495321.9096883146</v>
      </c>
      <c r="W164" s="86">
        <f t="shared" si="325"/>
        <v>613501.31025591074</v>
      </c>
      <c r="X164" s="86">
        <f t="shared" si="325"/>
        <v>497200.90778350586</v>
      </c>
      <c r="Y164" s="86">
        <f t="shared" si="325"/>
        <v>390504.29637909628</v>
      </c>
      <c r="Z164" s="86">
        <f t="shared" si="325"/>
        <v>934915.17557597742</v>
      </c>
      <c r="AA164" s="86">
        <f t="shared" si="325"/>
        <v>2101992.0377736418</v>
      </c>
      <c r="AB164" s="86">
        <f t="shared" si="325"/>
        <v>1233622.4283145876</v>
      </c>
      <c r="AC164" s="86">
        <f t="shared" si="325"/>
        <v>1134363.2609302043</v>
      </c>
      <c r="AD164" s="86">
        <f t="shared" si="325"/>
        <v>1114326.685253755</v>
      </c>
      <c r="AE164" s="86">
        <f t="shared" si="325"/>
        <v>931104.7188857022</v>
      </c>
      <c r="AF164" s="86">
        <f t="shared" si="325"/>
        <v>823586.80583840073</v>
      </c>
      <c r="AG164" s="86">
        <f t="shared" si="325"/>
        <v>780516.78119285475</v>
      </c>
      <c r="AH164" s="86">
        <f t="shared" si="325"/>
        <v>740183.16097448696</v>
      </c>
      <c r="AI164" s="86">
        <f t="shared" si="325"/>
        <v>631917.67944288382</v>
      </c>
      <c r="AJ164" s="86">
        <f t="shared" ref="AJ164:BC164" si="326">SUM(AJ160:AJ162)</f>
        <v>623948.24507202744</v>
      </c>
      <c r="AK164" s="86">
        <f t="shared" si="326"/>
        <v>615862.28342377732</v>
      </c>
      <c r="AL164" s="86">
        <f t="shared" si="326"/>
        <v>613740.60871742212</v>
      </c>
      <c r="AM164" s="86">
        <f t="shared" si="326"/>
        <v>622323.09775199904</v>
      </c>
      <c r="AN164" s="86">
        <f t="shared" si="326"/>
        <v>628077.27600106446</v>
      </c>
      <c r="AO164" s="86">
        <f t="shared" si="326"/>
        <v>622308.09378827782</v>
      </c>
      <c r="AP164" s="86">
        <f t="shared" si="326"/>
        <v>609194.78480284102</v>
      </c>
      <c r="AQ164" s="86">
        <f t="shared" si="326"/>
        <v>586447.57221557398</v>
      </c>
      <c r="AR164" s="86">
        <f t="shared" si="326"/>
        <v>564952.96403584036</v>
      </c>
      <c r="AS164" s="86">
        <f t="shared" si="326"/>
        <v>548206.77992424439</v>
      </c>
      <c r="AT164" s="86">
        <f t="shared" si="326"/>
        <v>537593.51400858047</v>
      </c>
      <c r="AU164" s="86">
        <f t="shared" si="326"/>
        <v>525089.38386351068</v>
      </c>
      <c r="AV164" s="86">
        <f t="shared" si="326"/>
        <v>515065.28847998613</v>
      </c>
      <c r="AW164" s="86">
        <f t="shared" si="326"/>
        <v>505804.52621491172</v>
      </c>
      <c r="AX164" s="86">
        <f t="shared" si="326"/>
        <v>495029.62533753307</v>
      </c>
      <c r="AY164" s="86">
        <f t="shared" si="326"/>
        <v>486649.77042283706</v>
      </c>
      <c r="AZ164" s="86">
        <f t="shared" si="326"/>
        <v>477894.08003975311</v>
      </c>
      <c r="BA164" s="86">
        <f t="shared" si="326"/>
        <v>471308.63236719545</v>
      </c>
      <c r="BB164" s="86">
        <f t="shared" si="326"/>
        <v>464522.60907539603</v>
      </c>
      <c r="BC164" s="86">
        <f t="shared" si="326"/>
        <v>456258.48205730633</v>
      </c>
      <c r="BD164" s="86">
        <f t="shared" ref="BD164:BM164" si="327">SUM(BD160:BD162)</f>
        <v>449666.72706678422</v>
      </c>
      <c r="BE164" s="86">
        <f t="shared" si="327"/>
        <v>440121.50264918432</v>
      </c>
      <c r="BF164" s="86">
        <f t="shared" si="327"/>
        <v>432647.12938204466</v>
      </c>
      <c r="BG164" s="86">
        <f t="shared" si="327"/>
        <v>425069.91512872075</v>
      </c>
      <c r="BH164" s="86">
        <f t="shared" si="327"/>
        <v>418399.19945750729</v>
      </c>
      <c r="BI164" s="86">
        <f t="shared" si="327"/>
        <v>411705.43937658187</v>
      </c>
      <c r="BJ164" s="86">
        <f t="shared" si="327"/>
        <v>405052.26417781605</v>
      </c>
      <c r="BK164" s="86">
        <f t="shared" si="327"/>
        <v>396311.92490499245</v>
      </c>
      <c r="BL164" s="86">
        <f t="shared" si="327"/>
        <v>388256.76374096918</v>
      </c>
      <c r="BM164" s="86">
        <f t="shared" si="327"/>
        <v>379713.40205438907</v>
      </c>
    </row>
    <row r="165" spans="1:95"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/>
      <c r="BK165" s="86"/>
      <c r="BL165" s="86"/>
      <c r="BM165" s="86"/>
    </row>
    <row r="166" spans="1:95">
      <c r="B166" s="100"/>
      <c r="C166" s="100"/>
      <c r="D166" s="100"/>
      <c r="F166" s="96"/>
      <c r="G166" s="96"/>
      <c r="H166" s="96"/>
      <c r="I166" s="96"/>
      <c r="J166" s="96"/>
      <c r="K166" s="80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</row>
    <row r="167" spans="1:95">
      <c r="A167" s="78" t="s">
        <v>16</v>
      </c>
      <c r="B167" s="78"/>
      <c r="C167" s="78"/>
      <c r="D167" s="78"/>
      <c r="G167" s="88"/>
      <c r="H167" s="88"/>
      <c r="I167" s="88"/>
      <c r="J167" s="88"/>
    </row>
    <row r="168" spans="1:95">
      <c r="A168" s="79" t="s">
        <v>8</v>
      </c>
      <c r="B168" s="92">
        <f t="shared" ref="B168:F170" si="328">B62-B147</f>
        <v>175.91</v>
      </c>
      <c r="C168" s="92">
        <f t="shared" si="328"/>
        <v>168.74</v>
      </c>
      <c r="D168" s="92">
        <f t="shared" si="328"/>
        <v>168.69</v>
      </c>
      <c r="E168" s="92">
        <f t="shared" si="328"/>
        <v>181.18</v>
      </c>
      <c r="F168" s="92">
        <f t="shared" si="328"/>
        <v>172.94334362043705</v>
      </c>
      <c r="G168" s="92">
        <f t="shared" ref="G168:P168" si="329">G62-G147</f>
        <v>165.71334362043706</v>
      </c>
      <c r="H168" s="92">
        <f t="shared" si="329"/>
        <v>157.54334362043704</v>
      </c>
      <c r="I168" s="92">
        <f t="shared" si="329"/>
        <v>154.84334362043705</v>
      </c>
      <c r="J168" s="92">
        <f t="shared" si="329"/>
        <v>140.20334362043704</v>
      </c>
      <c r="K168" s="92">
        <f t="shared" si="329"/>
        <v>121.83889211010319</v>
      </c>
      <c r="L168" s="92">
        <f t="shared" si="329"/>
        <v>113.69725116119579</v>
      </c>
      <c r="M168" s="92">
        <f t="shared" si="329"/>
        <v>109.80878804089843</v>
      </c>
      <c r="N168" s="92">
        <f t="shared" si="329"/>
        <v>97.887807020848555</v>
      </c>
      <c r="O168" s="92">
        <f t="shared" si="329"/>
        <v>83.875604924690521</v>
      </c>
      <c r="P168" s="92">
        <f t="shared" si="329"/>
        <v>72.867063042970486</v>
      </c>
      <c r="Q168" s="92">
        <f>Q62-Q147</f>
        <v>72.311843829690289</v>
      </c>
      <c r="R168" s="92">
        <f t="shared" ref="R168:BC168" si="330">R62-R147</f>
        <v>68.039999999999992</v>
      </c>
      <c r="S168" s="92">
        <f>S62-S147</f>
        <v>71.5</v>
      </c>
      <c r="T168" s="92">
        <f t="shared" si="330"/>
        <v>74.649999999999991</v>
      </c>
      <c r="U168" s="92">
        <f t="shared" si="330"/>
        <v>77.7</v>
      </c>
      <c r="V168" s="92">
        <f t="shared" si="330"/>
        <v>76.08</v>
      </c>
      <c r="W168" s="92">
        <f t="shared" si="330"/>
        <v>70.096209999999999</v>
      </c>
      <c r="X168" s="92">
        <f t="shared" si="330"/>
        <v>67.036209999999997</v>
      </c>
      <c r="Y168" s="92">
        <f t="shared" si="330"/>
        <v>82.316209999999998</v>
      </c>
      <c r="Z168" s="92">
        <f t="shared" si="330"/>
        <v>86.186210000000003</v>
      </c>
      <c r="AA168" s="92">
        <f t="shared" si="330"/>
        <v>81.636210000000005</v>
      </c>
      <c r="AB168" s="92">
        <f t="shared" si="330"/>
        <v>87.966210000000004</v>
      </c>
      <c r="AC168" s="92">
        <f t="shared" si="330"/>
        <v>86.712592812590003</v>
      </c>
      <c r="AD168" s="92">
        <f t="shared" si="330"/>
        <v>89.016018984577997</v>
      </c>
      <c r="AE168" s="92">
        <f t="shared" si="330"/>
        <v>84.871971449213007</v>
      </c>
      <c r="AF168" s="92">
        <f t="shared" si="330"/>
        <v>80.401276729448696</v>
      </c>
      <c r="AG168" s="92">
        <f t="shared" si="330"/>
        <v>70.874102082627999</v>
      </c>
      <c r="AH168" s="92">
        <f t="shared" si="330"/>
        <v>62.67205754370481</v>
      </c>
      <c r="AI168" s="92">
        <f t="shared" si="330"/>
        <v>57.620118506930098</v>
      </c>
      <c r="AJ168" s="92">
        <f t="shared" si="330"/>
        <v>55.4760565384356</v>
      </c>
      <c r="AK168" s="92">
        <f t="shared" si="330"/>
        <v>54.542196239141802</v>
      </c>
      <c r="AL168" s="92">
        <f t="shared" si="330"/>
        <v>53.212657109542207</v>
      </c>
      <c r="AM168" s="92">
        <f t="shared" si="330"/>
        <v>53.301111314808409</v>
      </c>
      <c r="AN168" s="92">
        <f t="shared" si="330"/>
        <v>52.862047323349501</v>
      </c>
      <c r="AO168" s="92">
        <f t="shared" si="330"/>
        <v>51.708944389063305</v>
      </c>
      <c r="AP168" s="92">
        <f t="shared" si="330"/>
        <v>50.248427238456202</v>
      </c>
      <c r="AQ168" s="92">
        <f t="shared" si="330"/>
        <v>47.746860066007599</v>
      </c>
      <c r="AR168" s="92">
        <f t="shared" si="330"/>
        <v>45.571204652282901</v>
      </c>
      <c r="AS168" s="92">
        <f t="shared" si="330"/>
        <v>43.591971492930398</v>
      </c>
      <c r="AT168" s="92">
        <f t="shared" si="330"/>
        <v>41.987158087532194</v>
      </c>
      <c r="AU168" s="92">
        <f t="shared" si="330"/>
        <v>40.130774567922998</v>
      </c>
      <c r="AV168" s="92">
        <f t="shared" si="330"/>
        <v>38.406929920530104</v>
      </c>
      <c r="AW168" s="92">
        <f t="shared" si="330"/>
        <v>37.060071304295704</v>
      </c>
      <c r="AX168" s="92">
        <f t="shared" si="330"/>
        <v>35.244672866102306</v>
      </c>
      <c r="AY168" s="92">
        <f t="shared" si="330"/>
        <v>33.678143117199298</v>
      </c>
      <c r="AZ168" s="92">
        <f t="shared" si="330"/>
        <v>31.900806180958899</v>
      </c>
      <c r="BA168" s="92">
        <f t="shared" si="330"/>
        <v>30.6179668132398</v>
      </c>
      <c r="BB168" s="92">
        <f t="shared" si="330"/>
        <v>28.852768890705999</v>
      </c>
      <c r="BC168" s="92">
        <f t="shared" si="330"/>
        <v>27.193979223710603</v>
      </c>
      <c r="BD168" s="92">
        <f t="shared" ref="BD168:BM168" si="331">BD62-BD147</f>
        <v>42.037652389517497</v>
      </c>
      <c r="BE168" s="92">
        <f t="shared" si="331"/>
        <v>40.516113098128699</v>
      </c>
      <c r="BF168" s="92">
        <f t="shared" si="331"/>
        <v>39.141344857402203</v>
      </c>
      <c r="BG168" s="92">
        <f t="shared" si="331"/>
        <v>37.644952559843603</v>
      </c>
      <c r="BH168" s="92">
        <f t="shared" si="331"/>
        <v>36.054581090807901</v>
      </c>
      <c r="BI168" s="92">
        <f t="shared" si="331"/>
        <v>34.609852540656</v>
      </c>
      <c r="BJ168" s="92">
        <f t="shared" si="331"/>
        <v>33.132615728303797</v>
      </c>
      <c r="BK168" s="92">
        <f t="shared" si="331"/>
        <v>31.356614947318999</v>
      </c>
      <c r="BL168" s="92">
        <f t="shared" si="331"/>
        <v>29.729547090828401</v>
      </c>
      <c r="BM168" s="92">
        <f t="shared" si="331"/>
        <v>28.071746988221999</v>
      </c>
    </row>
    <row r="169" spans="1:95">
      <c r="A169" s="79" t="s">
        <v>9</v>
      </c>
      <c r="B169" s="92">
        <f t="shared" si="328"/>
        <v>44.36</v>
      </c>
      <c r="C169" s="92">
        <f t="shared" si="328"/>
        <v>47.06</v>
      </c>
      <c r="D169" s="92">
        <f t="shared" si="328"/>
        <v>48.7</v>
      </c>
      <c r="E169" s="92">
        <f t="shared" si="328"/>
        <v>47.43</v>
      </c>
      <c r="F169" s="92">
        <f t="shared" si="328"/>
        <v>54.15</v>
      </c>
      <c r="G169" s="92">
        <f t="shared" ref="G169:Q169" si="332">G63-G148</f>
        <v>65.53</v>
      </c>
      <c r="H169" s="96">
        <f t="shared" si="332"/>
        <v>72.930000000000007</v>
      </c>
      <c r="I169" s="92">
        <f t="shared" si="332"/>
        <v>79.099999999999994</v>
      </c>
      <c r="J169" s="92">
        <f t="shared" si="332"/>
        <v>85.67</v>
      </c>
      <c r="K169" s="92">
        <f t="shared" si="332"/>
        <v>88.23</v>
      </c>
      <c r="L169" s="92">
        <f t="shared" si="332"/>
        <v>88.51</v>
      </c>
      <c r="M169" s="92">
        <f t="shared" si="332"/>
        <v>98.46</v>
      </c>
      <c r="N169" s="92">
        <f t="shared" si="332"/>
        <v>102.68</v>
      </c>
      <c r="O169" s="92">
        <f t="shared" si="332"/>
        <v>103.33</v>
      </c>
      <c r="P169" s="92">
        <f t="shared" si="332"/>
        <v>97.1</v>
      </c>
      <c r="Q169" s="92">
        <f t="shared" si="332"/>
        <v>111.76</v>
      </c>
      <c r="R169" s="92">
        <f t="shared" ref="R169:BC169" si="333">R63-R148</f>
        <v>105.75</v>
      </c>
      <c r="S169" s="92">
        <f>S63-S148</f>
        <v>105.2</v>
      </c>
      <c r="T169" s="92">
        <f>T63-T148</f>
        <v>113.32000000000001</v>
      </c>
      <c r="U169" s="92">
        <f>U63-U148</f>
        <v>113.05000000000001</v>
      </c>
      <c r="V169" s="92">
        <f>V63-V148</f>
        <v>120.77000000000001</v>
      </c>
      <c r="W169" s="92">
        <f t="shared" si="333"/>
        <v>118.29</v>
      </c>
      <c r="X169" s="92">
        <f t="shared" si="333"/>
        <v>111.52000000000001</v>
      </c>
      <c r="Y169" s="92">
        <f t="shared" si="333"/>
        <v>108.51</v>
      </c>
      <c r="Z169" s="92">
        <f t="shared" si="333"/>
        <v>111.48</v>
      </c>
      <c r="AA169" s="92">
        <f t="shared" si="333"/>
        <v>121.25</v>
      </c>
      <c r="AB169" s="92">
        <f t="shared" si="333"/>
        <v>114.42</v>
      </c>
      <c r="AC169" s="92">
        <f t="shared" si="333"/>
        <v>122.63875195112</v>
      </c>
      <c r="AD169" s="92">
        <f t="shared" si="333"/>
        <v>116.852074931315</v>
      </c>
      <c r="AE169" s="92">
        <f t="shared" si="333"/>
        <v>118.48612141819601</v>
      </c>
      <c r="AF169" s="92">
        <f t="shared" si="333"/>
        <v>118.49464253073801</v>
      </c>
      <c r="AG169" s="92">
        <f t="shared" si="333"/>
        <v>114.566092510014</v>
      </c>
      <c r="AH169" s="92">
        <f t="shared" si="333"/>
        <v>109.03627097198201</v>
      </c>
      <c r="AI169" s="92">
        <f t="shared" si="333"/>
        <v>103.34157637056501</v>
      </c>
      <c r="AJ169" s="92">
        <f t="shared" si="333"/>
        <v>98.530445581107003</v>
      </c>
      <c r="AK169" s="92">
        <f t="shared" si="333"/>
        <v>91.891734289047804</v>
      </c>
      <c r="AL169" s="92">
        <f t="shared" si="333"/>
        <v>87.735084783925799</v>
      </c>
      <c r="AM169" s="92">
        <f t="shared" si="333"/>
        <v>85.135572945646103</v>
      </c>
      <c r="AN169" s="92">
        <f t="shared" si="333"/>
        <v>82.733941951932408</v>
      </c>
      <c r="AO169" s="92">
        <f t="shared" si="333"/>
        <v>80.553770465193011</v>
      </c>
      <c r="AP169" s="92">
        <f t="shared" si="333"/>
        <v>77.240469550338702</v>
      </c>
      <c r="AQ169" s="92">
        <f t="shared" si="333"/>
        <v>72.2831162415591</v>
      </c>
      <c r="AR169" s="92">
        <f t="shared" si="333"/>
        <v>66.939686645509511</v>
      </c>
      <c r="AS169" s="92">
        <f t="shared" si="333"/>
        <v>63.092185788338305</v>
      </c>
      <c r="AT169" s="92">
        <f t="shared" si="333"/>
        <v>59.629097770099499</v>
      </c>
      <c r="AU169" s="92">
        <f t="shared" si="333"/>
        <v>57.007326135775997</v>
      </c>
      <c r="AV169" s="92">
        <f t="shared" si="333"/>
        <v>54.262340380600499</v>
      </c>
      <c r="AW169" s="92">
        <f t="shared" si="333"/>
        <v>51.187278274028799</v>
      </c>
      <c r="AX169" s="92">
        <f t="shared" si="333"/>
        <v>48.682890109274297</v>
      </c>
      <c r="AY169" s="92">
        <f t="shared" si="333"/>
        <v>46.739968322707895</v>
      </c>
      <c r="AZ169" s="92">
        <f t="shared" si="333"/>
        <v>44.846472786406295</v>
      </c>
      <c r="BA169" s="92">
        <f t="shared" si="333"/>
        <v>43.099381400699798</v>
      </c>
      <c r="BB169" s="92">
        <f t="shared" si="333"/>
        <v>41.6935085376806</v>
      </c>
      <c r="BC169" s="92">
        <f t="shared" si="333"/>
        <v>40.0487857808534</v>
      </c>
      <c r="BD169" s="92">
        <f t="shared" ref="BD169:BM169" si="334">BD63-BD148</f>
        <v>40.118689809552301</v>
      </c>
      <c r="BE169" s="92">
        <f t="shared" si="334"/>
        <v>38.369959232385099</v>
      </c>
      <c r="BF169" s="92">
        <f t="shared" si="334"/>
        <v>36.9035212621121</v>
      </c>
      <c r="BG169" s="92">
        <f t="shared" si="334"/>
        <v>35.812746227007899</v>
      </c>
      <c r="BH169" s="92">
        <f t="shared" si="334"/>
        <v>35.2091385576473</v>
      </c>
      <c r="BI169" s="92">
        <f t="shared" si="334"/>
        <v>34.416161845962002</v>
      </c>
      <c r="BJ169" s="92">
        <f t="shared" si="334"/>
        <v>33.891618791822097</v>
      </c>
      <c r="BK169" s="92">
        <f t="shared" si="334"/>
        <v>33.466268432734097</v>
      </c>
      <c r="BL169" s="92">
        <f t="shared" si="334"/>
        <v>32.995546425285298</v>
      </c>
      <c r="BM169" s="92">
        <f t="shared" si="334"/>
        <v>32.602377394214301</v>
      </c>
      <c r="BN169" s="137">
        <f>Formue!BK31-BN148</f>
        <v>32.602377394214301</v>
      </c>
      <c r="BO169" s="137">
        <f>Formue!BL31-BO148</f>
        <v>32.602377394214301</v>
      </c>
      <c r="BP169" s="137">
        <f>Formue!BM31-BP148</f>
        <v>32.602377394214301</v>
      </c>
      <c r="BQ169" s="137">
        <f>Formue!BN31-BQ148</f>
        <v>32.602377394214301</v>
      </c>
      <c r="BR169" s="137">
        <f>Formue!BO31-BR148</f>
        <v>32.602377394214301</v>
      </c>
      <c r="BS169" s="137">
        <f>Formue!BP31-BS148</f>
        <v>32.602377394214301</v>
      </c>
      <c r="BT169" s="137">
        <f>Formue!BQ31-BT148</f>
        <v>32.602377394214301</v>
      </c>
      <c r="BU169" s="137">
        <f>Formue!BR31-BU148</f>
        <v>32.602377394214301</v>
      </c>
      <c r="BV169" s="137">
        <f>Formue!BS31-BV148</f>
        <v>32.602377394214301</v>
      </c>
      <c r="BW169" s="137">
        <f>Formue!BT31-BW148</f>
        <v>32.602377394214301</v>
      </c>
      <c r="BX169" s="137">
        <f>Formue!BU31-BX148</f>
        <v>32.602377394214301</v>
      </c>
      <c r="BY169" s="137">
        <f>Formue!BV31-BY148</f>
        <v>32.602377394214301</v>
      </c>
      <c r="BZ169" s="137">
        <f>Formue!BW31-BZ148</f>
        <v>32.602377394214301</v>
      </c>
      <c r="CA169" s="137">
        <f>Formue!BX31-CA148</f>
        <v>32.602377394214301</v>
      </c>
      <c r="CB169" s="137">
        <f>Formue!BY31-CB148</f>
        <v>32.602377394214301</v>
      </c>
      <c r="CC169" s="137">
        <f>Formue!BZ31-CC148</f>
        <v>32.602377394214301</v>
      </c>
      <c r="CD169" s="137">
        <f>Formue!CA31-CD148</f>
        <v>32.602377394214301</v>
      </c>
      <c r="CE169" s="137">
        <f>Formue!CB31-CE148</f>
        <v>32.602377394214301</v>
      </c>
      <c r="CF169" s="137">
        <f>Formue!CC31-CF148</f>
        <v>32.602377394214301</v>
      </c>
      <c r="CG169" s="137">
        <f>Formue!CD31-CG148</f>
        <v>32.602377394214301</v>
      </c>
      <c r="CH169" s="137">
        <f>Formue!CE31-CH148</f>
        <v>32.602377394214301</v>
      </c>
      <c r="CI169" s="137">
        <f>Formue!CF31-CI148</f>
        <v>32.602377394214301</v>
      </c>
      <c r="CJ169" s="137">
        <f>Formue!CG31-CJ148</f>
        <v>32.602377394214301</v>
      </c>
      <c r="CK169" s="137">
        <f>Formue!CH31-CK148</f>
        <v>32.602377394214301</v>
      </c>
      <c r="CL169" s="137">
        <f>Formue!CI31-CL148</f>
        <v>32.602377394214301</v>
      </c>
      <c r="CM169" s="137">
        <f>Formue!CJ31-CM148</f>
        <v>32.602377394214301</v>
      </c>
      <c r="CN169" s="137">
        <f>Formue!CK31-CN148</f>
        <v>32.602377394214301</v>
      </c>
      <c r="CO169" s="137">
        <f>Formue!CL31-CO148</f>
        <v>32.602377394214301</v>
      </c>
      <c r="CP169" s="137">
        <f>Formue!CM31-CP148</f>
        <v>32.602377394214301</v>
      </c>
      <c r="CQ169" s="137">
        <f>Formue!CN31-CQ148</f>
        <v>32.602377394214301</v>
      </c>
    </row>
    <row r="170" spans="1:95">
      <c r="A170" s="79" t="s">
        <v>10</v>
      </c>
      <c r="B170" s="92">
        <f t="shared" si="328"/>
        <v>4</v>
      </c>
      <c r="C170" s="92">
        <f t="shared" si="328"/>
        <v>3.4499999999999993</v>
      </c>
      <c r="D170" s="92">
        <f t="shared" si="328"/>
        <v>3.3100000000000005</v>
      </c>
      <c r="E170" s="92">
        <f t="shared" si="328"/>
        <v>1.7000000000000011</v>
      </c>
      <c r="F170" s="92">
        <f t="shared" si="328"/>
        <v>2.6799999999999997</v>
      </c>
      <c r="G170" s="92">
        <f t="shared" ref="G170:Q170" si="335">G64-G149</f>
        <v>2.7200000000000024</v>
      </c>
      <c r="H170" s="92">
        <f t="shared" si="335"/>
        <v>3.3200000000000003</v>
      </c>
      <c r="I170" s="92">
        <f t="shared" si="335"/>
        <v>20.080000000000002</v>
      </c>
      <c r="J170" s="92">
        <f t="shared" si="335"/>
        <v>21.53</v>
      </c>
      <c r="K170" s="92">
        <f t="shared" si="335"/>
        <v>22.099999999999998</v>
      </c>
      <c r="L170" s="92">
        <f t="shared" si="335"/>
        <v>17.529999999999998</v>
      </c>
      <c r="M170" s="92">
        <f t="shared" si="335"/>
        <v>18.63</v>
      </c>
      <c r="N170" s="92">
        <f t="shared" si="335"/>
        <v>16.980000000000004</v>
      </c>
      <c r="O170" s="92">
        <f t="shared" si="335"/>
        <v>15.299999999999999</v>
      </c>
      <c r="P170" s="92">
        <f t="shared" si="335"/>
        <v>16.47</v>
      </c>
      <c r="Q170" s="92">
        <f t="shared" si="335"/>
        <v>17.96</v>
      </c>
      <c r="R170" s="92">
        <f t="shared" ref="R170:BC170" si="336">R64-R149</f>
        <v>17.29</v>
      </c>
      <c r="S170" s="92">
        <f t="shared" si="336"/>
        <v>17.45</v>
      </c>
      <c r="T170" s="92">
        <f t="shared" si="336"/>
        <v>17.66</v>
      </c>
      <c r="U170" s="92">
        <f t="shared" si="336"/>
        <v>17.7</v>
      </c>
      <c r="V170" s="92">
        <f t="shared" si="336"/>
        <v>17.690000000000001</v>
      </c>
      <c r="W170" s="92">
        <f t="shared" si="336"/>
        <v>16.757352600000001</v>
      </c>
      <c r="X170" s="92">
        <f t="shared" si="336"/>
        <v>14.667352600000001</v>
      </c>
      <c r="Y170" s="92">
        <f t="shared" si="336"/>
        <v>13.837352599999999</v>
      </c>
      <c r="Z170" s="92">
        <f t="shared" si="336"/>
        <v>10.897352599999998</v>
      </c>
      <c r="AA170" s="92">
        <f t="shared" si="336"/>
        <v>8.1173526000000003</v>
      </c>
      <c r="AB170" s="92">
        <f t="shared" si="336"/>
        <v>8.5773526000000011</v>
      </c>
      <c r="AC170" s="92">
        <f t="shared" si="336"/>
        <v>9.6781582688252001</v>
      </c>
      <c r="AD170" s="92">
        <f t="shared" si="336"/>
        <v>10.113769793374601</v>
      </c>
      <c r="AE170" s="92">
        <f t="shared" si="336"/>
        <v>10.869946964932499</v>
      </c>
      <c r="AF170" s="92">
        <f t="shared" si="336"/>
        <v>11.004287829053201</v>
      </c>
      <c r="AG170" s="92">
        <f t="shared" si="336"/>
        <v>10.9690687845602</v>
      </c>
      <c r="AH170" s="92">
        <f t="shared" si="336"/>
        <v>10.711179894627499</v>
      </c>
      <c r="AI170" s="92">
        <f t="shared" si="336"/>
        <v>10.0455201431873</v>
      </c>
      <c r="AJ170" s="92">
        <f t="shared" si="336"/>
        <v>8.5870094464003017</v>
      </c>
      <c r="AK170" s="92">
        <f t="shared" si="336"/>
        <v>7.6883955740265</v>
      </c>
      <c r="AL170" s="92">
        <f t="shared" si="336"/>
        <v>6.2910018009246</v>
      </c>
      <c r="AM170" s="92">
        <f t="shared" si="336"/>
        <v>5.1315597522411407</v>
      </c>
      <c r="AN170" s="92">
        <f t="shared" si="336"/>
        <v>3.9938371679676008</v>
      </c>
      <c r="AO170" s="92">
        <f t="shared" si="336"/>
        <v>3.2125776618180204</v>
      </c>
      <c r="AP170" s="92">
        <f t="shared" si="336"/>
        <v>2.1374702409275104</v>
      </c>
      <c r="AQ170" s="92">
        <f t="shared" si="336"/>
        <v>1.1095689666163597</v>
      </c>
      <c r="AR170" s="92">
        <f t="shared" si="336"/>
        <v>0.4727843326599297</v>
      </c>
      <c r="AS170" s="92">
        <f t="shared" si="336"/>
        <v>6.5692560990804338E-3</v>
      </c>
      <c r="AT170" s="92">
        <f t="shared" si="336"/>
        <v>-0.50203194135555984</v>
      </c>
      <c r="AU170" s="92">
        <f t="shared" si="336"/>
        <v>-0.89878184284490015</v>
      </c>
      <c r="AV170" s="92">
        <f t="shared" si="336"/>
        <v>-1.2534831201175498</v>
      </c>
      <c r="AW170" s="92">
        <f t="shared" si="336"/>
        <v>-1.6658626921791599</v>
      </c>
      <c r="AX170" s="92">
        <f t="shared" si="336"/>
        <v>-1.9389263189402501</v>
      </c>
      <c r="AY170" s="92">
        <f t="shared" si="336"/>
        <v>-2.3639029552254298</v>
      </c>
      <c r="AZ170" s="92">
        <f t="shared" si="336"/>
        <v>-2.4953039187478501</v>
      </c>
      <c r="BA170" s="92">
        <f t="shared" si="336"/>
        <v>-2.9353117977301801</v>
      </c>
      <c r="BB170" s="92">
        <f t="shared" si="336"/>
        <v>-3.2654170658619597</v>
      </c>
      <c r="BC170" s="92">
        <f t="shared" si="336"/>
        <v>-3.4573457580663982</v>
      </c>
      <c r="BD170" s="92">
        <f t="shared" ref="BD170:BM170" si="337">BD64-BD149</f>
        <v>0.78101941680904496</v>
      </c>
      <c r="BE170" s="92">
        <f t="shared" si="337"/>
        <v>0.53412031437233098</v>
      </c>
      <c r="BF170" s="92">
        <f t="shared" si="337"/>
        <v>0.42513031815542501</v>
      </c>
      <c r="BG170" s="92">
        <f t="shared" si="337"/>
        <v>0.30469153579019798</v>
      </c>
      <c r="BH170" s="92">
        <f t="shared" si="337"/>
        <v>0.20867618493161899</v>
      </c>
      <c r="BI170" s="92">
        <f t="shared" si="337"/>
        <v>0.13997563850716699</v>
      </c>
      <c r="BJ170" s="92">
        <f t="shared" si="337"/>
        <v>7.6948321395320804E-2</v>
      </c>
      <c r="BK170" s="92">
        <f t="shared" si="337"/>
        <v>7.25227032817196E-2</v>
      </c>
      <c r="BL170" s="92">
        <f t="shared" si="337"/>
        <v>6.7570852599601494E-2</v>
      </c>
      <c r="BM170" s="92">
        <f t="shared" si="337"/>
        <v>4.6981570863863398E-2</v>
      </c>
    </row>
    <row r="171" spans="1:95">
      <c r="A171" s="79" t="s">
        <v>11</v>
      </c>
      <c r="B171" s="92">
        <f>SUM(B168:B170)</f>
        <v>224.26999999999998</v>
      </c>
      <c r="C171" s="92">
        <f>SUM(C168:C170)</f>
        <v>219.25</v>
      </c>
      <c r="D171" s="92">
        <f>SUM(D168:D170)</f>
        <v>220.7</v>
      </c>
      <c r="E171" s="92">
        <f t="shared" ref="E171:J171" si="338">SUM(E168:E170)</f>
        <v>230.31</v>
      </c>
      <c r="F171" s="92">
        <f t="shared" si="338"/>
        <v>229.77334362043706</v>
      </c>
      <c r="G171" s="92">
        <f>SUM(G168:G170)</f>
        <v>233.96334362043706</v>
      </c>
      <c r="H171" s="92">
        <f t="shared" si="338"/>
        <v>233.79334362043704</v>
      </c>
      <c r="I171" s="92">
        <f t="shared" si="338"/>
        <v>254.02334362043706</v>
      </c>
      <c r="J171" s="92">
        <f t="shared" si="338"/>
        <v>247.40334362043703</v>
      </c>
      <c r="K171" s="92">
        <f t="shared" ref="K171:AI171" si="339">SUM(K168:K170)</f>
        <v>232.1688921101032</v>
      </c>
      <c r="L171" s="92">
        <f t="shared" si="339"/>
        <v>219.73725116119581</v>
      </c>
      <c r="M171" s="92">
        <f t="shared" si="339"/>
        <v>226.89878804089841</v>
      </c>
      <c r="N171" s="92">
        <f t="shared" si="339"/>
        <v>217.54780702084855</v>
      </c>
      <c r="O171" s="92">
        <f t="shared" si="339"/>
        <v>202.50560492469054</v>
      </c>
      <c r="P171" s="92">
        <f t="shared" si="339"/>
        <v>186.43706304297049</v>
      </c>
      <c r="Q171" s="92">
        <f t="shared" si="339"/>
        <v>202.0318438296903</v>
      </c>
      <c r="R171" s="92">
        <f t="shared" si="339"/>
        <v>191.07999999999998</v>
      </c>
      <c r="S171" s="92">
        <f t="shared" si="339"/>
        <v>194.14999999999998</v>
      </c>
      <c r="T171" s="92">
        <f>SUM(T168:T170)</f>
        <v>205.63</v>
      </c>
      <c r="U171" s="92">
        <f t="shared" si="339"/>
        <v>208.45</v>
      </c>
      <c r="V171" s="92">
        <f t="shared" si="339"/>
        <v>214.54000000000002</v>
      </c>
      <c r="W171" s="92">
        <f t="shared" si="339"/>
        <v>205.1435626</v>
      </c>
      <c r="X171" s="92">
        <f t="shared" si="339"/>
        <v>193.22356260000004</v>
      </c>
      <c r="Y171" s="92">
        <f t="shared" si="339"/>
        <v>204.66356260000001</v>
      </c>
      <c r="Z171" s="92">
        <f t="shared" si="339"/>
        <v>208.56356260000001</v>
      </c>
      <c r="AA171" s="92">
        <f t="shared" si="339"/>
        <v>211.00356260000001</v>
      </c>
      <c r="AB171" s="92">
        <f t="shared" si="339"/>
        <v>210.96356260000002</v>
      </c>
      <c r="AC171" s="92">
        <f t="shared" si="339"/>
        <v>219.02950303253522</v>
      </c>
      <c r="AD171" s="92">
        <f t="shared" si="339"/>
        <v>215.9818637092676</v>
      </c>
      <c r="AE171" s="92">
        <f t="shared" si="339"/>
        <v>214.22803983234152</v>
      </c>
      <c r="AF171" s="92">
        <f t="shared" si="339"/>
        <v>209.9002070892399</v>
      </c>
      <c r="AG171" s="92">
        <f t="shared" si="339"/>
        <v>196.40926337720219</v>
      </c>
      <c r="AH171" s="92">
        <f t="shared" si="339"/>
        <v>182.41950841031431</v>
      </c>
      <c r="AI171" s="92">
        <f t="shared" si="339"/>
        <v>171.00721502068242</v>
      </c>
      <c r="AJ171" s="92">
        <f t="shared" ref="AJ171:BC171" si="340">SUM(AJ168:AJ170)</f>
        <v>162.59351156594289</v>
      </c>
      <c r="AK171" s="92">
        <f t="shared" si="340"/>
        <v>154.12232610221608</v>
      </c>
      <c r="AL171" s="92">
        <f t="shared" si="340"/>
        <v>147.23874369439258</v>
      </c>
      <c r="AM171" s="92">
        <f t="shared" si="340"/>
        <v>143.56824401269566</v>
      </c>
      <c r="AN171" s="92">
        <f t="shared" si="340"/>
        <v>139.58982644324951</v>
      </c>
      <c r="AO171" s="92">
        <f t="shared" si="340"/>
        <v>135.47529251607435</v>
      </c>
      <c r="AP171" s="92">
        <f t="shared" si="340"/>
        <v>129.62636702972242</v>
      </c>
      <c r="AQ171" s="92">
        <f t="shared" si="340"/>
        <v>121.13954527418306</v>
      </c>
      <c r="AR171" s="92">
        <f t="shared" si="340"/>
        <v>112.98367563045234</v>
      </c>
      <c r="AS171" s="92">
        <f t="shared" si="340"/>
        <v>106.69072653736779</v>
      </c>
      <c r="AT171" s="92">
        <f t="shared" si="340"/>
        <v>101.11422391627615</v>
      </c>
      <c r="AU171" s="92">
        <f t="shared" si="340"/>
        <v>96.239318860854098</v>
      </c>
      <c r="AV171" s="92">
        <f t="shared" si="340"/>
        <v>91.415787181013059</v>
      </c>
      <c r="AW171" s="92">
        <f t="shared" si="340"/>
        <v>86.581486886145342</v>
      </c>
      <c r="AX171" s="92">
        <f t="shared" si="340"/>
        <v>81.988636656436356</v>
      </c>
      <c r="AY171" s="92">
        <f t="shared" si="340"/>
        <v>78.054208484681766</v>
      </c>
      <c r="AZ171" s="92">
        <f t="shared" si="340"/>
        <v>74.251975048617339</v>
      </c>
      <c r="BA171" s="92">
        <f t="shared" si="340"/>
        <v>70.782036416209422</v>
      </c>
      <c r="BB171" s="92">
        <f t="shared" si="340"/>
        <v>67.280860362524649</v>
      </c>
      <c r="BC171" s="92">
        <f t="shared" si="340"/>
        <v>63.785419246497611</v>
      </c>
      <c r="BD171" s="92">
        <f t="shared" ref="BD171:BM171" si="341">SUM(BD168:BD170)</f>
        <v>82.937361615878842</v>
      </c>
      <c r="BE171" s="92">
        <f t="shared" si="341"/>
        <v>79.420192644886129</v>
      </c>
      <c r="BF171" s="92">
        <f t="shared" si="341"/>
        <v>76.469996437669721</v>
      </c>
      <c r="BG171" s="92">
        <f t="shared" si="341"/>
        <v>73.762390322641693</v>
      </c>
      <c r="BH171" s="92">
        <f t="shared" si="341"/>
        <v>71.472395833386827</v>
      </c>
      <c r="BI171" s="92">
        <f t="shared" si="341"/>
        <v>69.165990025125168</v>
      </c>
      <c r="BJ171" s="92">
        <f t="shared" si="341"/>
        <v>67.101182841521222</v>
      </c>
      <c r="BK171" s="92">
        <f t="shared" si="341"/>
        <v>64.895406083334819</v>
      </c>
      <c r="BL171" s="92">
        <f t="shared" si="341"/>
        <v>62.792664368713304</v>
      </c>
      <c r="BM171" s="92">
        <f t="shared" si="341"/>
        <v>60.721105953300167</v>
      </c>
    </row>
    <row r="172" spans="1:95">
      <c r="B172" s="92"/>
      <c r="C172" s="92"/>
      <c r="D172" s="92"/>
      <c r="E172" s="92"/>
      <c r="F172" s="92"/>
      <c r="G172" s="92"/>
      <c r="H172" s="89"/>
      <c r="I172" s="89"/>
      <c r="J172" s="89"/>
      <c r="K172" s="89"/>
      <c r="L172" s="89"/>
      <c r="M172" s="89"/>
      <c r="N172" s="89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2"/>
      <c r="BI172" s="92"/>
      <c r="BJ172" s="92"/>
      <c r="BK172" s="92"/>
      <c r="BL172" s="92"/>
      <c r="BM172" s="92"/>
    </row>
    <row r="173" spans="1:95">
      <c r="A173" s="78" t="s">
        <v>244</v>
      </c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  <c r="BM173" s="92"/>
    </row>
    <row r="174" spans="1:95">
      <c r="A174" s="79" t="s">
        <v>8</v>
      </c>
      <c r="B174" s="92"/>
      <c r="C174" s="92">
        <f>(C168/B168-1)*100</f>
        <v>-4.075947927917678</v>
      </c>
      <c r="D174" s="92">
        <f t="shared" ref="D174:AI174" si="342">(D168/C168-1)*100</f>
        <v>-2.9631385563599899E-2</v>
      </c>
      <c r="E174" s="92">
        <f t="shared" si="342"/>
        <v>7.4041140553678497</v>
      </c>
      <c r="F174" s="92">
        <f t="shared" si="342"/>
        <v>-4.5461178825273008</v>
      </c>
      <c r="G174" s="92">
        <f t="shared" si="342"/>
        <v>-4.1805598577230318</v>
      </c>
      <c r="H174" s="92">
        <f t="shared" si="342"/>
        <v>-4.9302004422246304</v>
      </c>
      <c r="I174" s="92">
        <f t="shared" si="342"/>
        <v>-1.7138140767819388</v>
      </c>
      <c r="J174" s="92">
        <f t="shared" si="342"/>
        <v>-9.4547170434956644</v>
      </c>
      <c r="K174" s="92">
        <f>(K168/J168-1)*100</f>
        <v>-13.098440476605667</v>
      </c>
      <c r="L174" s="92">
        <f t="shared" si="342"/>
        <v>-6.6823005428758853</v>
      </c>
      <c r="M174" s="92">
        <f>(M168/L168-1)*100</f>
        <v>-3.4200150668413642</v>
      </c>
      <c r="N174" s="92">
        <f>(N168/M168-1)*100</f>
        <v>-10.856126574869307</v>
      </c>
      <c r="O174" s="92">
        <f t="shared" si="342"/>
        <v>-14.314553081338987</v>
      </c>
      <c r="P174" s="92">
        <f t="shared" si="342"/>
        <v>-13.124843500806083</v>
      </c>
      <c r="Q174" s="92">
        <f t="shared" si="342"/>
        <v>-0.76196183857826227</v>
      </c>
      <c r="R174" s="92">
        <f t="shared" si="342"/>
        <v>-5.9075299473090421</v>
      </c>
      <c r="S174" s="92">
        <f t="shared" si="342"/>
        <v>5.0852439741328803</v>
      </c>
      <c r="T174" s="92">
        <f t="shared" si="342"/>
        <v>4.4055944055944041</v>
      </c>
      <c r="U174" s="92">
        <f t="shared" si="342"/>
        <v>4.0857334226390041</v>
      </c>
      <c r="V174" s="92">
        <f t="shared" si="342"/>
        <v>-2.0849420849420874</v>
      </c>
      <c r="W174" s="92">
        <f t="shared" si="342"/>
        <v>-7.8651288117770779</v>
      </c>
      <c r="X174" s="92">
        <f t="shared" si="342"/>
        <v>-4.3654286016319599</v>
      </c>
      <c r="Y174" s="92">
        <f t="shared" si="342"/>
        <v>22.793651371400614</v>
      </c>
      <c r="Z174" s="92">
        <f t="shared" si="342"/>
        <v>4.7013826316833596</v>
      </c>
      <c r="AA174" s="92">
        <f t="shared" si="342"/>
        <v>-5.2792668339865507</v>
      </c>
      <c r="AB174" s="92">
        <f t="shared" si="342"/>
        <v>7.7539121426631663</v>
      </c>
      <c r="AC174" s="92">
        <f t="shared" si="342"/>
        <v>-1.4251121963876789</v>
      </c>
      <c r="AD174" s="92">
        <f t="shared" si="342"/>
        <v>2.656391761882082</v>
      </c>
      <c r="AE174" s="92">
        <f t="shared" si="342"/>
        <v>-4.6553952677696682</v>
      </c>
      <c r="AF174" s="92">
        <f t="shared" si="342"/>
        <v>-5.2675749642973173</v>
      </c>
      <c r="AG174" s="92">
        <f t="shared" si="342"/>
        <v>-11.849531542738756</v>
      </c>
      <c r="AH174" s="92">
        <f t="shared" si="342"/>
        <v>-11.572696228815571</v>
      </c>
      <c r="AI174" s="92">
        <f t="shared" si="342"/>
        <v>-8.0609114089667528</v>
      </c>
      <c r="AJ174" s="92">
        <f t="shared" ref="AJ174:BC174" si="343">(AJ168/AI168-1)*100</f>
        <v>-3.7210301263726597</v>
      </c>
      <c r="AK174" s="92">
        <f t="shared" si="343"/>
        <v>-1.6833573933770718</v>
      </c>
      <c r="AL174" s="92">
        <f t="shared" si="343"/>
        <v>-2.437634017834911</v>
      </c>
      <c r="AM174" s="92">
        <f t="shared" si="343"/>
        <v>0.16622775495709341</v>
      </c>
      <c r="AN174" s="92">
        <f t="shared" si="343"/>
        <v>-0.82374265869561425</v>
      </c>
      <c r="AO174" s="92">
        <f t="shared" si="343"/>
        <v>-2.181343691122728</v>
      </c>
      <c r="AP174" s="92">
        <f t="shared" si="343"/>
        <v>-2.8244961637932997</v>
      </c>
      <c r="AQ174" s="92">
        <f t="shared" si="343"/>
        <v>-4.9783989468512146</v>
      </c>
      <c r="AR174" s="92">
        <f t="shared" si="343"/>
        <v>-4.5566460511056945</v>
      </c>
      <c r="AS174" s="92">
        <f t="shared" si="343"/>
        <v>-4.3431662043047492</v>
      </c>
      <c r="AT174" s="92">
        <f t="shared" si="343"/>
        <v>-3.6814425923784366</v>
      </c>
      <c r="AU174" s="92">
        <f t="shared" si="343"/>
        <v>-4.4213126207282798</v>
      </c>
      <c r="AV174" s="92">
        <f t="shared" si="343"/>
        <v>-4.2955678427666903</v>
      </c>
      <c r="AW174" s="92">
        <f t="shared" si="343"/>
        <v>-3.5068114504889114</v>
      </c>
      <c r="AX174" s="92">
        <f t="shared" si="343"/>
        <v>-4.8985292642515059</v>
      </c>
      <c r="AY174" s="92">
        <f t="shared" si="343"/>
        <v>-4.4447277319168084</v>
      </c>
      <c r="AZ174" s="92">
        <f t="shared" si="343"/>
        <v>-5.2774196310506172</v>
      </c>
      <c r="BA174" s="92">
        <f t="shared" si="343"/>
        <v>-4.0213383964095684</v>
      </c>
      <c r="BB174" s="92">
        <f t="shared" si="343"/>
        <v>-5.7652355994144422</v>
      </c>
      <c r="BC174" s="92">
        <f t="shared" si="343"/>
        <v>-5.7491524410668404</v>
      </c>
      <c r="BD174" s="92">
        <f t="shared" ref="BD174:BD176" si="344">(BD168/BC168-1)*100</f>
        <v>54.58441018762197</v>
      </c>
      <c r="BE174" s="92">
        <f t="shared" ref="BE174:BE176" si="345">(BE168/BD168-1)*100</f>
        <v>-3.6194677982736456</v>
      </c>
      <c r="BF174" s="92">
        <f t="shared" ref="BF174:BF176" si="346">(BF168/BE168-1)*100</f>
        <v>-3.3931395082170246</v>
      </c>
      <c r="BG174" s="92">
        <f t="shared" ref="BG174:BG176" si="347">(BG168/BF168-1)*100</f>
        <v>-3.8230477338225932</v>
      </c>
      <c r="BH174" s="92">
        <f t="shared" ref="BH174:BH176" si="348">(BH168/BG168-1)*100</f>
        <v>-4.2246605743691994</v>
      </c>
      <c r="BI174" s="92">
        <f t="shared" ref="BI174:BI176" si="349">(BI168/BH168-1)*100</f>
        <v>-4.0070595925471242</v>
      </c>
      <c r="BJ174" s="92">
        <f t="shared" ref="BJ174:BJ176" si="350">(BJ168/BI168-1)*100</f>
        <v>-4.2682551467588592</v>
      </c>
      <c r="BK174" s="92">
        <f t="shared" ref="BK174:BK176" si="351">(BK168/BJ168-1)*100</f>
        <v>-5.3602794163566063</v>
      </c>
      <c r="BL174" s="92">
        <f t="shared" ref="BL174:BL176" si="352">(BL168/BK168-1)*100</f>
        <v>-5.1889142346014383</v>
      </c>
      <c r="BM174" s="92">
        <f t="shared" ref="BM174:BM176" si="353">(BM168/BL168-1)*100</f>
        <v>-5.5762709655198028</v>
      </c>
    </row>
    <row r="175" spans="1:95">
      <c r="A175" s="79" t="s">
        <v>9</v>
      </c>
      <c r="B175" s="92"/>
      <c r="C175" s="92">
        <f>(C169/B169-1)*100</f>
        <v>6.0865644724977574</v>
      </c>
      <c r="D175" s="92">
        <f t="shared" ref="D175:AI175" si="354">(D169/C169-1)*100</f>
        <v>3.4849128771780702</v>
      </c>
      <c r="E175" s="92">
        <f t="shared" si="354"/>
        <v>-2.6078028747433368</v>
      </c>
      <c r="F175" s="92">
        <f t="shared" si="354"/>
        <v>14.168247944339019</v>
      </c>
      <c r="G175" s="92">
        <f t="shared" si="354"/>
        <v>21.015697137580801</v>
      </c>
      <c r="H175" s="92">
        <f t="shared" si="354"/>
        <v>11.292537768960798</v>
      </c>
      <c r="I175" s="92">
        <f t="shared" si="354"/>
        <v>8.4601672836966735</v>
      </c>
      <c r="J175" s="92">
        <f t="shared" si="354"/>
        <v>8.3059418457648739</v>
      </c>
      <c r="K175" s="92">
        <f t="shared" si="354"/>
        <v>2.9882105754639898</v>
      </c>
      <c r="L175" s="92">
        <f t="shared" si="354"/>
        <v>0.31735237447581</v>
      </c>
      <c r="M175" s="92">
        <f t="shared" si="354"/>
        <v>11.241667608179862</v>
      </c>
      <c r="N175" s="92">
        <f t="shared" si="354"/>
        <v>4.2860044688198373</v>
      </c>
      <c r="O175" s="92">
        <f t="shared" si="354"/>
        <v>0.63303467082196363</v>
      </c>
      <c r="P175" s="92">
        <f t="shared" si="354"/>
        <v>-6.0292267492499825</v>
      </c>
      <c r="Q175" s="92">
        <f t="shared" si="354"/>
        <v>15.09783728115346</v>
      </c>
      <c r="R175" s="92">
        <f t="shared" si="354"/>
        <v>-5.3775948460987877</v>
      </c>
      <c r="S175" s="92">
        <f t="shared" si="354"/>
        <v>-0.52009456264775489</v>
      </c>
      <c r="T175" s="92">
        <f t="shared" si="354"/>
        <v>7.7186311787072359</v>
      </c>
      <c r="U175" s="92">
        <f t="shared" si="354"/>
        <v>-0.2382633250970656</v>
      </c>
      <c r="V175" s="92">
        <f t="shared" si="354"/>
        <v>6.828836797877047</v>
      </c>
      <c r="W175" s="92">
        <f t="shared" si="354"/>
        <v>-2.053490105158573</v>
      </c>
      <c r="X175" s="92">
        <f t="shared" si="354"/>
        <v>-5.7232225885535559</v>
      </c>
      <c r="Y175" s="92">
        <f t="shared" si="354"/>
        <v>-2.6990674318507879</v>
      </c>
      <c r="Z175" s="92">
        <f t="shared" si="354"/>
        <v>2.7370749239701508</v>
      </c>
      <c r="AA175" s="92">
        <f t="shared" si="354"/>
        <v>8.7639038392536719</v>
      </c>
      <c r="AB175" s="92">
        <f t="shared" si="354"/>
        <v>-5.6329896907216455</v>
      </c>
      <c r="AC175" s="92">
        <f t="shared" si="354"/>
        <v>7.182967969865417</v>
      </c>
      <c r="AD175" s="92">
        <f t="shared" si="354"/>
        <v>-4.7184735067357764</v>
      </c>
      <c r="AE175" s="92">
        <f t="shared" si="354"/>
        <v>1.3983889356192325</v>
      </c>
      <c r="AF175" s="92">
        <f t="shared" si="354"/>
        <v>7.1916545499206563E-3</v>
      </c>
      <c r="AG175" s="92">
        <f t="shared" si="354"/>
        <v>-3.3153819757757552</v>
      </c>
      <c r="AH175" s="92">
        <f t="shared" si="354"/>
        <v>-4.8267523286164682</v>
      </c>
      <c r="AI175" s="92">
        <f t="shared" si="354"/>
        <v>-5.2227525305595819</v>
      </c>
      <c r="AJ175" s="92">
        <f t="shared" ref="AJ175:BC175" si="355">(AJ169/AI169-1)*100</f>
        <v>-4.655561641721162</v>
      </c>
      <c r="AK175" s="92">
        <f t="shared" si="355"/>
        <v>-6.7377258398719331</v>
      </c>
      <c r="AL175" s="92">
        <f t="shared" si="355"/>
        <v>-4.5234204548225794</v>
      </c>
      <c r="AM175" s="92">
        <f t="shared" si="355"/>
        <v>-2.962910270938679</v>
      </c>
      <c r="AN175" s="92">
        <f t="shared" si="355"/>
        <v>-2.8209488826098528</v>
      </c>
      <c r="AO175" s="92">
        <f t="shared" si="355"/>
        <v>-2.6351596881556194</v>
      </c>
      <c r="AP175" s="92">
        <f t="shared" si="355"/>
        <v>-4.1131543510877329</v>
      </c>
      <c r="AQ175" s="92">
        <f t="shared" si="355"/>
        <v>-6.4180776445808991</v>
      </c>
      <c r="AR175" s="92">
        <f t="shared" si="355"/>
        <v>-7.3923619703841537</v>
      </c>
      <c r="AS175" s="92">
        <f t="shared" si="355"/>
        <v>-5.7477126798431204</v>
      </c>
      <c r="AT175" s="92">
        <f t="shared" si="355"/>
        <v>-5.488933336145263</v>
      </c>
      <c r="AU175" s="92">
        <f t="shared" si="355"/>
        <v>-4.3967991003851292</v>
      </c>
      <c r="AV175" s="92">
        <f t="shared" si="355"/>
        <v>-4.8151455983704405</v>
      </c>
      <c r="AW175" s="92">
        <f t="shared" si="355"/>
        <v>-5.6670281543386487</v>
      </c>
      <c r="AX175" s="92">
        <f t="shared" si="355"/>
        <v>-4.8925988042329056</v>
      </c>
      <c r="AY175" s="92">
        <f t="shared" si="355"/>
        <v>-3.9909746159385584</v>
      </c>
      <c r="AZ175" s="92">
        <f t="shared" si="355"/>
        <v>-4.0511271279182193</v>
      </c>
      <c r="BA175" s="92">
        <f t="shared" si="355"/>
        <v>-3.8957163789168026</v>
      </c>
      <c r="BB175" s="92">
        <f t="shared" si="355"/>
        <v>-3.2619328104703915</v>
      </c>
      <c r="BC175" s="92">
        <f t="shared" si="355"/>
        <v>-3.9447933611554409</v>
      </c>
      <c r="BD175" s="92">
        <f t="shared" si="344"/>
        <v>0.17454718622784693</v>
      </c>
      <c r="BE175" s="92">
        <f t="shared" si="345"/>
        <v>-4.3588925397828548</v>
      </c>
      <c r="BF175" s="92">
        <f t="shared" si="346"/>
        <v>-3.8218387499231232</v>
      </c>
      <c r="BG175" s="92">
        <f t="shared" si="347"/>
        <v>-2.9557478468161036</v>
      </c>
      <c r="BH175" s="92">
        <f t="shared" si="348"/>
        <v>-1.6854548532371227</v>
      </c>
      <c r="BI175" s="92">
        <f t="shared" si="349"/>
        <v>-2.2521900397732608</v>
      </c>
      <c r="BJ175" s="92">
        <f t="shared" si="350"/>
        <v>-1.5241183967219407</v>
      </c>
      <c r="BK175" s="92">
        <f t="shared" si="351"/>
        <v>-1.255031108725424</v>
      </c>
      <c r="BL175" s="92">
        <f t="shared" si="352"/>
        <v>-1.4065566001029706</v>
      </c>
      <c r="BM175" s="92">
        <f t="shared" si="353"/>
        <v>-1.1915821183967501</v>
      </c>
    </row>
    <row r="176" spans="1:95">
      <c r="A176" s="79" t="s">
        <v>10</v>
      </c>
      <c r="B176" s="92"/>
      <c r="C176" s="92">
        <f>(C170/B170-1)*100</f>
        <v>-13.750000000000018</v>
      </c>
      <c r="D176" s="92">
        <f t="shared" ref="D176:AI176" si="356">(D170/C170-1)*100</f>
        <v>-4.0579710144927228</v>
      </c>
      <c r="E176" s="92">
        <f t="shared" si="356"/>
        <v>-48.640483383685776</v>
      </c>
      <c r="F176" s="92">
        <f t="shared" si="356"/>
        <v>57.647058823529292</v>
      </c>
      <c r="G176" s="92">
        <f t="shared" si="356"/>
        <v>1.4925373134329289</v>
      </c>
      <c r="H176" s="92">
        <f t="shared" si="356"/>
        <v>22.058823529411665</v>
      </c>
      <c r="I176" s="92">
        <f t="shared" si="356"/>
        <v>504.81927710843371</v>
      </c>
      <c r="J176" s="92">
        <f t="shared" si="356"/>
        <v>7.2211155378486103</v>
      </c>
      <c r="K176" s="92">
        <f t="shared" si="356"/>
        <v>2.6474686483975773</v>
      </c>
      <c r="L176" s="92">
        <f t="shared" si="356"/>
        <v>-20.678733031674213</v>
      </c>
      <c r="M176" s="92">
        <f t="shared" si="356"/>
        <v>6.274957216200816</v>
      </c>
      <c r="N176" s="92">
        <f t="shared" si="356"/>
        <v>-8.8566827697262198</v>
      </c>
      <c r="O176" s="92">
        <f t="shared" si="356"/>
        <v>-9.8939929328622167</v>
      </c>
      <c r="P176" s="92">
        <f t="shared" si="356"/>
        <v>7.6470588235294068</v>
      </c>
      <c r="Q176" s="92">
        <f t="shared" si="356"/>
        <v>9.0467516697025019</v>
      </c>
      <c r="R176" s="92">
        <f t="shared" si="356"/>
        <v>-3.7305122494432186</v>
      </c>
      <c r="S176" s="92">
        <f t="shared" si="356"/>
        <v>0.92539039907462151</v>
      </c>
      <c r="T176" s="92">
        <f t="shared" si="356"/>
        <v>1.2034383954154793</v>
      </c>
      <c r="U176" s="92">
        <f t="shared" si="356"/>
        <v>0.22650056625141968</v>
      </c>
      <c r="V176" s="92">
        <f t="shared" si="356"/>
        <v>-5.6497175141234646E-2</v>
      </c>
      <c r="W176" s="92">
        <f t="shared" si="356"/>
        <v>-5.2721729790842335</v>
      </c>
      <c r="X176" s="92">
        <f t="shared" si="356"/>
        <v>-12.472137156080365</v>
      </c>
      <c r="Y176" s="92">
        <f t="shared" si="356"/>
        <v>-5.6588262560756997</v>
      </c>
      <c r="Z176" s="92">
        <f t="shared" si="356"/>
        <v>-21.24683879198107</v>
      </c>
      <c r="AA176" s="92">
        <f t="shared" si="356"/>
        <v>-25.510783233718605</v>
      </c>
      <c r="AB176" s="92">
        <f t="shared" si="356"/>
        <v>5.6668722262970483</v>
      </c>
      <c r="AC176" s="92">
        <f t="shared" si="356"/>
        <v>12.833862849770217</v>
      </c>
      <c r="AD176" s="92">
        <f t="shared" si="356"/>
        <v>4.500975417529296</v>
      </c>
      <c r="AE176" s="92">
        <f t="shared" si="356"/>
        <v>7.4767093478166791</v>
      </c>
      <c r="AF176" s="92">
        <f t="shared" si="356"/>
        <v>1.2358925444079683</v>
      </c>
      <c r="AG176" s="92">
        <f t="shared" si="356"/>
        <v>-0.32004837605226211</v>
      </c>
      <c r="AH176" s="92">
        <f t="shared" si="356"/>
        <v>-2.3510554541849471</v>
      </c>
      <c r="AI176" s="92">
        <f t="shared" si="356"/>
        <v>-6.2146258207658285</v>
      </c>
      <c r="AJ176" s="92">
        <f t="shared" ref="AJ176:BC176" si="357">(AJ170/AI170-1)*100</f>
        <v>-14.519016198241719</v>
      </c>
      <c r="AK176" s="92">
        <f t="shared" si="357"/>
        <v>-10.464805913897102</v>
      </c>
      <c r="AL176" s="92">
        <f t="shared" si="357"/>
        <v>-18.17536259219905</v>
      </c>
      <c r="AM176" s="92">
        <f t="shared" si="357"/>
        <v>-18.430165582102585</v>
      </c>
      <c r="AN176" s="92">
        <f t="shared" si="357"/>
        <v>-22.171087139278743</v>
      </c>
      <c r="AO176" s="92">
        <f t="shared" si="357"/>
        <v>-19.561626408198073</v>
      </c>
      <c r="AP176" s="92">
        <f t="shared" si="357"/>
        <v>-33.465569834103228</v>
      </c>
      <c r="AQ176" s="92">
        <f t="shared" si="357"/>
        <v>-48.08961802738898</v>
      </c>
      <c r="AR176" s="92">
        <f t="shared" si="357"/>
        <v>-57.390270737141314</v>
      </c>
      <c r="AS176" s="92">
        <f t="shared" si="357"/>
        <v>-98.610517387045988</v>
      </c>
      <c r="AT176" s="92">
        <f t="shared" si="357"/>
        <v>-7742.142942575103</v>
      </c>
      <c r="AU176" s="92">
        <f t="shared" si="357"/>
        <v>79.028816456988253</v>
      </c>
      <c r="AV176" s="92">
        <f t="shared" si="357"/>
        <v>39.464668773227473</v>
      </c>
      <c r="AW176" s="92">
        <f t="shared" si="357"/>
        <v>32.898693683480772</v>
      </c>
      <c r="AX176" s="92">
        <f t="shared" si="357"/>
        <v>16.391724722755406</v>
      </c>
      <c r="AY176" s="92">
        <f t="shared" si="357"/>
        <v>21.918142640791906</v>
      </c>
      <c r="AZ176" s="92">
        <f t="shared" si="357"/>
        <v>5.5586445810712037</v>
      </c>
      <c r="BA176" s="92">
        <f t="shared" si="357"/>
        <v>17.633438383053846</v>
      </c>
      <c r="BB176" s="92">
        <f t="shared" si="357"/>
        <v>11.246003521228776</v>
      </c>
      <c r="BC176" s="92">
        <f t="shared" si="357"/>
        <v>5.877616498392868</v>
      </c>
      <c r="BD176" s="92">
        <f t="shared" si="344"/>
        <v>-122.59014491063944</v>
      </c>
      <c r="BE176" s="92">
        <f t="shared" si="345"/>
        <v>-31.612415405170324</v>
      </c>
      <c r="BF176" s="92">
        <f t="shared" si="346"/>
        <v>-20.405514129337142</v>
      </c>
      <c r="BG176" s="92">
        <f t="shared" si="347"/>
        <v>-28.329850218114849</v>
      </c>
      <c r="BH176" s="92">
        <f t="shared" si="348"/>
        <v>-31.512313136487148</v>
      </c>
      <c r="BI176" s="92">
        <f t="shared" si="349"/>
        <v>-32.922082817914486</v>
      </c>
      <c r="BJ176" s="92">
        <f t="shared" si="350"/>
        <v>-45.02734746133634</v>
      </c>
      <c r="BK176" s="92">
        <f t="shared" si="351"/>
        <v>-5.7514160586618406</v>
      </c>
      <c r="BL176" s="92">
        <f t="shared" si="352"/>
        <v>-6.8280006922553422</v>
      </c>
      <c r="BM176" s="92">
        <f t="shared" si="353"/>
        <v>-30.470655532115522</v>
      </c>
    </row>
    <row r="177" spans="1:65">
      <c r="A177" s="79" t="s">
        <v>14</v>
      </c>
      <c r="B177" s="92"/>
      <c r="C177" s="92">
        <f>((C168+C170)/(B168+B170)-1)*100</f>
        <v>-4.2910344060919314</v>
      </c>
      <c r="D177" s="92">
        <f t="shared" ref="D177:AI177" si="358">((D168+D170)/(C168+C170)-1)*100</f>
        <v>-0.11034322550670383</v>
      </c>
      <c r="E177" s="92">
        <f t="shared" si="358"/>
        <v>6.3255813953488449</v>
      </c>
      <c r="F177" s="92">
        <f t="shared" si="358"/>
        <v>-3.9679879590786005</v>
      </c>
      <c r="G177" s="92">
        <f t="shared" si="358"/>
        <v>-4.0939887897472609</v>
      </c>
      <c r="H177" s="92">
        <f t="shared" si="358"/>
        <v>-4.4943595117715844</v>
      </c>
      <c r="I177" s="92">
        <f t="shared" si="358"/>
        <v>8.7403380307542911</v>
      </c>
      <c r="J177" s="92">
        <f t="shared" si="358"/>
        <v>-7.5404458473082752</v>
      </c>
      <c r="K177" s="92">
        <f t="shared" si="358"/>
        <v>-11.002339475584366</v>
      </c>
      <c r="L177" s="92">
        <f t="shared" si="358"/>
        <v>-8.8312760801186876</v>
      </c>
      <c r="M177" s="92">
        <f t="shared" si="358"/>
        <v>-2.1249116289665304</v>
      </c>
      <c r="N177" s="92">
        <f t="shared" si="358"/>
        <v>-10.56610797022508</v>
      </c>
      <c r="O177" s="92">
        <f t="shared" si="358"/>
        <v>-13.661096614571822</v>
      </c>
      <c r="P177" s="92">
        <f t="shared" si="358"/>
        <v>-9.9203245487546887</v>
      </c>
      <c r="Q177" s="92">
        <f t="shared" si="358"/>
        <v>1.046352717315302</v>
      </c>
      <c r="R177" s="92">
        <f t="shared" si="358"/>
        <v>-5.4744022278017663</v>
      </c>
      <c r="S177" s="92">
        <f t="shared" si="358"/>
        <v>4.2423532169225675</v>
      </c>
      <c r="T177" s="92">
        <f t="shared" si="358"/>
        <v>3.7774030354131405</v>
      </c>
      <c r="U177" s="92">
        <f t="shared" si="358"/>
        <v>3.3474163145921443</v>
      </c>
      <c r="V177" s="92">
        <f t="shared" si="358"/>
        <v>-1.7085953878406834</v>
      </c>
      <c r="W177" s="92">
        <f t="shared" si="358"/>
        <v>-7.3759596885997532</v>
      </c>
      <c r="X177" s="92">
        <f t="shared" si="358"/>
        <v>-5.9295207310241178</v>
      </c>
      <c r="Y177" s="92">
        <f t="shared" si="358"/>
        <v>17.685887298138447</v>
      </c>
      <c r="Z177" s="92">
        <f t="shared" si="358"/>
        <v>0.96720285224252134</v>
      </c>
      <c r="AA177" s="92">
        <f t="shared" si="358"/>
        <v>-7.5501967621447674</v>
      </c>
      <c r="AB177" s="92">
        <f t="shared" si="358"/>
        <v>7.565159313241554</v>
      </c>
      <c r="AC177" s="92">
        <f t="shared" si="358"/>
        <v>-0.1582824524695936</v>
      </c>
      <c r="AD177" s="92">
        <f t="shared" si="358"/>
        <v>2.841598043181448</v>
      </c>
      <c r="AE177" s="92">
        <f t="shared" si="358"/>
        <v>-3.4176107964840052</v>
      </c>
      <c r="AF177" s="92">
        <f t="shared" si="358"/>
        <v>-4.5292113710173272</v>
      </c>
      <c r="AG177" s="92">
        <f t="shared" si="358"/>
        <v>-10.461500607212493</v>
      </c>
      <c r="AH177" s="92">
        <f t="shared" si="358"/>
        <v>-10.336761563874807</v>
      </c>
      <c r="AI177" s="92">
        <f t="shared" si="358"/>
        <v>-7.7914234746316646</v>
      </c>
      <c r="AJ177" s="92">
        <f t="shared" ref="AJ177:BC177" si="359">((AJ168+AJ170)/(AI168+AI170)-1)*100</f>
        <v>-5.3240798980846549</v>
      </c>
      <c r="AK177" s="92">
        <f t="shared" si="359"/>
        <v>-2.8604222159791082</v>
      </c>
      <c r="AL177" s="92">
        <f t="shared" si="359"/>
        <v>-4.3819813105561156</v>
      </c>
      <c r="AM177" s="92">
        <f t="shared" si="359"/>
        <v>-1.7998688871027846</v>
      </c>
      <c r="AN177" s="92">
        <f t="shared" si="359"/>
        <v>-2.6984673932210601</v>
      </c>
      <c r="AO177" s="92">
        <f t="shared" si="359"/>
        <v>-3.4022202938926882</v>
      </c>
      <c r="AP177" s="92">
        <f t="shared" si="359"/>
        <v>-4.6168140954806596</v>
      </c>
      <c r="AQ177" s="92">
        <f t="shared" si="359"/>
        <v>-6.7374400680044966</v>
      </c>
      <c r="AR177" s="92">
        <f t="shared" si="359"/>
        <v>-5.7565403435505207</v>
      </c>
      <c r="AS177" s="92">
        <f t="shared" si="359"/>
        <v>-5.3111128940480201</v>
      </c>
      <c r="AT177" s="92">
        <f t="shared" si="359"/>
        <v>-4.8474434385740173</v>
      </c>
      <c r="AU177" s="92">
        <f t="shared" si="359"/>
        <v>-5.4311837287402964</v>
      </c>
      <c r="AV177" s="92">
        <f t="shared" si="359"/>
        <v>-5.2980890856886953</v>
      </c>
      <c r="AW177" s="92">
        <f t="shared" si="359"/>
        <v>-4.7350605120073936</v>
      </c>
      <c r="AX177" s="92">
        <f t="shared" si="359"/>
        <v>-5.9005756784728298</v>
      </c>
      <c r="AY177" s="92">
        <f t="shared" si="359"/>
        <v>-5.9794677845402822</v>
      </c>
      <c r="AZ177" s="92">
        <f t="shared" si="359"/>
        <v>-6.0954309920656318</v>
      </c>
      <c r="BA177" s="92">
        <f t="shared" si="359"/>
        <v>-5.8589281398381488</v>
      </c>
      <c r="BB177" s="92">
        <f t="shared" si="359"/>
        <v>-7.5690109546633355</v>
      </c>
      <c r="BC177" s="92">
        <f t="shared" si="359"/>
        <v>-7.2329421656010524</v>
      </c>
      <c r="BD177" s="92">
        <f t="shared" ref="BD177" si="360">((BD168+BD170)/(BC168+BC170)-1)*100</f>
        <v>80.390668576911679</v>
      </c>
      <c r="BE177" s="92">
        <f t="shared" ref="BE177" si="361">((BE168+BE170)/(BD168+BD170)-1)*100</f>
        <v>-4.1300636363134968</v>
      </c>
      <c r="BF177" s="92">
        <f t="shared" ref="BF177" si="362">((BF168+BF170)/(BE168+BE170)-1)*100</f>
        <v>-3.6144940323081132</v>
      </c>
      <c r="BG177" s="92">
        <f t="shared" ref="BG177" si="363">((BG168+BG170)/(BF168+BF170)-1)*100</f>
        <v>-4.0863662298698529</v>
      </c>
      <c r="BH177" s="92">
        <f t="shared" ref="BH177" si="364">((BH168+BH170)/(BG168+BG170)-1)*100</f>
        <v>-4.4437487098549777</v>
      </c>
      <c r="BI177" s="92">
        <f t="shared" ref="BI177" si="365">((BI168+BI170)/(BH168+BH170)-1)*100</f>
        <v>-4.1734505123698584</v>
      </c>
      <c r="BJ177" s="92">
        <f t="shared" ref="BJ177" si="366">((BJ168+BJ170)/(BI168+BI170)-1)*100</f>
        <v>-4.4324366771621326</v>
      </c>
      <c r="BK177" s="92">
        <f t="shared" ref="BK177" si="367">((BK168+BK170)/(BJ168+BJ170)-1)*100</f>
        <v>-5.3611857007033752</v>
      </c>
      <c r="BL177" s="92">
        <f t="shared" ref="BL177" si="368">((BL168+BL170)/(BK168+BK170)-1)*100</f>
        <v>-5.1926964249416008</v>
      </c>
      <c r="BM177" s="92">
        <f t="shared" ref="BM177" si="369">((BM168+BM170)/(BL168+BL170)-1)*100</f>
        <v>-5.6327239014480668</v>
      </c>
    </row>
    <row r="178" spans="1:65">
      <c r="A178" s="79" t="s">
        <v>11</v>
      </c>
      <c r="B178" s="92"/>
      <c r="C178" s="92">
        <f t="shared" ref="C178:AI178" si="370">(C171/B171-1)*100</f>
        <v>-2.2383733892183399</v>
      </c>
      <c r="D178" s="92">
        <f t="shared" si="370"/>
        <v>0.66134549600911363</v>
      </c>
      <c r="E178" s="92">
        <f t="shared" si="370"/>
        <v>4.3543271409152817</v>
      </c>
      <c r="F178" s="92">
        <f t="shared" si="370"/>
        <v>-0.23301479725714724</v>
      </c>
      <c r="G178" s="92">
        <f t="shared" si="370"/>
        <v>1.8235361569710395</v>
      </c>
      <c r="H178" s="92">
        <f t="shared" si="370"/>
        <v>-7.2660955074999034E-2</v>
      </c>
      <c r="I178" s="92">
        <f t="shared" si="370"/>
        <v>8.6529409634704457</v>
      </c>
      <c r="J178" s="92">
        <f t="shared" si="370"/>
        <v>-2.6060597052417589</v>
      </c>
      <c r="K178" s="92">
        <f t="shared" si="370"/>
        <v>-6.1577387303650699</v>
      </c>
      <c r="L178" s="92">
        <f t="shared" si="370"/>
        <v>-5.3545678906077754</v>
      </c>
      <c r="M178" s="92">
        <f t="shared" si="370"/>
        <v>3.2591364649633414</v>
      </c>
      <c r="N178" s="92">
        <f t="shared" si="370"/>
        <v>-4.1212124140408974</v>
      </c>
      <c r="O178" s="92">
        <f t="shared" si="370"/>
        <v>-6.9144351773292918</v>
      </c>
      <c r="P178" s="92">
        <f t="shared" si="370"/>
        <v>-7.9348627845119424</v>
      </c>
      <c r="Q178" s="92">
        <f t="shared" si="370"/>
        <v>8.3646355140906117</v>
      </c>
      <c r="R178" s="92">
        <f t="shared" si="370"/>
        <v>-5.4208503085892534</v>
      </c>
      <c r="S178" s="92">
        <f t="shared" si="370"/>
        <v>1.6066568976344842</v>
      </c>
      <c r="T178" s="92">
        <f t="shared" si="370"/>
        <v>5.9129539016224753</v>
      </c>
      <c r="U178" s="92">
        <f t="shared" si="370"/>
        <v>1.3713952244322369</v>
      </c>
      <c r="V178" s="92">
        <f t="shared" si="370"/>
        <v>2.9215639242024638</v>
      </c>
      <c r="W178" s="92">
        <f t="shared" si="370"/>
        <v>-4.3798067493241444</v>
      </c>
      <c r="X178" s="92">
        <f t="shared" si="370"/>
        <v>-5.8105649765097578</v>
      </c>
      <c r="Y178" s="92">
        <f t="shared" si="370"/>
        <v>5.9206029772271407</v>
      </c>
      <c r="Z178" s="92">
        <f t="shared" si="370"/>
        <v>1.9055663599593764</v>
      </c>
      <c r="AA178" s="92">
        <f t="shared" si="370"/>
        <v>1.169907135063486</v>
      </c>
      <c r="AB178" s="92">
        <f t="shared" si="370"/>
        <v>-1.8957025894306145E-2</v>
      </c>
      <c r="AC178" s="92">
        <f t="shared" si="370"/>
        <v>3.8233808403343783</v>
      </c>
      <c r="AD178" s="92">
        <f t="shared" si="370"/>
        <v>-1.3914286801878561</v>
      </c>
      <c r="AE178" s="92">
        <f t="shared" si="370"/>
        <v>-0.81202367958399524</v>
      </c>
      <c r="AF178" s="92">
        <f t="shared" si="370"/>
        <v>-2.0201990115246593</v>
      </c>
      <c r="AG178" s="92">
        <f t="shared" si="370"/>
        <v>-6.4273131976006042</v>
      </c>
      <c r="AH178" s="92">
        <f t="shared" si="370"/>
        <v>-7.1227572092771858</v>
      </c>
      <c r="AI178" s="92">
        <f t="shared" si="370"/>
        <v>-6.2560706851387486</v>
      </c>
      <c r="AJ178" s="92">
        <f t="shared" ref="AJ178:BC178" si="371">(AJ171/AI171-1)*100</f>
        <v>-4.920086824244196</v>
      </c>
      <c r="AK178" s="92">
        <f t="shared" si="371"/>
        <v>-5.210039061301142</v>
      </c>
      <c r="AL178" s="92">
        <f t="shared" si="371"/>
        <v>-4.4663110023775543</v>
      </c>
      <c r="AM178" s="92">
        <f t="shared" si="371"/>
        <v>-2.4928898397254651</v>
      </c>
      <c r="AN178" s="92">
        <f t="shared" si="371"/>
        <v>-2.7710985788015452</v>
      </c>
      <c r="AO178" s="92">
        <f t="shared" si="371"/>
        <v>-2.9475886832253662</v>
      </c>
      <c r="AP178" s="92">
        <f t="shared" si="371"/>
        <v>-4.317337410921585</v>
      </c>
      <c r="AQ178" s="92">
        <f t="shared" si="371"/>
        <v>-6.5471415654142167</v>
      </c>
      <c r="AR178" s="92">
        <f t="shared" si="371"/>
        <v>-6.7326236244910849</v>
      </c>
      <c r="AS178" s="92">
        <f t="shared" si="371"/>
        <v>-5.5697861288099393</v>
      </c>
      <c r="AT178" s="92">
        <f t="shared" si="371"/>
        <v>-5.2267922452833959</v>
      </c>
      <c r="AU178" s="92">
        <f t="shared" si="371"/>
        <v>-4.8211862452294802</v>
      </c>
      <c r="AV178" s="92">
        <f t="shared" si="371"/>
        <v>-5.012017683557235</v>
      </c>
      <c r="AW178" s="92">
        <f t="shared" si="371"/>
        <v>-5.2882553921406172</v>
      </c>
      <c r="AX178" s="92">
        <f t="shared" si="371"/>
        <v>-5.3046562202709531</v>
      </c>
      <c r="AY178" s="92">
        <f t="shared" si="371"/>
        <v>-4.7987481341363765</v>
      </c>
      <c r="AZ178" s="92">
        <f t="shared" si="371"/>
        <v>-4.8712728113957109</v>
      </c>
      <c r="BA178" s="92">
        <f t="shared" si="371"/>
        <v>-4.6731937165791715</v>
      </c>
      <c r="BB178" s="92">
        <f t="shared" si="371"/>
        <v>-4.9464189375639229</v>
      </c>
      <c r="BC178" s="92">
        <f t="shared" si="371"/>
        <v>-5.1952978858962329</v>
      </c>
      <c r="BD178" s="92">
        <f t="shared" ref="BD178" si="372">(BD171/BC171-1)*100</f>
        <v>30.025580447106414</v>
      </c>
      <c r="BE178" s="92">
        <f t="shared" ref="BE178" si="373">(BE171/BD171-1)*100</f>
        <v>-4.2407533860099651</v>
      </c>
      <c r="BF178" s="92">
        <f t="shared" ref="BF178" si="374">(BF171/BE171-1)*100</f>
        <v>-3.7146676543680868</v>
      </c>
      <c r="BG178" s="92">
        <f t="shared" ref="BG178" si="375">(BG171/BF171-1)*100</f>
        <v>-3.5407430903112269</v>
      </c>
      <c r="BH178" s="92">
        <f t="shared" ref="BH178" si="376">(BH171/BG171-1)*100</f>
        <v>-3.1045556946274089</v>
      </c>
      <c r="BI178" s="92">
        <f t="shared" ref="BI178" si="377">(BI171/BH171-1)*100</f>
        <v>-3.2269882398209271</v>
      </c>
      <c r="BJ178" s="92">
        <f t="shared" ref="BJ178" si="378">(BJ171/BI171-1)*100</f>
        <v>-2.985292602410361</v>
      </c>
      <c r="BK178" s="92">
        <f t="shared" ref="BK178" si="379">(BK171/BJ171-1)*100</f>
        <v>-3.2872397546194976</v>
      </c>
      <c r="BL178" s="92">
        <f t="shared" ref="BL178" si="380">(BL171/BK171-1)*100</f>
        <v>-3.2402011814538945</v>
      </c>
      <c r="BM178" s="92">
        <f t="shared" ref="BM178" si="381">(BM171/BL171-1)*100</f>
        <v>-3.2990452567024708</v>
      </c>
    </row>
    <row r="179" spans="1:65"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  <c r="BM179" s="92"/>
    </row>
    <row r="180" spans="1:65" outlineLevel="1">
      <c r="A180" s="78" t="s">
        <v>249</v>
      </c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  <c r="BL180" s="92"/>
      <c r="BM180" s="92"/>
    </row>
    <row r="181" spans="1:65" outlineLevel="1">
      <c r="A181" s="79" t="s">
        <v>8</v>
      </c>
      <c r="B181" s="92">
        <f t="shared" ref="B181:AI181" si="382">B160/B168</f>
        <v>730.66894710246288</v>
      </c>
      <c r="C181" s="92">
        <f t="shared" si="382"/>
        <v>483.74033911004005</v>
      </c>
      <c r="D181" s="92">
        <f t="shared" si="382"/>
        <v>709.20203758744742</v>
      </c>
      <c r="E181" s="92">
        <f t="shared" si="382"/>
        <v>1449.3370455398779</v>
      </c>
      <c r="F181" s="92">
        <f t="shared" si="382"/>
        <v>1339.7996811522207</v>
      </c>
      <c r="G181" s="92">
        <f t="shared" si="382"/>
        <v>1162.6680298384988</v>
      </c>
      <c r="H181" s="92">
        <f t="shared" si="382"/>
        <v>1166.0340102024818</v>
      </c>
      <c r="I181" s="92">
        <f t="shared" si="382"/>
        <v>1494.8741705326904</v>
      </c>
      <c r="J181" s="92">
        <f t="shared" si="382"/>
        <v>2155.292907450314</v>
      </c>
      <c r="K181" s="92">
        <f t="shared" si="382"/>
        <v>2729.4932088304595</v>
      </c>
      <c r="L181" s="92">
        <f>L160/L168</f>
        <v>2646.5321194373118</v>
      </c>
      <c r="M181" s="92">
        <f>M160/M168</f>
        <v>3606.1750233527409</v>
      </c>
      <c r="N181" s="92">
        <f t="shared" si="382"/>
        <v>2462.7309739984876</v>
      </c>
      <c r="O181" s="92">
        <f t="shared" si="382"/>
        <v>3275.1319739468695</v>
      </c>
      <c r="P181" s="92">
        <f t="shared" si="382"/>
        <v>4571.6108808551089</v>
      </c>
      <c r="Q181" s="92">
        <f>Q160/Q168</f>
        <v>4310.9956902131598</v>
      </c>
      <c r="R181" s="92">
        <f t="shared" si="382"/>
        <v>4140.5240499123256</v>
      </c>
      <c r="S181" s="92">
        <f t="shared" si="382"/>
        <v>4815.2509552307693</v>
      </c>
      <c r="T181" s="92">
        <f t="shared" si="382"/>
        <v>3273.8915176624246</v>
      </c>
      <c r="U181" s="92">
        <f t="shared" si="382"/>
        <v>2855.8350998841702</v>
      </c>
      <c r="V181" s="92">
        <f t="shared" si="382"/>
        <v>3419.4273424913081</v>
      </c>
      <c r="W181" s="92">
        <f t="shared" si="382"/>
        <v>4479.800265461281</v>
      </c>
      <c r="X181" s="92">
        <f t="shared" si="382"/>
        <v>4372.2578244289416</v>
      </c>
      <c r="Y181" s="92">
        <f t="shared" si="382"/>
        <v>3034.5960784360509</v>
      </c>
      <c r="Z181" s="92">
        <f t="shared" si="382"/>
        <v>4521.1669574892894</v>
      </c>
      <c r="AA181" s="92">
        <f t="shared" si="382"/>
        <v>7130.7514102060431</v>
      </c>
      <c r="AB181" s="92">
        <f t="shared" si="382"/>
        <v>6412.6795741931664</v>
      </c>
      <c r="AC181" s="92">
        <f t="shared" si="382"/>
        <v>6342.9404803137977</v>
      </c>
      <c r="AD181" s="92">
        <f t="shared" si="382"/>
        <v>5335.6093411987422</v>
      </c>
      <c r="AE181" s="92">
        <f t="shared" si="382"/>
        <v>5003.2822477104064</v>
      </c>
      <c r="AF181" s="92">
        <f t="shared" si="382"/>
        <v>5042.8401679189074</v>
      </c>
      <c r="AG181" s="92">
        <f t="shared" si="382"/>
        <v>5182.793824739294</v>
      </c>
      <c r="AH181" s="92">
        <f t="shared" si="382"/>
        <v>5337.0087483017933</v>
      </c>
      <c r="AI181" s="92">
        <f t="shared" si="382"/>
        <v>5434.6815583692342</v>
      </c>
      <c r="AJ181" s="92">
        <f t="shared" ref="AJ181:BC181" si="383">AJ160/AJ168</f>
        <v>5741.9343501215926</v>
      </c>
      <c r="AK181" s="92">
        <f t="shared" si="383"/>
        <v>6025.1596689540156</v>
      </c>
      <c r="AL181" s="92">
        <f t="shared" si="383"/>
        <v>6353.1336859783114</v>
      </c>
      <c r="AM181" s="92">
        <f t="shared" si="383"/>
        <v>6646.3583286902867</v>
      </c>
      <c r="AN181" s="92">
        <f t="shared" si="383"/>
        <v>6961.1730812379319</v>
      </c>
      <c r="AO181" s="92">
        <f t="shared" si="383"/>
        <v>7139.9925353094832</v>
      </c>
      <c r="AP181" s="92">
        <f t="shared" si="383"/>
        <v>7330.366609148813</v>
      </c>
      <c r="AQ181" s="92">
        <f t="shared" si="383"/>
        <v>7573.904677032906</v>
      </c>
      <c r="AR181" s="92">
        <f t="shared" si="383"/>
        <v>7817.8635353047675</v>
      </c>
      <c r="AS181" s="92">
        <f t="shared" si="383"/>
        <v>8066.7182680917085</v>
      </c>
      <c r="AT181" s="92">
        <f t="shared" si="383"/>
        <v>8312.3110831933373</v>
      </c>
      <c r="AU181" s="92">
        <f t="shared" si="383"/>
        <v>8580.0108375202562</v>
      </c>
      <c r="AV181" s="92">
        <f t="shared" si="383"/>
        <v>8859.858157153958</v>
      </c>
      <c r="AW181" s="92">
        <f t="shared" si="383"/>
        <v>9131.1262427261136</v>
      </c>
      <c r="AX181" s="92">
        <f t="shared" si="383"/>
        <v>9455.7682390856262</v>
      </c>
      <c r="AY181" s="92">
        <f t="shared" si="383"/>
        <v>9783.3572115913666</v>
      </c>
      <c r="AZ181" s="92">
        <f t="shared" si="383"/>
        <v>10158.663899297284</v>
      </c>
      <c r="BA181" s="92">
        <f t="shared" si="383"/>
        <v>10509.421326448562</v>
      </c>
      <c r="BB181" s="92">
        <f t="shared" si="383"/>
        <v>10980.006708438736</v>
      </c>
      <c r="BC181" s="92">
        <f t="shared" si="383"/>
        <v>11443.863533076559</v>
      </c>
      <c r="BD181" s="92">
        <f t="shared" ref="BD181:BM181" si="384">BD160/BD168</f>
        <v>7321.1000224720074</v>
      </c>
      <c r="BE181" s="92">
        <f t="shared" si="384"/>
        <v>7468.5101161133543</v>
      </c>
      <c r="BF181" s="92">
        <f t="shared" si="384"/>
        <v>7617.9359034594572</v>
      </c>
      <c r="BG181" s="92">
        <f t="shared" si="384"/>
        <v>7769.9954798615872</v>
      </c>
      <c r="BH181" s="92">
        <f t="shared" si="384"/>
        <v>7926.7207397355196</v>
      </c>
      <c r="BI181" s="92">
        <f t="shared" si="384"/>
        <v>8084.9451420504611</v>
      </c>
      <c r="BJ181" s="92">
        <f t="shared" si="384"/>
        <v>8246.6277636412069</v>
      </c>
      <c r="BK181" s="92">
        <f t="shared" si="384"/>
        <v>8409.5131358125327</v>
      </c>
      <c r="BL181" s="92">
        <f t="shared" si="384"/>
        <v>8575.7166488559069</v>
      </c>
      <c r="BM181" s="92">
        <f t="shared" si="384"/>
        <v>8745.8834196699008</v>
      </c>
    </row>
    <row r="182" spans="1:65" outlineLevel="1">
      <c r="A182" s="79" t="s">
        <v>9</v>
      </c>
      <c r="B182" s="92">
        <f t="shared" ref="B182:AI182" si="385">B161/B169</f>
        <v>590.14878268710549</v>
      </c>
      <c r="C182" s="92">
        <f t="shared" si="385"/>
        <v>538.19379515512117</v>
      </c>
      <c r="D182" s="92">
        <f t="shared" si="385"/>
        <v>422.1560574948665</v>
      </c>
      <c r="E182" s="92">
        <f t="shared" si="385"/>
        <v>875.85283575795904</v>
      </c>
      <c r="F182" s="92">
        <f t="shared" si="385"/>
        <v>1096.9806094182825</v>
      </c>
      <c r="G182" s="92">
        <f t="shared" si="385"/>
        <v>811.46955592858228</v>
      </c>
      <c r="H182" s="92">
        <f t="shared" si="385"/>
        <v>793.16330728095443</v>
      </c>
      <c r="I182" s="92">
        <f t="shared" si="385"/>
        <v>888.49557522123905</v>
      </c>
      <c r="J182" s="92">
        <f t="shared" si="385"/>
        <v>1165.9449048675149</v>
      </c>
      <c r="K182" s="92">
        <f t="shared" si="385"/>
        <v>1651.0619970531566</v>
      </c>
      <c r="L182" s="92">
        <f t="shared" si="385"/>
        <v>1496.8557225172297</v>
      </c>
      <c r="M182" s="92">
        <f t="shared" si="385"/>
        <v>2147.909811090798</v>
      </c>
      <c r="N182" s="92">
        <f t="shared" si="385"/>
        <v>1589.5559018309309</v>
      </c>
      <c r="O182" s="92">
        <f t="shared" si="385"/>
        <v>1509.5296622471694</v>
      </c>
      <c r="P182" s="92">
        <f t="shared" si="385"/>
        <v>1919.5468589083421</v>
      </c>
      <c r="Q182" s="92">
        <f>Q161/Q169</f>
        <v>2155.687186828919</v>
      </c>
      <c r="R182" s="92">
        <f>R161/R169</f>
        <v>2251.2198581560283</v>
      </c>
      <c r="S182" s="92">
        <f t="shared" si="385"/>
        <v>2008.403041825095</v>
      </c>
      <c r="T182" s="92">
        <f t="shared" si="385"/>
        <v>1875.691846099541</v>
      </c>
      <c r="U182" s="92">
        <f t="shared" si="385"/>
        <v>1341.0791685095089</v>
      </c>
      <c r="V182" s="92">
        <f>V161/V169</f>
        <v>1597.270442120441</v>
      </c>
      <c r="W182" s="92">
        <f t="shared" si="385"/>
        <v>2129.1642016348169</v>
      </c>
      <c r="X182" s="92">
        <f t="shared" si="385"/>
        <v>1467.5611305152472</v>
      </c>
      <c r="Y182" s="92">
        <f t="shared" si="385"/>
        <v>1033.5138084362193</v>
      </c>
      <c r="Z182" s="92">
        <f t="shared" si="385"/>
        <v>4590.3534305419007</v>
      </c>
      <c r="AA182" s="92">
        <f t="shared" si="385"/>
        <v>12121.854586003004</v>
      </c>
      <c r="AB182" s="92">
        <f t="shared" si="385"/>
        <v>5427.3619074905764</v>
      </c>
      <c r="AC182" s="92">
        <f t="shared" si="385"/>
        <v>4390.483828634794</v>
      </c>
      <c r="AD182" s="92">
        <f t="shared" si="385"/>
        <v>5129.3206082680172</v>
      </c>
      <c r="AE182" s="92">
        <f t="shared" si="385"/>
        <v>3939.0087927710865</v>
      </c>
      <c r="AF182" s="92">
        <f t="shared" si="385"/>
        <v>3190.4586262277257</v>
      </c>
      <c r="AG182" s="92">
        <f t="shared" si="385"/>
        <v>3255.8108233314156</v>
      </c>
      <c r="AH182" s="92">
        <f t="shared" si="385"/>
        <v>3355.5262029975252</v>
      </c>
      <c r="AI182" s="92">
        <f t="shared" si="385"/>
        <v>2714.5214841045945</v>
      </c>
      <c r="AJ182" s="92">
        <f t="shared" ref="AJ182:BC182" si="386">AJ161/AJ169</f>
        <v>2734.1275181031142</v>
      </c>
      <c r="AK182" s="92">
        <f t="shared" si="386"/>
        <v>2743.9999931623865</v>
      </c>
      <c r="AL182" s="92">
        <f t="shared" si="386"/>
        <v>2771.1711006216406</v>
      </c>
      <c r="AM182" s="92">
        <f t="shared" si="386"/>
        <v>2791.7495587029225</v>
      </c>
      <c r="AN182" s="92">
        <f t="shared" si="386"/>
        <v>2804.0973886800034</v>
      </c>
      <c r="AO182" s="92">
        <f t="shared" si="386"/>
        <v>2816.5289862290347</v>
      </c>
      <c r="AP182" s="92">
        <f t="shared" si="386"/>
        <v>2817.9438938335184</v>
      </c>
      <c r="AQ182" s="92">
        <f t="shared" si="386"/>
        <v>2831.138733882261</v>
      </c>
      <c r="AR182" s="92">
        <f t="shared" si="386"/>
        <v>2844.0806341972434</v>
      </c>
      <c r="AS182" s="92">
        <f t="shared" si="386"/>
        <v>2847.4019653968958</v>
      </c>
      <c r="AT182" s="92">
        <f t="shared" si="386"/>
        <v>2910.2810271282415</v>
      </c>
      <c r="AU182" s="92">
        <f t="shared" si="386"/>
        <v>2927.1373753295793</v>
      </c>
      <c r="AV182" s="92">
        <f t="shared" si="386"/>
        <v>2983.3598283511701</v>
      </c>
      <c r="AW182" s="92">
        <f t="shared" si="386"/>
        <v>3042.969547448341</v>
      </c>
      <c r="AX182" s="92">
        <f t="shared" si="386"/>
        <v>3101.2146431673114</v>
      </c>
      <c r="AY182" s="92">
        <f t="shared" si="386"/>
        <v>3163.2513465876577</v>
      </c>
      <c r="AZ182" s="92">
        <f t="shared" si="386"/>
        <v>3229.1824931364408</v>
      </c>
      <c r="BA182" s="92">
        <f t="shared" si="386"/>
        <v>3300.4380596241513</v>
      </c>
      <c r="BB182" s="92">
        <f t="shared" si="386"/>
        <v>3401.5953302289213</v>
      </c>
      <c r="BC182" s="92">
        <f t="shared" si="386"/>
        <v>3498.6771793888647</v>
      </c>
      <c r="BD182" s="92">
        <f t="shared" ref="BD182:BM182" si="387">BD161/BD169</f>
        <v>3435.7037745675616</v>
      </c>
      <c r="BE182" s="92">
        <f t="shared" si="387"/>
        <v>3509.5249870867274</v>
      </c>
      <c r="BF182" s="92">
        <f t="shared" si="387"/>
        <v>3581.5613438235519</v>
      </c>
      <c r="BG182" s="92">
        <f t="shared" si="387"/>
        <v>3655.5161922527077</v>
      </c>
      <c r="BH182" s="92">
        <f t="shared" si="387"/>
        <v>3734.1795116003209</v>
      </c>
      <c r="BI182" s="92">
        <f t="shared" si="387"/>
        <v>3809.8538587013059</v>
      </c>
      <c r="BJ182" s="92">
        <f t="shared" si="387"/>
        <v>3878.5188613396908</v>
      </c>
      <c r="BK182" s="92">
        <f t="shared" si="387"/>
        <v>3952.0915658352915</v>
      </c>
      <c r="BL182" s="92">
        <f t="shared" si="387"/>
        <v>4029.8159190430429</v>
      </c>
      <c r="BM182" s="92">
        <f t="shared" si="387"/>
        <v>4108.9344311478808</v>
      </c>
    </row>
    <row r="183" spans="1:65" outlineLevel="1">
      <c r="A183" s="79" t="s">
        <v>10</v>
      </c>
      <c r="B183" s="92">
        <f t="shared" ref="B183:AI183" si="388">B162/B170</f>
        <v>3341.0808749999997</v>
      </c>
      <c r="C183" s="92">
        <f t="shared" si="388"/>
        <v>2218.3945507246381</v>
      </c>
      <c r="D183" s="92">
        <f t="shared" si="388"/>
        <v>3844.2975830815703</v>
      </c>
      <c r="E183" s="92">
        <f t="shared" si="388"/>
        <v>12768.407529411756</v>
      </c>
      <c r="F183" s="92">
        <f t="shared" si="388"/>
        <v>9448.6859328358223</v>
      </c>
      <c r="G183" s="92">
        <f t="shared" si="388"/>
        <v>9680.2029411764615</v>
      </c>
      <c r="H183" s="92">
        <f t="shared" si="388"/>
        <v>7662.0601952401639</v>
      </c>
      <c r="I183" s="92">
        <f t="shared" si="388"/>
        <v>1480.0684605112233</v>
      </c>
      <c r="J183" s="92">
        <f t="shared" si="388"/>
        <v>2038.3568409108282</v>
      </c>
      <c r="K183" s="92">
        <f t="shared" si="388"/>
        <v>2163.9266195019495</v>
      </c>
      <c r="L183" s="92">
        <f t="shared" si="388"/>
        <v>2045.4954217457171</v>
      </c>
      <c r="M183" s="92">
        <f t="shared" si="388"/>
        <v>2822.8619867815351</v>
      </c>
      <c r="N183" s="92">
        <f t="shared" si="388"/>
        <v>2222.5718696182485</v>
      </c>
      <c r="O183" s="92">
        <f t="shared" si="388"/>
        <v>2834.4416200643959</v>
      </c>
      <c r="P183" s="92">
        <f t="shared" si="388"/>
        <v>3546.353369763206</v>
      </c>
      <c r="Q183" s="92">
        <f t="shared" si="388"/>
        <v>3608.7126948775058</v>
      </c>
      <c r="R183" s="92">
        <f t="shared" si="388"/>
        <v>3534.4446831364126</v>
      </c>
      <c r="S183" s="92">
        <f t="shared" si="388"/>
        <v>2946.7966677278996</v>
      </c>
      <c r="T183" s="92">
        <f t="shared" si="388"/>
        <v>2036.2468292482945</v>
      </c>
      <c r="U183" s="92">
        <f t="shared" si="388"/>
        <v>1852.4197407776669</v>
      </c>
      <c r="V183" s="92">
        <f t="shared" si="388"/>
        <v>2389.4588002651312</v>
      </c>
      <c r="W183" s="92">
        <f t="shared" si="388"/>
        <v>2842.0632909937435</v>
      </c>
      <c r="X183" s="92">
        <f t="shared" si="388"/>
        <v>2757.0685670898633</v>
      </c>
      <c r="Y183" s="92">
        <f t="shared" si="388"/>
        <v>2064.070042412859</v>
      </c>
      <c r="Z183" s="92">
        <f t="shared" si="388"/>
        <v>3076.0067629575806</v>
      </c>
      <c r="AA183" s="92">
        <f t="shared" si="388"/>
        <v>6170.6879210102061</v>
      </c>
      <c r="AB183" s="92">
        <f t="shared" si="388"/>
        <v>5657.2887971667624</v>
      </c>
      <c r="AC183" s="92">
        <f t="shared" si="388"/>
        <v>4743.3599808743566</v>
      </c>
      <c r="AD183" s="92">
        <f t="shared" si="388"/>
        <v>3955.026424019165</v>
      </c>
      <c r="AE183" s="92">
        <f t="shared" si="388"/>
        <v>3656.7259110174077</v>
      </c>
      <c r="AF183" s="92">
        <f t="shared" si="388"/>
        <v>3642.5586274998473</v>
      </c>
      <c r="AG183" s="92">
        <f t="shared" si="388"/>
        <v>3663.5196107750007</v>
      </c>
      <c r="AH183" s="92">
        <f t="shared" si="388"/>
        <v>3718.3370700378</v>
      </c>
      <c r="AI183" s="92">
        <f t="shared" si="388"/>
        <v>3807.4439349987742</v>
      </c>
      <c r="AJ183" s="92">
        <f t="shared" ref="AJ183:BC183" si="389">AJ162/AJ170</f>
        <v>4193.9592608143093</v>
      </c>
      <c r="AK183" s="92">
        <f t="shared" si="389"/>
        <v>4563.4910156323813</v>
      </c>
      <c r="AL183" s="92">
        <f t="shared" si="389"/>
        <v>5173.1908335789176</v>
      </c>
      <c r="AM183" s="92">
        <f t="shared" si="389"/>
        <v>5921.7111175943555</v>
      </c>
      <c r="AN183" s="92">
        <f t="shared" si="389"/>
        <v>7036.1868524354086</v>
      </c>
      <c r="AO183" s="92">
        <f t="shared" si="389"/>
        <v>8163.098339398749</v>
      </c>
      <c r="AP183" s="92">
        <f t="shared" si="389"/>
        <v>10852.119314438616</v>
      </c>
      <c r="AQ183" s="92">
        <f t="shared" si="389"/>
        <v>18181.722684919449</v>
      </c>
      <c r="AR183" s="92">
        <f t="shared" si="389"/>
        <v>38710.331990391351</v>
      </c>
      <c r="AS183" s="92">
        <f t="shared" si="389"/>
        <v>2574692.3350357432</v>
      </c>
      <c r="AT183" s="92">
        <f t="shared" si="389"/>
        <v>-29969.731686941144</v>
      </c>
      <c r="AU183" s="92">
        <f t="shared" si="389"/>
        <v>-15463.850614764633</v>
      </c>
      <c r="AV183" s="92">
        <f t="shared" si="389"/>
        <v>-10292.321006545457</v>
      </c>
      <c r="AW183" s="92">
        <f t="shared" si="389"/>
        <v>-6989.1760113145747</v>
      </c>
      <c r="AX183" s="92">
        <f t="shared" si="389"/>
        <v>-5563.9429251699403</v>
      </c>
      <c r="AY183" s="92">
        <f t="shared" si="389"/>
        <v>-3940.1779702165213</v>
      </c>
      <c r="AZ183" s="92">
        <f t="shared" si="389"/>
        <v>-3609.6072555775127</v>
      </c>
      <c r="BA183" s="92">
        <f t="shared" si="389"/>
        <v>-2481.7398451997615</v>
      </c>
      <c r="BB183" s="92">
        <f t="shared" si="389"/>
        <v>-1805.1504714059438</v>
      </c>
      <c r="BC183" s="92">
        <f t="shared" si="389"/>
        <v>-1427.8357941552151</v>
      </c>
      <c r="BD183" s="92">
        <f t="shared" ref="BD183:BM183" si="390">BD162/BD170</f>
        <v>5209.7747075960888</v>
      </c>
      <c r="BE183" s="92">
        <f t="shared" si="390"/>
        <v>5366.1531934633458</v>
      </c>
      <c r="BF183" s="92">
        <f t="shared" si="390"/>
        <v>5406.9253159230066</v>
      </c>
      <c r="BG183" s="92">
        <f t="shared" si="390"/>
        <v>5430.8373646684122</v>
      </c>
      <c r="BH183" s="92">
        <f t="shared" si="390"/>
        <v>5402.4369854675278</v>
      </c>
      <c r="BI183" s="92">
        <f t="shared" si="390"/>
        <v>5473.3324210275114</v>
      </c>
      <c r="BJ183" s="92">
        <f t="shared" si="390"/>
        <v>4816.6444516674801</v>
      </c>
      <c r="BK183" s="92">
        <f t="shared" si="390"/>
        <v>4912.9773407008288</v>
      </c>
      <c r="BL183" s="92">
        <f t="shared" si="390"/>
        <v>5011.2368875148395</v>
      </c>
      <c r="BM183" s="92">
        <f t="shared" si="390"/>
        <v>5111.4616252651495</v>
      </c>
    </row>
    <row r="184" spans="1:65" outlineLevel="1">
      <c r="A184" s="79" t="s">
        <v>14</v>
      </c>
      <c r="B184" s="92">
        <f t="shared" ref="B184:AI184" si="391">B163/(B168+B170)</f>
        <v>788.70712014226137</v>
      </c>
      <c r="C184" s="92">
        <f t="shared" si="391"/>
        <v>518.49588257987205</v>
      </c>
      <c r="D184" s="92">
        <f t="shared" si="391"/>
        <v>769.53439953852615</v>
      </c>
      <c r="E184" s="92">
        <f t="shared" si="391"/>
        <v>1554.5558765907431</v>
      </c>
      <c r="F184" s="92">
        <f t="shared" si="391"/>
        <v>1463.5407209622788</v>
      </c>
      <c r="G184" s="92">
        <f t="shared" si="391"/>
        <v>1300.2161807025432</v>
      </c>
      <c r="H184" s="92">
        <f t="shared" si="391"/>
        <v>1300.1031302949548</v>
      </c>
      <c r="I184" s="92">
        <f t="shared" si="391"/>
        <v>1493.1745765786889</v>
      </c>
      <c r="J184" s="92">
        <f t="shared" si="391"/>
        <v>2139.7263368456552</v>
      </c>
      <c r="K184" s="92">
        <f t="shared" si="391"/>
        <v>2642.6575979616528</v>
      </c>
      <c r="L184" s="92">
        <f t="shared" si="391"/>
        <v>2566.2425971216203</v>
      </c>
      <c r="M184" s="92">
        <f t="shared" si="391"/>
        <v>3492.5557491917712</v>
      </c>
      <c r="N184" s="92">
        <f t="shared" si="391"/>
        <v>2427.2301518087129</v>
      </c>
      <c r="O184" s="92">
        <f t="shared" si="391"/>
        <v>3207.1458757574828</v>
      </c>
      <c r="P184" s="92">
        <f t="shared" si="391"/>
        <v>4382.5964826589025</v>
      </c>
      <c r="Q184" s="92">
        <f t="shared" si="391"/>
        <v>4171.273246745357</v>
      </c>
      <c r="R184" s="92">
        <f t="shared" si="391"/>
        <v>4017.717156070119</v>
      </c>
      <c r="S184" s="92">
        <f t="shared" si="391"/>
        <v>4448.7020253046858</v>
      </c>
      <c r="T184" s="92">
        <f t="shared" si="391"/>
        <v>3037.1153807607507</v>
      </c>
      <c r="U184" s="92">
        <f t="shared" si="391"/>
        <v>2669.6668414335927</v>
      </c>
      <c r="V184" s="92">
        <f t="shared" si="391"/>
        <v>3225.1205971358531</v>
      </c>
      <c r="W184" s="92">
        <f t="shared" si="391"/>
        <v>4163.8185702301662</v>
      </c>
      <c r="X184" s="92">
        <f t="shared" si="391"/>
        <v>4082.3004517118266</v>
      </c>
      <c r="Y184" s="92">
        <f t="shared" si="391"/>
        <v>2894.9287524961874</v>
      </c>
      <c r="Z184" s="92">
        <f t="shared" si="391"/>
        <v>4358.9518534949848</v>
      </c>
      <c r="AA184" s="92">
        <f t="shared" si="391"/>
        <v>7043.922836114557</v>
      </c>
      <c r="AB184" s="92">
        <f t="shared" si="391"/>
        <v>6345.5673517844252</v>
      </c>
      <c r="AC184" s="92">
        <f t="shared" si="391"/>
        <v>6182.3338550554727</v>
      </c>
      <c r="AD184" s="92">
        <f t="shared" si="391"/>
        <v>5194.7546296417931</v>
      </c>
      <c r="AE184" s="92">
        <f t="shared" si="391"/>
        <v>4850.4025456155287</v>
      </c>
      <c r="AF184" s="92">
        <f t="shared" si="391"/>
        <v>4874.2607035623469</v>
      </c>
      <c r="AG184" s="92">
        <f t="shared" si="391"/>
        <v>4979.1723963537006</v>
      </c>
      <c r="AH184" s="92">
        <f t="shared" si="391"/>
        <v>5100.743844470122</v>
      </c>
      <c r="AI184" s="92">
        <f t="shared" si="391"/>
        <v>5193.104760316035</v>
      </c>
      <c r="AJ184" s="92">
        <f t="shared" ref="AJ184:BC184" si="392">AJ163/(AJ168+AJ170)</f>
        <v>5534.4438638276588</v>
      </c>
      <c r="AK184" s="92">
        <f t="shared" si="392"/>
        <v>5844.5750645422459</v>
      </c>
      <c r="AL184" s="92">
        <f t="shared" si="392"/>
        <v>6228.3846748191509</v>
      </c>
      <c r="AM184" s="92">
        <f t="shared" si="392"/>
        <v>6582.7197786269717</v>
      </c>
      <c r="AN184" s="92">
        <f t="shared" si="392"/>
        <v>6966.4424177401834</v>
      </c>
      <c r="AO184" s="92">
        <f t="shared" si="392"/>
        <v>7199.8380517692885</v>
      </c>
      <c r="AP184" s="92">
        <f t="shared" si="392"/>
        <v>7474.0625648480618</v>
      </c>
      <c r="AQ184" s="92">
        <f t="shared" si="392"/>
        <v>7814.8167923495121</v>
      </c>
      <c r="AR184" s="92">
        <f t="shared" si="392"/>
        <v>8135.0705237681759</v>
      </c>
      <c r="AS184" s="92">
        <f t="shared" si="392"/>
        <v>8453.4472892317626</v>
      </c>
      <c r="AT184" s="92">
        <f t="shared" si="392"/>
        <v>8775.580935217602</v>
      </c>
      <c r="AU184" s="92">
        <f t="shared" si="392"/>
        <v>9130.8415398153829</v>
      </c>
      <c r="AV184" s="92">
        <f t="shared" si="392"/>
        <v>9506.0144458054237</v>
      </c>
      <c r="AW184" s="92">
        <f t="shared" si="392"/>
        <v>9889.843873792599</v>
      </c>
      <c r="AX184" s="92">
        <f t="shared" si="392"/>
        <v>10330.155283315902</v>
      </c>
      <c r="AY184" s="92">
        <f t="shared" si="392"/>
        <v>10819.342923031696</v>
      </c>
      <c r="AZ184" s="92">
        <f t="shared" si="392"/>
        <v>11327.017381607733</v>
      </c>
      <c r="BA184" s="92">
        <f t="shared" si="392"/>
        <v>11886.930406845255</v>
      </c>
      <c r="BB184" s="92">
        <f t="shared" si="392"/>
        <v>12611.628094292988</v>
      </c>
      <c r="BC184" s="92">
        <f t="shared" si="392"/>
        <v>13318.683529455651</v>
      </c>
      <c r="BD184" s="92">
        <f t="shared" ref="BD184:BM184" si="393">BD163/(BD168+BD170)</f>
        <v>7282.5891113074322</v>
      </c>
      <c r="BE184" s="92">
        <f t="shared" si="393"/>
        <v>7441.1555447235924</v>
      </c>
      <c r="BF184" s="92">
        <f t="shared" si="393"/>
        <v>7594.1792349578109</v>
      </c>
      <c r="BG184" s="92">
        <f t="shared" si="393"/>
        <v>7751.2147588414318</v>
      </c>
      <c r="BH184" s="92">
        <f t="shared" si="393"/>
        <v>7912.1947996215322</v>
      </c>
      <c r="BI184" s="92">
        <f t="shared" si="393"/>
        <v>8074.4253156998438</v>
      </c>
      <c r="BJ184" s="92">
        <f t="shared" si="393"/>
        <v>8238.6803103751736</v>
      </c>
      <c r="BK184" s="92">
        <f t="shared" si="393"/>
        <v>8401.4448830083402</v>
      </c>
      <c r="BL184" s="92">
        <f t="shared" si="393"/>
        <v>8567.6334866854886</v>
      </c>
      <c r="BM184" s="92">
        <f t="shared" si="393"/>
        <v>8739.8109244386815</v>
      </c>
    </row>
    <row r="185" spans="1:65" outlineLevel="1"/>
    <row r="186" spans="1:65" outlineLevel="1">
      <c r="B186" s="92"/>
      <c r="C186" s="92"/>
      <c r="D186" s="92"/>
      <c r="E186" s="92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  <c r="BL186" s="92"/>
      <c r="BM186" s="92"/>
    </row>
    <row r="187" spans="1:65" outlineLevel="1">
      <c r="A187" s="78" t="s">
        <v>243</v>
      </c>
      <c r="B187" s="92"/>
      <c r="C187" s="92"/>
      <c r="D187" s="92"/>
      <c r="E187" s="92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</row>
    <row r="188" spans="1:65" outlineLevel="1">
      <c r="A188" s="79" t="s">
        <v>304</v>
      </c>
      <c r="B188" s="92"/>
      <c r="C188" s="92"/>
      <c r="D188" s="92"/>
      <c r="F188" s="96">
        <f t="shared" ref="F188:AI188" si="394">F181/$F$181</f>
        <v>1</v>
      </c>
      <c r="G188" s="96">
        <f t="shared" si="394"/>
        <v>0.86779243658172123</v>
      </c>
      <c r="H188" s="96">
        <f t="shared" si="394"/>
        <v>0.87030473779460715</v>
      </c>
      <c r="I188" s="96">
        <f t="shared" si="394"/>
        <v>1.1157445337254495</v>
      </c>
      <c r="J188" s="96">
        <f t="shared" si="394"/>
        <v>1.6086680253549346</v>
      </c>
      <c r="K188" s="96">
        <f t="shared" si="394"/>
        <v>2.0372397808626954</v>
      </c>
      <c r="L188" s="96">
        <f t="shared" si="394"/>
        <v>1.9753192635195345</v>
      </c>
      <c r="M188" s="96">
        <f>M181/$F$181</f>
        <v>2.6915777590359249</v>
      </c>
      <c r="N188" s="96">
        <f t="shared" si="394"/>
        <v>1.8381337215131681</v>
      </c>
      <c r="O188" s="96">
        <f t="shared" si="394"/>
        <v>2.4444937702405429</v>
      </c>
      <c r="P188" s="96">
        <f t="shared" si="394"/>
        <v>3.4121600006081114</v>
      </c>
      <c r="Q188" s="96">
        <f t="shared" si="394"/>
        <v>3.2176419735416908</v>
      </c>
      <c r="R188" s="96">
        <f t="shared" si="394"/>
        <v>3.0904053107039826</v>
      </c>
      <c r="S188" s="96">
        <f t="shared" si="394"/>
        <v>3.5940081364175862</v>
      </c>
      <c r="T188" s="96">
        <f>T181/$F$181</f>
        <v>2.4435679181882586</v>
      </c>
      <c r="U188" s="96">
        <f t="shared" si="394"/>
        <v>2.1315388711155441</v>
      </c>
      <c r="V188" s="96">
        <f t="shared" si="394"/>
        <v>2.5521929812303124</v>
      </c>
      <c r="W188" s="96">
        <f t="shared" si="394"/>
        <v>3.3436343719746793</v>
      </c>
      <c r="X188" s="96">
        <f t="shared" si="394"/>
        <v>3.263366819634427</v>
      </c>
      <c r="Y188" s="96">
        <f t="shared" si="394"/>
        <v>2.264962532179672</v>
      </c>
      <c r="Z188" s="96">
        <f t="shared" si="394"/>
        <v>3.3745096532648144</v>
      </c>
      <c r="AA188" s="96">
        <f t="shared" si="394"/>
        <v>5.3222519086387852</v>
      </c>
      <c r="AB188" s="96">
        <f t="shared" si="394"/>
        <v>4.7862972833956006</v>
      </c>
      <c r="AC188" s="96">
        <f t="shared" si="394"/>
        <v>4.7342454021625846</v>
      </c>
      <c r="AD188" s="96">
        <f t="shared" si="394"/>
        <v>3.9823933504821749</v>
      </c>
      <c r="AE188" s="96">
        <f t="shared" si="394"/>
        <v>3.7343509765636083</v>
      </c>
      <c r="AF188" s="96">
        <f t="shared" si="394"/>
        <v>3.7638762263192147</v>
      </c>
      <c r="AG188" s="96">
        <f t="shared" si="394"/>
        <v>3.8683348694949071</v>
      </c>
      <c r="AH188" s="96">
        <f t="shared" si="394"/>
        <v>3.9834378402837007</v>
      </c>
      <c r="AI188" s="96">
        <f t="shared" si="394"/>
        <v>4.0563388951514279</v>
      </c>
      <c r="AJ188" s="96">
        <f t="shared" ref="AJ188:BC188" si="395">AJ181/$F$181</f>
        <v>4.285666305864142</v>
      </c>
      <c r="AK188" s="96">
        <f t="shared" si="395"/>
        <v>4.4970600857080436</v>
      </c>
      <c r="AL188" s="96">
        <f t="shared" si="395"/>
        <v>4.7418534093952385</v>
      </c>
      <c r="AM188" s="96">
        <f t="shared" si="395"/>
        <v>4.960710486939699</v>
      </c>
      <c r="AN188" s="96">
        <f t="shared" si="395"/>
        <v>5.1956819957229419</v>
      </c>
      <c r="AO188" s="96">
        <f t="shared" si="395"/>
        <v>5.3291493017591458</v>
      </c>
      <c r="AP188" s="96">
        <f t="shared" si="395"/>
        <v>5.471240747605445</v>
      </c>
      <c r="AQ188" s="96">
        <f t="shared" si="395"/>
        <v>5.653012747785839</v>
      </c>
      <c r="AR188" s="96">
        <f t="shared" si="395"/>
        <v>5.8350988175944671</v>
      </c>
      <c r="AS188" s="96">
        <f t="shared" si="395"/>
        <v>6.0208390713710074</v>
      </c>
      <c r="AT188" s="96">
        <f t="shared" si="395"/>
        <v>6.2041446942611547</v>
      </c>
      <c r="AU188" s="96">
        <f t="shared" si="395"/>
        <v>6.4039504996310281</v>
      </c>
      <c r="AV188" s="96">
        <f t="shared" si="395"/>
        <v>6.6128230076413557</v>
      </c>
      <c r="AW188" s="96">
        <f t="shared" si="395"/>
        <v>6.8152921449222861</v>
      </c>
      <c r="AX188" s="96">
        <f t="shared" si="395"/>
        <v>7.0575985142448419</v>
      </c>
      <c r="AY188" s="96">
        <f t="shared" si="395"/>
        <v>7.3021044483140427</v>
      </c>
      <c r="AZ188" s="96">
        <f t="shared" si="395"/>
        <v>7.5822259418369811</v>
      </c>
      <c r="BA188" s="96">
        <f t="shared" si="395"/>
        <v>7.8440243525140376</v>
      </c>
      <c r="BB188" s="96">
        <f t="shared" si="395"/>
        <v>8.1952599802053889</v>
      </c>
      <c r="BC188" s="96">
        <f t="shared" si="395"/>
        <v>8.5414735456832602</v>
      </c>
      <c r="BD188" s="96">
        <f t="shared" ref="BD188:BM188" si="396">BD181/$F$181</f>
        <v>5.4643243504699894</v>
      </c>
      <c r="BE188" s="96">
        <f t="shared" si="396"/>
        <v>5.5743483307075241</v>
      </c>
      <c r="BF188" s="96">
        <f t="shared" si="396"/>
        <v>5.6858767848847913</v>
      </c>
      <c r="BG188" s="96">
        <f t="shared" si="396"/>
        <v>5.7993710471549234</v>
      </c>
      <c r="BH188" s="96">
        <f t="shared" si="396"/>
        <v>5.9163476833481417</v>
      </c>
      <c r="BI188" s="96">
        <f t="shared" si="396"/>
        <v>6.0344432498278033</v>
      </c>
      <c r="BJ188" s="96">
        <f t="shared" si="396"/>
        <v>6.1551199628209723</v>
      </c>
      <c r="BK188" s="96">
        <f t="shared" si="396"/>
        <v>6.2766943850743386</v>
      </c>
      <c r="BL188" s="96">
        <f t="shared" si="396"/>
        <v>6.4007454020893899</v>
      </c>
      <c r="BM188" s="96">
        <f t="shared" si="396"/>
        <v>6.5277545163680637</v>
      </c>
    </row>
    <row r="189" spans="1:65" outlineLevel="1">
      <c r="A189" s="79" t="s">
        <v>242</v>
      </c>
      <c r="B189" s="92"/>
      <c r="C189" s="92"/>
      <c r="D189" s="92"/>
      <c r="F189" s="96">
        <f t="shared" ref="F189:AI189" si="397">F182/$F$182</f>
        <v>1</v>
      </c>
      <c r="G189" s="96">
        <f t="shared" si="397"/>
        <v>0.73973008179141486</v>
      </c>
      <c r="H189" s="96">
        <f t="shared" si="397"/>
        <v>0.72304223107604493</v>
      </c>
      <c r="I189" s="96">
        <f t="shared" si="397"/>
        <v>0.80994647270237452</v>
      </c>
      <c r="J189" s="96">
        <f t="shared" si="397"/>
        <v>1.0628673787459229</v>
      </c>
      <c r="K189" s="96">
        <f t="shared" si="397"/>
        <v>1.5050967928491441</v>
      </c>
      <c r="L189" s="96">
        <f t="shared" si="397"/>
        <v>1.3645234105924595</v>
      </c>
      <c r="M189" s="96">
        <f t="shared" si="397"/>
        <v>1.9580198525385171</v>
      </c>
      <c r="N189" s="96">
        <f t="shared" si="397"/>
        <v>1.4490282582787457</v>
      </c>
      <c r="O189" s="96">
        <f t="shared" si="397"/>
        <v>1.376076887127164</v>
      </c>
      <c r="P189" s="96">
        <f t="shared" si="397"/>
        <v>1.7498457515363539</v>
      </c>
      <c r="Q189" s="96">
        <f t="shared" si="397"/>
        <v>1.9651096549209359</v>
      </c>
      <c r="R189" s="96">
        <f t="shared" si="397"/>
        <v>2.0521965829002458</v>
      </c>
      <c r="S189" s="96">
        <f t="shared" si="397"/>
        <v>1.8308464384708956</v>
      </c>
      <c r="T189" s="96">
        <f t="shared" si="397"/>
        <v>1.7098678226356261</v>
      </c>
      <c r="U189" s="96">
        <f t="shared" si="397"/>
        <v>1.2225185723389125</v>
      </c>
      <c r="V189" s="96">
        <f t="shared" si="397"/>
        <v>1.4560607802971623</v>
      </c>
      <c r="W189" s="96">
        <f t="shared" si="397"/>
        <v>1.94093148352357</v>
      </c>
      <c r="X189" s="96">
        <f t="shared" si="397"/>
        <v>1.3378186614378533</v>
      </c>
      <c r="Y189" s="96">
        <f t="shared" si="397"/>
        <v>0.94214409950626288</v>
      </c>
      <c r="Z189" s="96">
        <f t="shared" si="397"/>
        <v>4.1845347047438857</v>
      </c>
      <c r="AA189" s="96">
        <f t="shared" si="397"/>
        <v>11.050199503919307</v>
      </c>
      <c r="AB189" s="96">
        <f t="shared" si="397"/>
        <v>4.9475458917807584</v>
      </c>
      <c r="AC189" s="96">
        <f t="shared" si="397"/>
        <v>4.0023349464335771</v>
      </c>
      <c r="AD189" s="96">
        <f t="shared" si="397"/>
        <v>4.6758534874996949</v>
      </c>
      <c r="AE189" s="96">
        <f t="shared" si="397"/>
        <v>3.5907734001423255</v>
      </c>
      <c r="AF189" s="96">
        <f t="shared" si="397"/>
        <v>2.9084002021873414</v>
      </c>
      <c r="AG189" s="96">
        <f t="shared" si="397"/>
        <v>2.9679748168547286</v>
      </c>
      <c r="AH189" s="96">
        <f t="shared" si="397"/>
        <v>3.0588746730691314</v>
      </c>
      <c r="AI189" s="96">
        <f t="shared" si="397"/>
        <v>2.4745391676012187</v>
      </c>
      <c r="AJ189" s="96">
        <f t="shared" ref="AJ189:BC189" si="398">AJ182/$F$182</f>
        <v>2.4924118937279975</v>
      </c>
      <c r="AK189" s="96">
        <f t="shared" si="398"/>
        <v>2.501411574282522</v>
      </c>
      <c r="AL189" s="96">
        <f t="shared" si="398"/>
        <v>2.5261805694917108</v>
      </c>
      <c r="AM189" s="96">
        <f t="shared" si="398"/>
        <v>2.5449397507430498</v>
      </c>
      <c r="AN189" s="96">
        <f t="shared" si="398"/>
        <v>2.5561959478636429</v>
      </c>
      <c r="AO189" s="96">
        <f t="shared" si="398"/>
        <v>2.5675285069283138</v>
      </c>
      <c r="AP189" s="96">
        <f t="shared" si="398"/>
        <v>2.5688183269965408</v>
      </c>
      <c r="AQ189" s="96">
        <f t="shared" si="398"/>
        <v>2.5808466526893166</v>
      </c>
      <c r="AR189" s="96">
        <f t="shared" si="398"/>
        <v>2.5926444002555615</v>
      </c>
      <c r="AS189" s="96">
        <f t="shared" si="398"/>
        <v>2.5956721029981047</v>
      </c>
      <c r="AT189" s="96">
        <f t="shared" si="398"/>
        <v>2.6529922244218458</v>
      </c>
      <c r="AU189" s="96">
        <f t="shared" si="398"/>
        <v>2.6683583558343935</v>
      </c>
      <c r="AV189" s="96">
        <f t="shared" si="398"/>
        <v>2.7196103584120919</v>
      </c>
      <c r="AW189" s="96">
        <f t="shared" si="398"/>
        <v>2.7739501695130202</v>
      </c>
      <c r="AX189" s="96">
        <f t="shared" si="398"/>
        <v>2.8270459993015313</v>
      </c>
      <c r="AY189" s="96">
        <f t="shared" si="398"/>
        <v>2.8835982326662069</v>
      </c>
      <c r="AZ189" s="96">
        <f t="shared" si="398"/>
        <v>2.9437006136770667</v>
      </c>
      <c r="BA189" s="96">
        <f t="shared" si="398"/>
        <v>3.0086566993871839</v>
      </c>
      <c r="BB189" s="96">
        <f t="shared" si="398"/>
        <v>3.100870973492186</v>
      </c>
      <c r="BC189" s="96">
        <f t="shared" si="398"/>
        <v>3.1893701213590067</v>
      </c>
      <c r="BD189" s="96">
        <f t="shared" ref="BD189:BM189" si="399">BD182/$F$182</f>
        <v>3.1319639974215039</v>
      </c>
      <c r="BE189" s="96">
        <f t="shared" si="399"/>
        <v>3.1992589084576366</v>
      </c>
      <c r="BF189" s="96">
        <f t="shared" si="399"/>
        <v>3.2649267572038645</v>
      </c>
      <c r="BG189" s="96">
        <f t="shared" si="399"/>
        <v>3.3323434898190136</v>
      </c>
      <c r="BH189" s="96">
        <f t="shared" si="399"/>
        <v>3.4040524322307921</v>
      </c>
      <c r="BI189" s="96">
        <f t="shared" si="399"/>
        <v>3.4730366480421493</v>
      </c>
      <c r="BJ189" s="96">
        <f t="shared" si="399"/>
        <v>3.5356311935143769</v>
      </c>
      <c r="BK189" s="96">
        <f t="shared" si="399"/>
        <v>3.6026995663405983</v>
      </c>
      <c r="BL189" s="96">
        <f t="shared" si="399"/>
        <v>3.6735525536590958</v>
      </c>
      <c r="BM189" s="96">
        <f t="shared" si="399"/>
        <v>3.7456764466664607</v>
      </c>
    </row>
    <row r="190" spans="1:65" outlineLevel="1">
      <c r="A190" s="79" t="s">
        <v>305</v>
      </c>
      <c r="B190" s="92"/>
      <c r="C190" s="92"/>
      <c r="D190" s="92"/>
      <c r="F190" s="96">
        <f>F183/$F$183</f>
        <v>1</v>
      </c>
      <c r="G190" s="96">
        <f t="shared" ref="G190:AI190" si="400">G183/$F$183</f>
        <v>1.024502561518748</v>
      </c>
      <c r="H190" s="96">
        <f t="shared" si="400"/>
        <v>0.81091278191533234</v>
      </c>
      <c r="I190" s="96">
        <f t="shared" si="400"/>
        <v>0.15664278303163076</v>
      </c>
      <c r="J190" s="96">
        <f t="shared" si="400"/>
        <v>0.21572913476012412</v>
      </c>
      <c r="K190" s="96">
        <f t="shared" si="400"/>
        <v>0.22901879000781783</v>
      </c>
      <c r="L190" s="96">
        <f t="shared" si="400"/>
        <v>0.21648464519677449</v>
      </c>
      <c r="M190" s="96">
        <f t="shared" si="400"/>
        <v>0.29875709774325337</v>
      </c>
      <c r="N190" s="96">
        <f t="shared" si="400"/>
        <v>0.23522549965328254</v>
      </c>
      <c r="O190" s="96">
        <f t="shared" si="400"/>
        <v>0.29998262617812493</v>
      </c>
      <c r="P190" s="96">
        <f t="shared" si="400"/>
        <v>0.37532767995166533</v>
      </c>
      <c r="Q190" s="96">
        <f t="shared" si="400"/>
        <v>0.38192746806586125</v>
      </c>
      <c r="R190" s="96">
        <f t="shared" si="400"/>
        <v>0.37406732621449551</v>
      </c>
      <c r="S190" s="96">
        <f t="shared" si="400"/>
        <v>0.3118737027216949</v>
      </c>
      <c r="T190" s="96">
        <f t="shared" si="400"/>
        <v>0.21550582205002536</v>
      </c>
      <c r="U190" s="96">
        <f t="shared" si="400"/>
        <v>0.19605051474302759</v>
      </c>
      <c r="V190" s="96">
        <f t="shared" si="400"/>
        <v>0.25288794836130041</v>
      </c>
      <c r="W190" s="96">
        <f t="shared" si="400"/>
        <v>0.30078926436924747</v>
      </c>
      <c r="X190" s="96">
        <f t="shared" si="400"/>
        <v>0.29179386283848974</v>
      </c>
      <c r="Y190" s="96">
        <f t="shared" si="400"/>
        <v>0.21845048688091723</v>
      </c>
      <c r="Z190" s="96">
        <f t="shared" si="400"/>
        <v>0.32554863023522917</v>
      </c>
      <c r="AA190" s="96">
        <f t="shared" si="400"/>
        <v>0.65307366176348347</v>
      </c>
      <c r="AB190" s="96">
        <f t="shared" si="400"/>
        <v>0.59873815654161</v>
      </c>
      <c r="AC190" s="96">
        <f t="shared" si="400"/>
        <v>0.50201266235237618</v>
      </c>
      <c r="AD190" s="96">
        <f t="shared" si="400"/>
        <v>0.4185795201716635</v>
      </c>
      <c r="AE190" s="96">
        <f t="shared" si="400"/>
        <v>0.38700893828099958</v>
      </c>
      <c r="AF190" s="96">
        <f t="shared" si="400"/>
        <v>0.38550954634245216</v>
      </c>
      <c r="AG190" s="96">
        <f t="shared" si="400"/>
        <v>0.38772794828999818</v>
      </c>
      <c r="AH190" s="96">
        <f t="shared" si="400"/>
        <v>0.39352954436933224</v>
      </c>
      <c r="AI190" s="96">
        <f t="shared" si="400"/>
        <v>0.4029601536195892</v>
      </c>
      <c r="AJ190" s="96">
        <f t="shared" ref="AJ190:BC190" si="401">AJ183/$F$183</f>
        <v>0.44386693457971477</v>
      </c>
      <c r="AK190" s="96">
        <f t="shared" si="401"/>
        <v>0.48297626231531926</v>
      </c>
      <c r="AL190" s="96">
        <f t="shared" si="401"/>
        <v>0.54750373441889755</v>
      </c>
      <c r="AM190" s="96">
        <f t="shared" si="401"/>
        <v>0.62672324592940298</v>
      </c>
      <c r="AN190" s="96">
        <f t="shared" si="401"/>
        <v>0.74467358767672009</v>
      </c>
      <c r="AO190" s="96">
        <f t="shared" si="401"/>
        <v>0.86394006504444887</v>
      </c>
      <c r="AP190" s="96">
        <f t="shared" si="401"/>
        <v>1.1485321230464036</v>
      </c>
      <c r="AQ190" s="96">
        <f t="shared" si="401"/>
        <v>1.9242593958737488</v>
      </c>
      <c r="AR190" s="96">
        <f t="shared" si="401"/>
        <v>4.0969011210189805</v>
      </c>
      <c r="AS190" s="96">
        <f t="shared" si="401"/>
        <v>272.49210666302719</v>
      </c>
      <c r="AT190" s="96">
        <f t="shared" si="401"/>
        <v>-3.171841238027727</v>
      </c>
      <c r="AU190" s="96">
        <f t="shared" si="401"/>
        <v>-1.6366138873369755</v>
      </c>
      <c r="AV190" s="96">
        <f t="shared" si="401"/>
        <v>-1.0892859684094121</v>
      </c>
      <c r="AW190" s="96">
        <f t="shared" si="401"/>
        <v>-0.739698203643956</v>
      </c>
      <c r="AX190" s="96">
        <f t="shared" si="401"/>
        <v>-0.58885891273349167</v>
      </c>
      <c r="AY190" s="96">
        <f t="shared" si="401"/>
        <v>-0.4170080366967982</v>
      </c>
      <c r="AZ190" s="96">
        <f t="shared" si="401"/>
        <v>-0.38202214373889826</v>
      </c>
      <c r="BA190" s="96">
        <f t="shared" si="401"/>
        <v>-0.26265449638613608</v>
      </c>
      <c r="BB190" s="96">
        <f t="shared" si="401"/>
        <v>-0.1910477800021623</v>
      </c>
      <c r="BC190" s="96">
        <f t="shared" si="401"/>
        <v>-0.15111474805118014</v>
      </c>
      <c r="BD190" s="96">
        <f t="shared" ref="BD190:BM190" si="402">BD183/$F$183</f>
        <v>0.55137558223744298</v>
      </c>
      <c r="BE190" s="96">
        <f t="shared" si="402"/>
        <v>0.5679258715558565</v>
      </c>
      <c r="BF190" s="96">
        <f t="shared" si="402"/>
        <v>0.57224098190553707</v>
      </c>
      <c r="BG190" s="96">
        <f t="shared" si="402"/>
        <v>0.57477170934376287</v>
      </c>
      <c r="BH190" s="96">
        <f t="shared" si="402"/>
        <v>0.57176596024777604</v>
      </c>
      <c r="BI190" s="96">
        <f t="shared" si="402"/>
        <v>0.5792691660971323</v>
      </c>
      <c r="BJ190" s="96">
        <f t="shared" si="402"/>
        <v>0.50976871132194213</v>
      </c>
      <c r="BK190" s="96">
        <f t="shared" si="402"/>
        <v>0.51996408554838092</v>
      </c>
      <c r="BL190" s="96">
        <f t="shared" si="402"/>
        <v>0.53036336725934796</v>
      </c>
      <c r="BM190" s="96">
        <f t="shared" si="402"/>
        <v>0.5409706346045362</v>
      </c>
    </row>
    <row r="191" spans="1:65" outlineLevel="1">
      <c r="A191" s="79" t="s">
        <v>241</v>
      </c>
      <c r="B191" s="92"/>
      <c r="C191" s="92"/>
      <c r="D191" s="92"/>
      <c r="F191" s="96">
        <f>F184/$F$184</f>
        <v>1</v>
      </c>
      <c r="G191" s="96">
        <f t="shared" ref="G191:AI191" si="403">G184/$F$184</f>
        <v>0.88840451248097174</v>
      </c>
      <c r="H191" s="96">
        <f t="shared" si="403"/>
        <v>0.88832726802444983</v>
      </c>
      <c r="I191" s="96">
        <f t="shared" si="403"/>
        <v>1.0202480567789913</v>
      </c>
      <c r="J191" s="96">
        <f t="shared" si="403"/>
        <v>1.4620203634913445</v>
      </c>
      <c r="K191" s="96">
        <f t="shared" si="403"/>
        <v>1.8056604507895784</v>
      </c>
      <c r="L191" s="96">
        <f t="shared" si="403"/>
        <v>1.7534480321355967</v>
      </c>
      <c r="M191" s="96">
        <f t="shared" si="403"/>
        <v>2.3863741535632941</v>
      </c>
      <c r="N191" s="96">
        <f t="shared" si="403"/>
        <v>1.6584643782325426</v>
      </c>
      <c r="O191" s="96">
        <f t="shared" si="403"/>
        <v>2.1913608755954415</v>
      </c>
      <c r="P191" s="96">
        <f t="shared" si="403"/>
        <v>2.9945162576531135</v>
      </c>
      <c r="Q191" s="96">
        <f t="shared" si="403"/>
        <v>2.8501244871428946</v>
      </c>
      <c r="R191" s="96">
        <f t="shared" si="403"/>
        <v>2.7452035317667609</v>
      </c>
      <c r="S191" s="96">
        <f t="shared" si="403"/>
        <v>3.0396844867969657</v>
      </c>
      <c r="T191" s="96">
        <f t="shared" si="403"/>
        <v>2.0751833804554791</v>
      </c>
      <c r="U191" s="96">
        <f t="shared" si="403"/>
        <v>1.8241151771153217</v>
      </c>
      <c r="V191" s="96">
        <f t="shared" si="403"/>
        <v>2.2036425436904379</v>
      </c>
      <c r="W191" s="96">
        <f t="shared" si="403"/>
        <v>2.8450308970511275</v>
      </c>
      <c r="X191" s="96">
        <f t="shared" si="403"/>
        <v>2.7893316484065518</v>
      </c>
      <c r="Y191" s="96">
        <f t="shared" si="403"/>
        <v>1.9780308884010895</v>
      </c>
      <c r="Z191" s="96">
        <f t="shared" si="403"/>
        <v>2.9783604863614399</v>
      </c>
      <c r="AA191" s="96">
        <f t="shared" si="403"/>
        <v>4.8129325923252573</v>
      </c>
      <c r="AB191" s="96">
        <f t="shared" si="403"/>
        <v>4.3357641238791169</v>
      </c>
      <c r="AC191" s="96">
        <f t="shared" si="403"/>
        <v>4.2242308440796812</v>
      </c>
      <c r="AD191" s="96">
        <f t="shared" si="403"/>
        <v>3.5494431792961931</v>
      </c>
      <c r="AE191" s="96">
        <f t="shared" si="403"/>
        <v>3.3141561940458932</v>
      </c>
      <c r="AF191" s="96">
        <f t="shared" si="403"/>
        <v>3.3304578641020099</v>
      </c>
      <c r="AG191" s="96">
        <f t="shared" si="403"/>
        <v>3.4021413446425273</v>
      </c>
      <c r="AH191" s="96">
        <f t="shared" si="403"/>
        <v>3.4852080105542811</v>
      </c>
      <c r="AI191" s="96">
        <f t="shared" si="403"/>
        <v>3.5483158657188341</v>
      </c>
      <c r="AJ191" s="96">
        <f t="shared" ref="AJ191:BC191" si="404">AJ184/$F$184</f>
        <v>3.7815441583263629</v>
      </c>
      <c r="AK191" s="96">
        <f t="shared" si="404"/>
        <v>3.9934488879130297</v>
      </c>
      <c r="AL191" s="96">
        <f t="shared" si="404"/>
        <v>4.2556961932183102</v>
      </c>
      <c r="AM191" s="96">
        <f t="shared" si="404"/>
        <v>4.4978043209476466</v>
      </c>
      <c r="AN191" s="96">
        <f t="shared" si="404"/>
        <v>4.75999220107777</v>
      </c>
      <c r="AO191" s="96">
        <f t="shared" si="404"/>
        <v>4.9194654775545921</v>
      </c>
      <c r="AP191" s="96">
        <f t="shared" si="404"/>
        <v>5.1068360844335521</v>
      </c>
      <c r="AQ191" s="96">
        <f t="shared" si="404"/>
        <v>5.3396647461993858</v>
      </c>
      <c r="AR191" s="96">
        <f t="shared" si="404"/>
        <v>5.5584859425157385</v>
      </c>
      <c r="AS191" s="96">
        <f t="shared" si="404"/>
        <v>5.7760246559273165</v>
      </c>
      <c r="AT191" s="96">
        <f t="shared" si="404"/>
        <v>5.9961303498597927</v>
      </c>
      <c r="AU191" s="96">
        <f t="shared" si="404"/>
        <v>6.2388708486442725</v>
      </c>
      <c r="AV191" s="96">
        <f t="shared" si="404"/>
        <v>6.4952169144670018</v>
      </c>
      <c r="AW191" s="96">
        <f t="shared" si="404"/>
        <v>6.7574777607076228</v>
      </c>
      <c r="AX191" s="96">
        <f t="shared" si="404"/>
        <v>7.0583313025440244</v>
      </c>
      <c r="AY191" s="96">
        <f t="shared" si="404"/>
        <v>7.3925807243121824</v>
      </c>
      <c r="AZ191" s="96">
        <f t="shared" si="404"/>
        <v>7.739461717307198</v>
      </c>
      <c r="BA191" s="96">
        <f t="shared" si="404"/>
        <v>8.1220359888788014</v>
      </c>
      <c r="BB191" s="96">
        <f t="shared" si="404"/>
        <v>8.6172034120108627</v>
      </c>
      <c r="BC191" s="96">
        <f t="shared" si="404"/>
        <v>9.1003163346890759</v>
      </c>
      <c r="BD191" s="96">
        <f t="shared" ref="BD191:BM191" si="405">BD184/$F$184</f>
        <v>4.9760071633122216</v>
      </c>
      <c r="BE191" s="96">
        <f t="shared" si="405"/>
        <v>5.0843515579334397</v>
      </c>
      <c r="BF191" s="96">
        <f t="shared" si="405"/>
        <v>5.1889087376842058</v>
      </c>
      <c r="BG191" s="96">
        <f t="shared" si="405"/>
        <v>5.296207100916881</v>
      </c>
      <c r="BH191" s="96">
        <f t="shared" si="405"/>
        <v>5.4062006518132684</v>
      </c>
      <c r="BI191" s="96">
        <f t="shared" si="405"/>
        <v>5.5170486205473699</v>
      </c>
      <c r="BJ191" s="96">
        <f t="shared" si="405"/>
        <v>5.6292798638074357</v>
      </c>
      <c r="BK191" s="96">
        <f t="shared" si="405"/>
        <v>5.7404927397471974</v>
      </c>
      <c r="BL191" s="96">
        <f t="shared" si="405"/>
        <v>5.8540451686593764</v>
      </c>
      <c r="BM191" s="96">
        <f t="shared" si="405"/>
        <v>5.9716896149580663</v>
      </c>
    </row>
    <row r="192" spans="1:65" outlineLevel="1"/>
    <row r="193" spans="1:95" outlineLevel="1"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89">
        <f>M188/L188</f>
        <v>1.362603913577086</v>
      </c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</row>
    <row r="194" spans="1:95" outlineLevel="1">
      <c r="A194" s="78" t="s">
        <v>466</v>
      </c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</row>
    <row r="195" spans="1:95" outlineLevel="1">
      <c r="A195" s="79" t="s">
        <v>8</v>
      </c>
      <c r="B195" s="86">
        <f t="shared" ref="B195:Q195" si="406">$R$181*B168</f>
        <v>728359.58562007721</v>
      </c>
      <c r="C195" s="86">
        <f t="shared" si="406"/>
        <v>698672.02818220586</v>
      </c>
      <c r="D195" s="86">
        <f t="shared" si="406"/>
        <v>698465.00197971018</v>
      </c>
      <c r="E195" s="86">
        <f t="shared" si="406"/>
        <v>750180.14736311522</v>
      </c>
      <c r="F195" s="86">
        <f t="shared" si="406"/>
        <v>716076.07353267097</v>
      </c>
      <c r="G195" s="86">
        <f t="shared" si="406"/>
        <v>686140.08465180488</v>
      </c>
      <c r="H195" s="86">
        <f t="shared" si="406"/>
        <v>652312.00316402118</v>
      </c>
      <c r="I195" s="86">
        <f t="shared" si="406"/>
        <v>641132.58822925785</v>
      </c>
      <c r="J195" s="86">
        <f t="shared" si="406"/>
        <v>580515.31613854144</v>
      </c>
      <c r="K195" s="86">
        <f t="shared" si="406"/>
        <v>504476.86299655534</v>
      </c>
      <c r="L195" s="86">
        <f t="shared" si="406"/>
        <v>470766.20284185326</v>
      </c>
      <c r="M195" s="86">
        <f t="shared" si="406"/>
        <v>454665.92777506495</v>
      </c>
      <c r="N195" s="86">
        <f t="shared" si="406"/>
        <v>405306.81916300004</v>
      </c>
      <c r="O195" s="86">
        <f t="shared" si="406"/>
        <v>347288.95939162577</v>
      </c>
      <c r="P195" s="86">
        <f t="shared" si="406"/>
        <v>301707.8269758969</v>
      </c>
      <c r="Q195" s="86">
        <f t="shared" si="406"/>
        <v>299408.92847033683</v>
      </c>
      <c r="R195" s="86">
        <f>$R$181*R168</f>
        <v>281721.2563560346</v>
      </c>
      <c r="S195" s="86">
        <f t="shared" ref="S195:BB195" si="407">$R$181*S168</f>
        <v>296047.46956873126</v>
      </c>
      <c r="T195" s="86">
        <f t="shared" si="407"/>
        <v>309090.1203259551</v>
      </c>
      <c r="U195" s="86">
        <f t="shared" si="407"/>
        <v>321718.7186781877</v>
      </c>
      <c r="V195" s="86">
        <f t="shared" si="407"/>
        <v>315011.06971732975</v>
      </c>
      <c r="W195" s="86">
        <f t="shared" si="407"/>
        <v>290235.04331270483</v>
      </c>
      <c r="X195" s="86">
        <f t="shared" si="407"/>
        <v>277565.03971997311</v>
      </c>
      <c r="Y195" s="86">
        <f t="shared" si="407"/>
        <v>340832.24720263347</v>
      </c>
      <c r="Z195" s="86">
        <f t="shared" si="407"/>
        <v>356856.0752757942</v>
      </c>
      <c r="AA195" s="86">
        <f t="shared" si="407"/>
        <v>338016.69084869314</v>
      </c>
      <c r="AB195" s="86">
        <f t="shared" si="407"/>
        <v>364226.20808463811</v>
      </c>
      <c r="AC195" s="86">
        <f t="shared" si="407"/>
        <v>359035.5759707836</v>
      </c>
      <c r="AD195" s="86">
        <f t="shared" si="407"/>
        <v>368572.96743309736</v>
      </c>
      <c r="AE195" s="86">
        <f t="shared" si="407"/>
        <v>351414.43894893868</v>
      </c>
      <c r="AF195" s="86">
        <f t="shared" si="407"/>
        <v>332903.41994193854</v>
      </c>
      <c r="AG195" s="86">
        <f t="shared" si="407"/>
        <v>293455.9241890625</v>
      </c>
      <c r="AH195" s="86">
        <f t="shared" si="407"/>
        <v>259495.16151719895</v>
      </c>
      <c r="AI195" s="86">
        <f t="shared" si="407"/>
        <v>238577.48643674236</v>
      </c>
      <c r="AJ195" s="86">
        <f t="shared" si="407"/>
        <v>229699.94629168851</v>
      </c>
      <c r="AK195" s="86">
        <f t="shared" si="407"/>
        <v>225833.27526320424</v>
      </c>
      <c r="AL195" s="86">
        <f t="shared" si="407"/>
        <v>220328.28652179759</v>
      </c>
      <c r="AM195" s="86">
        <f t="shared" si="407"/>
        <v>220694.53328601821</v>
      </c>
      <c r="AN195" s="86">
        <f t="shared" si="407"/>
        <v>218876.5782699321</v>
      </c>
      <c r="AO195" s="86">
        <f t="shared" si="407"/>
        <v>214102.12783849562</v>
      </c>
      <c r="AP195" s="86">
        <f t="shared" si="407"/>
        <v>208054.82145109749</v>
      </c>
      <c r="AQ195" s="86">
        <f t="shared" si="407"/>
        <v>197697.02241110287</v>
      </c>
      <c r="AR195" s="86">
        <f t="shared" si="407"/>
        <v>188688.6688462538</v>
      </c>
      <c r="AS195" s="86">
        <f t="shared" si="407"/>
        <v>180493.60634957082</v>
      </c>
      <c r="AT195" s="86">
        <f t="shared" si="407"/>
        <v>173848.83784889785</v>
      </c>
      <c r="AU195" s="86">
        <f t="shared" si="407"/>
        <v>166162.43724009508</v>
      </c>
      <c r="AV195" s="86">
        <f t="shared" si="407"/>
        <v>159024.81701925216</v>
      </c>
      <c r="AW195" s="86">
        <f t="shared" si="407"/>
        <v>153448.11652690201</v>
      </c>
      <c r="AX195" s="86">
        <f t="shared" si="407"/>
        <v>145931.41563338897</v>
      </c>
      <c r="AY195" s="86">
        <f t="shared" si="407"/>
        <v>139445.16153315295</v>
      </c>
      <c r="AZ195" s="86">
        <f t="shared" si="407"/>
        <v>132086.0552038521</v>
      </c>
      <c r="BA195" s="86">
        <f t="shared" si="407"/>
        <v>126774.42794963684</v>
      </c>
      <c r="BB195" s="86">
        <f t="shared" si="407"/>
        <v>119465.58349853037</v>
      </c>
      <c r="BC195" s="86">
        <f>$R$181*BC168</f>
        <v>112597.32498858987</v>
      </c>
      <c r="BD195" s="86">
        <f t="shared" ref="BD195:BM195" si="408">$R$181*BD168</f>
        <v>174057.91072065153</v>
      </c>
      <c r="BE195" s="86">
        <f t="shared" si="408"/>
        <v>167757.94069176968</v>
      </c>
      <c r="BF195" s="86">
        <f t="shared" si="408"/>
        <v>162065.67972798596</v>
      </c>
      <c r="BG195" s="86">
        <f t="shared" si="408"/>
        <v>155869.83143184101</v>
      </c>
      <c r="BH195" s="86">
        <f t="shared" si="408"/>
        <v>149284.86011600427</v>
      </c>
      <c r="BI195" s="86">
        <f t="shared" si="408"/>
        <v>143302.92680850538</v>
      </c>
      <c r="BJ195" s="86">
        <f t="shared" si="408"/>
        <v>137186.39225954525</v>
      </c>
      <c r="BK195" s="86">
        <f t="shared" si="408"/>
        <v>129832.81831321462</v>
      </c>
      <c r="BL195" s="86">
        <f t="shared" si="408"/>
        <v>123095.90472257602</v>
      </c>
      <c r="BM195" s="86">
        <f t="shared" si="408"/>
        <v>116231.74352778708</v>
      </c>
    </row>
    <row r="196" spans="1:95" outlineLevel="1">
      <c r="A196" s="79" t="s">
        <v>9</v>
      </c>
      <c r="B196" s="86">
        <f t="shared" ref="B196:Q196" si="409">$R$182*B169</f>
        <v>99864.11290780142</v>
      </c>
      <c r="C196" s="86">
        <f t="shared" si="409"/>
        <v>105942.4065248227</v>
      </c>
      <c r="D196" s="86">
        <f t="shared" si="409"/>
        <v>109634.40709219858</v>
      </c>
      <c r="E196" s="86">
        <f t="shared" si="409"/>
        <v>106775.35787234042</v>
      </c>
      <c r="F196" s="86">
        <f t="shared" si="409"/>
        <v>121903.55531914893</v>
      </c>
      <c r="G196" s="86">
        <f t="shared" si="409"/>
        <v>147522.43730496455</v>
      </c>
      <c r="H196" s="86">
        <f t="shared" si="409"/>
        <v>164181.46425531915</v>
      </c>
      <c r="I196" s="86">
        <f t="shared" si="409"/>
        <v>178071.49078014182</v>
      </c>
      <c r="J196" s="86">
        <f t="shared" si="409"/>
        <v>192862.00524822695</v>
      </c>
      <c r="K196" s="86">
        <f t="shared" si="409"/>
        <v>198625.12808510638</v>
      </c>
      <c r="L196" s="86">
        <f t="shared" si="409"/>
        <v>199255.46964539008</v>
      </c>
      <c r="M196" s="86">
        <f t="shared" si="409"/>
        <v>221655.10723404255</v>
      </c>
      <c r="N196" s="86">
        <f t="shared" si="409"/>
        <v>231155.25503546101</v>
      </c>
      <c r="O196" s="86">
        <f t="shared" si="409"/>
        <v>232618.54794326241</v>
      </c>
      <c r="P196" s="86">
        <f t="shared" si="409"/>
        <v>218593.44822695034</v>
      </c>
      <c r="Q196" s="86">
        <f t="shared" si="409"/>
        <v>251596.33134751773</v>
      </c>
      <c r="R196" s="86">
        <f>$R$182*R169</f>
        <v>238066.5</v>
      </c>
      <c r="S196" s="86">
        <f t="shared" ref="S196:BC196" si="410">$R$182*S169</f>
        <v>236828.32907801418</v>
      </c>
      <c r="T196" s="86">
        <f>$R$182*T169</f>
        <v>255108.23432624113</v>
      </c>
      <c r="U196" s="86">
        <f>$R$182*U169</f>
        <v>254500.40496453902</v>
      </c>
      <c r="V196" s="86">
        <f>$R$182*V169</f>
        <v>271879.82226950355</v>
      </c>
      <c r="W196" s="86">
        <f t="shared" si="410"/>
        <v>266296.79702127661</v>
      </c>
      <c r="X196" s="86">
        <f t="shared" si="410"/>
        <v>251056.03858156031</v>
      </c>
      <c r="Y196" s="86">
        <f t="shared" si="410"/>
        <v>244279.86680851065</v>
      </c>
      <c r="Z196" s="86">
        <f t="shared" si="410"/>
        <v>250965.98978723405</v>
      </c>
      <c r="AA196" s="86">
        <f t="shared" si="410"/>
        <v>272960.40780141845</v>
      </c>
      <c r="AB196" s="86">
        <f t="shared" si="410"/>
        <v>257584.57617021276</v>
      </c>
      <c r="AC196" s="86">
        <f t="shared" si="410"/>
        <v>276086.79377183272</v>
      </c>
      <c r="AD196" s="86">
        <f t="shared" si="410"/>
        <v>263059.71155211254</v>
      </c>
      <c r="AE196" s="86">
        <f t="shared" si="410"/>
        <v>266738.30945252918</v>
      </c>
      <c r="AF196" s="86">
        <f t="shared" si="410"/>
        <v>266757.49235029728</v>
      </c>
      <c r="AG196" s="86">
        <f t="shared" si="410"/>
        <v>257913.46252988413</v>
      </c>
      <c r="AH196" s="86">
        <f t="shared" si="410"/>
        <v>245464.61847140759</v>
      </c>
      <c r="AI196" s="86">
        <f t="shared" si="410"/>
        <v>232644.60889856372</v>
      </c>
      <c r="AJ196" s="86">
        <f t="shared" si="410"/>
        <v>221813.69572514997</v>
      </c>
      <c r="AK196" s="86">
        <f t="shared" si="410"/>
        <v>206868.49703190164</v>
      </c>
      <c r="AL196" s="86">
        <f t="shared" si="410"/>
        <v>197510.96512257654</v>
      </c>
      <c r="AM196" s="86">
        <f t="shared" si="410"/>
        <v>191658.89245072962</v>
      </c>
      <c r="AN196" s="86">
        <f t="shared" si="410"/>
        <v>186252.29306571835</v>
      </c>
      <c r="AO196" s="86">
        <f t="shared" si="410"/>
        <v>181344.24772058506</v>
      </c>
      <c r="AP196" s="86">
        <f t="shared" si="410"/>
        <v>173885.27890501852</v>
      </c>
      <c r="AQ196" s="86">
        <f t="shared" si="410"/>
        <v>162725.18669239839</v>
      </c>
      <c r="AR196" s="86">
        <f t="shared" si="410"/>
        <v>150695.95187511289</v>
      </c>
      <c r="AS196" s="86">
        <f t="shared" si="410"/>
        <v>142034.38154117676</v>
      </c>
      <c r="AT196" s="86">
        <f t="shared" si="410"/>
        <v>134238.20902397533</v>
      </c>
      <c r="AU196" s="86">
        <f t="shared" si="410"/>
        <v>128336.02465723609</v>
      </c>
      <c r="AV196" s="86">
        <f t="shared" si="410"/>
        <v>122156.45821482957</v>
      </c>
      <c r="AW196" s="86">
        <f t="shared" si="410"/>
        <v>115233.81733545226</v>
      </c>
      <c r="AX196" s="86">
        <f t="shared" si="410"/>
        <v>109595.88896642599</v>
      </c>
      <c r="AY196" s="86">
        <f t="shared" si="410"/>
        <v>105221.94485766372</v>
      </c>
      <c r="AZ196" s="86">
        <f t="shared" si="410"/>
        <v>100959.27010501176</v>
      </c>
      <c r="BA196" s="86">
        <f t="shared" si="410"/>
        <v>97026.183283495964</v>
      </c>
      <c r="BB196" s="86">
        <f t="shared" si="410"/>
        <v>93861.254376224475</v>
      </c>
      <c r="BC196" s="86">
        <f t="shared" si="410"/>
        <v>90158.621844893962</v>
      </c>
      <c r="BD196" s="86">
        <f t="shared" ref="BD196:BM196" si="411">$R$182*BD169</f>
        <v>90315.991182466023</v>
      </c>
      <c r="BE196" s="86">
        <f t="shared" si="411"/>
        <v>86379.214180582567</v>
      </c>
      <c r="BF196" s="86">
        <f t="shared" si="411"/>
        <v>83077.939901149977</v>
      </c>
      <c r="BG196" s="86">
        <f t="shared" si="411"/>
        <v>80622.365481342567</v>
      </c>
      <c r="BH196" s="86">
        <f t="shared" si="411"/>
        <v>79263.511909542707</v>
      </c>
      <c r="BI196" s="86">
        <f t="shared" si="411"/>
        <v>77478.346989141486</v>
      </c>
      <c r="BJ196" s="86">
        <f t="shared" si="411"/>
        <v>76297.485249203921</v>
      </c>
      <c r="BK196" s="86">
        <f t="shared" si="411"/>
        <v>75339.928074151219</v>
      </c>
      <c r="BL196" s="86">
        <f t="shared" si="411"/>
        <v>74280.22934331141</v>
      </c>
      <c r="BM196" s="86">
        <f t="shared" si="411"/>
        <v>73395.119412952423</v>
      </c>
      <c r="BN196" s="86">
        <f t="shared" ref="BN196" si="412">$Q$182*BN169</f>
        <v>70280.527208868574</v>
      </c>
      <c r="BO196" s="86">
        <f t="shared" ref="BO196:CL196" si="413">$Q$182*BO169</f>
        <v>70280.527208868574</v>
      </c>
      <c r="BP196" s="86">
        <f t="shared" si="413"/>
        <v>70280.527208868574</v>
      </c>
      <c r="BQ196" s="86">
        <f t="shared" si="413"/>
        <v>70280.527208868574</v>
      </c>
      <c r="BR196" s="86">
        <f t="shared" si="413"/>
        <v>70280.527208868574</v>
      </c>
      <c r="BS196" s="86">
        <f t="shared" si="413"/>
        <v>70280.527208868574</v>
      </c>
      <c r="BT196" s="86">
        <f t="shared" si="413"/>
        <v>70280.527208868574</v>
      </c>
      <c r="BU196" s="86">
        <f t="shared" si="413"/>
        <v>70280.527208868574</v>
      </c>
      <c r="BV196" s="86">
        <f t="shared" si="413"/>
        <v>70280.527208868574</v>
      </c>
      <c r="BW196" s="86">
        <f t="shared" si="413"/>
        <v>70280.527208868574</v>
      </c>
      <c r="BX196" s="86">
        <f t="shared" si="413"/>
        <v>70280.527208868574</v>
      </c>
      <c r="BY196" s="86">
        <f t="shared" si="413"/>
        <v>70280.527208868574</v>
      </c>
      <c r="BZ196" s="86">
        <f t="shared" si="413"/>
        <v>70280.527208868574</v>
      </c>
      <c r="CA196" s="86">
        <f t="shared" si="413"/>
        <v>70280.527208868574</v>
      </c>
      <c r="CB196" s="86">
        <f t="shared" si="413"/>
        <v>70280.527208868574</v>
      </c>
      <c r="CC196" s="86">
        <f t="shared" si="413"/>
        <v>70280.527208868574</v>
      </c>
      <c r="CD196" s="86">
        <f t="shared" si="413"/>
        <v>70280.527208868574</v>
      </c>
      <c r="CE196" s="86">
        <f t="shared" si="413"/>
        <v>70280.527208868574</v>
      </c>
      <c r="CF196" s="86">
        <f t="shared" si="413"/>
        <v>70280.527208868574</v>
      </c>
      <c r="CG196" s="86">
        <f t="shared" si="413"/>
        <v>70280.527208868574</v>
      </c>
      <c r="CH196" s="86">
        <f t="shared" si="413"/>
        <v>70280.527208868574</v>
      </c>
      <c r="CI196" s="86">
        <f t="shared" si="413"/>
        <v>70280.527208868574</v>
      </c>
      <c r="CJ196" s="86">
        <f t="shared" si="413"/>
        <v>70280.527208868574</v>
      </c>
      <c r="CK196" s="86">
        <f>$Q$182*CK169</f>
        <v>70280.527208868574</v>
      </c>
      <c r="CL196" s="86">
        <f t="shared" si="413"/>
        <v>70280.527208868574</v>
      </c>
      <c r="CM196" s="86">
        <f t="shared" ref="CM196:CQ196" si="414">$Q$182*CM169</f>
        <v>70280.527208868574</v>
      </c>
      <c r="CN196" s="86">
        <f t="shared" si="414"/>
        <v>70280.527208868574</v>
      </c>
      <c r="CO196" s="86">
        <f t="shared" si="414"/>
        <v>70280.527208868574</v>
      </c>
      <c r="CP196" s="86">
        <f t="shared" si="414"/>
        <v>70280.527208868574</v>
      </c>
      <c r="CQ196" s="86">
        <f t="shared" si="414"/>
        <v>70280.527208868574</v>
      </c>
    </row>
    <row r="197" spans="1:95" outlineLevel="1">
      <c r="A197" s="79" t="s">
        <v>10</v>
      </c>
      <c r="B197" s="86">
        <f t="shared" ref="B197:Q197" si="415">$R$183*B170</f>
        <v>14137.77873254565</v>
      </c>
      <c r="C197" s="86">
        <f t="shared" si="415"/>
        <v>12193.834156820622</v>
      </c>
      <c r="D197" s="86">
        <f t="shared" si="415"/>
        <v>11699.011901181528</v>
      </c>
      <c r="E197" s="86">
        <f t="shared" si="415"/>
        <v>6008.5559613319047</v>
      </c>
      <c r="F197" s="86">
        <f t="shared" si="415"/>
        <v>9472.3117508055839</v>
      </c>
      <c r="G197" s="86">
        <f t="shared" si="415"/>
        <v>9613.6895381310514</v>
      </c>
      <c r="H197" s="86">
        <f t="shared" si="415"/>
        <v>11734.356348012891</v>
      </c>
      <c r="I197" s="86">
        <f t="shared" si="415"/>
        <v>70971.64923737917</v>
      </c>
      <c r="J197" s="86">
        <f t="shared" si="415"/>
        <v>76096.594027926971</v>
      </c>
      <c r="K197" s="86">
        <f t="shared" si="415"/>
        <v>78111.227497314714</v>
      </c>
      <c r="L197" s="86">
        <f t="shared" si="415"/>
        <v>61958.815295381304</v>
      </c>
      <c r="M197" s="86">
        <f t="shared" si="415"/>
        <v>65846.704446831369</v>
      </c>
      <c r="N197" s="86">
        <f t="shared" si="415"/>
        <v>60014.870719656297</v>
      </c>
      <c r="O197" s="86">
        <f t="shared" si="415"/>
        <v>54077.003651987106</v>
      </c>
      <c r="P197" s="86">
        <f t="shared" si="415"/>
        <v>58212.303931256713</v>
      </c>
      <c r="Q197" s="86">
        <f t="shared" si="415"/>
        <v>63478.626509129972</v>
      </c>
      <c r="R197" s="86">
        <f>$R$183*R170</f>
        <v>61110.548571428568</v>
      </c>
      <c r="S197" s="86">
        <f t="shared" ref="S197:BC197" si="416">$R$183*S170</f>
        <v>61676.059720730394</v>
      </c>
      <c r="T197" s="86">
        <f t="shared" si="416"/>
        <v>62418.293104189048</v>
      </c>
      <c r="U197" s="86">
        <f t="shared" si="416"/>
        <v>62559.670891514499</v>
      </c>
      <c r="V197" s="86">
        <f t="shared" si="416"/>
        <v>62524.326444683145</v>
      </c>
      <c r="W197" s="86">
        <f t="shared" si="416"/>
        <v>59227.935800512139</v>
      </c>
      <c r="X197" s="86">
        <f t="shared" si="416"/>
        <v>51840.946412757039</v>
      </c>
      <c r="Y197" s="86">
        <f t="shared" si="416"/>
        <v>48907.357325753808</v>
      </c>
      <c r="Z197" s="86">
        <f t="shared" si="416"/>
        <v>38516.089957332755</v>
      </c>
      <c r="AA197" s="86">
        <f t="shared" si="416"/>
        <v>28690.333738213536</v>
      </c>
      <c r="AB197" s="86">
        <f t="shared" si="416"/>
        <v>30316.178292456287</v>
      </c>
      <c r="AC197" s="86">
        <f t="shared" si="416"/>
        <v>34206.915035801932</v>
      </c>
      <c r="AD197" s="86">
        <f t="shared" si="416"/>
        <v>35746.559872658516</v>
      </c>
      <c r="AE197" s="86">
        <f t="shared" si="416"/>
        <v>38419.226256180453</v>
      </c>
      <c r="AF197" s="86">
        <f t="shared" si="416"/>
        <v>38894.046609099823</v>
      </c>
      <c r="AG197" s="86">
        <f t="shared" si="416"/>
        <v>38769.566844546389</v>
      </c>
      <c r="AH197" s="86">
        <f t="shared" si="416"/>
        <v>37858.072828683806</v>
      </c>
      <c r="AI197" s="86">
        <f t="shared" si="416"/>
        <v>35505.335259428088</v>
      </c>
      <c r="AJ197" s="86">
        <f t="shared" si="416"/>
        <v>30350.309881871697</v>
      </c>
      <c r="AK197" s="86">
        <f t="shared" si="416"/>
        <v>27174.208858467489</v>
      </c>
      <c r="AL197" s="86">
        <f t="shared" si="416"/>
        <v>22235.197866879549</v>
      </c>
      <c r="AM197" s="86">
        <f t="shared" si="416"/>
        <v>18137.214082505507</v>
      </c>
      <c r="AN197" s="86">
        <f t="shared" si="416"/>
        <v>14115.996543635674</v>
      </c>
      <c r="AO197" s="86">
        <f t="shared" si="416"/>
        <v>11354.67803597551</v>
      </c>
      <c r="AP197" s="86">
        <f t="shared" si="416"/>
        <v>7554.7703284085455</v>
      </c>
      <c r="AQ197" s="86">
        <f t="shared" si="416"/>
        <v>3921.7101346303562</v>
      </c>
      <c r="AR197" s="86">
        <f t="shared" si="416"/>
        <v>1671.0300708400855</v>
      </c>
      <c r="AS197" s="86">
        <f t="shared" si="416"/>
        <v>23.218672291556288</v>
      </c>
      <c r="AT197" s="86">
        <f t="shared" si="416"/>
        <v>-1774.4041258888099</v>
      </c>
      <c r="AU197" s="86">
        <f t="shared" si="416"/>
        <v>-3176.6947057427042</v>
      </c>
      <c r="AV197" s="86">
        <f t="shared" si="416"/>
        <v>-4430.3667493007151</v>
      </c>
      <c r="AW197" s="86">
        <f t="shared" si="416"/>
        <v>-5887.8995352079419</v>
      </c>
      <c r="AX197" s="86">
        <f t="shared" si="416"/>
        <v>-6853.0278189716228</v>
      </c>
      <c r="AY197" s="86">
        <f t="shared" si="416"/>
        <v>-8355.0842315469727</v>
      </c>
      <c r="AZ197" s="86">
        <f t="shared" si="416"/>
        <v>-8819.5136684277932</v>
      </c>
      <c r="BA197" s="86">
        <f t="shared" si="416"/>
        <v>-10374.697176835019</v>
      </c>
      <c r="BB197" s="86">
        <f t="shared" si="416"/>
        <v>-11541.435986658707</v>
      </c>
      <c r="BC197" s="86">
        <f t="shared" si="416"/>
        <v>-12219.797332362012</v>
      </c>
      <c r="BD197" s="86">
        <f t="shared" ref="BD197:BM197" si="417">$R$183*BD170</f>
        <v>2760.4699251670309</v>
      </c>
      <c r="BE197" s="86">
        <f t="shared" si="417"/>
        <v>1887.8187052884346</v>
      </c>
      <c r="BF197" s="86">
        <f t="shared" si="417"/>
        <v>1502.5995926445335</v>
      </c>
      <c r="BG197" s="86">
        <f t="shared" si="417"/>
        <v>1076.9153786703332</v>
      </c>
      <c r="BH197" s="86">
        <f t="shared" si="417"/>
        <v>737.55443232875155</v>
      </c>
      <c r="BI197" s="86">
        <f t="shared" si="417"/>
        <v>494.73615129028087</v>
      </c>
      <c r="BJ197" s="86">
        <f t="shared" si="417"/>
        <v>271.96958543196348</v>
      </c>
      <c r="BK197" s="86">
        <f t="shared" si="417"/>
        <v>256.3274830207535</v>
      </c>
      <c r="BL197" s="86">
        <f t="shared" si="417"/>
        <v>238.82544070565575</v>
      </c>
      <c r="BM197" s="86">
        <f t="shared" si="417"/>
        <v>166.05376334517857</v>
      </c>
    </row>
    <row r="198" spans="1:95" outlineLevel="1">
      <c r="A198" s="79" t="s">
        <v>14</v>
      </c>
      <c r="B198" s="86">
        <f t="shared" ref="B198:Q198" si="418">B195+B197</f>
        <v>742497.36435262288</v>
      </c>
      <c r="C198" s="86">
        <f t="shared" si="418"/>
        <v>710865.86233902653</v>
      </c>
      <c r="D198" s="86">
        <f t="shared" si="418"/>
        <v>710164.01388089173</v>
      </c>
      <c r="E198" s="86">
        <f t="shared" si="418"/>
        <v>756188.70332444715</v>
      </c>
      <c r="F198" s="86">
        <f t="shared" si="418"/>
        <v>725548.38528347656</v>
      </c>
      <c r="G198" s="86">
        <f t="shared" si="418"/>
        <v>695753.77418993588</v>
      </c>
      <c r="H198" s="86">
        <f t="shared" si="418"/>
        <v>664046.35951203411</v>
      </c>
      <c r="I198" s="86">
        <f t="shared" si="418"/>
        <v>712104.23746663705</v>
      </c>
      <c r="J198" s="86">
        <f t="shared" si="418"/>
        <v>656611.91016646847</v>
      </c>
      <c r="K198" s="86">
        <f t="shared" si="418"/>
        <v>582588.09049387008</v>
      </c>
      <c r="L198" s="86">
        <f t="shared" si="418"/>
        <v>532725.01813723461</v>
      </c>
      <c r="M198" s="86">
        <f t="shared" si="418"/>
        <v>520512.63222189632</v>
      </c>
      <c r="N198" s="86">
        <f t="shared" si="418"/>
        <v>465321.68988265633</v>
      </c>
      <c r="O198" s="86">
        <f t="shared" si="418"/>
        <v>401365.96304361289</v>
      </c>
      <c r="P198" s="86">
        <f t="shared" si="418"/>
        <v>359920.13090715359</v>
      </c>
      <c r="Q198" s="86">
        <f t="shared" si="418"/>
        <v>362887.55497946683</v>
      </c>
      <c r="R198" s="86">
        <f t="shared" ref="R198:BC198" si="419">R195+R197</f>
        <v>342831.80492746318</v>
      </c>
      <c r="S198" s="86">
        <f t="shared" si="419"/>
        <v>357723.52928946167</v>
      </c>
      <c r="T198" s="86">
        <f t="shared" si="419"/>
        <v>371508.41343014414</v>
      </c>
      <c r="U198" s="86">
        <f t="shared" si="419"/>
        <v>384278.38956970221</v>
      </c>
      <c r="V198" s="86">
        <f t="shared" si="419"/>
        <v>377535.39616201288</v>
      </c>
      <c r="W198" s="86">
        <f t="shared" si="419"/>
        <v>349462.97911321698</v>
      </c>
      <c r="X198" s="86">
        <f t="shared" si="419"/>
        <v>329405.98613273015</v>
      </c>
      <c r="Y198" s="86">
        <f t="shared" si="419"/>
        <v>389739.60452838731</v>
      </c>
      <c r="Z198" s="86">
        <f t="shared" si="419"/>
        <v>395372.16523312696</v>
      </c>
      <c r="AA198" s="86">
        <f t="shared" si="419"/>
        <v>366707.02458690666</v>
      </c>
      <c r="AB198" s="86">
        <f t="shared" si="419"/>
        <v>394542.38637709443</v>
      </c>
      <c r="AC198" s="86">
        <f t="shared" si="419"/>
        <v>393242.49100658554</v>
      </c>
      <c r="AD198" s="86">
        <f t="shared" si="419"/>
        <v>404319.52730575588</v>
      </c>
      <c r="AE198" s="86">
        <f t="shared" si="419"/>
        <v>389833.66520511912</v>
      </c>
      <c r="AF198" s="86">
        <f t="shared" si="419"/>
        <v>371797.46655103838</v>
      </c>
      <c r="AG198" s="86">
        <f t="shared" si="419"/>
        <v>332225.49103360891</v>
      </c>
      <c r="AH198" s="86">
        <f t="shared" si="419"/>
        <v>297353.23434588278</v>
      </c>
      <c r="AI198" s="86">
        <f t="shared" si="419"/>
        <v>274082.82169617043</v>
      </c>
      <c r="AJ198" s="86">
        <f t="shared" si="419"/>
        <v>260050.25617356022</v>
      </c>
      <c r="AK198" s="86">
        <f t="shared" si="419"/>
        <v>253007.48412167173</v>
      </c>
      <c r="AL198" s="86">
        <f t="shared" si="419"/>
        <v>242563.48438867714</v>
      </c>
      <c r="AM198" s="86">
        <f t="shared" si="419"/>
        <v>238831.74736852371</v>
      </c>
      <c r="AN198" s="86">
        <f t="shared" si="419"/>
        <v>232992.57481356777</v>
      </c>
      <c r="AO198" s="86">
        <f t="shared" si="419"/>
        <v>225456.80587447115</v>
      </c>
      <c r="AP198" s="86">
        <f t="shared" si="419"/>
        <v>215609.59177950604</v>
      </c>
      <c r="AQ198" s="86">
        <f t="shared" si="419"/>
        <v>201618.73254573322</v>
      </c>
      <c r="AR198" s="86">
        <f t="shared" si="419"/>
        <v>190359.69891709389</v>
      </c>
      <c r="AS198" s="86">
        <f t="shared" si="419"/>
        <v>180516.82502186237</v>
      </c>
      <c r="AT198" s="86">
        <f t="shared" si="419"/>
        <v>172074.43372300905</v>
      </c>
      <c r="AU198" s="86">
        <f t="shared" si="419"/>
        <v>162985.74253435238</v>
      </c>
      <c r="AV198" s="86">
        <f t="shared" si="419"/>
        <v>154594.45026995146</v>
      </c>
      <c r="AW198" s="86">
        <f t="shared" si="419"/>
        <v>147560.21699169406</v>
      </c>
      <c r="AX198" s="86">
        <f t="shared" si="419"/>
        <v>139078.38781441734</v>
      </c>
      <c r="AY198" s="86">
        <f t="shared" si="419"/>
        <v>131090.07730160598</v>
      </c>
      <c r="AZ198" s="86">
        <f t="shared" si="419"/>
        <v>123266.5415354243</v>
      </c>
      <c r="BA198" s="86">
        <f t="shared" si="419"/>
        <v>116399.73077280182</v>
      </c>
      <c r="BB198" s="86">
        <f t="shared" si="419"/>
        <v>107924.14751187166</v>
      </c>
      <c r="BC198" s="86">
        <f t="shared" si="419"/>
        <v>100377.52765622786</v>
      </c>
      <c r="BD198" s="86">
        <f t="shared" ref="BD198:BM198" si="420">BD195+BD197</f>
        <v>176818.38064581857</v>
      </c>
      <c r="BE198" s="86">
        <f t="shared" si="420"/>
        <v>169645.75939705811</v>
      </c>
      <c r="BF198" s="86">
        <f t="shared" si="420"/>
        <v>163568.27932063051</v>
      </c>
      <c r="BG198" s="86">
        <f t="shared" si="420"/>
        <v>156946.74681051134</v>
      </c>
      <c r="BH198" s="86">
        <f t="shared" si="420"/>
        <v>150022.41454833304</v>
      </c>
      <c r="BI198" s="86">
        <f t="shared" si="420"/>
        <v>143797.66295979565</v>
      </c>
      <c r="BJ198" s="86">
        <f t="shared" si="420"/>
        <v>137458.36184497722</v>
      </c>
      <c r="BK198" s="86">
        <f t="shared" si="420"/>
        <v>130089.14579623537</v>
      </c>
      <c r="BL198" s="86">
        <f t="shared" si="420"/>
        <v>123334.73016328167</v>
      </c>
      <c r="BM198" s="86">
        <f t="shared" si="420"/>
        <v>116397.79729113226</v>
      </c>
    </row>
    <row r="199" spans="1:95" outlineLevel="1">
      <c r="A199" s="79" t="s">
        <v>11</v>
      </c>
      <c r="B199" s="86">
        <f t="shared" ref="B199:Q199" si="421">SUM(B195:B197)</f>
        <v>842361.47726042429</v>
      </c>
      <c r="C199" s="86">
        <f t="shared" si="421"/>
        <v>816808.26886384923</v>
      </c>
      <c r="D199" s="86">
        <f t="shared" si="421"/>
        <v>819798.42097309034</v>
      </c>
      <c r="E199" s="86">
        <f t="shared" si="421"/>
        <v>862964.06119678763</v>
      </c>
      <c r="F199" s="86">
        <f t="shared" si="421"/>
        <v>847451.94060262549</v>
      </c>
      <c r="G199" s="86">
        <f t="shared" si="421"/>
        <v>843276.2114949004</v>
      </c>
      <c r="H199" s="86">
        <f t="shared" si="421"/>
        <v>828227.8237673532</v>
      </c>
      <c r="I199" s="86">
        <f t="shared" si="421"/>
        <v>890175.72824677883</v>
      </c>
      <c r="J199" s="86">
        <f t="shared" si="421"/>
        <v>849473.9154146954</v>
      </c>
      <c r="K199" s="86">
        <f t="shared" si="421"/>
        <v>781213.21857897646</v>
      </c>
      <c r="L199" s="86">
        <f t="shared" si="421"/>
        <v>731980.48778262467</v>
      </c>
      <c r="M199" s="86">
        <f t="shared" si="421"/>
        <v>742167.73945593892</v>
      </c>
      <c r="N199" s="86">
        <f t="shared" si="421"/>
        <v>696476.94491811737</v>
      </c>
      <c r="O199" s="86">
        <f t="shared" si="421"/>
        <v>633984.51098687528</v>
      </c>
      <c r="P199" s="86">
        <f t="shared" si="421"/>
        <v>578513.57913410396</v>
      </c>
      <c r="Q199" s="86">
        <f t="shared" si="421"/>
        <v>614483.8863269845</v>
      </c>
      <c r="R199" s="86">
        <f>SUM(R195:R197)</f>
        <v>580898.30492746318</v>
      </c>
      <c r="S199" s="86">
        <f t="shared" ref="S199:BC199" si="422">SUM(S195:S197)</f>
        <v>594551.85836747591</v>
      </c>
      <c r="T199" s="86">
        <f t="shared" si="422"/>
        <v>626616.64775638527</v>
      </c>
      <c r="U199" s="86">
        <f t="shared" si="422"/>
        <v>638778.7945342412</v>
      </c>
      <c r="V199" s="86">
        <f t="shared" si="422"/>
        <v>649415.21843151643</v>
      </c>
      <c r="W199" s="86">
        <f t="shared" si="422"/>
        <v>615759.77613449353</v>
      </c>
      <c r="X199" s="86">
        <f t="shared" si="422"/>
        <v>580462.0247142904</v>
      </c>
      <c r="Y199" s="86">
        <f t="shared" si="422"/>
        <v>634019.47133689793</v>
      </c>
      <c r="Z199" s="86">
        <f t="shared" si="422"/>
        <v>646338.15502036095</v>
      </c>
      <c r="AA199" s="86">
        <f t="shared" si="422"/>
        <v>639667.43238832511</v>
      </c>
      <c r="AB199" s="86">
        <f t="shared" si="422"/>
        <v>652126.96254730714</v>
      </c>
      <c r="AC199" s="86">
        <f t="shared" si="422"/>
        <v>669329.28477841825</v>
      </c>
      <c r="AD199" s="86">
        <f t="shared" si="422"/>
        <v>667379.23885786836</v>
      </c>
      <c r="AE199" s="86">
        <f t="shared" si="422"/>
        <v>656571.97465764836</v>
      </c>
      <c r="AF199" s="86">
        <f t="shared" si="422"/>
        <v>638554.9589013356</v>
      </c>
      <c r="AG199" s="86">
        <f t="shared" si="422"/>
        <v>590138.95356349298</v>
      </c>
      <c r="AH199" s="86">
        <f t="shared" si="422"/>
        <v>542817.85281729035</v>
      </c>
      <c r="AI199" s="86">
        <f t="shared" si="422"/>
        <v>506727.43059473415</v>
      </c>
      <c r="AJ199" s="86">
        <f t="shared" si="422"/>
        <v>481863.95189871016</v>
      </c>
      <c r="AK199" s="86">
        <f t="shared" si="422"/>
        <v>459875.98115357332</v>
      </c>
      <c r="AL199" s="86">
        <f t="shared" si="422"/>
        <v>440074.44951125362</v>
      </c>
      <c r="AM199" s="86">
        <f t="shared" si="422"/>
        <v>430490.63981925329</v>
      </c>
      <c r="AN199" s="86">
        <f t="shared" si="422"/>
        <v>419244.86787928612</v>
      </c>
      <c r="AO199" s="86">
        <f t="shared" si="422"/>
        <v>406801.05359505618</v>
      </c>
      <c r="AP199" s="86">
        <f t="shared" si="422"/>
        <v>389494.87068452459</v>
      </c>
      <c r="AQ199" s="86">
        <f t="shared" si="422"/>
        <v>364343.91923813167</v>
      </c>
      <c r="AR199" s="86">
        <f t="shared" si="422"/>
        <v>341055.65079220681</v>
      </c>
      <c r="AS199" s="86">
        <f t="shared" si="422"/>
        <v>322551.20656303916</v>
      </c>
      <c r="AT199" s="86">
        <f t="shared" si="422"/>
        <v>306312.64274698438</v>
      </c>
      <c r="AU199" s="86">
        <f t="shared" si="422"/>
        <v>291321.76719158847</v>
      </c>
      <c r="AV199" s="86">
        <f t="shared" si="422"/>
        <v>276750.90848478099</v>
      </c>
      <c r="AW199" s="86">
        <f t="shared" si="422"/>
        <v>262794.03432714631</v>
      </c>
      <c r="AX199" s="86">
        <f t="shared" si="422"/>
        <v>248674.27678084333</v>
      </c>
      <c r="AY199" s="86">
        <f t="shared" si="422"/>
        <v>236312.02215926972</v>
      </c>
      <c r="AZ199" s="86">
        <f t="shared" si="422"/>
        <v>224225.81164043606</v>
      </c>
      <c r="BA199" s="86">
        <f t="shared" si="422"/>
        <v>213425.9140562978</v>
      </c>
      <c r="BB199" s="86">
        <f t="shared" si="422"/>
        <v>201785.40188809615</v>
      </c>
      <c r="BC199" s="86">
        <f t="shared" si="422"/>
        <v>190536.14950112181</v>
      </c>
      <c r="BD199" s="86">
        <f t="shared" ref="BD199:BM199" si="423">SUM(BD195:BD197)</f>
        <v>267134.37182828458</v>
      </c>
      <c r="BE199" s="86">
        <f t="shared" si="423"/>
        <v>256024.97357764069</v>
      </c>
      <c r="BF199" s="86">
        <f t="shared" si="423"/>
        <v>246646.21922178048</v>
      </c>
      <c r="BG199" s="86">
        <f t="shared" si="423"/>
        <v>237569.1122918539</v>
      </c>
      <c r="BH199" s="86">
        <f t="shared" si="423"/>
        <v>229285.92645787573</v>
      </c>
      <c r="BI199" s="86">
        <f t="shared" si="423"/>
        <v>221276.00994893714</v>
      </c>
      <c r="BJ199" s="86">
        <f t="shared" si="423"/>
        <v>213755.84709418114</v>
      </c>
      <c r="BK199" s="86">
        <f t="shared" si="423"/>
        <v>205429.07387038661</v>
      </c>
      <c r="BL199" s="86">
        <f t="shared" si="423"/>
        <v>197614.95950659309</v>
      </c>
      <c r="BM199" s="86">
        <f t="shared" si="423"/>
        <v>189792.91670408467</v>
      </c>
    </row>
    <row r="200" spans="1:95" outlineLevel="1"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/>
      <c r="BL200" s="86"/>
      <c r="BM200" s="86"/>
    </row>
    <row r="201" spans="1:95" s="78" customFormat="1" outlineLevel="1">
      <c r="A201" s="78" t="s">
        <v>235</v>
      </c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98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  <c r="BI201" s="119"/>
      <c r="BJ201" s="119"/>
      <c r="BK201" s="119"/>
      <c r="BL201" s="119"/>
      <c r="BM201" s="119"/>
    </row>
    <row r="202" spans="1:95" s="78" customFormat="1" outlineLevel="1">
      <c r="A202" s="78" t="s">
        <v>8</v>
      </c>
      <c r="B202" s="119"/>
      <c r="C202" s="119">
        <f>((C195/B195)-1)*100</f>
        <v>-4.075947927917678</v>
      </c>
      <c r="D202" s="119">
        <f t="shared" ref="D202:AI202" si="424">((D195/C195)-1)*100</f>
        <v>-2.9631385563599899E-2</v>
      </c>
      <c r="E202" s="119">
        <f t="shared" si="424"/>
        <v>7.4041140553678497</v>
      </c>
      <c r="F202" s="119">
        <f t="shared" si="424"/>
        <v>-4.5461178825273008</v>
      </c>
      <c r="G202" s="119">
        <f t="shared" si="424"/>
        <v>-4.1805598577230318</v>
      </c>
      <c r="H202" s="119">
        <f>((H195/G195)-1)*100</f>
        <v>-4.9302004422246188</v>
      </c>
      <c r="I202" s="119">
        <f t="shared" si="424"/>
        <v>-1.7138140767819499</v>
      </c>
      <c r="J202" s="119">
        <f t="shared" si="424"/>
        <v>-9.4547170434956413</v>
      </c>
      <c r="K202" s="119">
        <f>((K195/J195)-1)*100</f>
        <v>-13.098440476605678</v>
      </c>
      <c r="L202" s="119">
        <f t="shared" si="424"/>
        <v>-6.6823005428758968</v>
      </c>
      <c r="M202" s="119">
        <f t="shared" si="424"/>
        <v>-3.4200150668413531</v>
      </c>
      <c r="N202" s="119">
        <f t="shared" si="424"/>
        <v>-10.856126574869307</v>
      </c>
      <c r="O202" s="119">
        <f t="shared" si="424"/>
        <v>-14.314553081338987</v>
      </c>
      <c r="P202" s="119">
        <f t="shared" si="424"/>
        <v>-13.124843500806083</v>
      </c>
      <c r="Q202" s="119">
        <f t="shared" si="424"/>
        <v>-0.76196183857826227</v>
      </c>
      <c r="R202" s="119">
        <f t="shared" si="424"/>
        <v>-5.9075299473090315</v>
      </c>
      <c r="S202" s="119">
        <f t="shared" si="424"/>
        <v>5.0852439741328581</v>
      </c>
      <c r="T202" s="119">
        <f t="shared" si="424"/>
        <v>4.4055944055944041</v>
      </c>
      <c r="U202" s="119">
        <f t="shared" si="424"/>
        <v>4.0857334226389819</v>
      </c>
      <c r="V202" s="119">
        <f t="shared" si="424"/>
        <v>-2.0849420849420763</v>
      </c>
      <c r="W202" s="119">
        <f t="shared" si="424"/>
        <v>-7.8651288117770886</v>
      </c>
      <c r="X202" s="119">
        <f t="shared" si="424"/>
        <v>-4.3654286016319599</v>
      </c>
      <c r="Y202" s="119">
        <f t="shared" si="424"/>
        <v>22.793651371400635</v>
      </c>
      <c r="Z202" s="119">
        <f t="shared" si="424"/>
        <v>4.7013826316833596</v>
      </c>
      <c r="AA202" s="119">
        <f t="shared" si="424"/>
        <v>-5.2792668339865401</v>
      </c>
      <c r="AB202" s="119">
        <f t="shared" si="424"/>
        <v>7.7539121426631441</v>
      </c>
      <c r="AC202" s="119">
        <f t="shared" si="424"/>
        <v>-1.4251121963876678</v>
      </c>
      <c r="AD202" s="119">
        <f t="shared" si="424"/>
        <v>2.656391761882082</v>
      </c>
      <c r="AE202" s="119">
        <f t="shared" si="424"/>
        <v>-4.6553952677696797</v>
      </c>
      <c r="AF202" s="119">
        <f t="shared" si="424"/>
        <v>-5.2675749642973058</v>
      </c>
      <c r="AG202" s="119">
        <f t="shared" si="424"/>
        <v>-11.849531542738745</v>
      </c>
      <c r="AH202" s="119">
        <f t="shared" si="424"/>
        <v>-11.572696228815582</v>
      </c>
      <c r="AI202" s="119">
        <f t="shared" si="424"/>
        <v>-8.0609114089667528</v>
      </c>
      <c r="AJ202" s="119">
        <f t="shared" ref="AJ202:BC202" si="425">((AJ195/AI195)-1)*100</f>
        <v>-3.7210301263726708</v>
      </c>
      <c r="AK202" s="119">
        <f t="shared" si="425"/>
        <v>-1.6833573933770607</v>
      </c>
      <c r="AL202" s="119">
        <f t="shared" si="425"/>
        <v>-2.4376340178349221</v>
      </c>
      <c r="AM202" s="119">
        <f t="shared" si="425"/>
        <v>0.16622775495709341</v>
      </c>
      <c r="AN202" s="119">
        <f t="shared" si="425"/>
        <v>-0.82374265869560315</v>
      </c>
      <c r="AO202" s="119">
        <f t="shared" si="425"/>
        <v>-2.181343691122728</v>
      </c>
      <c r="AP202" s="119">
        <f t="shared" si="425"/>
        <v>-2.8244961637932997</v>
      </c>
      <c r="AQ202" s="119">
        <f t="shared" si="425"/>
        <v>-4.9783989468512253</v>
      </c>
      <c r="AR202" s="119">
        <f t="shared" si="425"/>
        <v>-4.5566460511056945</v>
      </c>
      <c r="AS202" s="119">
        <f t="shared" si="425"/>
        <v>-4.3431662043047385</v>
      </c>
      <c r="AT202" s="119">
        <f t="shared" si="425"/>
        <v>-3.6814425923784366</v>
      </c>
      <c r="AU202" s="119">
        <f t="shared" si="425"/>
        <v>-4.4213126207282798</v>
      </c>
      <c r="AV202" s="119">
        <f t="shared" si="425"/>
        <v>-4.295567842766701</v>
      </c>
      <c r="AW202" s="119">
        <f t="shared" si="425"/>
        <v>-3.5068114504889003</v>
      </c>
      <c r="AX202" s="119">
        <f t="shared" si="425"/>
        <v>-4.8985292642515059</v>
      </c>
      <c r="AY202" s="119">
        <f t="shared" si="425"/>
        <v>-4.4447277319168084</v>
      </c>
      <c r="AZ202" s="119">
        <f t="shared" si="425"/>
        <v>-5.2774196310506056</v>
      </c>
      <c r="BA202" s="119">
        <f t="shared" si="425"/>
        <v>-4.021338396409579</v>
      </c>
      <c r="BB202" s="119">
        <f t="shared" si="425"/>
        <v>-5.7652355994144422</v>
      </c>
      <c r="BC202" s="119">
        <f t="shared" si="425"/>
        <v>-5.7491524410668404</v>
      </c>
      <c r="BD202" s="119">
        <f t="shared" ref="BD202:BD206" si="426">((BD195/BC195)-1)*100</f>
        <v>54.58441018762197</v>
      </c>
      <c r="BE202" s="119">
        <f t="shared" ref="BE202:BE206" si="427">((BE195/BD195)-1)*100</f>
        <v>-3.6194677982736345</v>
      </c>
      <c r="BF202" s="119">
        <f t="shared" ref="BF202:BF206" si="428">((BF195/BE195)-1)*100</f>
        <v>-3.3931395082170246</v>
      </c>
      <c r="BG202" s="119">
        <f t="shared" ref="BG202:BG206" si="429">((BG195/BF195)-1)*100</f>
        <v>-3.8230477338225932</v>
      </c>
      <c r="BH202" s="119">
        <f t="shared" ref="BH202:BH206" si="430">((BH195/BG195)-1)*100</f>
        <v>-4.2246605743692101</v>
      </c>
      <c r="BI202" s="119">
        <f t="shared" ref="BI202:BI206" si="431">((BI195/BH195)-1)*100</f>
        <v>-4.0070595925471242</v>
      </c>
      <c r="BJ202" s="119">
        <f t="shared" ref="BJ202:BJ206" si="432">((BJ195/BI195)-1)*100</f>
        <v>-4.2682551467588699</v>
      </c>
      <c r="BK202" s="119">
        <f t="shared" ref="BK202:BK206" si="433">((BK195/BJ195)-1)*100</f>
        <v>-5.3602794163565948</v>
      </c>
      <c r="BL202" s="119">
        <f t="shared" ref="BL202:BL206" si="434">((BL195/BK195)-1)*100</f>
        <v>-5.1889142346014268</v>
      </c>
      <c r="BM202" s="119">
        <f t="shared" ref="BM202:BM206" si="435">((BM195/BL195)-1)*100</f>
        <v>-5.5762709655198028</v>
      </c>
    </row>
    <row r="203" spans="1:95" s="78" customFormat="1" outlineLevel="1">
      <c r="A203" s="78" t="s">
        <v>9</v>
      </c>
      <c r="B203" s="119"/>
      <c r="C203" s="119">
        <f>((C196/B196)-1)*100</f>
        <v>6.0865644724977574</v>
      </c>
      <c r="D203" s="119">
        <f>((D196/C196)-1)*100</f>
        <v>3.4849128771780702</v>
      </c>
      <c r="E203" s="119">
        <f>((E196/D196)-1)*100</f>
        <v>-2.6078028747433368</v>
      </c>
      <c r="F203" s="119">
        <f>((F196/E196)-1)*100</f>
        <v>14.168247944339019</v>
      </c>
      <c r="G203" s="119">
        <f>((G196/F196)-1)*100</f>
        <v>21.015697137580801</v>
      </c>
      <c r="H203" s="119">
        <f>((H196/G196)-1)*100</f>
        <v>11.292537768960775</v>
      </c>
      <c r="I203" s="119">
        <f>((I196/H196)-1)*100</f>
        <v>8.4601672836966735</v>
      </c>
      <c r="J203" s="119">
        <f>((J196/I196)-1)*100</f>
        <v>8.3059418457648739</v>
      </c>
      <c r="K203" s="119">
        <f>((K196/J196)-1)*100</f>
        <v>2.9882105754639898</v>
      </c>
      <c r="L203" s="119">
        <f t="shared" ref="L203:AJ203" si="436">((L196/K196)-1)*100</f>
        <v>0.31735237447581</v>
      </c>
      <c r="M203" s="119">
        <f t="shared" si="436"/>
        <v>11.241667608179862</v>
      </c>
      <c r="N203" s="119">
        <f t="shared" si="436"/>
        <v>4.2860044688198373</v>
      </c>
      <c r="O203" s="119">
        <f t="shared" si="436"/>
        <v>0.63303467082196363</v>
      </c>
      <c r="P203" s="119">
        <f t="shared" si="436"/>
        <v>-6.0292267492499825</v>
      </c>
      <c r="Q203" s="119">
        <f t="shared" si="436"/>
        <v>15.09783728115346</v>
      </c>
      <c r="R203" s="119">
        <f t="shared" si="436"/>
        <v>-5.377594846098777</v>
      </c>
      <c r="S203" s="119">
        <f>((S196/R196)-1)*100</f>
        <v>-0.52009456264775489</v>
      </c>
      <c r="T203" s="119">
        <f>((T196/S196)-1)*100</f>
        <v>7.7186311787072137</v>
      </c>
      <c r="U203" s="119">
        <f>((U196/T196)-1)*100</f>
        <v>-0.2382633250970656</v>
      </c>
      <c r="V203" s="119">
        <f>((V196/U196)-1)*100</f>
        <v>6.828836797877047</v>
      </c>
      <c r="W203" s="119">
        <f t="shared" si="436"/>
        <v>-2.0534901051585619</v>
      </c>
      <c r="X203" s="119">
        <f t="shared" si="436"/>
        <v>-5.7232225885535453</v>
      </c>
      <c r="Y203" s="119">
        <f t="shared" si="436"/>
        <v>-2.699067431850799</v>
      </c>
      <c r="Z203" s="119">
        <f t="shared" si="436"/>
        <v>2.7370749239701508</v>
      </c>
      <c r="AA203" s="119">
        <f t="shared" si="436"/>
        <v>8.7639038392536719</v>
      </c>
      <c r="AB203" s="119">
        <f t="shared" si="436"/>
        <v>-5.632989690721657</v>
      </c>
      <c r="AC203" s="119">
        <f t="shared" si="436"/>
        <v>7.182967969865417</v>
      </c>
      <c r="AD203" s="119">
        <f t="shared" si="436"/>
        <v>-4.7184735067357764</v>
      </c>
      <c r="AE203" s="119">
        <f t="shared" si="436"/>
        <v>1.3983889356192547</v>
      </c>
      <c r="AF203" s="119">
        <f t="shared" si="436"/>
        <v>7.1916545499206563E-3</v>
      </c>
      <c r="AG203" s="119">
        <f t="shared" si="436"/>
        <v>-3.3153819757757552</v>
      </c>
      <c r="AH203" s="119">
        <f t="shared" si="436"/>
        <v>-4.8267523286164682</v>
      </c>
      <c r="AI203" s="119">
        <f t="shared" si="436"/>
        <v>-5.2227525305595819</v>
      </c>
      <c r="AJ203" s="119">
        <f t="shared" si="436"/>
        <v>-4.655561641721162</v>
      </c>
      <c r="AK203" s="119">
        <f t="shared" ref="AK203:BC206" si="437">((AK196/AJ196)-1)*100</f>
        <v>-6.7377258398719331</v>
      </c>
      <c r="AL203" s="119">
        <f t="shared" si="437"/>
        <v>-4.5234204548225909</v>
      </c>
      <c r="AM203" s="119">
        <f t="shared" si="437"/>
        <v>-2.962910270938679</v>
      </c>
      <c r="AN203" s="119">
        <f t="shared" si="437"/>
        <v>-2.8209488826098528</v>
      </c>
      <c r="AO203" s="119">
        <f t="shared" si="437"/>
        <v>-2.6351596881556305</v>
      </c>
      <c r="AP203" s="119">
        <f t="shared" si="437"/>
        <v>-4.1131543510877222</v>
      </c>
      <c r="AQ203" s="119">
        <f t="shared" si="437"/>
        <v>-6.4180776445808991</v>
      </c>
      <c r="AR203" s="119">
        <f t="shared" si="437"/>
        <v>-7.3923619703841652</v>
      </c>
      <c r="AS203" s="119">
        <f t="shared" si="437"/>
        <v>-5.7477126798431089</v>
      </c>
      <c r="AT203" s="119">
        <f t="shared" si="437"/>
        <v>-5.4889333361452746</v>
      </c>
      <c r="AU203" s="119">
        <f t="shared" si="437"/>
        <v>-4.3967991003851186</v>
      </c>
      <c r="AV203" s="119">
        <f t="shared" si="437"/>
        <v>-4.8151455983704512</v>
      </c>
      <c r="AW203" s="119">
        <f t="shared" si="437"/>
        <v>-5.6670281543386487</v>
      </c>
      <c r="AX203" s="119">
        <f t="shared" si="437"/>
        <v>-4.8925988042329056</v>
      </c>
      <c r="AY203" s="119">
        <f t="shared" si="437"/>
        <v>-3.9909746159385584</v>
      </c>
      <c r="AZ203" s="119">
        <f t="shared" si="437"/>
        <v>-4.0511271279182193</v>
      </c>
      <c r="BA203" s="119">
        <f t="shared" si="437"/>
        <v>-3.8957163789168026</v>
      </c>
      <c r="BB203" s="119">
        <f t="shared" si="437"/>
        <v>-3.2619328104703915</v>
      </c>
      <c r="BC203" s="119">
        <f t="shared" si="437"/>
        <v>-3.9447933611554298</v>
      </c>
      <c r="BD203" s="119">
        <f t="shared" si="426"/>
        <v>0.17454718622784693</v>
      </c>
      <c r="BE203" s="119">
        <f t="shared" si="427"/>
        <v>-4.3588925397828548</v>
      </c>
      <c r="BF203" s="119">
        <f t="shared" si="428"/>
        <v>-3.8218387499231232</v>
      </c>
      <c r="BG203" s="119">
        <f t="shared" si="429"/>
        <v>-2.9557478468160925</v>
      </c>
      <c r="BH203" s="119">
        <f t="shared" si="430"/>
        <v>-1.6854548532371227</v>
      </c>
      <c r="BI203" s="119">
        <f t="shared" si="431"/>
        <v>-2.2521900397732719</v>
      </c>
      <c r="BJ203" s="119">
        <f t="shared" si="432"/>
        <v>-1.5241183967219407</v>
      </c>
      <c r="BK203" s="119">
        <f t="shared" si="433"/>
        <v>-1.255031108725424</v>
      </c>
      <c r="BL203" s="119">
        <f t="shared" si="434"/>
        <v>-1.4065566001029817</v>
      </c>
      <c r="BM203" s="119">
        <f t="shared" si="435"/>
        <v>-1.191582118396739</v>
      </c>
      <c r="BN203" s="119">
        <f t="shared" ref="BN203:CL203" si="438">((BN196/BM196)-1)*100</f>
        <v>-4.2435957990064939</v>
      </c>
      <c r="BO203" s="119">
        <f t="shared" si="438"/>
        <v>0</v>
      </c>
      <c r="BP203" s="119">
        <f t="shared" si="438"/>
        <v>0</v>
      </c>
      <c r="BQ203" s="119">
        <f t="shared" si="438"/>
        <v>0</v>
      </c>
      <c r="BR203" s="119">
        <f t="shared" si="438"/>
        <v>0</v>
      </c>
      <c r="BS203" s="119">
        <f t="shared" si="438"/>
        <v>0</v>
      </c>
      <c r="BT203" s="119">
        <f t="shared" si="438"/>
        <v>0</v>
      </c>
      <c r="BU203" s="119">
        <f t="shared" si="438"/>
        <v>0</v>
      </c>
      <c r="BV203" s="119">
        <f t="shared" si="438"/>
        <v>0</v>
      </c>
      <c r="BW203" s="119">
        <f t="shared" si="438"/>
        <v>0</v>
      </c>
      <c r="BX203" s="119">
        <f t="shared" si="438"/>
        <v>0</v>
      </c>
      <c r="BY203" s="119">
        <f t="shared" si="438"/>
        <v>0</v>
      </c>
      <c r="BZ203" s="119">
        <f t="shared" si="438"/>
        <v>0</v>
      </c>
      <c r="CA203" s="119">
        <f t="shared" si="438"/>
        <v>0</v>
      </c>
      <c r="CB203" s="119">
        <f t="shared" si="438"/>
        <v>0</v>
      </c>
      <c r="CC203" s="119">
        <f t="shared" si="438"/>
        <v>0</v>
      </c>
      <c r="CD203" s="119">
        <f t="shared" si="438"/>
        <v>0</v>
      </c>
      <c r="CE203" s="119">
        <f t="shared" si="438"/>
        <v>0</v>
      </c>
      <c r="CF203" s="119">
        <f t="shared" si="438"/>
        <v>0</v>
      </c>
      <c r="CG203" s="119">
        <f t="shared" si="438"/>
        <v>0</v>
      </c>
      <c r="CH203" s="119">
        <f t="shared" si="438"/>
        <v>0</v>
      </c>
      <c r="CI203" s="119">
        <f t="shared" si="438"/>
        <v>0</v>
      </c>
      <c r="CJ203" s="119">
        <f t="shared" si="438"/>
        <v>0</v>
      </c>
      <c r="CK203" s="119">
        <f>((CK196/CJ196)-1)*100</f>
        <v>0</v>
      </c>
      <c r="CL203" s="119">
        <f t="shared" si="438"/>
        <v>0</v>
      </c>
      <c r="CM203" s="119">
        <f t="shared" ref="CM203" si="439">((CM196/CL196)-1)*100</f>
        <v>0</v>
      </c>
      <c r="CN203" s="119">
        <f t="shared" ref="CN203" si="440">((CN196/CM196)-1)*100</f>
        <v>0</v>
      </c>
      <c r="CO203" s="119">
        <f t="shared" ref="CO203" si="441">((CO196/CN196)-1)*100</f>
        <v>0</v>
      </c>
      <c r="CP203" s="119">
        <f t="shared" ref="CP203" si="442">((CP196/CO196)-1)*100</f>
        <v>0</v>
      </c>
      <c r="CQ203" s="119">
        <f t="shared" ref="CQ203" si="443">((CQ196/CP196)-1)*100</f>
        <v>0</v>
      </c>
    </row>
    <row r="204" spans="1:95" s="78" customFormat="1" outlineLevel="1">
      <c r="A204" s="78" t="s">
        <v>10</v>
      </c>
      <c r="B204" s="119"/>
      <c r="C204" s="119">
        <f>((C197/B197)-1)*100</f>
        <v>-13.750000000000018</v>
      </c>
      <c r="D204" s="119">
        <f t="shared" ref="D204:AI204" si="444">((D197/C197)-1)*100</f>
        <v>-4.0579710144927228</v>
      </c>
      <c r="E204" s="119">
        <f t="shared" si="444"/>
        <v>-48.640483383685783</v>
      </c>
      <c r="F204" s="119">
        <f t="shared" si="444"/>
        <v>57.647058823529292</v>
      </c>
      <c r="G204" s="119">
        <f t="shared" si="444"/>
        <v>1.4925373134329512</v>
      </c>
      <c r="H204" s="119">
        <f t="shared" si="444"/>
        <v>22.058823529411665</v>
      </c>
      <c r="I204" s="119">
        <f t="shared" si="444"/>
        <v>504.81927710843371</v>
      </c>
      <c r="J204" s="119">
        <f t="shared" si="444"/>
        <v>7.2211155378486103</v>
      </c>
      <c r="K204" s="119">
        <f t="shared" si="444"/>
        <v>2.6474686483975773</v>
      </c>
      <c r="L204" s="119">
        <f t="shared" si="444"/>
        <v>-20.678733031674213</v>
      </c>
      <c r="M204" s="119">
        <f t="shared" si="444"/>
        <v>6.274957216200816</v>
      </c>
      <c r="N204" s="119">
        <f t="shared" si="444"/>
        <v>-8.8566827697262323</v>
      </c>
      <c r="O204" s="119">
        <f t="shared" si="444"/>
        <v>-9.8939929328622167</v>
      </c>
      <c r="P204" s="119">
        <f t="shared" si="444"/>
        <v>7.647058823529429</v>
      </c>
      <c r="Q204" s="119">
        <f t="shared" si="444"/>
        <v>9.0467516697025019</v>
      </c>
      <c r="R204" s="119">
        <f t="shared" si="444"/>
        <v>-3.7305122494432186</v>
      </c>
      <c r="S204" s="119">
        <f t="shared" si="444"/>
        <v>0.92539039907462151</v>
      </c>
      <c r="T204" s="119">
        <f t="shared" si="444"/>
        <v>1.2034383954154793</v>
      </c>
      <c r="U204" s="119">
        <f t="shared" si="444"/>
        <v>0.22650056625139747</v>
      </c>
      <c r="V204" s="119">
        <f t="shared" si="444"/>
        <v>-5.6497175141223543E-2</v>
      </c>
      <c r="W204" s="119">
        <f t="shared" si="444"/>
        <v>-5.2721729790842442</v>
      </c>
      <c r="X204" s="119">
        <f t="shared" si="444"/>
        <v>-12.472137156080365</v>
      </c>
      <c r="Y204" s="119">
        <f t="shared" si="444"/>
        <v>-5.6588262560756997</v>
      </c>
      <c r="Z204" s="119">
        <f t="shared" si="444"/>
        <v>-21.246838791981059</v>
      </c>
      <c r="AA204" s="119">
        <f t="shared" si="444"/>
        <v>-25.510783233718605</v>
      </c>
      <c r="AB204" s="119">
        <f t="shared" si="444"/>
        <v>5.6668722262970261</v>
      </c>
      <c r="AC204" s="119">
        <f t="shared" si="444"/>
        <v>12.833862849770195</v>
      </c>
      <c r="AD204" s="119">
        <f t="shared" si="444"/>
        <v>4.5009754175293182</v>
      </c>
      <c r="AE204" s="119">
        <f t="shared" si="444"/>
        <v>7.4767093478166569</v>
      </c>
      <c r="AF204" s="119">
        <f t="shared" si="444"/>
        <v>1.2358925444079905</v>
      </c>
      <c r="AG204" s="119">
        <f t="shared" si="444"/>
        <v>-0.32004837605226211</v>
      </c>
      <c r="AH204" s="119">
        <f t="shared" si="444"/>
        <v>-2.351055454184936</v>
      </c>
      <c r="AI204" s="119">
        <f t="shared" si="444"/>
        <v>-6.2146258207658285</v>
      </c>
      <c r="AJ204" s="119">
        <f>((AJ197/AI197)-1)*100</f>
        <v>-14.519016198241719</v>
      </c>
      <c r="AK204" s="119">
        <f t="shared" si="437"/>
        <v>-10.464805913897113</v>
      </c>
      <c r="AL204" s="119">
        <f t="shared" si="437"/>
        <v>-18.17536259219905</v>
      </c>
      <c r="AM204" s="119">
        <f t="shared" si="437"/>
        <v>-18.430165582102585</v>
      </c>
      <c r="AN204" s="119">
        <f t="shared" si="437"/>
        <v>-22.171087139278743</v>
      </c>
      <c r="AO204" s="119">
        <f t="shared" si="437"/>
        <v>-19.561626408198073</v>
      </c>
      <c r="AP204" s="119">
        <f t="shared" si="437"/>
        <v>-33.465569834103228</v>
      </c>
      <c r="AQ204" s="119">
        <f t="shared" si="437"/>
        <v>-48.08961802738898</v>
      </c>
      <c r="AR204" s="119">
        <f t="shared" si="437"/>
        <v>-57.390270737141314</v>
      </c>
      <c r="AS204" s="119">
        <f t="shared" si="437"/>
        <v>-98.610517387045988</v>
      </c>
      <c r="AT204" s="119">
        <f t="shared" si="437"/>
        <v>-7742.142942575103</v>
      </c>
      <c r="AU204" s="119">
        <f t="shared" si="437"/>
        <v>79.028816456988253</v>
      </c>
      <c r="AV204" s="119">
        <f t="shared" si="437"/>
        <v>39.464668773227451</v>
      </c>
      <c r="AW204" s="119">
        <f t="shared" si="437"/>
        <v>32.898693683480772</v>
      </c>
      <c r="AX204" s="119">
        <f t="shared" si="437"/>
        <v>16.391724722755406</v>
      </c>
      <c r="AY204" s="119">
        <f t="shared" si="437"/>
        <v>21.918142640791881</v>
      </c>
      <c r="AZ204" s="119">
        <f t="shared" si="437"/>
        <v>5.5586445810712037</v>
      </c>
      <c r="BA204" s="119">
        <f t="shared" si="437"/>
        <v>17.633438383053846</v>
      </c>
      <c r="BB204" s="119">
        <f t="shared" si="437"/>
        <v>11.246003521228776</v>
      </c>
      <c r="BC204" s="119">
        <f t="shared" si="437"/>
        <v>5.877616498392868</v>
      </c>
      <c r="BD204" s="119">
        <f t="shared" si="426"/>
        <v>-122.59014491063944</v>
      </c>
      <c r="BE204" s="119">
        <f t="shared" si="427"/>
        <v>-31.612415405170324</v>
      </c>
      <c r="BF204" s="119">
        <f t="shared" si="428"/>
        <v>-20.405514129337142</v>
      </c>
      <c r="BG204" s="119">
        <f t="shared" si="429"/>
        <v>-28.329850218114849</v>
      </c>
      <c r="BH204" s="119">
        <f t="shared" si="430"/>
        <v>-31.512313136487148</v>
      </c>
      <c r="BI204" s="119">
        <f t="shared" si="431"/>
        <v>-32.922082817914486</v>
      </c>
      <c r="BJ204" s="119">
        <f t="shared" si="432"/>
        <v>-45.02734746133634</v>
      </c>
      <c r="BK204" s="119">
        <f t="shared" si="433"/>
        <v>-5.7514160586618406</v>
      </c>
      <c r="BL204" s="119">
        <f t="shared" si="434"/>
        <v>-6.8280006922553422</v>
      </c>
      <c r="BM204" s="119">
        <f t="shared" si="435"/>
        <v>-30.470655532115533</v>
      </c>
    </row>
    <row r="205" spans="1:95" s="78" customFormat="1" outlineLevel="1">
      <c r="A205" s="78" t="s">
        <v>14</v>
      </c>
      <c r="B205" s="119"/>
      <c r="C205" s="119">
        <f>((C198/B198)-1)*100</f>
        <v>-4.2601500735528708</v>
      </c>
      <c r="D205" s="119">
        <f t="shared" ref="D205:AI205" si="445">((D198/C198)-1)*100</f>
        <v>-9.8731490048686865E-2</v>
      </c>
      <c r="E205" s="119">
        <f t="shared" si="445"/>
        <v>6.4808535132666822</v>
      </c>
      <c r="F205" s="119">
        <f t="shared" si="445"/>
        <v>-4.0519407267347374</v>
      </c>
      <c r="G205" s="119">
        <f t="shared" si="445"/>
        <v>-4.1064954037351669</v>
      </c>
      <c r="H205" s="119">
        <f t="shared" si="445"/>
        <v>-4.5572752680815292</v>
      </c>
      <c r="I205" s="119">
        <f t="shared" si="445"/>
        <v>7.237126936426197</v>
      </c>
      <c r="J205" s="119">
        <f t="shared" si="445"/>
        <v>-7.7927253315591249</v>
      </c>
      <c r="K205" s="119">
        <f t="shared" si="445"/>
        <v>-11.273602949698457</v>
      </c>
      <c r="L205" s="119">
        <f t="shared" si="445"/>
        <v>-8.5588897490790909</v>
      </c>
      <c r="M205" s="119">
        <f t="shared" si="445"/>
        <v>-2.2924370922246196</v>
      </c>
      <c r="N205" s="119">
        <f t="shared" si="445"/>
        <v>-10.603189802262458</v>
      </c>
      <c r="O205" s="119">
        <f t="shared" si="445"/>
        <v>-13.744411281402257</v>
      </c>
      <c r="P205" s="119">
        <f t="shared" si="445"/>
        <v>-10.326195032127261</v>
      </c>
      <c r="Q205" s="119">
        <f t="shared" si="445"/>
        <v>0.82446737970283124</v>
      </c>
      <c r="R205" s="119">
        <f t="shared" si="445"/>
        <v>-5.526712001225409</v>
      </c>
      <c r="S205" s="119">
        <f t="shared" si="445"/>
        <v>4.3437406179830163</v>
      </c>
      <c r="T205" s="119">
        <f t="shared" si="445"/>
        <v>3.853502219455085</v>
      </c>
      <c r="U205" s="119">
        <f t="shared" si="445"/>
        <v>3.4373316129378217</v>
      </c>
      <c r="V205" s="119">
        <f t="shared" si="445"/>
        <v>-1.7547157453323914</v>
      </c>
      <c r="W205" s="119">
        <f t="shared" si="445"/>
        <v>-7.4357046608549249</v>
      </c>
      <c r="X205" s="119">
        <f t="shared" si="445"/>
        <v>-5.7393756075057372</v>
      </c>
      <c r="Y205" s="119">
        <f t="shared" si="445"/>
        <v>18.315884026268559</v>
      </c>
      <c r="Z205" s="119">
        <f t="shared" si="445"/>
        <v>1.4452112742187051</v>
      </c>
      <c r="AA205" s="119">
        <f t="shared" si="445"/>
        <v>-7.2501665941299143</v>
      </c>
      <c r="AB205" s="119">
        <f t="shared" si="445"/>
        <v>7.590626828472713</v>
      </c>
      <c r="AC205" s="119">
        <f t="shared" si="445"/>
        <v>-0.32946913066685957</v>
      </c>
      <c r="AD205" s="119">
        <f t="shared" si="445"/>
        <v>2.8168462341941591</v>
      </c>
      <c r="AE205" s="119">
        <f t="shared" si="445"/>
        <v>-3.5827757806221938</v>
      </c>
      <c r="AF205" s="119">
        <f t="shared" si="445"/>
        <v>-4.6266395809070548</v>
      </c>
      <c r="AG205" s="119">
        <f t="shared" si="445"/>
        <v>-10.643422582869388</v>
      </c>
      <c r="AH205" s="119">
        <f t="shared" si="445"/>
        <v>-10.496562614516037</v>
      </c>
      <c r="AI205" s="119">
        <f t="shared" si="445"/>
        <v>-7.825848170410044</v>
      </c>
      <c r="AJ205" s="119">
        <f>((AJ198/AI198)-1)*100</f>
        <v>-5.1198267136076669</v>
      </c>
      <c r="AK205" s="119">
        <f t="shared" si="437"/>
        <v>-2.7082349986950471</v>
      </c>
      <c r="AL205" s="119">
        <f t="shared" si="437"/>
        <v>-4.1279410248481252</v>
      </c>
      <c r="AM205" s="119">
        <f t="shared" si="437"/>
        <v>-1.5384578719910724</v>
      </c>
      <c r="AN205" s="119">
        <f t="shared" si="437"/>
        <v>-2.4448896008560927</v>
      </c>
      <c r="AO205" s="119">
        <f t="shared" si="437"/>
        <v>-3.2343386672843422</v>
      </c>
      <c r="AP205" s="119">
        <f t="shared" si="437"/>
        <v>-4.3676721386924129</v>
      </c>
      <c r="AQ205" s="119">
        <f t="shared" si="437"/>
        <v>-6.4889781193411045</v>
      </c>
      <c r="AR205" s="119">
        <f t="shared" si="437"/>
        <v>-5.5843192179999672</v>
      </c>
      <c r="AS205" s="119">
        <f t="shared" si="437"/>
        <v>-5.1706710775573983</v>
      </c>
      <c r="AT205" s="119">
        <f t="shared" si="437"/>
        <v>-4.676789156817307</v>
      </c>
      <c r="AU205" s="119">
        <f t="shared" si="437"/>
        <v>-5.2818370469182359</v>
      </c>
      <c r="AV205" s="119">
        <f t="shared" si="437"/>
        <v>-5.1484823972454468</v>
      </c>
      <c r="AW205" s="119">
        <f t="shared" si="437"/>
        <v>-4.5501201795887791</v>
      </c>
      <c r="AX205" s="119">
        <f t="shared" si="437"/>
        <v>-5.7480460182260051</v>
      </c>
      <c r="AY205" s="119">
        <f t="shared" si="437"/>
        <v>-5.7437468454629714</v>
      </c>
      <c r="AZ205" s="119">
        <f t="shared" si="437"/>
        <v>-5.9680609907503896</v>
      </c>
      <c r="BA205" s="119">
        <f t="shared" si="437"/>
        <v>-5.5707012438968251</v>
      </c>
      <c r="BB205" s="119">
        <f t="shared" si="437"/>
        <v>-7.2814457599334688</v>
      </c>
      <c r="BC205" s="119">
        <f t="shared" si="437"/>
        <v>-6.9925220904002767</v>
      </c>
      <c r="BD205" s="119">
        <f t="shared" si="426"/>
        <v>76.15335302079238</v>
      </c>
      <c r="BE205" s="119">
        <f t="shared" si="427"/>
        <v>-4.0564907463595645</v>
      </c>
      <c r="BF205" s="119">
        <f t="shared" si="428"/>
        <v>-3.5824532826683742</v>
      </c>
      <c r="BG205" s="119">
        <f t="shared" si="429"/>
        <v>-4.0481764175922414</v>
      </c>
      <c r="BH205" s="119">
        <f t="shared" si="430"/>
        <v>-4.4118991969539501</v>
      </c>
      <c r="BI205" s="119">
        <f t="shared" si="431"/>
        <v>-4.1492143739173981</v>
      </c>
      <c r="BJ205" s="119">
        <f t="shared" si="432"/>
        <v>-4.4084868865990057</v>
      </c>
      <c r="BK205" s="119">
        <f t="shared" si="433"/>
        <v>-5.3610533035834518</v>
      </c>
      <c r="BL205" s="119">
        <f t="shared" si="434"/>
        <v>-5.1921438884174549</v>
      </c>
      <c r="BM205" s="119">
        <f t="shared" si="435"/>
        <v>-5.6244764657657047</v>
      </c>
    </row>
    <row r="206" spans="1:95" s="78" customFormat="1" outlineLevel="1">
      <c r="A206" s="78" t="s">
        <v>11</v>
      </c>
      <c r="B206" s="119"/>
      <c r="C206" s="119">
        <f>((C199/B199)-1)*100</f>
        <v>-3.0335205355877193</v>
      </c>
      <c r="D206" s="119">
        <f t="shared" ref="D206:AI206" si="446">((D199/C199)-1)*100</f>
        <v>0.36607760024274238</v>
      </c>
      <c r="E206" s="119">
        <f t="shared" si="446"/>
        <v>5.2653968487107239</v>
      </c>
      <c r="F206" s="119">
        <f t="shared" si="446"/>
        <v>-1.7975395838210728</v>
      </c>
      <c r="G206" s="119">
        <f t="shared" si="446"/>
        <v>-0.49273934103634121</v>
      </c>
      <c r="H206" s="119">
        <f t="shared" si="446"/>
        <v>-1.7845146729409622</v>
      </c>
      <c r="I206" s="119">
        <f t="shared" si="446"/>
        <v>7.4795729751801598</v>
      </c>
      <c r="J206" s="119">
        <f t="shared" si="446"/>
        <v>-4.5723346009721721</v>
      </c>
      <c r="K206" s="119">
        <f t="shared" si="446"/>
        <v>-8.0356436609822843</v>
      </c>
      <c r="L206" s="119">
        <f>((L199/K199)-1)*100</f>
        <v>-6.3020862455330562</v>
      </c>
      <c r="M206" s="119">
        <f t="shared" si="446"/>
        <v>1.3917381464872536</v>
      </c>
      <c r="N206" s="119">
        <f t="shared" si="446"/>
        <v>-6.1563972817406665</v>
      </c>
      <c r="O206" s="119">
        <f t="shared" si="446"/>
        <v>-8.9726493299199017</v>
      </c>
      <c r="P206" s="119">
        <f t="shared" si="446"/>
        <v>-8.7495720938708725</v>
      </c>
      <c r="Q206" s="119">
        <f t="shared" si="446"/>
        <v>6.2177118204761017</v>
      </c>
      <c r="R206" s="119">
        <f t="shared" si="446"/>
        <v>-5.4656569760153868</v>
      </c>
      <c r="S206" s="119">
        <f t="shared" si="446"/>
        <v>2.3504206027451957</v>
      </c>
      <c r="T206" s="119">
        <f t="shared" si="446"/>
        <v>5.3931022059123812</v>
      </c>
      <c r="U206" s="119">
        <f t="shared" si="446"/>
        <v>1.9409230222980467</v>
      </c>
      <c r="V206" s="119">
        <f t="shared" si="446"/>
        <v>1.6651185024121995</v>
      </c>
      <c r="W206" s="119">
        <f t="shared" si="446"/>
        <v>-5.182422792355923</v>
      </c>
      <c r="X206" s="119">
        <f t="shared" si="446"/>
        <v>-5.7323899332608281</v>
      </c>
      <c r="Y206" s="119">
        <f t="shared" si="446"/>
        <v>9.2266925900913233</v>
      </c>
      <c r="Z206" s="119">
        <f t="shared" si="446"/>
        <v>1.9429503730362896</v>
      </c>
      <c r="AA206" s="119">
        <f t="shared" si="446"/>
        <v>-1.0320793504486336</v>
      </c>
      <c r="AB206" s="119">
        <f t="shared" si="446"/>
        <v>1.9478137432230813</v>
      </c>
      <c r="AC206" s="119">
        <f t="shared" si="446"/>
        <v>2.6378793117089128</v>
      </c>
      <c r="AD206" s="119">
        <f t="shared" si="446"/>
        <v>-0.29134328422451006</v>
      </c>
      <c r="AE206" s="119">
        <f t="shared" si="446"/>
        <v>-1.6193587649977248</v>
      </c>
      <c r="AF206" s="119">
        <f t="shared" si="446"/>
        <v>-2.7441036857699053</v>
      </c>
      <c r="AG206" s="119">
        <f t="shared" si="446"/>
        <v>-7.5821203269871518</v>
      </c>
      <c r="AH206" s="119">
        <f t="shared" si="446"/>
        <v>-8.0186370447941187</v>
      </c>
      <c r="AI206" s="119">
        <f t="shared" si="446"/>
        <v>-6.6487168826969363</v>
      </c>
      <c r="AJ206" s="119">
        <f>((AJ199/AI199)-1)*100</f>
        <v>-4.9066770801893034</v>
      </c>
      <c r="AK206" s="119">
        <f t="shared" si="437"/>
        <v>-4.5631076278888845</v>
      </c>
      <c r="AL206" s="119">
        <f t="shared" si="437"/>
        <v>-4.3058416733678158</v>
      </c>
      <c r="AM206" s="119">
        <f t="shared" si="437"/>
        <v>-2.1777700801862254</v>
      </c>
      <c r="AN206" s="119">
        <f t="shared" si="437"/>
        <v>-2.6123150888225699</v>
      </c>
      <c r="AO206" s="119">
        <f t="shared" si="437"/>
        <v>-2.9681494605231284</v>
      </c>
      <c r="AP206" s="119">
        <f t="shared" si="437"/>
        <v>-4.2542129027420721</v>
      </c>
      <c r="AQ206" s="119">
        <f t="shared" si="437"/>
        <v>-6.4573254590467251</v>
      </c>
      <c r="AR206" s="119">
        <f t="shared" si="437"/>
        <v>-6.3918367279526045</v>
      </c>
      <c r="AS206" s="119">
        <f t="shared" si="437"/>
        <v>-5.4256377767632262</v>
      </c>
      <c r="AT206" s="119">
        <f t="shared" si="437"/>
        <v>-5.0344142218798797</v>
      </c>
      <c r="AU206" s="119">
        <f t="shared" si="437"/>
        <v>-4.8939787208778229</v>
      </c>
      <c r="AV206" s="119">
        <f t="shared" si="437"/>
        <v>-5.0016374839662809</v>
      </c>
      <c r="AW206" s="119">
        <f t="shared" si="437"/>
        <v>-5.0431177386368713</v>
      </c>
      <c r="AX206" s="119">
        <f t="shared" si="437"/>
        <v>-5.3729368638275936</v>
      </c>
      <c r="AY206" s="119">
        <f t="shared" si="437"/>
        <v>-4.9712639287048059</v>
      </c>
      <c r="AZ206" s="119">
        <f t="shared" si="437"/>
        <v>-5.1145136029887572</v>
      </c>
      <c r="BA206" s="119">
        <f t="shared" si="437"/>
        <v>-4.8165273681590071</v>
      </c>
      <c r="BB206" s="119">
        <f t="shared" si="437"/>
        <v>-5.4541231413590685</v>
      </c>
      <c r="BC206" s="119">
        <f t="shared" si="437"/>
        <v>-5.5748593712506622</v>
      </c>
      <c r="BD206" s="119">
        <f t="shared" si="426"/>
        <v>40.201411925096032</v>
      </c>
      <c r="BE206" s="119">
        <f t="shared" si="427"/>
        <v>-4.1587303702666389</v>
      </c>
      <c r="BF206" s="119">
        <f t="shared" si="428"/>
        <v>-3.6632185621595426</v>
      </c>
      <c r="BG206" s="119">
        <f t="shared" si="429"/>
        <v>-3.6802132862878367</v>
      </c>
      <c r="BH206" s="119">
        <f t="shared" si="430"/>
        <v>-3.4866425833179338</v>
      </c>
      <c r="BI206" s="119">
        <f t="shared" si="431"/>
        <v>-3.4934182977035766</v>
      </c>
      <c r="BJ206" s="119">
        <f t="shared" si="432"/>
        <v>-3.398544133406689</v>
      </c>
      <c r="BK206" s="119">
        <f t="shared" si="433"/>
        <v>-3.8954598608597291</v>
      </c>
      <c r="BL206" s="119">
        <f t="shared" si="434"/>
        <v>-3.8038015829851557</v>
      </c>
      <c r="BM206" s="119">
        <f t="shared" si="435"/>
        <v>-3.9582240241521016</v>
      </c>
    </row>
    <row r="207" spans="1:95" s="78" customFormat="1"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</row>
    <row r="208" spans="1:95">
      <c r="A208" s="97" t="s">
        <v>309</v>
      </c>
      <c r="B208" s="100"/>
      <c r="C208" s="100"/>
      <c r="D208" s="100"/>
      <c r="G208" s="88"/>
      <c r="H208" s="88"/>
      <c r="I208" s="88"/>
      <c r="J208" s="88"/>
    </row>
    <row r="209" spans="1:95">
      <c r="A209" s="138" t="str">
        <f>IF(Skiftberegning!BT25=0,"Skiftberegning ikke i bruk","SKIFTBEREGNING I BRUK!")</f>
        <v>Skiftberegning ikke i bruk</v>
      </c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</row>
    <row r="210" spans="1:95">
      <c r="A210" s="287"/>
      <c r="B210" s="211"/>
      <c r="C210" s="100"/>
      <c r="D210" s="100"/>
      <c r="G210" s="88"/>
      <c r="H210" s="88"/>
      <c r="I210" s="88"/>
      <c r="J210" s="88"/>
      <c r="Q210" s="88"/>
      <c r="S210" s="297"/>
      <c r="BI210" s="79" t="s">
        <v>232</v>
      </c>
    </row>
    <row r="211" spans="1:95" s="322" customFormat="1">
      <c r="A211" s="417" t="s">
        <v>556</v>
      </c>
      <c r="B211" s="418"/>
      <c r="C211" s="419"/>
      <c r="D211" s="417"/>
      <c r="E211" s="417"/>
      <c r="F211" s="417"/>
      <c r="G211" s="420"/>
      <c r="H211" s="421"/>
      <c r="I211" s="422"/>
      <c r="J211" s="417"/>
      <c r="K211" s="422"/>
      <c r="L211" s="422"/>
      <c r="M211" s="422"/>
      <c r="N211" s="422"/>
      <c r="O211" s="422"/>
      <c r="P211" s="422"/>
      <c r="Q211" s="422"/>
      <c r="R211" s="422"/>
      <c r="S211" s="422"/>
      <c r="T211" s="422"/>
      <c r="U211" s="422"/>
      <c r="V211" s="422"/>
      <c r="W211" s="422"/>
      <c r="X211" s="422"/>
      <c r="Y211" s="422"/>
      <c r="Z211" s="422"/>
      <c r="AA211" s="422"/>
      <c r="AB211" s="422"/>
      <c r="AC211" s="422"/>
      <c r="AD211" s="422"/>
      <c r="AE211" s="422"/>
      <c r="AF211" s="422"/>
      <c r="AG211" s="422"/>
      <c r="AH211" s="422"/>
      <c r="AI211" s="422"/>
      <c r="AJ211" s="422"/>
      <c r="AK211" s="422"/>
      <c r="AL211" s="422"/>
      <c r="AM211" s="422"/>
      <c r="AN211" s="422"/>
      <c r="AO211" s="422"/>
      <c r="AP211" s="422"/>
      <c r="AQ211" s="422"/>
      <c r="AR211" s="422"/>
      <c r="AS211" s="422"/>
      <c r="AT211" s="422"/>
      <c r="AU211" s="422"/>
      <c r="AV211" s="422"/>
      <c r="AW211" s="422"/>
      <c r="AX211" s="422"/>
      <c r="AY211" s="422"/>
      <c r="AZ211" s="422"/>
      <c r="BA211" s="422"/>
      <c r="BB211" s="422"/>
      <c r="BC211" s="422"/>
      <c r="BD211" s="417"/>
      <c r="BE211" s="417"/>
      <c r="BF211" s="417"/>
      <c r="BG211" s="417"/>
      <c r="BH211" s="417"/>
      <c r="BI211" s="417"/>
      <c r="BJ211" s="417"/>
      <c r="BK211" s="417"/>
      <c r="BL211" s="417"/>
      <c r="BM211" s="417"/>
    </row>
    <row r="212" spans="1:95">
      <c r="B212" s="211"/>
      <c r="C212" s="100"/>
      <c r="G212" s="88"/>
      <c r="H212" s="411"/>
      <c r="I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83"/>
      <c r="AB212" s="283"/>
      <c r="AC212" s="283"/>
      <c r="AD212" s="283"/>
      <c r="AE212" s="283"/>
      <c r="AF212" s="283"/>
      <c r="AG212" s="283"/>
      <c r="AH212" s="283"/>
      <c r="AI212" s="283"/>
      <c r="AJ212" s="283"/>
      <c r="AK212" s="283"/>
      <c r="AL212" s="283"/>
      <c r="AM212" s="283"/>
      <c r="AN212" s="283"/>
      <c r="AO212" s="283"/>
      <c r="AP212" s="283"/>
      <c r="AQ212" s="283"/>
      <c r="AR212" s="283"/>
      <c r="AS212" s="283"/>
      <c r="AT212" s="283"/>
      <c r="AU212" s="283"/>
      <c r="AV212" s="283"/>
      <c r="AW212" s="283"/>
      <c r="AX212" s="283"/>
      <c r="AY212" s="283"/>
      <c r="AZ212" s="283"/>
      <c r="BA212" s="283"/>
      <c r="BB212" s="283"/>
      <c r="BC212" s="283"/>
    </row>
    <row r="213" spans="1:95">
      <c r="A213" s="409" t="s">
        <v>552</v>
      </c>
      <c r="B213" s="211"/>
      <c r="C213" s="100"/>
      <c r="G213" s="88"/>
      <c r="H213" s="411"/>
      <c r="I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83"/>
      <c r="AB213" s="283"/>
      <c r="AC213" s="283"/>
      <c r="AD213" s="283"/>
      <c r="AE213" s="283"/>
      <c r="AF213" s="283"/>
      <c r="AG213" s="283"/>
      <c r="AH213" s="283"/>
      <c r="AI213" s="283"/>
      <c r="AJ213" s="283"/>
      <c r="AK213" s="283"/>
      <c r="AL213" s="283"/>
      <c r="AM213" s="283"/>
      <c r="AN213" s="283"/>
      <c r="AO213" s="283"/>
      <c r="AP213" s="283"/>
      <c r="AQ213" s="283"/>
      <c r="AR213" s="283"/>
      <c r="AS213" s="283"/>
      <c r="AT213" s="283"/>
      <c r="AU213" s="283"/>
      <c r="AV213" s="283"/>
      <c r="AW213" s="283"/>
      <c r="AX213" s="283"/>
      <c r="AY213" s="283"/>
      <c r="AZ213" s="283"/>
      <c r="BA213" s="283"/>
      <c r="BB213" s="283"/>
      <c r="BC213" s="283"/>
    </row>
    <row r="214" spans="1:95">
      <c r="A214" s="410" t="s">
        <v>672</v>
      </c>
      <c r="B214" s="211"/>
      <c r="C214" s="100"/>
      <c r="G214" s="88"/>
      <c r="H214" s="411"/>
      <c r="I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83"/>
      <c r="AB214" s="283"/>
      <c r="AC214" s="283"/>
      <c r="AD214" s="283"/>
      <c r="AE214" s="283"/>
      <c r="AF214" s="283"/>
      <c r="AG214" s="283"/>
      <c r="AH214" s="283"/>
      <c r="AI214" s="283"/>
      <c r="AJ214" s="283"/>
      <c r="AK214" s="283"/>
      <c r="AL214" s="283"/>
      <c r="AM214" s="283"/>
      <c r="AN214" s="283"/>
      <c r="AO214" s="283"/>
      <c r="AP214" s="283"/>
      <c r="AQ214" s="283"/>
      <c r="AR214" s="283"/>
      <c r="AS214" s="283"/>
      <c r="AT214" s="283"/>
      <c r="AU214" s="283"/>
      <c r="AV214" s="283"/>
      <c r="AW214" s="283"/>
      <c r="AX214" s="283"/>
      <c r="AY214" s="283"/>
      <c r="AZ214" s="283"/>
      <c r="BA214" s="283"/>
      <c r="BB214" s="283"/>
      <c r="BC214" s="283"/>
    </row>
    <row r="215" spans="1:95">
      <c r="B215" s="211"/>
      <c r="C215" s="100"/>
      <c r="G215" s="88"/>
      <c r="H215" s="411"/>
      <c r="I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83"/>
      <c r="AB215" s="283"/>
      <c r="AC215" s="283"/>
      <c r="AD215" s="283"/>
      <c r="AE215" s="283"/>
      <c r="AF215" s="283"/>
      <c r="AG215" s="283"/>
      <c r="AH215" s="283"/>
      <c r="AI215" s="283"/>
      <c r="AJ215" s="283"/>
      <c r="AK215" s="283"/>
      <c r="AL215" s="283"/>
      <c r="AM215" s="283"/>
      <c r="AN215" s="283"/>
      <c r="AO215" s="283"/>
      <c r="AP215" s="283"/>
      <c r="AQ215" s="283"/>
      <c r="AR215" s="283"/>
      <c r="AS215" s="283"/>
      <c r="AT215" s="283"/>
      <c r="AU215" s="283"/>
      <c r="AV215" s="283"/>
      <c r="AW215" s="283"/>
      <c r="AX215" s="283"/>
      <c r="AY215" s="283"/>
      <c r="AZ215" s="283"/>
      <c r="BA215" s="283"/>
      <c r="BB215" s="283"/>
      <c r="BC215" s="283"/>
    </row>
    <row r="216" spans="1:95">
      <c r="A216" s="139" t="s">
        <v>250</v>
      </c>
      <c r="B216" s="211"/>
      <c r="C216" s="100"/>
      <c r="D216" s="100"/>
      <c r="G216" s="88"/>
      <c r="H216" s="88"/>
      <c r="I216" s="88"/>
      <c r="J216" s="88"/>
      <c r="O216" s="452"/>
      <c r="R216" s="90"/>
      <c r="T216" s="78"/>
    </row>
    <row r="217" spans="1:95">
      <c r="A217" s="273" t="s">
        <v>500</v>
      </c>
      <c r="B217" s="211" t="s">
        <v>499</v>
      </c>
      <c r="C217" s="213">
        <f>[2]!FAMEData(""&amp;$A$214&amp;"'X6631", "1998", "2024", 0,"Annual", "Across", "No Heading", "Normal")</f>
        <v>37762.196076388886</v>
      </c>
      <c r="D217" s="216">
        <v>41625.108608627052</v>
      </c>
      <c r="E217" s="216">
        <v>40112.488344828111</v>
      </c>
      <c r="F217" s="216">
        <v>47457.036539977125</v>
      </c>
      <c r="G217" s="216">
        <v>49608.232647449317</v>
      </c>
      <c r="H217" s="216">
        <v>85292.856367446599</v>
      </c>
      <c r="I217" s="216">
        <v>59502.623812461075</v>
      </c>
      <c r="J217" s="216">
        <v>64761.445434075809</v>
      </c>
      <c r="K217" s="216">
        <v>108900.97991499187</v>
      </c>
      <c r="L217" s="216">
        <v>84536.307402902268</v>
      </c>
      <c r="M217" s="216">
        <v>85120.598593080475</v>
      </c>
      <c r="N217" s="714">
        <v>83818.765216685031</v>
      </c>
      <c r="O217" s="714">
        <v>81054.690345347757</v>
      </c>
      <c r="P217" s="715">
        <v>89310.974982497748</v>
      </c>
      <c r="Q217" s="715">
        <v>92551.463440446023</v>
      </c>
      <c r="R217" s="715">
        <v>87764.157336067932</v>
      </c>
      <c r="S217" s="715">
        <v>85932.899046461389</v>
      </c>
      <c r="T217" s="715">
        <v>73178.383443708983</v>
      </c>
      <c r="U217" s="715">
        <v>72487.744751069607</v>
      </c>
      <c r="V217" s="468">
        <v>78773.763966572064</v>
      </c>
      <c r="W217" s="468">
        <v>75660.744685566329</v>
      </c>
      <c r="X217" s="468">
        <v>66789.355849548956</v>
      </c>
      <c r="Y217" s="468">
        <v>61148.749166390407</v>
      </c>
      <c r="Z217" s="468">
        <v>53965.502562668975</v>
      </c>
      <c r="AA217" s="468">
        <v>44695.000000000007</v>
      </c>
      <c r="AB217" s="468">
        <v>42726.145312733322</v>
      </c>
      <c r="AC217" s="468">
        <v>46008.678564895643</v>
      </c>
      <c r="AD217" s="413">
        <f t="shared" ref="AD217:AI217" si="447">AD137</f>
        <v>3.0914593160074499</v>
      </c>
      <c r="AE217" s="413">
        <f t="shared" si="447"/>
        <v>5.2055311470937671</v>
      </c>
      <c r="AF217" s="413">
        <f t="shared" si="447"/>
        <v>0.87904488539565229</v>
      </c>
      <c r="AG217" s="413">
        <f t="shared" si="447"/>
        <v>-0.22844387661841159</v>
      </c>
      <c r="AH217" s="413">
        <f t="shared" si="447"/>
        <v>-1.6765937353047988</v>
      </c>
      <c r="AI217" s="413">
        <f t="shared" si="447"/>
        <v>-4.4013974668744353</v>
      </c>
      <c r="AJ217" s="413">
        <f>(Formue!AG32/Formue!AF32-1)*100</f>
        <v>-10.087797726996527</v>
      </c>
      <c r="AK217" s="413">
        <f>(Formue!AH32/Formue!AG32-1)*100</f>
        <v>-6.9125968707599679</v>
      </c>
      <c r="AL217" s="413">
        <f>(Formue!AI32/Formue!AH32-1)*100</f>
        <v>-11.547713499582191</v>
      </c>
      <c r="AM217" s="413">
        <f>(Formue!AJ32/Formue!AI32-1)*100</f>
        <v>-10.83221270539495</v>
      </c>
      <c r="AN217" s="413">
        <f>(Formue!AK32/Formue!AJ32-1)*100</f>
        <v>-11.92055627173163</v>
      </c>
      <c r="AO217" s="413">
        <f>(Formue!AL32/Formue!AK32-1)*100</f>
        <v>-9.2935340549665906</v>
      </c>
      <c r="AP217" s="413">
        <f>(Formue!AM32/Formue!AL32-1)*100</f>
        <v>-14.099353293503714</v>
      </c>
      <c r="AQ217" s="413">
        <f>(Formue!AN32/Formue!AM32-1)*100</f>
        <v>-15.692867375212483</v>
      </c>
      <c r="AR217" s="413">
        <f>(Formue!AO32/Formue!AN32-1)*100</f>
        <v>-11.531323506373381</v>
      </c>
      <c r="AS217" s="413">
        <f>(Formue!AP32/Formue!AO32-1)*100</f>
        <v>-9.5429657412695708</v>
      </c>
      <c r="AT217" s="413">
        <f>(Formue!AQ32/Formue!AP32-1)*100</f>
        <v>-11.508854103197363</v>
      </c>
      <c r="AU217" s="413">
        <f>(Formue!AR32/Formue!AQ32-1)*100</f>
        <v>-10.145459344828245</v>
      </c>
      <c r="AV217" s="413">
        <f>(Formue!AS32/Formue!AR32-1)*100</f>
        <v>-10.094332623238532</v>
      </c>
      <c r="AW217" s="413">
        <f>(Formue!AT32/Formue!AS32-1)*100</f>
        <v>-13.053438679578711</v>
      </c>
      <c r="AX217" s="413">
        <f>(Formue!AU32/Formue!AT32-1)*100</f>
        <v>-9.9412096617402916</v>
      </c>
      <c r="AY217" s="413">
        <f>(Formue!AV32/Formue!AU32-1)*100</f>
        <v>-17.179650508662782</v>
      </c>
      <c r="AZ217" s="413">
        <f>(Formue!AW32/Formue!AV32-1)*100</f>
        <v>-6.413731290770075</v>
      </c>
      <c r="BA217" s="413">
        <f>(Formue!AX32/Formue!AW32-1)*100</f>
        <v>-22.948829110941361</v>
      </c>
      <c r="BB217" s="413">
        <f>(Formue!AY32/Formue!AX32-1)*100</f>
        <v>-22.344636359172341</v>
      </c>
      <c r="BC217" s="413">
        <f>(Formue!AZ32/Formue!AY32-1)*100</f>
        <v>-16.729743495550242</v>
      </c>
      <c r="BD217" s="413">
        <f>(Formue!BA32/Formue!AZ32-1)*100</f>
        <v>-18.243685289998744</v>
      </c>
      <c r="BE217" s="413">
        <f>(Formue!BB32/Formue!BA32-1)*100</f>
        <v>-31.612415405170324</v>
      </c>
      <c r="BF217" s="413">
        <f>(Formue!BC32/Formue!BB32-1)*100</f>
        <v>-20.405514129337142</v>
      </c>
      <c r="BG217" s="413">
        <f>(Formue!BD32/Formue!BC32-1)*100</f>
        <v>-28.329850218114849</v>
      </c>
      <c r="BH217" s="413">
        <f>(Formue!BE32/Formue!BD32-1)*100</f>
        <v>-31.512313136487148</v>
      </c>
      <c r="BI217" s="413">
        <f>(Formue!BF32/Formue!BE32-1)*100</f>
        <v>-32.922082817914486</v>
      </c>
      <c r="BJ217" s="413">
        <f>(Formue!BG32/Formue!BF32-1)*100</f>
        <v>-45.02734746133634</v>
      </c>
      <c r="BK217" s="413">
        <f>(Formue!BH32/Formue!BG32-1)*100</f>
        <v>-5.7514160586618406</v>
      </c>
      <c r="BL217" s="413">
        <f>(Formue!BI32/Formue!BH32-1)*100</f>
        <v>-6.8280006922553422</v>
      </c>
      <c r="BM217" s="413">
        <f>(Formue!BJ32/Formue!BI32-1)*100</f>
        <v>-30.470655532115522</v>
      </c>
      <c r="BN217" s="413">
        <f>(Formue!BK32/Formue!BJ32-1)*100</f>
        <v>0</v>
      </c>
      <c r="BO217" s="413">
        <f>(Formue!BL32/Formue!BK32-1)*100</f>
        <v>0</v>
      </c>
      <c r="BP217" s="413">
        <f>(Formue!BM32/Formue!BL32-1)*100</f>
        <v>0</v>
      </c>
      <c r="BQ217" s="413">
        <f>(Formue!BN32/Formue!BM32-1)*100</f>
        <v>0</v>
      </c>
      <c r="BR217" s="413">
        <f>(Formue!BO32/Formue!BN32-1)*100</f>
        <v>0</v>
      </c>
      <c r="BS217" s="413">
        <f>(Formue!BP32/Formue!BO32-1)*100</f>
        <v>0</v>
      </c>
      <c r="BT217" s="413">
        <f>(Formue!BQ32/Formue!BP32-1)*100</f>
        <v>0</v>
      </c>
      <c r="BU217" s="413">
        <f>(Formue!BR32/Formue!BQ32-1)*100</f>
        <v>0</v>
      </c>
      <c r="BV217" s="413">
        <f>(Formue!BS32/Formue!BR32-1)*100</f>
        <v>0</v>
      </c>
      <c r="BW217" s="413">
        <f>(Formue!BT32/Formue!BS32-1)*100</f>
        <v>0</v>
      </c>
      <c r="BX217" s="413">
        <f>(Formue!BU32/Formue!BT32-1)*100</f>
        <v>0</v>
      </c>
      <c r="BY217" s="413">
        <f>(Formue!BV32/Formue!BU32-1)*100</f>
        <v>0</v>
      </c>
      <c r="BZ217" s="413">
        <f>(Formue!BW32/Formue!BV32-1)*100</f>
        <v>0</v>
      </c>
      <c r="CA217" s="413">
        <f>(Formue!BX32/Formue!BW32-1)*100</f>
        <v>0</v>
      </c>
      <c r="CB217" s="413">
        <f>(Formue!BY32/Formue!BX32-1)*100</f>
        <v>0</v>
      </c>
      <c r="CC217" s="413">
        <f>(Formue!BZ32/Formue!BY32-1)*100</f>
        <v>0</v>
      </c>
      <c r="CD217" s="413">
        <f>(Formue!CA32/Formue!BZ32-1)*100</f>
        <v>0</v>
      </c>
      <c r="CE217" s="413">
        <f>(Formue!CB32/Formue!CA32-1)*100</f>
        <v>0</v>
      </c>
      <c r="CF217" s="413">
        <f>(Formue!CC32/Formue!CB32-1)*100</f>
        <v>0</v>
      </c>
      <c r="CG217" s="413">
        <f>(Formue!CD32/Formue!CC32-1)*100</f>
        <v>0</v>
      </c>
      <c r="CH217" s="413">
        <f>(Formue!CE32/Formue!CD32-1)*100</f>
        <v>0</v>
      </c>
      <c r="CI217" s="413">
        <f>(Formue!CF32/Formue!CE32-1)*100</f>
        <v>0</v>
      </c>
      <c r="CJ217" s="413">
        <f>(Formue!CG32/Formue!CF32-1)*100</f>
        <v>0</v>
      </c>
      <c r="CK217" s="413">
        <f>(Formue!CH32/Formue!CG32-1)*100</f>
        <v>0</v>
      </c>
      <c r="CL217" s="413">
        <f>(Formue!CI32/Formue!CH32-1)*100</f>
        <v>0</v>
      </c>
      <c r="CM217" s="413">
        <f>(Formue!CJ32/Formue!CI32-1)*100</f>
        <v>0</v>
      </c>
      <c r="CN217" s="413">
        <f>(Formue!CK32/Formue!CJ32-1)*100</f>
        <v>0</v>
      </c>
      <c r="CO217" s="413">
        <f>(Formue!CL32/Formue!CK32-1)*100</f>
        <v>0</v>
      </c>
      <c r="CP217" s="413">
        <f>(Formue!CM32/Formue!CL32-1)*100</f>
        <v>0</v>
      </c>
      <c r="CQ217" s="413">
        <f>(Formue!CN32/Formue!CM32-1)*100</f>
        <v>0</v>
      </c>
    </row>
    <row r="218" spans="1:95">
      <c r="A218" s="285" t="s">
        <v>501</v>
      </c>
      <c r="B218" s="242" t="s">
        <v>467</v>
      </c>
      <c r="C218" s="213">
        <f>[2]!FAMEData(""&amp;$A$214&amp;"'X6666", "1998", "2024", 0,"Annual", "Across", "No Heading", "Normal")</f>
        <v>978645.625</v>
      </c>
      <c r="D218" s="216">
        <v>962860.31249999988</v>
      </c>
      <c r="E218" s="216">
        <v>1032830.0625</v>
      </c>
      <c r="F218" s="216">
        <v>1066134.375</v>
      </c>
      <c r="G218" s="216">
        <v>1010844.625</v>
      </c>
      <c r="H218" s="216">
        <v>962491.1875</v>
      </c>
      <c r="I218" s="216">
        <v>975799.375</v>
      </c>
      <c r="J218" s="216">
        <v>890418.00000000012</v>
      </c>
      <c r="K218" s="216">
        <v>784137.9375</v>
      </c>
      <c r="L218" s="216">
        <v>753917.625</v>
      </c>
      <c r="M218" s="216">
        <v>698850.125</v>
      </c>
      <c r="N218" s="714">
        <v>667360.1875</v>
      </c>
      <c r="O218" s="714">
        <v>603362.4375</v>
      </c>
      <c r="P218" s="715">
        <v>561952.3125</v>
      </c>
      <c r="Q218" s="715">
        <v>512900.875</v>
      </c>
      <c r="R218" s="715">
        <v>488683.40625000006</v>
      </c>
      <c r="S218" s="715">
        <v>510039.4375</v>
      </c>
      <c r="T218" s="715">
        <v>526554.25</v>
      </c>
      <c r="U218" s="715">
        <v>543316.59375</v>
      </c>
      <c r="V218" s="468">
        <v>548661.4375</v>
      </c>
      <c r="W218" s="468">
        <v>518595.75</v>
      </c>
      <c r="X218" s="468">
        <v>492767.5078125</v>
      </c>
      <c r="Y218" s="468">
        <v>598153</v>
      </c>
      <c r="Z218" s="468">
        <v>625642.4375</v>
      </c>
      <c r="AA218" s="468">
        <v>597319</v>
      </c>
      <c r="AB218" s="468">
        <v>645184.015625</v>
      </c>
      <c r="AC218" s="468">
        <v>639531.515625</v>
      </c>
      <c r="AD218" s="413">
        <f t="shared" ref="AD218:AI218" si="448">AD135</f>
        <v>2.0954556296763682</v>
      </c>
      <c r="AE218" s="413">
        <f t="shared" si="448"/>
        <v>-4.0301242872818221</v>
      </c>
      <c r="AF218" s="413">
        <f t="shared" si="448"/>
        <v>-4.4433613930287885</v>
      </c>
      <c r="AG218" s="413">
        <f t="shared" si="448"/>
        <v>-9.9089350347991498</v>
      </c>
      <c r="AH218" s="413">
        <f t="shared" si="448"/>
        <v>-9.3574473507486928</v>
      </c>
      <c r="AI218" s="413">
        <f t="shared" si="448"/>
        <v>-6.4397111067145962</v>
      </c>
      <c r="AJ218" s="413">
        <f>(Formue!AG30/Formue!AF30-1)*100</f>
        <v>-2.9054728389852791</v>
      </c>
      <c r="AK218" s="413">
        <f>(Formue!AH30/Formue!AG30-1)*100</f>
        <v>-1.3033667822203054</v>
      </c>
      <c r="AL218" s="413">
        <f>(Formue!AI30/Formue!AH30-1)*100</f>
        <v>-1.8801111323024755</v>
      </c>
      <c r="AM218" s="413">
        <f>(Formue!AJ30/Formue!AI30-1)*100</f>
        <v>0.12748052242328445</v>
      </c>
      <c r="AN218" s="413">
        <f>(Formue!AK30/Formue!AJ30-1)*100</f>
        <v>-0.63197497678967318</v>
      </c>
      <c r="AO218" s="413">
        <f>(Formue!AL30/Formue!AK30-1)*100</f>
        <v>-1.6702961519613369</v>
      </c>
      <c r="AP218" s="413">
        <f>(Formue!AM30/Formue!AL30-1)*100</f>
        <v>-2.1515296396817041</v>
      </c>
      <c r="AQ218" s="413">
        <f>(Formue!AN30/Formue!AM30-1)*100</f>
        <v>-3.766160294631471</v>
      </c>
      <c r="AR218" s="413">
        <f>(Formue!AO30/Formue!AN30-1)*100</f>
        <v>-3.4036816138102721</v>
      </c>
      <c r="AS218" s="413">
        <f>(Formue!AP30/Formue!AO30-1)*100</f>
        <v>-3.2054957175048027</v>
      </c>
      <c r="AT218" s="413">
        <f>(Formue!AQ30/Formue!AP30-1)*100</f>
        <v>-2.6851718530985891</v>
      </c>
      <c r="AU218" s="413">
        <f>(Formue!AR30/Formue!AQ30-1)*100</f>
        <v>-3.1918040896020794</v>
      </c>
      <c r="AV218" s="413">
        <f>(Formue!AS30/Formue!AR30-1)*100</f>
        <v>-3.0616428004044738</v>
      </c>
      <c r="AW218" s="413">
        <f>(Formue!AT30/Formue!AS30-1)*100</f>
        <v>-2.4676453850286939</v>
      </c>
      <c r="AX218" s="413">
        <f>(Formue!AU30/Formue!AT30-1)*100</f>
        <v>-3.4102324981015508</v>
      </c>
      <c r="AY218" s="413">
        <f>(Formue!AV30/Formue!AU30-1)*100</f>
        <v>-3.046628898616377</v>
      </c>
      <c r="AZ218" s="413">
        <f>(Formue!AW30/Formue!AV30-1)*100</f>
        <v>-3.5652317274477152</v>
      </c>
      <c r="BA218" s="413">
        <f>(Formue!AX30/Formue!AW30-1)*100</f>
        <v>-2.6684350356065978</v>
      </c>
      <c r="BB218" s="413">
        <f>(Formue!AY30/Formue!AX30-1)*100</f>
        <v>-3.7724548996509011</v>
      </c>
      <c r="BC218" s="413">
        <f>(Formue!AZ30/Formue!AY30-1)*100</f>
        <v>-3.6840249574075057</v>
      </c>
      <c r="BD218" s="413">
        <f>(Formue!BA30/Formue!AZ30-1)*100</f>
        <v>-3.0670630701149504</v>
      </c>
      <c r="BE218" s="413">
        <f>(Formue!BB30/Formue!BA30-1)*100</f>
        <v>-3.6194677982736456</v>
      </c>
      <c r="BF218" s="413">
        <f>(Formue!BC30/Formue!BB30-1)*100</f>
        <v>-3.3931395082170246</v>
      </c>
      <c r="BG218" s="413">
        <f>(Formue!BD30/Formue!BC30-1)*100</f>
        <v>-3.8230477338225932</v>
      </c>
      <c r="BH218" s="413">
        <f>(Formue!BE30/Formue!BD30-1)*100</f>
        <v>-4.2246605743691994</v>
      </c>
      <c r="BI218" s="413">
        <f>(Formue!BF30/Formue!BE30-1)*100</f>
        <v>-4.0070595925471242</v>
      </c>
      <c r="BJ218" s="413">
        <f>(Formue!BG30/Formue!BF30-1)*100</f>
        <v>-4.2682551467588592</v>
      </c>
      <c r="BK218" s="413">
        <f>(Formue!BH30/Formue!BG30-1)*100</f>
        <v>-5.3602794163566063</v>
      </c>
      <c r="BL218" s="413">
        <f>(Formue!BI30/Formue!BH30-1)*100</f>
        <v>-5.1889142346014383</v>
      </c>
      <c r="BM218" s="413">
        <f>(Formue!BJ30/Formue!BI30-1)*100</f>
        <v>-5.5762709655198028</v>
      </c>
      <c r="BN218" s="413">
        <f>(Formue!BK30/Formue!BJ30-1)*100</f>
        <v>0</v>
      </c>
      <c r="BO218" s="413">
        <f>(Formue!BL30/Formue!BK30-1)*100</f>
        <v>0</v>
      </c>
      <c r="BP218" s="413">
        <f>(Formue!BM30/Formue!BL30-1)*100</f>
        <v>0</v>
      </c>
      <c r="BQ218" s="413">
        <f>(Formue!BN30/Formue!BM30-1)*100</f>
        <v>0</v>
      </c>
      <c r="BR218" s="413">
        <f>(Formue!BO30/Formue!BN30-1)*100</f>
        <v>0</v>
      </c>
      <c r="BS218" s="413">
        <f>(Formue!BP30/Formue!BO30-1)*100</f>
        <v>0</v>
      </c>
      <c r="BT218" s="413">
        <f>(Formue!BQ30/Formue!BP30-1)*100</f>
        <v>0</v>
      </c>
      <c r="BU218" s="413">
        <f>(Formue!BR30/Formue!BQ30-1)*100</f>
        <v>0</v>
      </c>
      <c r="BV218" s="413">
        <f>(Formue!BS30/Formue!BR30-1)*100</f>
        <v>0</v>
      </c>
      <c r="BW218" s="413">
        <f>(Formue!BT30/Formue!BS30-1)*100</f>
        <v>0</v>
      </c>
      <c r="BX218" s="413">
        <f>(Formue!BU30/Formue!BT30-1)*100</f>
        <v>0</v>
      </c>
      <c r="BY218" s="413">
        <f>(Formue!BV30/Formue!BU30-1)*100</f>
        <v>0</v>
      </c>
      <c r="BZ218" s="413">
        <f>(Formue!BW30/Formue!BV30-1)*100</f>
        <v>0</v>
      </c>
      <c r="CA218" s="413">
        <f>(Formue!BX30/Formue!BW30-1)*100</f>
        <v>0</v>
      </c>
      <c r="CB218" s="413">
        <f>(Formue!BY30/Formue!BX30-1)*100</f>
        <v>0</v>
      </c>
      <c r="CC218" s="413">
        <f>(Formue!BZ30/Formue!BY30-1)*100</f>
        <v>0</v>
      </c>
      <c r="CD218" s="413">
        <f>(Formue!CA30/Formue!BZ30-1)*100</f>
        <v>0</v>
      </c>
      <c r="CE218" s="413">
        <f>(Formue!CB30/Formue!CA30-1)*100</f>
        <v>0</v>
      </c>
      <c r="CF218" s="413">
        <f>(Formue!CC30/Formue!CB30-1)*100</f>
        <v>0</v>
      </c>
      <c r="CG218" s="413">
        <f>(Formue!CD30/Formue!CC30-1)*100</f>
        <v>0</v>
      </c>
      <c r="CH218" s="413">
        <f>(Formue!CE30/Formue!CD30-1)*100</f>
        <v>0</v>
      </c>
      <c r="CI218" s="413">
        <f>(Formue!CF30/Formue!CE30-1)*100</f>
        <v>0</v>
      </c>
      <c r="CJ218" s="413">
        <f>(Formue!CG30/Formue!CF30-1)*100</f>
        <v>0</v>
      </c>
      <c r="CK218" s="413">
        <f>(Formue!CH30/Formue!CG30-1)*100</f>
        <v>0</v>
      </c>
      <c r="CL218" s="413">
        <f>(Formue!CI30/Formue!CH30-1)*100</f>
        <v>0</v>
      </c>
      <c r="CM218" s="413">
        <f>(Formue!CJ30/Formue!CI30-1)*100</f>
        <v>0</v>
      </c>
      <c r="CN218" s="413">
        <f>(Formue!CK30/Formue!CJ30-1)*100</f>
        <v>0</v>
      </c>
      <c r="CO218" s="413">
        <f>(Formue!CL30/Formue!CK30-1)*100</f>
        <v>0</v>
      </c>
      <c r="CP218" s="413">
        <f>(Formue!CM30/Formue!CL30-1)*100</f>
        <v>0</v>
      </c>
      <c r="CQ218" s="413">
        <f>(Formue!CN30/Formue!CM30-1)*100</f>
        <v>0</v>
      </c>
    </row>
    <row r="219" spans="1:95">
      <c r="A219" s="285" t="s">
        <v>502</v>
      </c>
      <c r="B219" s="211" t="s">
        <v>468</v>
      </c>
      <c r="C219" s="213">
        <f>[2]!FAMEData(""&amp;$A$214&amp;"'X6667", "1998", "2024", 0,"Annual", "Across", "No Heading", "Normal")</f>
        <v>506539.09375</v>
      </c>
      <c r="D219" s="216">
        <v>557813.125</v>
      </c>
      <c r="E219" s="216">
        <v>568296.18749999988</v>
      </c>
      <c r="F219" s="216">
        <v>573745.5625</v>
      </c>
      <c r="G219" s="216">
        <v>730364.375</v>
      </c>
      <c r="H219" s="216">
        <v>803926.3125</v>
      </c>
      <c r="I219" s="216">
        <v>864609.62499999988</v>
      </c>
      <c r="J219" s="216">
        <v>936923.9375</v>
      </c>
      <c r="K219" s="216">
        <v>965974.93750000012</v>
      </c>
      <c r="L219" s="216">
        <v>976237.3125</v>
      </c>
      <c r="M219" s="216">
        <v>1103659</v>
      </c>
      <c r="N219" s="714">
        <v>1151855.5</v>
      </c>
      <c r="O219" s="714">
        <v>1176544.875</v>
      </c>
      <c r="P219" s="715">
        <v>1143005.375</v>
      </c>
      <c r="Q219" s="715">
        <v>1299613.0000000002</v>
      </c>
      <c r="R219" s="715">
        <v>1235332.375</v>
      </c>
      <c r="S219" s="715">
        <v>1230465.7499999998</v>
      </c>
      <c r="T219" s="715">
        <v>1315635.3750000002</v>
      </c>
      <c r="U219" s="715">
        <v>1327594.15625</v>
      </c>
      <c r="V219" s="468">
        <v>1457273.59375</v>
      </c>
      <c r="W219" s="468">
        <v>1432217.53125</v>
      </c>
      <c r="X219" s="468">
        <v>1360584</v>
      </c>
      <c r="Y219" s="468">
        <v>1366266.21875</v>
      </c>
      <c r="Z219" s="468">
        <v>1338374.46875</v>
      </c>
      <c r="AA219" s="468">
        <v>1408835</v>
      </c>
      <c r="AB219" s="468">
        <v>1346774.5625</v>
      </c>
      <c r="AC219" s="468">
        <v>1450243.59375</v>
      </c>
      <c r="AD219" s="413">
        <f t="shared" ref="AD219:AI219" si="449">AD136</f>
        <v>-4.5970378429809884</v>
      </c>
      <c r="AE219" s="413">
        <f t="shared" si="449"/>
        <v>0.85228622441790858</v>
      </c>
      <c r="AF219" s="413">
        <f t="shared" si="449"/>
        <v>-0.59072567986617752</v>
      </c>
      <c r="AG219" s="413">
        <f t="shared" si="449"/>
        <v>-3.3642794654680341</v>
      </c>
      <c r="AH219" s="413">
        <f t="shared" si="449"/>
        <v>-3.929374304423483</v>
      </c>
      <c r="AI219" s="413">
        <f t="shared" si="449"/>
        <v>-5.4371305918423314</v>
      </c>
      <c r="AJ219" s="413">
        <f t="shared" ref="AJ219:BO219" si="450">AJ136</f>
        <v>-4.5776200402157681</v>
      </c>
      <c r="AK219" s="413">
        <f t="shared" si="450"/>
        <v>-6.9792033287122575</v>
      </c>
      <c r="AL219" s="413">
        <f t="shared" si="450"/>
        <v>-4.1556965592521973</v>
      </c>
      <c r="AM219" s="413">
        <f t="shared" si="450"/>
        <v>-2.8092618034623262</v>
      </c>
      <c r="AN219" s="413">
        <f t="shared" si="450"/>
        <v>-2.93795088360298</v>
      </c>
      <c r="AO219" s="413">
        <f t="shared" si="450"/>
        <v>-2.7315278820761679</v>
      </c>
      <c r="AP219" s="413">
        <f t="shared" si="450"/>
        <v>-4.5629109228183973</v>
      </c>
      <c r="AQ219" s="413">
        <f t="shared" si="450"/>
        <v>-6.4476415929638158</v>
      </c>
      <c r="AR219" s="413">
        <f t="shared" si="450"/>
        <v>-7.4112357501640584</v>
      </c>
      <c r="AS219" s="413">
        <f t="shared" si="450"/>
        <v>-6.0646775448072283</v>
      </c>
      <c r="AT219" s="413">
        <f t="shared" si="450"/>
        <v>-5.2959306833191615</v>
      </c>
      <c r="AU219" s="413">
        <f t="shared" si="450"/>
        <v>-5.7284954358876039</v>
      </c>
      <c r="AV219" s="413">
        <f t="shared" si="450"/>
        <v>-4.8891176528562568</v>
      </c>
      <c r="AW219" s="413">
        <f t="shared" si="450"/>
        <v>-5.6688099395482467</v>
      </c>
      <c r="AX219" s="413">
        <f t="shared" si="450"/>
        <v>-4.9727059332720032</v>
      </c>
      <c r="AY219" s="413">
        <f t="shared" si="450"/>
        <v>-3.9905979370008837</v>
      </c>
      <c r="AZ219" s="413">
        <f t="shared" si="450"/>
        <v>-3.9718431130296827</v>
      </c>
      <c r="BA219" s="413">
        <f t="shared" si="450"/>
        <v>-3.7010456768129973</v>
      </c>
      <c r="BB219" s="413">
        <f t="shared" si="450"/>
        <v>-2.2519067960648398</v>
      </c>
      <c r="BC219" s="413">
        <f t="shared" si="450"/>
        <v>-3.140557619234996</v>
      </c>
      <c r="BD219" s="413">
        <f t="shared" si="450"/>
        <v>-3.5573675878696753</v>
      </c>
      <c r="BE219" s="413">
        <f t="shared" si="450"/>
        <v>-4.219510690303041</v>
      </c>
      <c r="BF219" s="413">
        <f t="shared" si="450"/>
        <v>-3.7722451069725937</v>
      </c>
      <c r="BG219" s="413">
        <f t="shared" si="450"/>
        <v>-2.8940226266139679</v>
      </c>
      <c r="BH219" s="413">
        <f t="shared" si="450"/>
        <v>-1.5390362659425505</v>
      </c>
      <c r="BI219" s="413">
        <f t="shared" si="450"/>
        <v>-2.2267639975248166</v>
      </c>
      <c r="BJ219" s="413">
        <f t="shared" si="450"/>
        <v>-1.7149876602592262</v>
      </c>
      <c r="BK219" s="413">
        <f t="shared" si="450"/>
        <v>-1.3548140119094332</v>
      </c>
      <c r="BL219" s="413">
        <f t="shared" si="450"/>
        <v>-1.4387794740613358</v>
      </c>
      <c r="BM219" s="413">
        <f t="shared" si="450"/>
        <v>-1.2271064628262218</v>
      </c>
      <c r="BN219" s="413">
        <f t="shared" si="450"/>
        <v>0</v>
      </c>
      <c r="BO219" s="413">
        <f t="shared" si="450"/>
        <v>0</v>
      </c>
      <c r="BP219" s="413">
        <f t="shared" ref="BP219:CL219" si="451">BP136</f>
        <v>0</v>
      </c>
      <c r="BQ219" s="413">
        <f t="shared" si="451"/>
        <v>0</v>
      </c>
      <c r="BR219" s="413">
        <f t="shared" si="451"/>
        <v>0</v>
      </c>
      <c r="BS219" s="413">
        <f t="shared" si="451"/>
        <v>0</v>
      </c>
      <c r="BT219" s="413">
        <f t="shared" si="451"/>
        <v>0</v>
      </c>
      <c r="BU219" s="413">
        <f t="shared" si="451"/>
        <v>0</v>
      </c>
      <c r="BV219" s="413">
        <f t="shared" si="451"/>
        <v>0</v>
      </c>
      <c r="BW219" s="413">
        <f t="shared" si="451"/>
        <v>0</v>
      </c>
      <c r="BX219" s="413">
        <f t="shared" si="451"/>
        <v>0</v>
      </c>
      <c r="BY219" s="413">
        <f t="shared" si="451"/>
        <v>0</v>
      </c>
      <c r="BZ219" s="413">
        <f t="shared" si="451"/>
        <v>0</v>
      </c>
      <c r="CA219" s="413">
        <f t="shared" si="451"/>
        <v>0</v>
      </c>
      <c r="CB219" s="413">
        <f t="shared" si="451"/>
        <v>0</v>
      </c>
      <c r="CC219" s="413">
        <f t="shared" si="451"/>
        <v>0</v>
      </c>
      <c r="CD219" s="413">
        <f t="shared" si="451"/>
        <v>0</v>
      </c>
      <c r="CE219" s="413">
        <f t="shared" si="451"/>
        <v>0</v>
      </c>
      <c r="CF219" s="413">
        <f t="shared" si="451"/>
        <v>0</v>
      </c>
      <c r="CG219" s="413">
        <f t="shared" si="451"/>
        <v>0</v>
      </c>
      <c r="CH219" s="413">
        <f t="shared" si="451"/>
        <v>0</v>
      </c>
      <c r="CI219" s="413">
        <f t="shared" si="451"/>
        <v>0</v>
      </c>
      <c r="CJ219" s="413">
        <f t="shared" si="451"/>
        <v>0</v>
      </c>
      <c r="CK219" s="413">
        <f t="shared" si="451"/>
        <v>0</v>
      </c>
      <c r="CL219" s="413">
        <f t="shared" si="451"/>
        <v>0</v>
      </c>
      <c r="CM219" s="413">
        <f t="shared" ref="CM219:CQ219" si="452">CM136</f>
        <v>0</v>
      </c>
      <c r="CN219" s="413">
        <f t="shared" si="452"/>
        <v>0</v>
      </c>
      <c r="CO219" s="413">
        <f t="shared" si="452"/>
        <v>0</v>
      </c>
      <c r="CP219" s="413">
        <f t="shared" si="452"/>
        <v>0</v>
      </c>
      <c r="CQ219" s="413">
        <f t="shared" si="452"/>
        <v>0</v>
      </c>
    </row>
    <row r="220" spans="1:95">
      <c r="A220" s="273" t="s">
        <v>503</v>
      </c>
      <c r="B220" s="211" t="s">
        <v>485</v>
      </c>
      <c r="C220" s="213">
        <f>[2]!FAMEData(""&amp;$A$214&amp;"'X6682", "1998", "2024", 0,"Annual", "Across", "No Heading", "Normal")</f>
        <v>13625.810925925925</v>
      </c>
      <c r="D220" s="216">
        <v>13425.980990573375</v>
      </c>
      <c r="E220" s="216">
        <v>12015.812125047794</v>
      </c>
      <c r="F220" s="216">
        <v>13525.801269116728</v>
      </c>
      <c r="G220" s="216">
        <v>13650.673318794365</v>
      </c>
      <c r="H220" s="216">
        <v>16922.873517643318</v>
      </c>
      <c r="I220" s="216">
        <v>15877.27430471701</v>
      </c>
      <c r="J220" s="216">
        <v>19590.590704022121</v>
      </c>
      <c r="K220" s="216">
        <v>21199.221775416543</v>
      </c>
      <c r="L220" s="216">
        <v>24027.554357332301</v>
      </c>
      <c r="M220" s="216">
        <v>28436.288926192185</v>
      </c>
      <c r="N220" s="216">
        <v>23318.016422407163</v>
      </c>
      <c r="O220" s="216">
        <v>31143.71839754844</v>
      </c>
      <c r="P220" s="216">
        <v>35033.28643092305</v>
      </c>
      <c r="Q220" s="216">
        <v>39426.715884399149</v>
      </c>
      <c r="R220" s="216">
        <v>48562.400656637197</v>
      </c>
      <c r="S220" s="216">
        <v>46715.91093692802</v>
      </c>
      <c r="T220" s="216">
        <v>37493.053119041258</v>
      </c>
      <c r="U220" s="216">
        <v>32669.011922528094</v>
      </c>
      <c r="V220" s="216">
        <v>36581.51360864954</v>
      </c>
      <c r="W220" s="468">
        <v>44254.376957928347</v>
      </c>
      <c r="X220" s="468">
        <v>45002.230040880502</v>
      </c>
      <c r="Y220" s="468">
        <v>34089.608525336356</v>
      </c>
      <c r="Z220" s="468">
        <v>32719.376722705732</v>
      </c>
      <c r="AA220" s="468">
        <v>24412.997436523452</v>
      </c>
      <c r="AB220" s="468">
        <v>24407.675304942488</v>
      </c>
      <c r="AC220" s="468">
        <v>25797.728844772399</v>
      </c>
      <c r="AD220" s="413">
        <f t="shared" ref="AD220:BB220" si="453">AD218*0.5</f>
        <v>1.0477278148381841</v>
      </c>
      <c r="AE220" s="413">
        <f t="shared" si="453"/>
        <v>-2.0150621436409111</v>
      </c>
      <c r="AF220" s="413">
        <f t="shared" si="453"/>
        <v>-2.2216806965143943</v>
      </c>
      <c r="AG220" s="413">
        <f t="shared" si="453"/>
        <v>-4.9544675173995749</v>
      </c>
      <c r="AH220" s="413">
        <f t="shared" si="453"/>
        <v>-4.6787236753743464</v>
      </c>
      <c r="AI220" s="413">
        <f t="shared" si="453"/>
        <v>-3.2198555533572981</v>
      </c>
      <c r="AJ220" s="413">
        <f t="shared" si="453"/>
        <v>-1.4527364194926395</v>
      </c>
      <c r="AK220" s="413">
        <f t="shared" si="453"/>
        <v>-0.65168339111015272</v>
      </c>
      <c r="AL220" s="413">
        <f t="shared" si="453"/>
        <v>-0.94005556615123775</v>
      </c>
      <c r="AM220" s="413">
        <f t="shared" si="453"/>
        <v>6.3740261211642224E-2</v>
      </c>
      <c r="AN220" s="413">
        <f t="shared" si="453"/>
        <v>-0.31598748839483659</v>
      </c>
      <c r="AO220" s="413">
        <f t="shared" si="453"/>
        <v>-0.83514807598066843</v>
      </c>
      <c r="AP220" s="413">
        <f t="shared" si="453"/>
        <v>-1.075764819840852</v>
      </c>
      <c r="AQ220" s="413">
        <f t="shared" si="453"/>
        <v>-1.8830801473157355</v>
      </c>
      <c r="AR220" s="413">
        <f t="shared" si="453"/>
        <v>-1.7018408069051361</v>
      </c>
      <c r="AS220" s="413">
        <f t="shared" si="453"/>
        <v>-1.6027478587524013</v>
      </c>
      <c r="AT220" s="413">
        <f t="shared" si="453"/>
        <v>-1.3425859265492945</v>
      </c>
      <c r="AU220" s="413">
        <f t="shared" si="453"/>
        <v>-1.5959020448010397</v>
      </c>
      <c r="AV220" s="413">
        <f t="shared" si="453"/>
        <v>-1.5308214002022369</v>
      </c>
      <c r="AW220" s="413">
        <f t="shared" si="453"/>
        <v>-1.233822692514347</v>
      </c>
      <c r="AX220" s="413">
        <f t="shared" si="453"/>
        <v>-1.7051162490507754</v>
      </c>
      <c r="AY220" s="413">
        <f t="shared" si="453"/>
        <v>-1.5233144493081885</v>
      </c>
      <c r="AZ220" s="413">
        <f t="shared" si="453"/>
        <v>-1.7826158637238576</v>
      </c>
      <c r="BA220" s="413">
        <f t="shared" si="453"/>
        <v>-1.3342175178032989</v>
      </c>
      <c r="BB220" s="413">
        <f t="shared" si="453"/>
        <v>-1.8862274498254505</v>
      </c>
      <c r="BC220" s="413">
        <f t="shared" ref="BC220:CL220" si="454">BC218*0.5</f>
        <v>-1.8420124787037528</v>
      </c>
      <c r="BD220" s="413">
        <f t="shared" si="454"/>
        <v>-1.5335315350574752</v>
      </c>
      <c r="BE220" s="413">
        <f t="shared" si="454"/>
        <v>-1.8097338991368228</v>
      </c>
      <c r="BF220" s="413">
        <f t="shared" si="454"/>
        <v>-1.6965697541085123</v>
      </c>
      <c r="BG220" s="413">
        <f t="shared" si="454"/>
        <v>-1.9115238669112966</v>
      </c>
      <c r="BH220" s="413">
        <f t="shared" si="454"/>
        <v>-2.1123302871845997</v>
      </c>
      <c r="BI220" s="413">
        <f t="shared" si="454"/>
        <v>-2.0035297962735621</v>
      </c>
      <c r="BJ220" s="413">
        <f t="shared" si="454"/>
        <v>-2.1341275733794296</v>
      </c>
      <c r="BK220" s="413">
        <f t="shared" si="454"/>
        <v>-2.6801397081783032</v>
      </c>
      <c r="BL220" s="413">
        <f t="shared" si="454"/>
        <v>-2.5944571173007192</v>
      </c>
      <c r="BM220" s="413">
        <f t="shared" si="454"/>
        <v>-2.7881354827599014</v>
      </c>
      <c r="BN220" s="413">
        <f t="shared" si="454"/>
        <v>0</v>
      </c>
      <c r="BO220" s="413">
        <f t="shared" si="454"/>
        <v>0</v>
      </c>
      <c r="BP220" s="413">
        <f t="shared" si="454"/>
        <v>0</v>
      </c>
      <c r="BQ220" s="413">
        <f t="shared" si="454"/>
        <v>0</v>
      </c>
      <c r="BR220" s="413">
        <f t="shared" si="454"/>
        <v>0</v>
      </c>
      <c r="BS220" s="413">
        <f t="shared" si="454"/>
        <v>0</v>
      </c>
      <c r="BT220" s="413">
        <f t="shared" si="454"/>
        <v>0</v>
      </c>
      <c r="BU220" s="413">
        <f t="shared" si="454"/>
        <v>0</v>
      </c>
      <c r="BV220" s="413">
        <f t="shared" si="454"/>
        <v>0</v>
      </c>
      <c r="BW220" s="413">
        <f t="shared" si="454"/>
        <v>0</v>
      </c>
      <c r="BX220" s="413">
        <f t="shared" si="454"/>
        <v>0</v>
      </c>
      <c r="BY220" s="413">
        <f t="shared" si="454"/>
        <v>0</v>
      </c>
      <c r="BZ220" s="413">
        <f t="shared" si="454"/>
        <v>0</v>
      </c>
      <c r="CA220" s="413">
        <f t="shared" si="454"/>
        <v>0</v>
      </c>
      <c r="CB220" s="413">
        <f t="shared" si="454"/>
        <v>0</v>
      </c>
      <c r="CC220" s="413">
        <f t="shared" si="454"/>
        <v>0</v>
      </c>
      <c r="CD220" s="413">
        <f t="shared" si="454"/>
        <v>0</v>
      </c>
      <c r="CE220" s="413">
        <f t="shared" si="454"/>
        <v>0</v>
      </c>
      <c r="CF220" s="413">
        <f t="shared" si="454"/>
        <v>0</v>
      </c>
      <c r="CG220" s="413">
        <f t="shared" si="454"/>
        <v>0</v>
      </c>
      <c r="CH220" s="413">
        <f t="shared" si="454"/>
        <v>0</v>
      </c>
      <c r="CI220" s="413">
        <f t="shared" si="454"/>
        <v>0</v>
      </c>
      <c r="CJ220" s="413">
        <f t="shared" si="454"/>
        <v>0</v>
      </c>
      <c r="CK220" s="413">
        <f t="shared" si="454"/>
        <v>0</v>
      </c>
      <c r="CL220" s="413">
        <f t="shared" si="454"/>
        <v>0</v>
      </c>
      <c r="CM220" s="413">
        <f t="shared" ref="CM220:CQ220" si="455">CM218*0.5</f>
        <v>0</v>
      </c>
      <c r="CN220" s="413">
        <f t="shared" si="455"/>
        <v>0</v>
      </c>
      <c r="CO220" s="413">
        <f t="shared" si="455"/>
        <v>0</v>
      </c>
      <c r="CP220" s="413">
        <f t="shared" si="455"/>
        <v>0</v>
      </c>
      <c r="CQ220" s="413">
        <f t="shared" si="455"/>
        <v>0</v>
      </c>
    </row>
    <row r="221" spans="1:95">
      <c r="A221" s="273"/>
      <c r="B221" s="211"/>
      <c r="C221" s="213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91"/>
      <c r="W221" s="283"/>
      <c r="X221" s="283"/>
      <c r="Y221" s="283"/>
      <c r="Z221" s="283"/>
      <c r="AA221" s="283"/>
      <c r="AB221" s="283"/>
      <c r="AC221" s="283"/>
      <c r="AD221" s="283"/>
      <c r="AE221" s="283"/>
      <c r="AF221" s="283"/>
      <c r="AG221" s="283"/>
      <c r="AH221" s="283"/>
      <c r="AI221" s="283"/>
      <c r="AJ221" s="283"/>
      <c r="AK221" s="283"/>
      <c r="AL221" s="283"/>
      <c r="AM221" s="283"/>
      <c r="AN221" s="283"/>
      <c r="AO221" s="283"/>
      <c r="AP221" s="283"/>
      <c r="AQ221" s="283"/>
      <c r="AR221" s="283"/>
      <c r="AS221" s="283"/>
      <c r="AT221" s="283"/>
      <c r="AU221" s="283"/>
      <c r="AV221" s="283"/>
      <c r="AW221" s="283"/>
      <c r="AX221" s="283"/>
      <c r="AY221" s="283"/>
      <c r="AZ221" s="283"/>
      <c r="BA221" s="283"/>
      <c r="BB221" s="283"/>
      <c r="BC221" s="283"/>
      <c r="BD221" s="283"/>
      <c r="BE221" s="283"/>
      <c r="BF221" s="283"/>
      <c r="BG221" s="283"/>
      <c r="BH221" s="283"/>
      <c r="BI221" s="283"/>
      <c r="BJ221" s="283"/>
      <c r="BK221" s="283"/>
      <c r="BL221" s="283"/>
      <c r="BM221" s="283"/>
      <c r="BN221" s="283"/>
      <c r="BO221" s="283"/>
      <c r="BP221" s="283"/>
      <c r="BQ221" s="283"/>
      <c r="BR221" s="283"/>
      <c r="BS221" s="283"/>
      <c r="BT221" s="283"/>
      <c r="BU221" s="283"/>
      <c r="BV221" s="283"/>
      <c r="BW221" s="283"/>
      <c r="BX221" s="283"/>
      <c r="BY221" s="283"/>
      <c r="BZ221" s="283"/>
      <c r="CA221" s="283"/>
      <c r="CB221" s="283"/>
      <c r="CC221" s="283"/>
      <c r="CD221" s="283"/>
      <c r="CE221" s="283"/>
      <c r="CF221" s="283"/>
      <c r="CG221" s="283"/>
      <c r="CH221" s="283"/>
      <c r="CI221" s="283"/>
      <c r="CJ221" s="283"/>
      <c r="CK221" s="283"/>
      <c r="CL221" s="283"/>
      <c r="CM221" s="283"/>
      <c r="CN221" s="283"/>
      <c r="CO221" s="283"/>
      <c r="CP221" s="283"/>
      <c r="CQ221" s="283"/>
    </row>
    <row r="222" spans="1:95">
      <c r="A222" s="455" t="s">
        <v>553</v>
      </c>
      <c r="B222" s="211"/>
      <c r="C222" s="213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91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283"/>
      <c r="AM222" s="283"/>
      <c r="AN222" s="283"/>
      <c r="AO222" s="283"/>
      <c r="AP222" s="283"/>
      <c r="AQ222" s="283"/>
      <c r="AR222" s="283"/>
      <c r="AS222" s="283"/>
      <c r="AT222" s="283"/>
      <c r="AU222" s="283"/>
      <c r="AV222" s="283"/>
      <c r="AW222" s="283"/>
      <c r="AX222" s="283"/>
      <c r="AY222" s="283"/>
      <c r="AZ222" s="283"/>
      <c r="BA222" s="283"/>
      <c r="BB222" s="283"/>
      <c r="BC222" s="283"/>
      <c r="BD222" s="283"/>
      <c r="BE222" s="283"/>
      <c r="BF222" s="283"/>
      <c r="BG222" s="283"/>
      <c r="BH222" s="283"/>
      <c r="BI222" s="283"/>
      <c r="BJ222" s="283"/>
      <c r="BK222" s="283"/>
      <c r="BL222" s="283"/>
      <c r="BM222" s="283"/>
      <c r="BN222" s="283"/>
      <c r="BO222" s="283"/>
      <c r="BP222" s="283"/>
      <c r="BQ222" s="283"/>
      <c r="BR222" s="283"/>
      <c r="BS222" s="283"/>
      <c r="BT222" s="283"/>
      <c r="BU222" s="283"/>
      <c r="BV222" s="283"/>
      <c r="BW222" s="283"/>
      <c r="BX222" s="283"/>
      <c r="BY222" s="283"/>
      <c r="BZ222" s="283"/>
      <c r="CA222" s="283"/>
      <c r="CB222" s="283"/>
      <c r="CC222" s="283"/>
      <c r="CD222" s="283"/>
      <c r="CE222" s="283"/>
      <c r="CF222" s="283"/>
      <c r="CG222" s="283"/>
      <c r="CH222" s="283"/>
      <c r="CI222" s="283"/>
      <c r="CJ222" s="283"/>
      <c r="CK222" s="283"/>
      <c r="CL222" s="283"/>
      <c r="CM222" s="283"/>
      <c r="CN222" s="283"/>
      <c r="CO222" s="283"/>
      <c r="CP222" s="283"/>
      <c r="CQ222" s="283"/>
    </row>
    <row r="223" spans="1:95">
      <c r="A223" s="79" t="s">
        <v>554</v>
      </c>
      <c r="B223" s="211"/>
      <c r="C223" s="412"/>
      <c r="D223" s="414"/>
      <c r="E223" s="414"/>
      <c r="F223" s="414"/>
      <c r="G223" s="414"/>
      <c r="H223" s="414"/>
      <c r="I223" s="414"/>
      <c r="J223" s="414"/>
      <c r="K223" s="414"/>
      <c r="L223" s="414"/>
      <c r="M223" s="414"/>
      <c r="N223" s="414"/>
      <c r="O223" s="414"/>
      <c r="P223" s="414"/>
      <c r="Q223" s="414"/>
      <c r="R223" s="414"/>
      <c r="S223" s="414"/>
      <c r="T223" s="414"/>
      <c r="U223" s="414"/>
      <c r="V223" s="414"/>
      <c r="W223" s="456"/>
      <c r="X223" s="456"/>
      <c r="Y223" s="456"/>
      <c r="Z223" s="456"/>
      <c r="AA223" s="456"/>
      <c r="AB223" s="456"/>
      <c r="AC223" s="456"/>
      <c r="AD223" s="413">
        <f t="shared" ref="AD223:BB223" si="456">AD47</f>
        <v>-15.41896957567257</v>
      </c>
      <c r="AE223" s="413">
        <f t="shared" si="456"/>
        <v>-6.8394230936815736</v>
      </c>
      <c r="AF223" s="413">
        <f t="shared" si="456"/>
        <v>-7.8719496195178706E-2</v>
      </c>
      <c r="AG223" s="413">
        <f t="shared" si="456"/>
        <v>0.56147458983590859</v>
      </c>
      <c r="AH223" s="413">
        <f t="shared" si="456"/>
        <v>0.45885820162405722</v>
      </c>
      <c r="AI223" s="783">
        <f t="shared" si="456"/>
        <v>6.5605426682857626E-2</v>
      </c>
      <c r="AJ223" s="783">
        <f t="shared" si="456"/>
        <v>4.7532946740214577</v>
      </c>
      <c r="AK223" s="783">
        <f t="shared" si="456"/>
        <v>4.6809281524186952</v>
      </c>
      <c r="AL223" s="783">
        <f t="shared" si="456"/>
        <v>4.6122683126055719</v>
      </c>
      <c r="AM223" s="783">
        <f t="shared" si="456"/>
        <v>4.5470374764224664</v>
      </c>
      <c r="AN223" s="413">
        <f t="shared" si="456"/>
        <v>4.4851818804160892</v>
      </c>
      <c r="AO223" s="413">
        <f t="shared" si="456"/>
        <v>2.0000000000000018</v>
      </c>
      <c r="AP223" s="413">
        <f t="shared" si="456"/>
        <v>1.9999999999999796</v>
      </c>
      <c r="AQ223" s="413">
        <f t="shared" si="456"/>
        <v>2.0000000000000018</v>
      </c>
      <c r="AR223" s="413">
        <f t="shared" si="456"/>
        <v>2.0000000000000018</v>
      </c>
      <c r="AS223" s="413">
        <f t="shared" si="456"/>
        <v>1.9999999999999796</v>
      </c>
      <c r="AT223" s="413">
        <f t="shared" si="456"/>
        <v>2.0000000000000018</v>
      </c>
      <c r="AU223" s="413">
        <f t="shared" si="456"/>
        <v>2.0000000000000018</v>
      </c>
      <c r="AV223" s="413">
        <f t="shared" si="456"/>
        <v>2.000000000000024</v>
      </c>
      <c r="AW223" s="413">
        <f t="shared" si="456"/>
        <v>1.9999999999999796</v>
      </c>
      <c r="AX223" s="413">
        <f t="shared" si="456"/>
        <v>1.9999999999999796</v>
      </c>
      <c r="AY223" s="413">
        <f t="shared" si="456"/>
        <v>2.000000000000024</v>
      </c>
      <c r="AZ223" s="413">
        <f t="shared" si="456"/>
        <v>2.0000000000000018</v>
      </c>
      <c r="BA223" s="413">
        <f t="shared" si="456"/>
        <v>1.9999999999999796</v>
      </c>
      <c r="BB223" s="413">
        <f t="shared" si="456"/>
        <v>2.000000000000024</v>
      </c>
      <c r="BC223" s="413">
        <f t="shared" ref="BC223:CL223" si="457">BC47</f>
        <v>2.0000000000000018</v>
      </c>
      <c r="BD223" s="413">
        <f t="shared" si="457"/>
        <v>1.9999999999999796</v>
      </c>
      <c r="BE223" s="413">
        <f t="shared" si="457"/>
        <v>2.0000000000000018</v>
      </c>
      <c r="BF223" s="413">
        <f t="shared" si="457"/>
        <v>2.000000000000024</v>
      </c>
      <c r="BG223" s="413">
        <f t="shared" si="457"/>
        <v>2.0000000000000018</v>
      </c>
      <c r="BH223" s="413">
        <f t="shared" si="457"/>
        <v>2.0000000000000018</v>
      </c>
      <c r="BI223" s="413">
        <f t="shared" si="457"/>
        <v>2.0000000000000018</v>
      </c>
      <c r="BJ223" s="413">
        <f t="shared" si="457"/>
        <v>2.0000000000000018</v>
      </c>
      <c r="BK223" s="413">
        <f t="shared" si="457"/>
        <v>2.0000000000000018</v>
      </c>
      <c r="BL223" s="413">
        <f t="shared" si="457"/>
        <v>2.000000000000024</v>
      </c>
      <c r="BM223" s="413">
        <f t="shared" si="457"/>
        <v>1.9999999999999574</v>
      </c>
      <c r="BN223" s="413">
        <f t="shared" si="457"/>
        <v>2.0000000000000018</v>
      </c>
      <c r="BO223" s="413">
        <f t="shared" si="457"/>
        <v>2.0000000000000018</v>
      </c>
      <c r="BP223" s="413">
        <f t="shared" si="457"/>
        <v>2.000000000000024</v>
      </c>
      <c r="BQ223" s="413">
        <f t="shared" si="457"/>
        <v>1.9999999999999796</v>
      </c>
      <c r="BR223" s="413">
        <f t="shared" si="457"/>
        <v>2.0000000000000018</v>
      </c>
      <c r="BS223" s="413">
        <f t="shared" si="457"/>
        <v>2.0000000000000018</v>
      </c>
      <c r="BT223" s="413">
        <f t="shared" si="457"/>
        <v>1.9999999999999796</v>
      </c>
      <c r="BU223" s="413">
        <f t="shared" si="457"/>
        <v>2.000000000000024</v>
      </c>
      <c r="BV223" s="413">
        <f t="shared" si="457"/>
        <v>2.0000000000000018</v>
      </c>
      <c r="BW223" s="413">
        <f t="shared" si="457"/>
        <v>1.9999999999999796</v>
      </c>
      <c r="BX223" s="413">
        <f t="shared" si="457"/>
        <v>2.0000000000000018</v>
      </c>
      <c r="BY223" s="413">
        <f t="shared" si="457"/>
        <v>2.0000000000000018</v>
      </c>
      <c r="BZ223" s="413">
        <f t="shared" si="457"/>
        <v>2.0000000000000018</v>
      </c>
      <c r="CA223" s="413">
        <f t="shared" si="457"/>
        <v>2.0000000000000018</v>
      </c>
      <c r="CB223" s="413">
        <f t="shared" si="457"/>
        <v>2.0000000000000018</v>
      </c>
      <c r="CC223" s="413">
        <f t="shared" si="457"/>
        <v>2.0000000000000018</v>
      </c>
      <c r="CD223" s="413">
        <f t="shared" si="457"/>
        <v>2.0000000000000018</v>
      </c>
      <c r="CE223" s="413">
        <f t="shared" si="457"/>
        <v>2.0000000000000018</v>
      </c>
      <c r="CF223" s="413">
        <f t="shared" si="457"/>
        <v>2.0000000000000018</v>
      </c>
      <c r="CG223" s="413">
        <f t="shared" si="457"/>
        <v>2.0000000000000018</v>
      </c>
      <c r="CH223" s="413">
        <f t="shared" si="457"/>
        <v>2.0000000000000018</v>
      </c>
      <c r="CI223" s="413">
        <f t="shared" si="457"/>
        <v>2.0000000000000018</v>
      </c>
      <c r="CJ223" s="413">
        <f t="shared" si="457"/>
        <v>2.0000000000000018</v>
      </c>
      <c r="CK223" s="413">
        <f t="shared" si="457"/>
        <v>2.0000000000000018</v>
      </c>
      <c r="CL223" s="413">
        <f t="shared" si="457"/>
        <v>2.0000000000000018</v>
      </c>
      <c r="CM223" s="413">
        <f t="shared" ref="CM223:CQ223" si="458">CM47</f>
        <v>2.0000000000000018</v>
      </c>
      <c r="CN223" s="413">
        <f t="shared" si="458"/>
        <v>2.000000000000024</v>
      </c>
      <c r="CO223" s="413">
        <f t="shared" si="458"/>
        <v>1.9999999999999796</v>
      </c>
      <c r="CP223" s="413">
        <f t="shared" si="458"/>
        <v>2.0000000000000018</v>
      </c>
      <c r="CQ223" s="413">
        <f t="shared" si="458"/>
        <v>2.0000000000000018</v>
      </c>
    </row>
    <row r="224" spans="1:95">
      <c r="A224" s="79" t="s">
        <v>567</v>
      </c>
      <c r="B224" s="242"/>
      <c r="C224" s="412"/>
      <c r="D224" s="414"/>
      <c r="E224" s="414"/>
      <c r="F224" s="414"/>
      <c r="G224" s="414"/>
      <c r="H224" s="414"/>
      <c r="I224" s="414"/>
      <c r="J224" s="414"/>
      <c r="K224" s="414"/>
      <c r="L224" s="414"/>
      <c r="M224" s="414"/>
      <c r="N224" s="414"/>
      <c r="O224" s="414"/>
      <c r="P224" s="414"/>
      <c r="Q224" s="414"/>
      <c r="R224" s="414"/>
      <c r="S224" s="414"/>
      <c r="T224" s="414"/>
      <c r="U224" s="414"/>
      <c r="V224" s="414"/>
      <c r="W224" s="456"/>
      <c r="X224" s="456"/>
      <c r="Y224" s="456"/>
      <c r="Z224" s="456"/>
      <c r="AA224" s="456"/>
      <c r="AB224" s="456"/>
      <c r="AC224" s="456"/>
      <c r="AD224" s="413">
        <f t="shared" ref="AD224:BB224" si="459">AD48</f>
        <v>16.679433173399239</v>
      </c>
      <c r="AE224" s="413">
        <f t="shared" si="459"/>
        <v>-22.790202781235546</v>
      </c>
      <c r="AF224" s="413">
        <f t="shared" si="459"/>
        <v>-18.516346153846154</v>
      </c>
      <c r="AG224" s="413">
        <f t="shared" si="459"/>
        <v>2.0999999999999686</v>
      </c>
      <c r="AH224" s="413">
        <f t="shared" si="459"/>
        <v>2.0999999999999908</v>
      </c>
      <c r="AI224" s="413">
        <f t="shared" si="459"/>
        <v>-18.919559687966103</v>
      </c>
      <c r="AJ224" s="413">
        <f t="shared" si="459"/>
        <v>0.63999424971183938</v>
      </c>
      <c r="AK224" s="413">
        <f t="shared" si="459"/>
        <v>0.62161571487027167</v>
      </c>
      <c r="AL224" s="413">
        <f t="shared" si="459"/>
        <v>0.60273365633802811</v>
      </c>
      <c r="AM224" s="413">
        <f t="shared" si="459"/>
        <v>0.58332709387070025</v>
      </c>
      <c r="AN224" s="413">
        <f t="shared" si="459"/>
        <v>0.56337386522982147</v>
      </c>
      <c r="AO224" s="413">
        <f t="shared" si="459"/>
        <v>0.54285054175911007</v>
      </c>
      <c r="AP224" s="413">
        <f t="shared" si="459"/>
        <v>0.52173233661403362</v>
      </c>
      <c r="AQ224" s="413">
        <f t="shared" si="459"/>
        <v>0.49999300489083076</v>
      </c>
      <c r="AR224" s="413">
        <f t="shared" si="459"/>
        <v>0.47760473482179044</v>
      </c>
      <c r="AS224" s="413">
        <f t="shared" si="459"/>
        <v>0.4546033732846011</v>
      </c>
      <c r="AT224" s="413">
        <f t="shared" si="459"/>
        <v>1.9999999999999796</v>
      </c>
      <c r="AU224" s="413">
        <f t="shared" si="459"/>
        <v>2.000000000000024</v>
      </c>
      <c r="AV224" s="413">
        <f t="shared" si="459"/>
        <v>1.9999999999999796</v>
      </c>
      <c r="AW224" s="413">
        <f t="shared" si="459"/>
        <v>2.0000000000000018</v>
      </c>
      <c r="AX224" s="413">
        <f t="shared" si="459"/>
        <v>2.0000000000000018</v>
      </c>
      <c r="AY224" s="413">
        <f t="shared" si="459"/>
        <v>1.9999999999999796</v>
      </c>
      <c r="AZ224" s="413">
        <f t="shared" si="459"/>
        <v>2.000000000000024</v>
      </c>
      <c r="BA224" s="413">
        <f t="shared" si="459"/>
        <v>2.0000000000000018</v>
      </c>
      <c r="BB224" s="413">
        <f t="shared" si="459"/>
        <v>2.0000000000000018</v>
      </c>
      <c r="BC224" s="413">
        <f t="shared" ref="BC224:CL224" si="460">BC48</f>
        <v>2.000000000000024</v>
      </c>
      <c r="BD224" s="413">
        <f t="shared" si="460"/>
        <v>1.9999999999999796</v>
      </c>
      <c r="BE224" s="413">
        <f t="shared" si="460"/>
        <v>2.0000000000000018</v>
      </c>
      <c r="BF224" s="413">
        <f t="shared" si="460"/>
        <v>2.000000000000024</v>
      </c>
      <c r="BG224" s="413">
        <f t="shared" si="460"/>
        <v>2.0000000000000018</v>
      </c>
      <c r="BH224" s="413">
        <f t="shared" si="460"/>
        <v>2.0000000000000018</v>
      </c>
      <c r="BI224" s="413">
        <f t="shared" si="460"/>
        <v>2.0000000000000018</v>
      </c>
      <c r="BJ224" s="413">
        <f t="shared" si="460"/>
        <v>2.0000000000000018</v>
      </c>
      <c r="BK224" s="413">
        <f t="shared" si="460"/>
        <v>2.0000000000000018</v>
      </c>
      <c r="BL224" s="413">
        <f t="shared" si="460"/>
        <v>2.0000000000000018</v>
      </c>
      <c r="BM224" s="413">
        <f t="shared" si="460"/>
        <v>2.0000000000000018</v>
      </c>
      <c r="BN224" s="413">
        <f t="shared" si="460"/>
        <v>2.0000000000000018</v>
      </c>
      <c r="BO224" s="413">
        <f t="shared" si="460"/>
        <v>2.0000000000000018</v>
      </c>
      <c r="BP224" s="413">
        <f t="shared" si="460"/>
        <v>2.0000000000000018</v>
      </c>
      <c r="BQ224" s="413">
        <f t="shared" si="460"/>
        <v>2.0000000000000018</v>
      </c>
      <c r="BR224" s="413">
        <f t="shared" si="460"/>
        <v>2.0000000000000018</v>
      </c>
      <c r="BS224" s="413">
        <f t="shared" si="460"/>
        <v>2.0000000000000018</v>
      </c>
      <c r="BT224" s="413">
        <f t="shared" si="460"/>
        <v>2.0000000000000018</v>
      </c>
      <c r="BU224" s="413">
        <f t="shared" si="460"/>
        <v>2.0000000000000018</v>
      </c>
      <c r="BV224" s="413">
        <f t="shared" si="460"/>
        <v>2.0000000000000018</v>
      </c>
      <c r="BW224" s="413">
        <f t="shared" si="460"/>
        <v>2.0000000000000018</v>
      </c>
      <c r="BX224" s="413">
        <f t="shared" si="460"/>
        <v>2.0000000000000018</v>
      </c>
      <c r="BY224" s="413">
        <f t="shared" si="460"/>
        <v>2.0000000000000018</v>
      </c>
      <c r="BZ224" s="413">
        <f t="shared" si="460"/>
        <v>2.0000000000000018</v>
      </c>
      <c r="CA224" s="413">
        <f t="shared" si="460"/>
        <v>2.0000000000000018</v>
      </c>
      <c r="CB224" s="413">
        <f t="shared" si="460"/>
        <v>2.0000000000000018</v>
      </c>
      <c r="CC224" s="413">
        <f t="shared" si="460"/>
        <v>2.0000000000000018</v>
      </c>
      <c r="CD224" s="413">
        <f t="shared" si="460"/>
        <v>2.0000000000000018</v>
      </c>
      <c r="CE224" s="413">
        <f t="shared" si="460"/>
        <v>2.0000000000000018</v>
      </c>
      <c r="CF224" s="413">
        <f t="shared" si="460"/>
        <v>2.000000000000024</v>
      </c>
      <c r="CG224" s="413">
        <f t="shared" si="460"/>
        <v>2.0000000000000018</v>
      </c>
      <c r="CH224" s="413">
        <f t="shared" si="460"/>
        <v>2.0000000000000018</v>
      </c>
      <c r="CI224" s="413">
        <f t="shared" si="460"/>
        <v>2.0000000000000018</v>
      </c>
      <c r="CJ224" s="413">
        <f t="shared" si="460"/>
        <v>2.0000000000000018</v>
      </c>
      <c r="CK224" s="413">
        <f t="shared" si="460"/>
        <v>2.0000000000000018</v>
      </c>
      <c r="CL224" s="413">
        <f t="shared" si="460"/>
        <v>2.0000000000000018</v>
      </c>
      <c r="CM224" s="413">
        <f t="shared" ref="CM224:CQ224" si="461">CM48</f>
        <v>2.0000000000000018</v>
      </c>
      <c r="CN224" s="413">
        <f t="shared" si="461"/>
        <v>2.0000000000000018</v>
      </c>
      <c r="CO224" s="413">
        <f t="shared" si="461"/>
        <v>2.0000000000000018</v>
      </c>
      <c r="CP224" s="413">
        <f t="shared" si="461"/>
        <v>2.0000000000000018</v>
      </c>
      <c r="CQ224" s="413">
        <f t="shared" si="461"/>
        <v>2.0000000000000018</v>
      </c>
    </row>
    <row r="225" spans="1:95">
      <c r="A225" s="79" t="s">
        <v>557</v>
      </c>
      <c r="B225" s="211"/>
      <c r="C225" s="412"/>
      <c r="D225" s="414"/>
      <c r="E225" s="414"/>
      <c r="F225" s="414"/>
      <c r="G225" s="414"/>
      <c r="H225" s="414"/>
      <c r="I225" s="414"/>
      <c r="J225" s="414"/>
      <c r="K225" s="414"/>
      <c r="L225" s="414"/>
      <c r="M225" s="414"/>
      <c r="N225" s="414"/>
      <c r="O225" s="414"/>
      <c r="P225" s="414"/>
      <c r="Q225" s="414"/>
      <c r="R225" s="414"/>
      <c r="S225" s="414"/>
      <c r="T225" s="414"/>
      <c r="U225" s="414"/>
      <c r="V225" s="414"/>
      <c r="W225" s="456"/>
      <c r="X225" s="456"/>
      <c r="Y225" s="456"/>
      <c r="Z225" s="456"/>
      <c r="AA225" s="456"/>
      <c r="AB225" s="456"/>
      <c r="AC225" s="456"/>
      <c r="AD225" s="413">
        <f t="shared" ref="AD225:BB225" si="462">AD49</f>
        <v>-15.47971338890164</v>
      </c>
      <c r="AE225" s="413">
        <f t="shared" si="462"/>
        <v>-5.5463364591059268</v>
      </c>
      <c r="AF225" s="413">
        <f t="shared" si="462"/>
        <v>-3.5063177819694147E-2</v>
      </c>
      <c r="AG225" s="413">
        <f t="shared" si="462"/>
        <v>0.48310411061043279</v>
      </c>
      <c r="AH225" s="413">
        <f t="shared" si="462"/>
        <v>0.8000792564576642</v>
      </c>
      <c r="AI225" s="413">
        <f t="shared" si="462"/>
        <v>0.4542538992328593</v>
      </c>
      <c r="AJ225" s="413">
        <f t="shared" si="462"/>
        <v>4.7228775338230777</v>
      </c>
      <c r="AK225" s="413">
        <f t="shared" si="462"/>
        <v>4.658825525300192</v>
      </c>
      <c r="AL225" s="413">
        <f t="shared" si="462"/>
        <v>4.8663917570498372</v>
      </c>
      <c r="AM225" s="413">
        <f t="shared" si="462"/>
        <v>4.7153403771261315</v>
      </c>
      <c r="AN225" s="413">
        <f t="shared" si="462"/>
        <v>4.9920819961902785</v>
      </c>
      <c r="AO225" s="413">
        <f t="shared" si="462"/>
        <v>2.8827818688798912</v>
      </c>
      <c r="AP225" s="413">
        <f t="shared" si="462"/>
        <v>2.9697219155402799</v>
      </c>
      <c r="AQ225" s="413">
        <f t="shared" si="462"/>
        <v>3.1597723957026203</v>
      </c>
      <c r="AR225" s="413">
        <f t="shared" si="462"/>
        <v>2.5442023126178048</v>
      </c>
      <c r="AS225" s="413">
        <f t="shared" si="462"/>
        <v>2.1666647617693435</v>
      </c>
      <c r="AT225" s="413">
        <f t="shared" si="462"/>
        <v>0.52471545468519842</v>
      </c>
      <c r="AU225" s="413">
        <f t="shared" si="462"/>
        <v>2.8058203758471345</v>
      </c>
      <c r="AV225" s="413">
        <f t="shared" si="462"/>
        <v>3.2458984416499304</v>
      </c>
      <c r="AW225" s="413">
        <f t="shared" si="462"/>
        <v>3.7960809757550784</v>
      </c>
      <c r="AX225" s="413">
        <f t="shared" si="462"/>
        <v>2.885147181704717</v>
      </c>
      <c r="AY225" s="413">
        <f t="shared" si="462"/>
        <v>4.2472125122781978</v>
      </c>
      <c r="AZ225" s="413">
        <f t="shared" si="462"/>
        <v>3.329846731658348</v>
      </c>
      <c r="BA225" s="413">
        <f t="shared" si="462"/>
        <v>4.9658075375571764</v>
      </c>
      <c r="BB225" s="413">
        <f t="shared" si="462"/>
        <v>4.2005750981617185</v>
      </c>
      <c r="BC225" s="413">
        <f t="shared" ref="BC225:CL225" si="463">BC49</f>
        <v>0.57246841021707517</v>
      </c>
      <c r="BD225" s="413">
        <f t="shared" si="463"/>
        <v>0.81807203369026471</v>
      </c>
      <c r="BE225" s="413">
        <f t="shared" si="463"/>
        <v>3.0016362442554456</v>
      </c>
      <c r="BF225" s="413">
        <f t="shared" si="463"/>
        <v>0.75980168641711643</v>
      </c>
      <c r="BG225" s="413">
        <f t="shared" si="463"/>
        <v>0.44224854881917963</v>
      </c>
      <c r="BH225" s="413">
        <f t="shared" si="463"/>
        <v>-0.52294659725312664</v>
      </c>
      <c r="BI225" s="413">
        <f t="shared" si="463"/>
        <v>1.3122862099214094</v>
      </c>
      <c r="BJ225" s="413">
        <f t="shared" si="463"/>
        <v>-11.997955155019646</v>
      </c>
      <c r="BK225" s="413">
        <f t="shared" si="463"/>
        <v>1.9999999999999796</v>
      </c>
      <c r="BL225" s="413">
        <f t="shared" si="463"/>
        <v>1.9999999999998908</v>
      </c>
      <c r="BM225" s="413">
        <f t="shared" si="463"/>
        <v>2.000000000000246</v>
      </c>
      <c r="BN225" s="413">
        <f t="shared" si="463"/>
        <v>2.0000000000000018</v>
      </c>
      <c r="BO225" s="413">
        <f t="shared" si="463"/>
        <v>2.0000000000000018</v>
      </c>
      <c r="BP225" s="413">
        <f t="shared" si="463"/>
        <v>2.0000000000000018</v>
      </c>
      <c r="BQ225" s="413">
        <f t="shared" si="463"/>
        <v>2.0000000000000018</v>
      </c>
      <c r="BR225" s="413">
        <f t="shared" si="463"/>
        <v>1.9999999999999796</v>
      </c>
      <c r="BS225" s="413">
        <f t="shared" si="463"/>
        <v>2.000000000000024</v>
      </c>
      <c r="BT225" s="413">
        <f t="shared" si="463"/>
        <v>2.0000000000000018</v>
      </c>
      <c r="BU225" s="413">
        <f t="shared" si="463"/>
        <v>2.0000000000000018</v>
      </c>
      <c r="BV225" s="413">
        <f t="shared" si="463"/>
        <v>2.0000000000000018</v>
      </c>
      <c r="BW225" s="413">
        <f t="shared" si="463"/>
        <v>2.0000000000000018</v>
      </c>
      <c r="BX225" s="413">
        <f t="shared" si="463"/>
        <v>1.9999999999999796</v>
      </c>
      <c r="BY225" s="413">
        <f t="shared" si="463"/>
        <v>2.0000000000000018</v>
      </c>
      <c r="BZ225" s="413">
        <f t="shared" si="463"/>
        <v>2.0000000000000018</v>
      </c>
      <c r="CA225" s="413">
        <f t="shared" si="463"/>
        <v>2.0000000000000018</v>
      </c>
      <c r="CB225" s="413">
        <f t="shared" si="463"/>
        <v>2.0000000000000018</v>
      </c>
      <c r="CC225" s="413">
        <f t="shared" si="463"/>
        <v>2.0000000000000018</v>
      </c>
      <c r="CD225" s="413">
        <f t="shared" si="463"/>
        <v>2.0000000000000018</v>
      </c>
      <c r="CE225" s="413">
        <f t="shared" si="463"/>
        <v>2.0000000000000018</v>
      </c>
      <c r="CF225" s="413">
        <f t="shared" si="463"/>
        <v>2.0000000000000018</v>
      </c>
      <c r="CG225" s="413">
        <f t="shared" si="463"/>
        <v>2.0000000000000018</v>
      </c>
      <c r="CH225" s="413">
        <f t="shared" si="463"/>
        <v>1.9999999999999796</v>
      </c>
      <c r="CI225" s="413">
        <f t="shared" si="463"/>
        <v>2.0000000000000018</v>
      </c>
      <c r="CJ225" s="413">
        <f t="shared" si="463"/>
        <v>2.000000000000024</v>
      </c>
      <c r="CK225" s="413">
        <f t="shared" si="463"/>
        <v>2.0000000000000018</v>
      </c>
      <c r="CL225" s="413">
        <f t="shared" si="463"/>
        <v>2.0000000000000018</v>
      </c>
      <c r="CM225" s="413">
        <f t="shared" ref="CM225:CQ225" si="464">CM49</f>
        <v>2.0000000000000018</v>
      </c>
      <c r="CN225" s="413">
        <f t="shared" si="464"/>
        <v>2.0000000000000018</v>
      </c>
      <c r="CO225" s="413">
        <f t="shared" si="464"/>
        <v>2.0000000000000018</v>
      </c>
      <c r="CP225" s="413">
        <f t="shared" si="464"/>
        <v>2.0000000000000018</v>
      </c>
      <c r="CQ225" s="413">
        <f t="shared" si="464"/>
        <v>2.0000000000000018</v>
      </c>
    </row>
    <row r="226" spans="1:95">
      <c r="A226" s="273"/>
      <c r="B226" s="211"/>
      <c r="C226" s="412"/>
      <c r="D226" s="414"/>
      <c r="E226" s="414"/>
      <c r="F226" s="414"/>
      <c r="G226" s="414"/>
      <c r="H226" s="414"/>
      <c r="I226" s="414"/>
      <c r="J226" s="414"/>
      <c r="K226" s="414"/>
      <c r="L226" s="414"/>
      <c r="M226" s="414"/>
      <c r="N226" s="414"/>
      <c r="O226" s="414"/>
      <c r="P226" s="414"/>
      <c r="Q226" s="414"/>
      <c r="R226" s="414"/>
      <c r="S226" s="414"/>
      <c r="T226" s="414"/>
      <c r="U226" s="414"/>
      <c r="V226" s="414"/>
      <c r="W226" s="283"/>
      <c r="X226" s="283"/>
      <c r="Y226" s="283"/>
      <c r="Z226" s="283"/>
      <c r="AA226" s="283"/>
      <c r="AB226" s="283"/>
      <c r="AC226" s="283"/>
      <c r="AD226" s="283"/>
      <c r="AE226" s="283"/>
      <c r="AF226" s="283"/>
      <c r="AG226" s="283"/>
      <c r="AH226" s="283"/>
      <c r="AI226" s="283"/>
      <c r="AJ226" s="283"/>
      <c r="AK226" s="283"/>
      <c r="AL226" s="283"/>
      <c r="AM226" s="283"/>
      <c r="AN226" s="283"/>
      <c r="AO226" s="283"/>
      <c r="AP226" s="283"/>
      <c r="AQ226" s="283"/>
      <c r="AR226" s="283"/>
      <c r="AS226" s="283"/>
      <c r="AT226" s="283"/>
      <c r="AU226" s="283"/>
      <c r="AV226" s="283"/>
      <c r="AW226" s="283"/>
      <c r="AX226" s="283"/>
      <c r="AY226" s="283"/>
      <c r="AZ226" s="283"/>
      <c r="BA226" s="283"/>
      <c r="BB226" s="283"/>
      <c r="BC226" s="283"/>
      <c r="BD226" s="283"/>
      <c r="BE226" s="283"/>
      <c r="BF226" s="283"/>
      <c r="BG226" s="283"/>
      <c r="BH226" s="283"/>
      <c r="BI226" s="283"/>
      <c r="BJ226" s="283"/>
      <c r="BK226" s="283"/>
      <c r="BL226" s="283"/>
      <c r="BM226" s="283"/>
      <c r="BN226" s="283"/>
      <c r="BO226" s="283"/>
      <c r="BP226" s="283"/>
      <c r="BQ226" s="283"/>
      <c r="BR226" s="283"/>
      <c r="BS226" s="283"/>
      <c r="BT226" s="283"/>
      <c r="BU226" s="283"/>
      <c r="BV226" s="283"/>
      <c r="BW226" s="283"/>
      <c r="BX226" s="283"/>
      <c r="BY226" s="283"/>
      <c r="BZ226" s="283"/>
      <c r="CA226" s="283"/>
      <c r="CB226" s="283"/>
      <c r="CC226" s="283"/>
      <c r="CD226" s="283"/>
      <c r="CE226" s="283"/>
      <c r="CF226" s="283"/>
      <c r="CG226" s="283"/>
      <c r="CH226" s="283"/>
      <c r="CI226" s="283"/>
      <c r="CJ226" s="283"/>
      <c r="CK226" s="283"/>
      <c r="CL226" s="283"/>
      <c r="CM226" s="283"/>
      <c r="CN226" s="283"/>
      <c r="CO226" s="283"/>
      <c r="CP226" s="283"/>
      <c r="CQ226" s="283"/>
    </row>
    <row r="227" spans="1:95" s="416" customFormat="1">
      <c r="A227" s="273" t="s">
        <v>558</v>
      </c>
      <c r="B227" s="211" t="s">
        <v>285</v>
      </c>
      <c r="C227" s="412">
        <f>[2]!FAMEData(""&amp;$A$214&amp;"'PA69", "1998", "2024", 0,"Annual", "Across", "No Heading", "Normal")</f>
        <v>0.95781249999999996</v>
      </c>
      <c r="D227" s="414">
        <v>1.0918832898900215</v>
      </c>
      <c r="E227" s="414">
        <v>1.3450816950098843</v>
      </c>
      <c r="F227" s="414">
        <v>1.3501224310103088</v>
      </c>
      <c r="G227" s="414">
        <v>1.1988436327603067</v>
      </c>
      <c r="H227" s="414">
        <v>1.2132882263616573</v>
      </c>
      <c r="I227" s="414">
        <v>1.1818732912652485</v>
      </c>
      <c r="J227" s="414">
        <v>1.2414099625229948</v>
      </c>
      <c r="K227" s="414">
        <v>1.316836080425394</v>
      </c>
      <c r="L227" s="414">
        <v>1.0949580639561924</v>
      </c>
      <c r="M227" s="414">
        <v>1.2653599892957337</v>
      </c>
      <c r="N227" s="414">
        <v>1.1977799311860686</v>
      </c>
      <c r="O227" s="414">
        <v>1.2056879104287179</v>
      </c>
      <c r="P227" s="414">
        <v>0.97396175767580229</v>
      </c>
      <c r="Q227" s="414">
        <v>0.89529948573754248</v>
      </c>
      <c r="R227" s="414">
        <v>1.031585699269659</v>
      </c>
      <c r="S227" s="414">
        <v>1.0618849215864881</v>
      </c>
      <c r="T227" s="414">
        <v>1.0341946243922939</v>
      </c>
      <c r="U227" s="414">
        <v>1.1094296899641336</v>
      </c>
      <c r="V227" s="466">
        <v>0.99811270256435036</v>
      </c>
      <c r="W227" s="144">
        <v>1.0331197549025199</v>
      </c>
      <c r="X227" s="144">
        <v>1.1401352093343202</v>
      </c>
      <c r="Y227" s="144">
        <v>1.1419706255663848</v>
      </c>
      <c r="Z227" s="144">
        <v>0.97727570736238689</v>
      </c>
      <c r="AA227" s="144">
        <v>1.0003917249697845</v>
      </c>
      <c r="AB227" s="144">
        <v>0.84977168575769757</v>
      </c>
      <c r="AC227" s="144">
        <v>0.87479041725543127</v>
      </c>
      <c r="AD227" s="415">
        <v>1.75</v>
      </c>
      <c r="AE227" s="415">
        <v>1.75</v>
      </c>
      <c r="AF227" s="415">
        <v>1.75</v>
      </c>
      <c r="AG227" s="415">
        <v>1.75</v>
      </c>
      <c r="AH227" s="415">
        <v>1.75</v>
      </c>
      <c r="AI227" s="415">
        <v>1.75</v>
      </c>
      <c r="AJ227" s="415">
        <v>1.75</v>
      </c>
      <c r="AK227" s="415">
        <v>1.75</v>
      </c>
      <c r="AL227" s="415">
        <v>1.75</v>
      </c>
      <c r="AM227" s="415">
        <v>1.75</v>
      </c>
      <c r="AN227" s="415">
        <v>1.75</v>
      </c>
      <c r="AO227" s="415">
        <v>1.75</v>
      </c>
      <c r="AP227" s="415">
        <v>1.75</v>
      </c>
      <c r="AQ227" s="415">
        <v>1.75</v>
      </c>
      <c r="AR227" s="415">
        <v>1.75</v>
      </c>
      <c r="AS227" s="415">
        <v>1.75</v>
      </c>
      <c r="AT227" s="415">
        <v>1.75</v>
      </c>
      <c r="AU227" s="415">
        <v>1.75</v>
      </c>
      <c r="AV227" s="415">
        <v>1.75</v>
      </c>
      <c r="AW227" s="415">
        <v>1.75</v>
      </c>
      <c r="AX227" s="415">
        <v>1.75</v>
      </c>
      <c r="AY227" s="415">
        <v>1.75</v>
      </c>
      <c r="AZ227" s="415">
        <v>1.75</v>
      </c>
      <c r="BA227" s="415">
        <v>1.75</v>
      </c>
      <c r="BB227" s="415">
        <v>1.75</v>
      </c>
      <c r="BC227" s="415">
        <v>1.75</v>
      </c>
      <c r="BD227" s="415">
        <v>1.75</v>
      </c>
      <c r="BE227" s="415">
        <v>1.75</v>
      </c>
      <c r="BF227" s="415">
        <v>1.75</v>
      </c>
      <c r="BG227" s="415">
        <v>1.75</v>
      </c>
      <c r="BH227" s="415">
        <v>1.75</v>
      </c>
      <c r="BI227" s="415">
        <v>1.75</v>
      </c>
      <c r="BJ227" s="415">
        <v>1.75</v>
      </c>
      <c r="BK227" s="415">
        <v>1.75</v>
      </c>
      <c r="BL227" s="415">
        <v>1.75</v>
      </c>
      <c r="BM227" s="415">
        <v>1.75</v>
      </c>
      <c r="BN227" s="415">
        <v>1.75</v>
      </c>
      <c r="BO227" s="415">
        <v>1.75</v>
      </c>
      <c r="BP227" s="415">
        <v>1.75</v>
      </c>
      <c r="BQ227" s="415">
        <v>1.75</v>
      </c>
      <c r="BR227" s="415">
        <v>1.75</v>
      </c>
      <c r="BS227" s="415">
        <v>1.75</v>
      </c>
      <c r="BT227" s="415">
        <v>1.75</v>
      </c>
      <c r="BU227" s="415">
        <v>1.75</v>
      </c>
      <c r="BV227" s="415">
        <v>1.75</v>
      </c>
      <c r="BW227" s="415">
        <v>1.75</v>
      </c>
      <c r="BX227" s="415">
        <v>1.75</v>
      </c>
      <c r="BY227" s="415">
        <v>1.75</v>
      </c>
      <c r="BZ227" s="415">
        <v>1.75</v>
      </c>
      <c r="CA227" s="415">
        <v>1.75</v>
      </c>
      <c r="CB227" s="415">
        <v>1.75</v>
      </c>
      <c r="CC227" s="415">
        <v>1.75</v>
      </c>
      <c r="CD227" s="415">
        <v>1.75</v>
      </c>
      <c r="CE227" s="415">
        <v>1.75</v>
      </c>
      <c r="CF227" s="415">
        <v>1.75</v>
      </c>
      <c r="CG227" s="415">
        <v>1.75</v>
      </c>
      <c r="CH227" s="415">
        <v>1.75</v>
      </c>
      <c r="CI227" s="415">
        <v>1.75</v>
      </c>
      <c r="CJ227" s="415">
        <v>1.75</v>
      </c>
      <c r="CK227" s="415">
        <v>1.75</v>
      </c>
      <c r="CL227" s="415">
        <v>1.75</v>
      </c>
      <c r="CM227" s="415">
        <v>1.75</v>
      </c>
      <c r="CN227" s="415">
        <v>1.75</v>
      </c>
      <c r="CO227" s="415">
        <v>1.75</v>
      </c>
      <c r="CP227" s="415">
        <v>1.75</v>
      </c>
      <c r="CQ227" s="415">
        <v>1.75</v>
      </c>
    </row>
    <row r="228" spans="1:95">
      <c r="A228" s="273"/>
      <c r="B228" s="211"/>
      <c r="C228" s="412"/>
      <c r="D228" s="414"/>
      <c r="E228" s="414"/>
      <c r="F228" s="414"/>
      <c r="G228" s="414"/>
      <c r="H228" s="414"/>
      <c r="I228" s="414"/>
      <c r="J228" s="414"/>
      <c r="K228" s="414"/>
      <c r="L228" s="414"/>
      <c r="M228" s="414"/>
      <c r="N228" s="414"/>
      <c r="O228" s="414"/>
      <c r="P228" s="414"/>
      <c r="Q228" s="414"/>
      <c r="R228" s="414"/>
      <c r="S228" s="414"/>
      <c r="T228" s="414"/>
      <c r="U228" s="414"/>
      <c r="V228" s="466"/>
      <c r="W228" s="144"/>
      <c r="X228" s="283"/>
      <c r="Y228" s="283"/>
      <c r="Z228" s="144"/>
      <c r="AA228" s="144"/>
      <c r="AB228" s="283"/>
      <c r="AC228" s="283"/>
      <c r="AD228" s="283"/>
      <c r="AE228" s="283"/>
      <c r="AF228" s="283"/>
      <c r="AG228" s="283"/>
      <c r="AH228" s="283"/>
      <c r="AI228" s="283"/>
      <c r="AJ228" s="283"/>
      <c r="AK228" s="283"/>
      <c r="AL228" s="283"/>
      <c r="AM228" s="283"/>
      <c r="AN228" s="283"/>
      <c r="AO228" s="283"/>
      <c r="AP228" s="283"/>
      <c r="AQ228" s="283"/>
      <c r="AR228" s="283"/>
      <c r="AS228" s="283"/>
      <c r="AT228" s="283"/>
      <c r="AU228" s="283"/>
      <c r="AV228" s="283"/>
      <c r="AW228" s="283"/>
      <c r="AX228" s="283"/>
      <c r="AY228" s="283"/>
      <c r="AZ228" s="283"/>
      <c r="BA228" s="283"/>
      <c r="BB228" s="283"/>
      <c r="BC228" s="283"/>
      <c r="BD228" s="283"/>
      <c r="BE228" s="283"/>
      <c r="BF228" s="283"/>
      <c r="BG228" s="283"/>
      <c r="BH228" s="283"/>
      <c r="BI228" s="283"/>
      <c r="BJ228" s="283"/>
      <c r="BK228" s="283"/>
      <c r="BL228" s="283"/>
      <c r="BM228" s="283"/>
      <c r="BN228" s="283"/>
      <c r="BO228" s="283"/>
      <c r="BP228" s="283"/>
      <c r="BQ228" s="283"/>
      <c r="BR228" s="283"/>
      <c r="BS228" s="283"/>
      <c r="BT228" s="283"/>
      <c r="BU228" s="283"/>
      <c r="BV228" s="283"/>
      <c r="BW228" s="283"/>
      <c r="BX228" s="283"/>
      <c r="BY228" s="283"/>
      <c r="BZ228" s="283"/>
      <c r="CA228" s="283"/>
      <c r="CB228" s="283"/>
      <c r="CC228" s="283"/>
      <c r="CD228" s="283"/>
      <c r="CE228" s="283"/>
      <c r="CF228" s="283"/>
      <c r="CG228" s="283"/>
      <c r="CH228" s="283"/>
      <c r="CI228" s="283"/>
      <c r="CJ228" s="283"/>
      <c r="CK228" s="283"/>
      <c r="CL228" s="283"/>
      <c r="CM228" s="283"/>
      <c r="CN228" s="283"/>
      <c r="CO228" s="283"/>
      <c r="CP228" s="283"/>
      <c r="CQ228" s="283"/>
    </row>
    <row r="229" spans="1:95">
      <c r="A229" s="457" t="s">
        <v>559</v>
      </c>
      <c r="B229" s="211"/>
      <c r="C229" s="412"/>
      <c r="D229" s="414"/>
      <c r="E229" s="414"/>
      <c r="F229" s="414"/>
      <c r="G229" s="414"/>
      <c r="H229" s="414"/>
      <c r="I229" s="414"/>
      <c r="J229" s="414"/>
      <c r="K229" s="414"/>
      <c r="L229" s="414"/>
      <c r="M229" s="414"/>
      <c r="N229" s="414"/>
      <c r="O229" s="414"/>
      <c r="P229" s="414"/>
      <c r="Q229" s="414"/>
      <c r="R229" s="414"/>
      <c r="S229" s="414"/>
      <c r="T229" s="414"/>
      <c r="U229" s="414"/>
      <c r="V229" s="466"/>
      <c r="W229" s="144"/>
      <c r="X229" s="283"/>
      <c r="Y229" s="283"/>
      <c r="Z229" s="144"/>
      <c r="AA229" s="144"/>
      <c r="AB229" s="283"/>
      <c r="AC229" s="283"/>
      <c r="AD229" s="283"/>
      <c r="AE229" s="283"/>
      <c r="AF229" s="283"/>
      <c r="AG229" s="283"/>
      <c r="AH229" s="283"/>
      <c r="AI229" s="283"/>
      <c r="AJ229" s="283"/>
      <c r="AK229" s="283"/>
      <c r="AL229" s="283"/>
      <c r="AM229" s="283"/>
      <c r="AN229" s="283"/>
      <c r="AO229" s="283"/>
      <c r="AP229" s="283"/>
      <c r="AQ229" s="283"/>
      <c r="AR229" s="283"/>
      <c r="AS229" s="283"/>
      <c r="AT229" s="283"/>
      <c r="AU229" s="283"/>
      <c r="AV229" s="283"/>
      <c r="AW229" s="283"/>
      <c r="AX229" s="283"/>
      <c r="AY229" s="283"/>
      <c r="AZ229" s="283"/>
      <c r="BA229" s="283"/>
      <c r="BB229" s="283"/>
      <c r="BC229" s="283"/>
      <c r="BD229" s="283"/>
      <c r="BE229" s="283"/>
      <c r="BF229" s="283"/>
      <c r="BG229" s="283"/>
      <c r="BH229" s="283"/>
      <c r="BI229" s="283"/>
      <c r="BJ229" s="283"/>
      <c r="BK229" s="283"/>
      <c r="BL229" s="283"/>
      <c r="BM229" s="283"/>
      <c r="BN229" s="283"/>
      <c r="BO229" s="283"/>
      <c r="BP229" s="283"/>
      <c r="BQ229" s="283"/>
      <c r="BR229" s="283"/>
      <c r="BS229" s="283"/>
      <c r="BT229" s="283"/>
      <c r="BU229" s="283"/>
      <c r="BV229" s="283"/>
      <c r="BW229" s="283"/>
      <c r="BX229" s="283"/>
      <c r="BY229" s="283"/>
      <c r="BZ229" s="283"/>
      <c r="CA229" s="283"/>
      <c r="CB229" s="283"/>
      <c r="CC229" s="283"/>
      <c r="CD229" s="283"/>
      <c r="CE229" s="283"/>
      <c r="CF229" s="283"/>
      <c r="CG229" s="283"/>
      <c r="CH229" s="283"/>
      <c r="CI229" s="283"/>
      <c r="CJ229" s="283"/>
      <c r="CK229" s="283"/>
      <c r="CL229" s="283"/>
      <c r="CM229" s="283"/>
      <c r="CN229" s="283"/>
      <c r="CO229" s="283"/>
      <c r="CP229" s="283"/>
      <c r="CQ229" s="283"/>
    </row>
    <row r="230" spans="1:95">
      <c r="A230" s="273" t="s">
        <v>560</v>
      </c>
      <c r="B230" s="211"/>
      <c r="C230" s="213">
        <f>[2]!FAMEData(""&amp;$A$214&amp;"'vh66+"&amp;$A$214&amp;"'vh68", "1998", "2024", 0,"Annual", "Across", "No Heading", "Normal")</f>
        <v>32911</v>
      </c>
      <c r="D230" s="216">
        <v>32409.999999999971</v>
      </c>
      <c r="E230" s="216">
        <v>32355.000000000036</v>
      </c>
      <c r="F230" s="216">
        <v>38966.999999999985</v>
      </c>
      <c r="G230" s="216">
        <v>39756.000000000029</v>
      </c>
      <c r="H230" s="216">
        <v>45377.999999999971</v>
      </c>
      <c r="I230" s="216">
        <v>43501.000000000015</v>
      </c>
      <c r="J230" s="216">
        <v>47894.000000000058</v>
      </c>
      <c r="K230" s="216">
        <v>61324.999999999971</v>
      </c>
      <c r="L230" s="216">
        <v>77388.000000000087</v>
      </c>
      <c r="M230" s="216">
        <v>93768.000000000029</v>
      </c>
      <c r="N230" s="216">
        <v>110673.99999999997</v>
      </c>
      <c r="O230" s="216">
        <v>115823.99999999997</v>
      </c>
      <c r="P230" s="216">
        <v>113984.00000000007</v>
      </c>
      <c r="Q230" s="216">
        <v>132656</v>
      </c>
      <c r="R230" s="216">
        <v>146606.99999999997</v>
      </c>
      <c r="S230" s="216">
        <v>157126.00000000012</v>
      </c>
      <c r="T230" s="216">
        <v>143902.00000000003</v>
      </c>
      <c r="U230" s="216">
        <v>128823.99267578125</v>
      </c>
      <c r="V230" s="467">
        <v>107192.01904296875</v>
      </c>
      <c r="W230" s="468">
        <v>126141.001953125</v>
      </c>
      <c r="X230" s="468">
        <v>138136.02490234375</v>
      </c>
      <c r="Y230" s="468">
        <v>139289.0048828125</v>
      </c>
      <c r="Z230" s="468">
        <v>151485.96801757813</v>
      </c>
      <c r="AA230" s="468">
        <v>179851.05981445313</v>
      </c>
      <c r="AB230" s="468">
        <v>195039.38793945313</v>
      </c>
      <c r="AC230" s="468">
        <v>211477.6572265625</v>
      </c>
      <c r="AD230" s="652">
        <f t="shared" ref="AD230:BB230" si="465">AD57-AC57</f>
        <v>2127.722410254486</v>
      </c>
      <c r="AE230" s="652">
        <f t="shared" si="465"/>
        <v>5000.7109898609488</v>
      </c>
      <c r="AF230" s="652">
        <f t="shared" si="465"/>
        <v>-2890.9804294989299</v>
      </c>
      <c r="AG230" s="435">
        <f t="shared" si="465"/>
        <v>-2015.6047956905531</v>
      </c>
      <c r="AH230" s="435">
        <f t="shared" si="465"/>
        <v>-1710.966175933856</v>
      </c>
      <c r="AI230" s="435">
        <f t="shared" si="465"/>
        <v>-2369.9101811976725</v>
      </c>
      <c r="AJ230" s="435">
        <f t="shared" si="465"/>
        <v>-1503.1130131992686</v>
      </c>
      <c r="AK230" s="435">
        <f t="shared" si="465"/>
        <v>-1803.0354829928765</v>
      </c>
      <c r="AL230" s="435">
        <f t="shared" si="465"/>
        <v>1618.1138172955252</v>
      </c>
      <c r="AM230" s="435">
        <f t="shared" si="465"/>
        <v>-749.85137391731405</v>
      </c>
      <c r="AN230" s="435">
        <f t="shared" si="465"/>
        <v>67.077529690992378</v>
      </c>
      <c r="AO230" s="435">
        <f t="shared" si="465"/>
        <v>-1709.1805981880752</v>
      </c>
      <c r="AP230" s="435">
        <f t="shared" si="465"/>
        <v>-631.01504689176363</v>
      </c>
      <c r="AQ230" s="435">
        <f t="shared" si="465"/>
        <v>207.48196020353498</v>
      </c>
      <c r="AR230" s="435">
        <f t="shared" si="465"/>
        <v>-339.96207879711437</v>
      </c>
      <c r="AS230" s="435">
        <f t="shared" si="465"/>
        <v>-1233.4640596596437</v>
      </c>
      <c r="AT230" s="435">
        <f t="shared" si="465"/>
        <v>663.10699474386638</v>
      </c>
      <c r="AU230" s="435">
        <f t="shared" si="465"/>
        <v>-1346.9720938682076</v>
      </c>
      <c r="AV230" s="435">
        <f t="shared" si="465"/>
        <v>-1104.8283742682033</v>
      </c>
      <c r="AW230" s="435">
        <f t="shared" si="465"/>
        <v>-947.41793419118039</v>
      </c>
      <c r="AX230" s="435">
        <f t="shared" si="465"/>
        <v>-458.23275081345491</v>
      </c>
      <c r="AY230" s="435">
        <f t="shared" si="465"/>
        <v>-1501.7041556346812</v>
      </c>
      <c r="AZ230" s="435">
        <f t="shared" si="465"/>
        <v>-130.40427658303088</v>
      </c>
      <c r="BA230" s="435">
        <f t="shared" si="465"/>
        <v>-1834.6751404761817</v>
      </c>
      <c r="BB230" s="435">
        <f t="shared" si="465"/>
        <v>-1494.6763202093498</v>
      </c>
      <c r="BC230" s="435">
        <f t="shared" ref="BC230:CL230" si="466">BC57-BB57</f>
        <v>-2245.280241256718</v>
      </c>
      <c r="BD230" s="435">
        <f t="shared" si="466"/>
        <v>-1338.0259040542442</v>
      </c>
      <c r="BE230" s="435">
        <f t="shared" si="466"/>
        <v>-619.90634092928667</v>
      </c>
      <c r="BF230" s="435">
        <f t="shared" si="466"/>
        <v>-440.77484028711478</v>
      </c>
      <c r="BG230" s="435">
        <f t="shared" si="466"/>
        <v>-246.31480856364215</v>
      </c>
      <c r="BH230" s="435">
        <f t="shared" si="466"/>
        <v>-1785.8117421210627</v>
      </c>
      <c r="BI230" s="435">
        <f t="shared" si="466"/>
        <v>-2922.526172156744</v>
      </c>
      <c r="BJ230" s="435">
        <f t="shared" si="466"/>
        <v>-99.996740976137517</v>
      </c>
      <c r="BK230" s="435">
        <f t="shared" si="466"/>
        <v>-390.95947015965066</v>
      </c>
      <c r="BL230" s="435">
        <f t="shared" si="466"/>
        <v>-1576.2523220171279</v>
      </c>
      <c r="BM230" s="435">
        <f t="shared" si="466"/>
        <v>-1461.915904125115</v>
      </c>
      <c r="BN230" s="435">
        <f t="shared" si="466"/>
        <v>520.63089891745403</v>
      </c>
      <c r="BO230" s="435">
        <f t="shared" si="466"/>
        <v>528.96099330013385</v>
      </c>
      <c r="BP230" s="435">
        <f t="shared" si="466"/>
        <v>537.42436919293687</v>
      </c>
      <c r="BQ230" s="435">
        <f t="shared" si="466"/>
        <v>546.02315910002653</v>
      </c>
      <c r="BR230" s="435">
        <f t="shared" si="466"/>
        <v>554.75952964562748</v>
      </c>
      <c r="BS230" s="435">
        <f t="shared" si="466"/>
        <v>563.63568211995153</v>
      </c>
      <c r="BT230" s="435">
        <f t="shared" si="466"/>
        <v>572.6538530338803</v>
      </c>
      <c r="BU230" s="435">
        <f t="shared" si="466"/>
        <v>581.8163146824154</v>
      </c>
      <c r="BV230" s="435">
        <f t="shared" si="466"/>
        <v>591.12537571733264</v>
      </c>
      <c r="BW230" s="435">
        <f t="shared" si="466"/>
        <v>600.58338172881486</v>
      </c>
      <c r="BX230" s="435">
        <f t="shared" si="466"/>
        <v>610.19271583647787</v>
      </c>
      <c r="BY230" s="435">
        <f t="shared" si="466"/>
        <v>619.95579928986263</v>
      </c>
      <c r="BZ230" s="435">
        <f t="shared" si="466"/>
        <v>629.87509207849507</v>
      </c>
      <c r="CA230" s="435">
        <f t="shared" si="466"/>
        <v>639.95309355174686</v>
      </c>
      <c r="CB230" s="435">
        <f t="shared" si="466"/>
        <v>650.19234304858401</v>
      </c>
      <c r="CC230" s="435">
        <f t="shared" si="466"/>
        <v>660.5954205373564</v>
      </c>
      <c r="CD230" s="435">
        <f t="shared" si="466"/>
        <v>671.16494726595556</v>
      </c>
      <c r="CE230" s="435">
        <f t="shared" si="466"/>
        <v>681.90358642220963</v>
      </c>
      <c r="CF230" s="435">
        <f t="shared" si="466"/>
        <v>692.81404380495951</v>
      </c>
      <c r="CG230" s="435">
        <f t="shared" si="466"/>
        <v>703.89906850584521</v>
      </c>
      <c r="CH230" s="435">
        <f t="shared" si="466"/>
        <v>715.16145360193332</v>
      </c>
      <c r="CI230" s="435">
        <f t="shared" si="466"/>
        <v>726.60403685957135</v>
      </c>
      <c r="CJ230" s="435">
        <f t="shared" si="466"/>
        <v>738.22970144932333</v>
      </c>
      <c r="CK230" s="435">
        <f t="shared" si="466"/>
        <v>750.04137667251052</v>
      </c>
      <c r="CL230" s="435">
        <f t="shared" si="466"/>
        <v>762.04203869927733</v>
      </c>
      <c r="CM230" s="435">
        <f t="shared" ref="CM230" si="467">CM57-CL57</f>
        <v>774.234711318466</v>
      </c>
      <c r="CN230" s="435">
        <f t="shared" ref="CN230" si="468">CN57-CM57</f>
        <v>786.62246669955493</v>
      </c>
      <c r="CO230" s="435">
        <f t="shared" ref="CO230" si="469">CO57-CN57</f>
        <v>799.20842616674781</v>
      </c>
      <c r="CP230" s="435">
        <f t="shared" ref="CP230" si="470">CP57-CO57</f>
        <v>811.99576098541729</v>
      </c>
      <c r="CQ230" s="435">
        <f t="shared" ref="CQ230" si="471">CQ57-CP57</f>
        <v>824.98769316117978</v>
      </c>
    </row>
    <row r="231" spans="1:95" s="434" customFormat="1">
      <c r="A231" s="429"/>
      <c r="B231" s="430"/>
      <c r="C231" s="431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  <c r="V231" s="432"/>
      <c r="W231" s="433"/>
      <c r="X231" s="433"/>
      <c r="Y231" s="433"/>
      <c r="Z231" s="433"/>
      <c r="AA231" s="433"/>
      <c r="AB231" s="433"/>
      <c r="AC231" s="433"/>
      <c r="AD231" s="433"/>
      <c r="AE231" s="433"/>
      <c r="AF231" s="433"/>
      <c r="AG231" s="433"/>
      <c r="AH231" s="433"/>
      <c r="AI231" s="433"/>
      <c r="AJ231" s="433"/>
      <c r="AK231" s="433"/>
      <c r="AL231" s="433"/>
      <c r="AM231" s="433"/>
      <c r="AN231" s="433"/>
      <c r="AO231" s="433"/>
      <c r="AP231" s="433"/>
      <c r="AQ231" s="433"/>
      <c r="AR231" s="433"/>
      <c r="AS231" s="433"/>
      <c r="AT231" s="433"/>
      <c r="AU231" s="433"/>
      <c r="AV231" s="433"/>
      <c r="AW231" s="433"/>
      <c r="AX231" s="433"/>
      <c r="AY231" s="433"/>
      <c r="AZ231" s="433"/>
      <c r="BA231" s="433"/>
      <c r="BB231" s="433"/>
      <c r="BC231" s="433"/>
      <c r="BD231" s="433"/>
      <c r="BE231" s="433"/>
      <c r="BF231" s="433"/>
      <c r="BG231" s="433"/>
      <c r="BH231" s="433"/>
      <c r="BI231" s="433"/>
      <c r="BJ231" s="433"/>
      <c r="BK231" s="433"/>
      <c r="BL231" s="433"/>
      <c r="BM231" s="433"/>
      <c r="BN231" s="433"/>
      <c r="BO231" s="433"/>
      <c r="BP231" s="433"/>
      <c r="BQ231" s="433"/>
      <c r="BR231" s="433"/>
      <c r="BS231" s="433"/>
      <c r="BT231" s="433"/>
      <c r="BU231" s="433"/>
      <c r="BV231" s="433"/>
      <c r="BW231" s="433"/>
      <c r="BX231" s="433"/>
      <c r="BY231" s="433"/>
      <c r="BZ231" s="433"/>
      <c r="CA231" s="433"/>
      <c r="CB231" s="433"/>
      <c r="CC231" s="433"/>
      <c r="CD231" s="433"/>
      <c r="CE231" s="433"/>
      <c r="CF231" s="433"/>
      <c r="CG231" s="433"/>
      <c r="CH231" s="433"/>
      <c r="CI231" s="433"/>
      <c r="CJ231" s="433"/>
      <c r="CK231" s="433"/>
      <c r="CL231" s="433"/>
      <c r="CM231" s="433"/>
      <c r="CN231" s="433"/>
      <c r="CO231" s="433"/>
      <c r="CP231" s="433"/>
      <c r="CQ231" s="433"/>
    </row>
    <row r="232" spans="1:95" s="428" customFormat="1">
      <c r="A232" s="423"/>
      <c r="B232" s="424"/>
      <c r="C232" s="425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7"/>
      <c r="X232" s="427"/>
      <c r="Y232" s="427"/>
      <c r="Z232" s="427"/>
      <c r="AA232" s="427"/>
      <c r="AB232" s="427"/>
      <c r="AC232" s="427"/>
      <c r="AD232" s="427"/>
      <c r="AE232" s="427"/>
      <c r="AF232" s="427"/>
      <c r="AG232" s="427"/>
      <c r="AH232" s="427"/>
      <c r="AI232" s="427"/>
      <c r="AJ232" s="427"/>
      <c r="AK232" s="427"/>
      <c r="AL232" s="427"/>
      <c r="AM232" s="427"/>
      <c r="AN232" s="427"/>
      <c r="AO232" s="427"/>
      <c r="AP232" s="427"/>
      <c r="AQ232" s="427"/>
      <c r="AR232" s="427"/>
      <c r="AS232" s="427"/>
      <c r="AT232" s="427"/>
      <c r="AU232" s="427"/>
      <c r="AV232" s="427"/>
      <c r="AW232" s="427"/>
      <c r="AX232" s="427"/>
      <c r="AY232" s="427"/>
      <c r="AZ232" s="427"/>
      <c r="BA232" s="427"/>
      <c r="BB232" s="427"/>
      <c r="BC232" s="427"/>
      <c r="BD232" s="427"/>
      <c r="BE232" s="427"/>
      <c r="BF232" s="427"/>
      <c r="BG232" s="427"/>
      <c r="BH232" s="427"/>
      <c r="BI232" s="427"/>
      <c r="BJ232" s="427"/>
      <c r="BK232" s="427"/>
      <c r="BL232" s="427"/>
      <c r="BM232" s="427"/>
      <c r="BN232" s="427"/>
      <c r="BO232" s="427"/>
      <c r="BP232" s="427"/>
      <c r="BQ232" s="427"/>
      <c r="BR232" s="427"/>
      <c r="BS232" s="427"/>
      <c r="BT232" s="427"/>
      <c r="BU232" s="427"/>
      <c r="BV232" s="427"/>
      <c r="BW232" s="427"/>
      <c r="BX232" s="427"/>
      <c r="BY232" s="427"/>
      <c r="BZ232" s="427"/>
      <c r="CA232" s="427"/>
      <c r="CB232" s="427"/>
      <c r="CC232" s="427"/>
      <c r="CD232" s="427"/>
      <c r="CE232" s="427"/>
      <c r="CF232" s="427"/>
      <c r="CG232" s="427"/>
      <c r="CH232" s="427"/>
      <c r="CI232" s="427"/>
      <c r="CJ232" s="427"/>
      <c r="CK232" s="427"/>
      <c r="CL232" s="427"/>
      <c r="CM232" s="427"/>
      <c r="CN232" s="427"/>
      <c r="CO232" s="427"/>
      <c r="CP232" s="427"/>
      <c r="CQ232" s="427"/>
    </row>
    <row r="233" spans="1:95">
      <c r="A233" s="273"/>
      <c r="B233" s="211"/>
      <c r="C233" s="412"/>
      <c r="D233" s="414"/>
      <c r="E233" s="414"/>
      <c r="F233" s="414"/>
      <c r="G233" s="414"/>
      <c r="H233" s="414"/>
      <c r="I233" s="414"/>
      <c r="J233" s="414"/>
      <c r="K233" s="414"/>
      <c r="L233" s="414"/>
      <c r="M233" s="414"/>
      <c r="N233" s="414"/>
      <c r="O233" s="414"/>
      <c r="P233" s="414"/>
      <c r="Q233" s="414"/>
      <c r="R233" s="414"/>
      <c r="S233" s="414"/>
      <c r="T233" s="414"/>
      <c r="U233" s="414"/>
      <c r="V233" s="414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283"/>
      <c r="AM233" s="283"/>
      <c r="AN233" s="283"/>
      <c r="AO233" s="283"/>
      <c r="AP233" s="283"/>
      <c r="AQ233" s="283"/>
      <c r="AR233" s="283"/>
      <c r="AS233" s="283"/>
      <c r="AT233" s="283"/>
      <c r="AU233" s="283"/>
      <c r="AV233" s="283"/>
      <c r="AW233" s="283"/>
      <c r="AX233" s="283"/>
      <c r="AY233" s="283"/>
      <c r="AZ233" s="283"/>
      <c r="BA233" s="283"/>
      <c r="BB233" s="283"/>
      <c r="BC233" s="283"/>
      <c r="BD233" s="283"/>
      <c r="BE233" s="283"/>
      <c r="BF233" s="283"/>
      <c r="BG233" s="283"/>
      <c r="BH233" s="283"/>
      <c r="BI233" s="283"/>
      <c r="BJ233" s="283"/>
      <c r="BK233" s="283"/>
      <c r="BL233" s="283"/>
      <c r="BM233" s="283"/>
      <c r="BN233" s="283"/>
      <c r="BO233" s="283"/>
      <c r="BP233" s="283"/>
      <c r="BQ233" s="283"/>
      <c r="BR233" s="283"/>
      <c r="BS233" s="283"/>
      <c r="BT233" s="283"/>
      <c r="BU233" s="283"/>
      <c r="BV233" s="283"/>
      <c r="BW233" s="283"/>
      <c r="BX233" s="283"/>
      <c r="BY233" s="283"/>
      <c r="BZ233" s="283"/>
      <c r="CA233" s="283"/>
      <c r="CB233" s="283"/>
      <c r="CC233" s="283"/>
      <c r="CD233" s="283"/>
      <c r="CE233" s="283"/>
      <c r="CF233" s="283"/>
      <c r="CG233" s="283"/>
      <c r="CH233" s="283"/>
      <c r="CI233" s="283"/>
      <c r="CJ233" s="283"/>
      <c r="CK233" s="283"/>
      <c r="CL233" s="283"/>
      <c r="CM233" s="283"/>
      <c r="CN233" s="283"/>
      <c r="CO233" s="283"/>
      <c r="CP233" s="283"/>
      <c r="CQ233" s="283"/>
    </row>
    <row r="234" spans="1:95">
      <c r="A234" s="273"/>
      <c r="B234" s="211"/>
      <c r="C234" s="412"/>
      <c r="D234" s="414"/>
      <c r="E234" s="414"/>
      <c r="F234" s="414"/>
      <c r="G234" s="414"/>
      <c r="H234" s="414"/>
      <c r="I234" s="414"/>
      <c r="J234" s="414"/>
      <c r="K234" s="414"/>
      <c r="L234" s="414"/>
      <c r="M234" s="414"/>
      <c r="N234" s="414"/>
      <c r="O234" s="414"/>
      <c r="P234" s="414"/>
      <c r="Q234" s="414"/>
      <c r="R234" s="414"/>
      <c r="S234" s="414"/>
      <c r="T234" s="414"/>
      <c r="U234" s="414"/>
      <c r="V234" s="414"/>
      <c r="W234" s="283"/>
      <c r="X234" s="283"/>
      <c r="Y234" s="283"/>
      <c r="Z234" s="283"/>
      <c r="AA234" s="283"/>
      <c r="AB234" s="283"/>
      <c r="AC234" s="283"/>
      <c r="AD234" s="283"/>
      <c r="AE234" s="283"/>
      <c r="AF234" s="283"/>
      <c r="AG234" s="283"/>
      <c r="AH234" s="283"/>
      <c r="AI234" s="283"/>
      <c r="AJ234" s="283"/>
      <c r="AK234" s="283"/>
      <c r="AL234" s="283"/>
      <c r="AM234" s="283"/>
      <c r="AN234" s="283"/>
      <c r="AO234" s="283"/>
      <c r="AP234" s="283"/>
      <c r="AQ234" s="283"/>
      <c r="AR234" s="283"/>
      <c r="AS234" s="283"/>
      <c r="AT234" s="283"/>
      <c r="AU234" s="283"/>
      <c r="AV234" s="283"/>
      <c r="AW234" s="283"/>
      <c r="AX234" s="283"/>
      <c r="AY234" s="283"/>
      <c r="AZ234" s="283"/>
      <c r="BA234" s="283"/>
      <c r="BB234" s="283"/>
      <c r="BC234" s="283"/>
      <c r="BD234" s="283"/>
      <c r="BE234" s="283"/>
      <c r="BF234" s="283"/>
      <c r="BG234" s="283"/>
      <c r="BH234" s="283"/>
      <c r="BI234" s="283"/>
      <c r="BJ234" s="283"/>
      <c r="BK234" s="283"/>
      <c r="BL234" s="283"/>
      <c r="BM234" s="283"/>
      <c r="BN234" s="283"/>
      <c r="BO234" s="283"/>
      <c r="BP234" s="283"/>
      <c r="BQ234" s="283"/>
      <c r="BR234" s="283"/>
      <c r="BS234" s="283"/>
      <c r="BT234" s="283"/>
      <c r="BU234" s="283"/>
      <c r="BV234" s="283"/>
      <c r="BW234" s="283"/>
      <c r="BX234" s="283"/>
      <c r="BY234" s="283"/>
      <c r="BZ234" s="283"/>
      <c r="CA234" s="283"/>
      <c r="CB234" s="283"/>
      <c r="CC234" s="283"/>
      <c r="CD234" s="283"/>
      <c r="CE234" s="283"/>
      <c r="CF234" s="283"/>
      <c r="CG234" s="283"/>
      <c r="CH234" s="283"/>
      <c r="CI234" s="283"/>
      <c r="CJ234" s="283"/>
      <c r="CK234" s="283"/>
      <c r="CL234" s="283"/>
      <c r="CM234" s="283"/>
      <c r="CN234" s="283"/>
      <c r="CO234" s="283"/>
      <c r="CP234" s="283"/>
      <c r="CQ234" s="283"/>
    </row>
    <row r="235" spans="1:95">
      <c r="A235" s="273"/>
      <c r="B235" s="211"/>
      <c r="C235" s="412"/>
      <c r="D235" s="414"/>
      <c r="E235" s="414"/>
      <c r="F235" s="414"/>
      <c r="G235" s="414"/>
      <c r="H235" s="414"/>
      <c r="I235" s="414"/>
      <c r="J235" s="414"/>
      <c r="K235" s="414"/>
      <c r="L235" s="414"/>
      <c r="M235" s="414"/>
      <c r="N235" s="414"/>
      <c r="O235" s="414"/>
      <c r="P235" s="414"/>
      <c r="Q235" s="414"/>
      <c r="R235" s="414"/>
      <c r="S235" s="414"/>
      <c r="T235" s="414"/>
      <c r="U235" s="414"/>
      <c r="V235" s="414"/>
      <c r="W235" s="283"/>
      <c r="X235" s="283"/>
      <c r="Y235" s="283"/>
      <c r="Z235" s="283"/>
      <c r="AA235" s="283"/>
      <c r="AB235" s="283"/>
      <c r="AC235" s="283"/>
      <c r="AD235" s="283"/>
      <c r="AE235" s="283"/>
      <c r="AF235" s="283"/>
      <c r="AG235" s="283"/>
      <c r="AH235" s="283"/>
      <c r="AI235" s="283"/>
      <c r="AJ235" s="283"/>
      <c r="AK235" s="283"/>
      <c r="AL235" s="283"/>
      <c r="AM235" s="283"/>
      <c r="AN235" s="283"/>
      <c r="AO235" s="283"/>
      <c r="AP235" s="283"/>
      <c r="AQ235" s="283"/>
      <c r="AR235" s="283"/>
      <c r="AS235" s="283"/>
      <c r="AT235" s="283"/>
      <c r="AU235" s="283"/>
      <c r="AV235" s="283"/>
      <c r="AW235" s="283"/>
      <c r="AX235" s="283"/>
      <c r="AY235" s="283"/>
      <c r="AZ235" s="283"/>
      <c r="BA235" s="283"/>
      <c r="BB235" s="283"/>
      <c r="BC235" s="283"/>
      <c r="BD235" s="283"/>
      <c r="BE235" s="283"/>
      <c r="BF235" s="283"/>
      <c r="BG235" s="283"/>
      <c r="BH235" s="283"/>
      <c r="BI235" s="283"/>
      <c r="BJ235" s="283"/>
      <c r="BK235" s="283"/>
      <c r="BL235" s="283"/>
      <c r="BM235" s="283"/>
      <c r="BN235" s="283"/>
      <c r="BO235" s="283"/>
      <c r="BP235" s="283"/>
      <c r="BQ235" s="283"/>
      <c r="BR235" s="283"/>
      <c r="BS235" s="283"/>
      <c r="BT235" s="283"/>
      <c r="BU235" s="283"/>
      <c r="BV235" s="283"/>
      <c r="BW235" s="283"/>
      <c r="BX235" s="283"/>
      <c r="BY235" s="283"/>
      <c r="BZ235" s="283"/>
      <c r="CA235" s="283"/>
      <c r="CB235" s="283"/>
      <c r="CC235" s="283"/>
      <c r="CD235" s="283"/>
      <c r="CE235" s="283"/>
      <c r="CF235" s="283"/>
      <c r="CG235" s="283"/>
      <c r="CH235" s="283"/>
      <c r="CI235" s="283"/>
      <c r="CJ235" s="283"/>
      <c r="CK235" s="283"/>
      <c r="CL235" s="283"/>
      <c r="CM235" s="283"/>
      <c r="CN235" s="283"/>
      <c r="CO235" s="283"/>
      <c r="CP235" s="283"/>
      <c r="CQ235" s="283"/>
    </row>
    <row r="236" spans="1:95">
      <c r="A236" s="273"/>
      <c r="B236" s="211"/>
      <c r="C236" s="412"/>
      <c r="D236" s="414"/>
      <c r="E236" s="414"/>
      <c r="F236" s="414"/>
      <c r="G236" s="414"/>
      <c r="H236" s="414"/>
      <c r="I236" s="414"/>
      <c r="J236" s="414"/>
      <c r="K236" s="414"/>
      <c r="L236" s="414"/>
      <c r="M236" s="414"/>
      <c r="N236" s="414"/>
      <c r="O236" s="414"/>
      <c r="P236" s="414"/>
      <c r="Q236" s="414"/>
      <c r="R236" s="414"/>
      <c r="S236" s="414"/>
      <c r="T236" s="414"/>
      <c r="U236" s="414"/>
      <c r="V236" s="414"/>
      <c r="W236" s="283"/>
      <c r="X236" s="283"/>
      <c r="Y236" s="283"/>
      <c r="Z236" s="283"/>
      <c r="AA236" s="283"/>
      <c r="AB236" s="283"/>
      <c r="AC236" s="283"/>
      <c r="AD236" s="283"/>
      <c r="AE236" s="283"/>
      <c r="AF236" s="283"/>
      <c r="AG236" s="283"/>
      <c r="AH236" s="283"/>
      <c r="AI236" s="283"/>
      <c r="AJ236" s="283"/>
      <c r="AK236" s="283"/>
      <c r="AL236" s="283"/>
      <c r="AM236" s="283"/>
      <c r="AN236" s="283"/>
      <c r="AO236" s="283"/>
      <c r="AP236" s="283"/>
      <c r="AQ236" s="283"/>
      <c r="AR236" s="283"/>
      <c r="AS236" s="283"/>
      <c r="AT236" s="283"/>
      <c r="AU236" s="283"/>
      <c r="AV236" s="283"/>
      <c r="AW236" s="283"/>
      <c r="AX236" s="283"/>
      <c r="AY236" s="283"/>
      <c r="AZ236" s="283"/>
      <c r="BA236" s="283"/>
      <c r="BB236" s="283"/>
      <c r="BC236" s="283"/>
      <c r="BD236" s="283"/>
      <c r="BE236" s="283"/>
      <c r="BF236" s="283"/>
      <c r="BG236" s="283"/>
      <c r="BH236" s="283"/>
      <c r="BI236" s="283"/>
      <c r="BJ236" s="283"/>
      <c r="BK236" s="283"/>
      <c r="BL236" s="283"/>
      <c r="BM236" s="283"/>
      <c r="BN236" s="283"/>
      <c r="BO236" s="283"/>
      <c r="BP236" s="283"/>
      <c r="BQ236" s="283"/>
      <c r="BR236" s="283"/>
      <c r="BS236" s="283"/>
      <c r="BT236" s="283"/>
      <c r="BU236" s="283"/>
      <c r="BV236" s="283"/>
      <c r="BW236" s="283"/>
      <c r="BX236" s="283"/>
      <c r="BY236" s="283"/>
      <c r="BZ236" s="283"/>
      <c r="CA236" s="283"/>
      <c r="CB236" s="283"/>
      <c r="CC236" s="283"/>
      <c r="CD236" s="283"/>
      <c r="CE236" s="283"/>
      <c r="CF236" s="283"/>
      <c r="CG236" s="283"/>
      <c r="CH236" s="283"/>
      <c r="CI236" s="283"/>
      <c r="CJ236" s="283"/>
      <c r="CK236" s="283"/>
      <c r="CL236" s="283"/>
      <c r="CM236" s="283"/>
      <c r="CN236" s="283"/>
      <c r="CO236" s="283"/>
      <c r="CP236" s="283"/>
      <c r="CQ236" s="283"/>
    </row>
    <row r="237" spans="1:95">
      <c r="A237" s="273"/>
      <c r="B237" s="211"/>
      <c r="C237" s="412"/>
      <c r="D237" s="414"/>
      <c r="E237" s="414"/>
      <c r="F237" s="414"/>
      <c r="G237" s="414"/>
      <c r="H237" s="414"/>
      <c r="I237" s="414"/>
      <c r="J237" s="414"/>
      <c r="K237" s="414"/>
      <c r="L237" s="414"/>
      <c r="M237" s="414"/>
      <c r="N237" s="414"/>
      <c r="O237" s="414"/>
      <c r="P237" s="414"/>
      <c r="Q237" s="414"/>
      <c r="R237" s="414"/>
      <c r="S237" s="414"/>
      <c r="T237" s="414"/>
      <c r="U237" s="414"/>
      <c r="V237" s="414"/>
      <c r="W237" s="283"/>
      <c r="X237" s="283"/>
      <c r="Y237" s="283"/>
      <c r="Z237" s="283"/>
      <c r="AA237" s="283"/>
      <c r="AB237" s="283"/>
      <c r="AC237" s="283"/>
      <c r="AD237" s="283"/>
      <c r="AE237" s="283"/>
      <c r="AF237" s="283"/>
      <c r="AG237" s="283"/>
      <c r="AH237" s="283"/>
      <c r="AI237" s="283"/>
      <c r="AJ237" s="283"/>
      <c r="AK237" s="283"/>
      <c r="AL237" s="283"/>
      <c r="AM237" s="283"/>
      <c r="AN237" s="283"/>
      <c r="AO237" s="283"/>
      <c r="AP237" s="283"/>
      <c r="AQ237" s="283"/>
      <c r="AR237" s="283"/>
      <c r="AS237" s="283"/>
      <c r="AT237" s="283"/>
      <c r="AU237" s="283"/>
      <c r="AV237" s="283"/>
      <c r="AW237" s="283"/>
      <c r="AX237" s="283"/>
      <c r="AY237" s="283"/>
      <c r="AZ237" s="283"/>
      <c r="BA237" s="283"/>
      <c r="BB237" s="283"/>
      <c r="BC237" s="283"/>
      <c r="BD237" s="283"/>
      <c r="BE237" s="283"/>
      <c r="BF237" s="283"/>
      <c r="BG237" s="283"/>
      <c r="BH237" s="283"/>
      <c r="BI237" s="283"/>
      <c r="BJ237" s="283"/>
      <c r="BK237" s="283"/>
      <c r="BL237" s="283"/>
      <c r="BM237" s="283"/>
      <c r="BN237" s="283"/>
      <c r="BO237" s="283"/>
      <c r="BP237" s="283"/>
      <c r="BQ237" s="283"/>
      <c r="BR237" s="283"/>
      <c r="BS237" s="283"/>
      <c r="BT237" s="283"/>
      <c r="BU237" s="283"/>
      <c r="BV237" s="283"/>
      <c r="BW237" s="283"/>
      <c r="BX237" s="283"/>
      <c r="BY237" s="283"/>
      <c r="BZ237" s="283"/>
      <c r="CA237" s="283"/>
      <c r="CB237" s="283"/>
      <c r="CC237" s="283"/>
      <c r="CD237" s="283"/>
      <c r="CE237" s="283"/>
      <c r="CF237" s="283"/>
      <c r="CG237" s="283"/>
      <c r="CH237" s="283"/>
      <c r="CI237" s="283"/>
      <c r="CJ237" s="283"/>
      <c r="CK237" s="283"/>
      <c r="CL237" s="283"/>
      <c r="CM237" s="283"/>
      <c r="CN237" s="283"/>
      <c r="CO237" s="283"/>
      <c r="CP237" s="283"/>
      <c r="CQ237" s="283"/>
    </row>
    <row r="238" spans="1:95">
      <c r="A238" s="273"/>
      <c r="B238" s="211"/>
      <c r="C238" s="412"/>
      <c r="D238" s="414"/>
      <c r="E238" s="414"/>
      <c r="F238" s="414"/>
      <c r="G238" s="414"/>
      <c r="H238" s="414"/>
      <c r="I238" s="414"/>
      <c r="J238" s="414"/>
      <c r="K238" s="414"/>
      <c r="L238" s="414"/>
      <c r="M238" s="414"/>
      <c r="N238" s="414"/>
      <c r="O238" s="414"/>
      <c r="P238" s="414"/>
      <c r="Q238" s="414"/>
      <c r="R238" s="414"/>
      <c r="S238" s="414"/>
      <c r="T238" s="414"/>
      <c r="U238" s="414"/>
      <c r="V238" s="414"/>
      <c r="W238" s="283"/>
      <c r="X238" s="283"/>
      <c r="Y238" s="283"/>
      <c r="Z238" s="283"/>
      <c r="AA238" s="283"/>
      <c r="AB238" s="283"/>
      <c r="AC238" s="283"/>
      <c r="AD238" s="283"/>
      <c r="AE238" s="283"/>
      <c r="AF238" s="283"/>
      <c r="AG238" s="283"/>
      <c r="AH238" s="283"/>
      <c r="AI238" s="283"/>
      <c r="AJ238" s="283"/>
      <c r="AK238" s="283"/>
      <c r="AL238" s="283"/>
      <c r="AM238" s="283"/>
      <c r="AN238" s="283"/>
      <c r="AO238" s="283"/>
      <c r="AP238" s="283"/>
      <c r="AQ238" s="283"/>
      <c r="AR238" s="283"/>
      <c r="AS238" s="283"/>
      <c r="AT238" s="283"/>
      <c r="AU238" s="283"/>
      <c r="AV238" s="283"/>
      <c r="AW238" s="283"/>
      <c r="AX238" s="283"/>
      <c r="AY238" s="283"/>
      <c r="AZ238" s="283"/>
      <c r="BA238" s="283"/>
      <c r="BB238" s="283"/>
      <c r="BC238" s="283"/>
      <c r="BD238" s="283"/>
      <c r="BE238" s="283"/>
      <c r="BF238" s="283"/>
      <c r="BG238" s="283"/>
      <c r="BH238" s="283"/>
      <c r="BI238" s="283"/>
      <c r="BJ238" s="283"/>
      <c r="BK238" s="283"/>
      <c r="BL238" s="283"/>
      <c r="BM238" s="283"/>
      <c r="BN238" s="283"/>
      <c r="BO238" s="283"/>
      <c r="BP238" s="283"/>
      <c r="BQ238" s="283"/>
      <c r="BR238" s="283"/>
      <c r="BS238" s="283"/>
      <c r="BT238" s="283"/>
      <c r="BU238" s="283"/>
      <c r="BV238" s="283"/>
      <c r="BW238" s="283"/>
      <c r="BX238" s="283"/>
      <c r="BY238" s="283"/>
      <c r="BZ238" s="283"/>
      <c r="CA238" s="283"/>
      <c r="CB238" s="283"/>
      <c r="CC238" s="283"/>
      <c r="CD238" s="283"/>
      <c r="CE238" s="283"/>
      <c r="CF238" s="283"/>
      <c r="CG238" s="283"/>
      <c r="CH238" s="283"/>
      <c r="CI238" s="283"/>
      <c r="CJ238" s="283"/>
      <c r="CK238" s="283"/>
      <c r="CL238" s="283"/>
      <c r="CM238" s="283"/>
      <c r="CN238" s="283"/>
      <c r="CO238" s="283"/>
      <c r="CP238" s="283"/>
      <c r="CQ238" s="283"/>
    </row>
    <row r="239" spans="1:95">
      <c r="A239" s="273"/>
      <c r="B239" s="211"/>
      <c r="C239" s="412"/>
      <c r="D239" s="414"/>
      <c r="E239" s="414"/>
      <c r="F239" s="414"/>
      <c r="G239" s="414"/>
      <c r="H239" s="414"/>
      <c r="I239" s="414"/>
      <c r="J239" s="414"/>
      <c r="K239" s="414"/>
      <c r="L239" s="414"/>
      <c r="M239" s="414"/>
      <c r="N239" s="414"/>
      <c r="O239" s="414"/>
      <c r="P239" s="414"/>
      <c r="Q239" s="414"/>
      <c r="R239" s="414"/>
      <c r="S239" s="414"/>
      <c r="T239" s="414"/>
      <c r="U239" s="414"/>
      <c r="V239" s="414"/>
      <c r="W239" s="283"/>
      <c r="X239" s="283"/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3"/>
      <c r="AL239" s="283"/>
      <c r="AM239" s="283"/>
      <c r="AN239" s="283"/>
      <c r="AO239" s="283"/>
      <c r="AP239" s="283"/>
      <c r="AQ239" s="283"/>
      <c r="AR239" s="283"/>
      <c r="AS239" s="283"/>
      <c r="AT239" s="283"/>
      <c r="AU239" s="283"/>
      <c r="AV239" s="283"/>
      <c r="AW239" s="283"/>
      <c r="AX239" s="283"/>
      <c r="AY239" s="283"/>
      <c r="AZ239" s="283"/>
      <c r="BA239" s="283"/>
      <c r="BB239" s="283"/>
      <c r="BC239" s="283"/>
      <c r="BD239" s="283"/>
      <c r="BE239" s="283"/>
      <c r="BF239" s="283"/>
      <c r="BG239" s="283"/>
      <c r="BH239" s="283"/>
      <c r="BI239" s="283"/>
      <c r="BJ239" s="283"/>
      <c r="BK239" s="283"/>
      <c r="BL239" s="283"/>
      <c r="BM239" s="283"/>
      <c r="BN239" s="283"/>
      <c r="BO239" s="283"/>
      <c r="BP239" s="283"/>
      <c r="BQ239" s="283"/>
      <c r="BR239" s="283"/>
      <c r="BS239" s="283"/>
      <c r="BT239" s="283"/>
      <c r="BU239" s="283"/>
      <c r="BV239" s="283"/>
      <c r="BW239" s="283"/>
      <c r="BX239" s="283"/>
      <c r="BY239" s="283"/>
      <c r="BZ239" s="283"/>
      <c r="CA239" s="283"/>
      <c r="CB239" s="283"/>
      <c r="CC239" s="283"/>
      <c r="CD239" s="283"/>
      <c r="CE239" s="283"/>
      <c r="CF239" s="283"/>
      <c r="CG239" s="283"/>
      <c r="CH239" s="283"/>
      <c r="CI239" s="283"/>
      <c r="CJ239" s="283"/>
      <c r="CK239" s="283"/>
      <c r="CL239" s="283"/>
      <c r="CM239" s="283"/>
      <c r="CN239" s="283"/>
      <c r="CO239" s="283"/>
      <c r="CP239" s="283"/>
      <c r="CQ239" s="283"/>
    </row>
    <row r="240" spans="1:95">
      <c r="A240" s="273"/>
      <c r="B240" s="211"/>
      <c r="C240" s="412"/>
      <c r="D240" s="414"/>
      <c r="E240" s="414"/>
      <c r="F240" s="414"/>
      <c r="G240" s="414"/>
      <c r="H240" s="414"/>
      <c r="I240" s="414"/>
      <c r="J240" s="414"/>
      <c r="K240" s="414"/>
      <c r="L240" s="414"/>
      <c r="M240" s="414"/>
      <c r="N240" s="414"/>
      <c r="O240" s="414"/>
      <c r="P240" s="414"/>
      <c r="Q240" s="414"/>
      <c r="R240" s="414"/>
      <c r="S240" s="414"/>
      <c r="T240" s="414"/>
      <c r="U240" s="414"/>
      <c r="V240" s="414"/>
      <c r="W240" s="283"/>
      <c r="X240" s="283"/>
      <c r="Y240" s="283"/>
      <c r="Z240" s="283"/>
      <c r="AA240" s="283"/>
      <c r="AB240" s="283"/>
      <c r="AC240" s="283"/>
      <c r="AD240" s="283"/>
      <c r="AE240" s="283"/>
      <c r="AF240" s="283"/>
      <c r="AG240" s="283"/>
      <c r="AH240" s="283"/>
      <c r="AI240" s="283"/>
      <c r="AJ240" s="283"/>
      <c r="AK240" s="283"/>
      <c r="AL240" s="283"/>
      <c r="AM240" s="283"/>
      <c r="AN240" s="283"/>
      <c r="AO240" s="283"/>
      <c r="AP240" s="283"/>
      <c r="AQ240" s="283"/>
      <c r="AR240" s="283"/>
      <c r="AS240" s="283"/>
      <c r="AT240" s="283"/>
      <c r="AU240" s="283"/>
      <c r="AV240" s="283"/>
      <c r="AW240" s="283"/>
      <c r="AX240" s="283"/>
      <c r="AY240" s="283"/>
      <c r="AZ240" s="283"/>
      <c r="BA240" s="283"/>
      <c r="BB240" s="283"/>
      <c r="BC240" s="283"/>
      <c r="BD240" s="283"/>
      <c r="BE240" s="283"/>
      <c r="BF240" s="283"/>
      <c r="BG240" s="283"/>
      <c r="BH240" s="283"/>
      <c r="BI240" s="283"/>
      <c r="BJ240" s="283"/>
      <c r="BK240" s="283"/>
      <c r="BL240" s="283"/>
      <c r="BM240" s="283"/>
      <c r="BN240" s="283"/>
      <c r="BO240" s="283"/>
      <c r="BP240" s="283"/>
      <c r="BQ240" s="283"/>
      <c r="BR240" s="283"/>
      <c r="BS240" s="283"/>
      <c r="BT240" s="283"/>
      <c r="BU240" s="283"/>
      <c r="BV240" s="283"/>
      <c r="BW240" s="283"/>
      <c r="BX240" s="283"/>
      <c r="BY240" s="283"/>
      <c r="BZ240" s="283"/>
      <c r="CA240" s="283"/>
      <c r="CB240" s="283"/>
      <c r="CC240" s="283"/>
      <c r="CD240" s="283"/>
      <c r="CE240" s="283"/>
      <c r="CF240" s="283"/>
      <c r="CG240" s="283"/>
      <c r="CH240" s="283"/>
      <c r="CI240" s="283"/>
      <c r="CJ240" s="283"/>
      <c r="CK240" s="283"/>
      <c r="CL240" s="283"/>
      <c r="CM240" s="283"/>
      <c r="CN240" s="283"/>
      <c r="CO240" s="283"/>
      <c r="CP240" s="283"/>
      <c r="CQ240" s="283"/>
    </row>
    <row r="241" spans="1:95">
      <c r="A241" s="273"/>
      <c r="B241" s="211"/>
      <c r="C241" s="412"/>
      <c r="D241" s="414"/>
      <c r="E241" s="414"/>
      <c r="F241" s="414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283"/>
      <c r="X241" s="283"/>
      <c r="Y241" s="283"/>
      <c r="Z241" s="283"/>
      <c r="AA241" s="283"/>
      <c r="AB241" s="283"/>
      <c r="AC241" s="283"/>
      <c r="AD241" s="283"/>
      <c r="AE241" s="283"/>
      <c r="AF241" s="283"/>
      <c r="AG241" s="283"/>
      <c r="AH241" s="283"/>
      <c r="AI241" s="283"/>
      <c r="AJ241" s="283"/>
      <c r="AK241" s="283"/>
      <c r="AL241" s="283"/>
      <c r="AM241" s="283"/>
      <c r="AN241" s="283"/>
      <c r="AO241" s="283"/>
      <c r="AP241" s="283"/>
      <c r="AQ241" s="283"/>
      <c r="AR241" s="283"/>
      <c r="AS241" s="283"/>
      <c r="AT241" s="283"/>
      <c r="AU241" s="283"/>
      <c r="AV241" s="283"/>
      <c r="AW241" s="283"/>
      <c r="AX241" s="283"/>
      <c r="AY241" s="283"/>
      <c r="AZ241" s="283"/>
      <c r="BA241" s="283"/>
      <c r="BB241" s="283"/>
      <c r="BC241" s="283"/>
      <c r="BD241" s="283"/>
      <c r="BE241" s="283"/>
      <c r="BF241" s="283"/>
      <c r="BG241" s="283"/>
      <c r="BH241" s="283"/>
      <c r="BI241" s="283"/>
      <c r="BJ241" s="283"/>
      <c r="BK241" s="283"/>
      <c r="BL241" s="283"/>
      <c r="BM241" s="283"/>
      <c r="BN241" s="283"/>
      <c r="BO241" s="283"/>
      <c r="BP241" s="283"/>
      <c r="BQ241" s="283"/>
      <c r="BR241" s="283"/>
      <c r="BS241" s="283"/>
      <c r="BT241" s="283"/>
      <c r="BU241" s="283"/>
      <c r="BV241" s="283"/>
      <c r="BW241" s="283"/>
      <c r="BX241" s="283"/>
      <c r="BY241" s="283"/>
      <c r="BZ241" s="283"/>
      <c r="CA241" s="283"/>
      <c r="CB241" s="283"/>
      <c r="CC241" s="283"/>
      <c r="CD241" s="283"/>
      <c r="CE241" s="283"/>
      <c r="CF241" s="283"/>
      <c r="CG241" s="283"/>
      <c r="CH241" s="283"/>
      <c r="CI241" s="283"/>
      <c r="CJ241" s="283"/>
      <c r="CK241" s="283"/>
      <c r="CL241" s="283"/>
      <c r="CM241" s="283"/>
      <c r="CN241" s="283"/>
      <c r="CO241" s="283"/>
      <c r="CP241" s="283"/>
      <c r="CQ241" s="283"/>
    </row>
    <row r="242" spans="1:95">
      <c r="A242" s="273"/>
      <c r="B242" s="211"/>
      <c r="C242" s="412"/>
      <c r="D242" s="414"/>
      <c r="E242" s="414"/>
      <c r="F242" s="414"/>
      <c r="G242" s="414"/>
      <c r="H242" s="414"/>
      <c r="I242" s="414"/>
      <c r="J242" s="414"/>
      <c r="K242" s="414"/>
      <c r="L242" s="414"/>
      <c r="M242" s="414"/>
      <c r="N242" s="414"/>
      <c r="O242" s="414"/>
      <c r="P242" s="414"/>
      <c r="Q242" s="414"/>
      <c r="R242" s="414"/>
      <c r="S242" s="414"/>
      <c r="T242" s="414"/>
      <c r="U242" s="414"/>
      <c r="V242" s="414"/>
      <c r="W242" s="283"/>
      <c r="X242" s="283"/>
      <c r="Y242" s="283"/>
      <c r="Z242" s="283"/>
      <c r="AA242" s="283"/>
      <c r="AB242" s="283"/>
      <c r="AC242" s="283"/>
      <c r="AD242" s="283"/>
      <c r="AE242" s="283"/>
      <c r="AF242" s="283"/>
      <c r="AG242" s="283"/>
      <c r="AH242" s="283"/>
      <c r="AI242" s="283"/>
      <c r="AJ242" s="283"/>
      <c r="AK242" s="283"/>
      <c r="AL242" s="283"/>
      <c r="AM242" s="283"/>
      <c r="AN242" s="283"/>
      <c r="AO242" s="283"/>
      <c r="AP242" s="283"/>
      <c r="AQ242" s="283"/>
      <c r="AR242" s="283"/>
      <c r="AS242" s="283"/>
      <c r="AT242" s="283"/>
      <c r="AU242" s="283"/>
      <c r="AV242" s="283"/>
      <c r="AW242" s="283"/>
      <c r="AX242" s="283"/>
      <c r="AY242" s="283"/>
      <c r="AZ242" s="283"/>
      <c r="BA242" s="283"/>
      <c r="BB242" s="283"/>
      <c r="BC242" s="283"/>
      <c r="BD242" s="283"/>
      <c r="BE242" s="283"/>
      <c r="BF242" s="283"/>
      <c r="BG242" s="283"/>
      <c r="BH242" s="283"/>
      <c r="BI242" s="283"/>
      <c r="BJ242" s="283"/>
      <c r="BK242" s="283"/>
      <c r="BL242" s="283"/>
      <c r="BM242" s="283"/>
      <c r="BN242" s="283"/>
      <c r="BO242" s="283"/>
      <c r="BP242" s="283"/>
      <c r="BQ242" s="283"/>
      <c r="BR242" s="283"/>
      <c r="BS242" s="283"/>
      <c r="BT242" s="283"/>
      <c r="BU242" s="283"/>
      <c r="BV242" s="283"/>
      <c r="BW242" s="283"/>
      <c r="BX242" s="283"/>
      <c r="BY242" s="283"/>
      <c r="BZ242" s="283"/>
      <c r="CA242" s="283"/>
      <c r="CB242" s="283"/>
      <c r="CC242" s="283"/>
      <c r="CD242" s="283"/>
      <c r="CE242" s="283"/>
      <c r="CF242" s="283"/>
      <c r="CG242" s="283"/>
      <c r="CH242" s="283"/>
      <c r="CI242" s="283"/>
      <c r="CJ242" s="283"/>
      <c r="CK242" s="283"/>
      <c r="CL242" s="283"/>
      <c r="CM242" s="283"/>
      <c r="CN242" s="283"/>
      <c r="CO242" s="283"/>
      <c r="CP242" s="283"/>
      <c r="CQ242" s="283"/>
    </row>
    <row r="243" spans="1:95">
      <c r="A243" s="273"/>
      <c r="B243" s="211"/>
      <c r="C243" s="412"/>
      <c r="D243" s="414"/>
      <c r="E243" s="414"/>
      <c r="F243" s="414"/>
      <c r="G243" s="414"/>
      <c r="H243" s="414"/>
      <c r="I243" s="414"/>
      <c r="J243" s="414"/>
      <c r="K243" s="414"/>
      <c r="L243" s="414"/>
      <c r="M243" s="414"/>
      <c r="N243" s="414"/>
      <c r="O243" s="414"/>
      <c r="P243" s="414"/>
      <c r="Q243" s="414"/>
      <c r="R243" s="414"/>
      <c r="S243" s="414"/>
      <c r="T243" s="414"/>
      <c r="U243" s="414"/>
      <c r="V243" s="414"/>
      <c r="W243" s="283"/>
      <c r="X243" s="283"/>
      <c r="Y243" s="283"/>
      <c r="Z243" s="283"/>
      <c r="AA243" s="283"/>
      <c r="AB243" s="283"/>
      <c r="AC243" s="283"/>
      <c r="AD243" s="283"/>
      <c r="AE243" s="283"/>
      <c r="AF243" s="283"/>
      <c r="AG243" s="283"/>
      <c r="AH243" s="283"/>
      <c r="AI243" s="283"/>
      <c r="AJ243" s="283"/>
      <c r="AK243" s="283"/>
      <c r="AL243" s="283"/>
      <c r="AM243" s="283"/>
      <c r="AN243" s="283"/>
      <c r="AO243" s="283"/>
      <c r="AP243" s="283"/>
      <c r="AQ243" s="283"/>
      <c r="AR243" s="283"/>
      <c r="AS243" s="283"/>
      <c r="AT243" s="283"/>
      <c r="AU243" s="283"/>
      <c r="AV243" s="283"/>
      <c r="AW243" s="283"/>
      <c r="AX243" s="283"/>
      <c r="AY243" s="283"/>
      <c r="AZ243" s="283"/>
      <c r="BA243" s="283"/>
      <c r="BB243" s="283"/>
      <c r="BC243" s="283"/>
      <c r="BD243" s="283"/>
      <c r="BE243" s="283"/>
      <c r="BF243" s="283"/>
      <c r="BG243" s="283"/>
      <c r="BH243" s="283"/>
      <c r="BI243" s="283"/>
      <c r="BJ243" s="283"/>
      <c r="BK243" s="283"/>
      <c r="BL243" s="283"/>
      <c r="BM243" s="283"/>
      <c r="BN243" s="283"/>
      <c r="BO243" s="283"/>
      <c r="BP243" s="283"/>
      <c r="BQ243" s="283"/>
      <c r="BR243" s="283"/>
      <c r="BS243" s="283"/>
      <c r="BT243" s="283"/>
      <c r="BU243" s="283"/>
      <c r="BV243" s="283"/>
      <c r="BW243" s="283"/>
      <c r="BX243" s="283"/>
      <c r="BY243" s="283"/>
      <c r="BZ243" s="283"/>
      <c r="CA243" s="283"/>
      <c r="CB243" s="283"/>
      <c r="CC243" s="283"/>
      <c r="CD243" s="283"/>
      <c r="CE243" s="283"/>
      <c r="CF243" s="283"/>
      <c r="CG243" s="283"/>
      <c r="CH243" s="283"/>
      <c r="CI243" s="283"/>
      <c r="CJ243" s="283"/>
      <c r="CK243" s="283"/>
      <c r="CL243" s="283"/>
      <c r="CM243" s="283"/>
      <c r="CN243" s="283"/>
      <c r="CO243" s="283"/>
      <c r="CP243" s="283"/>
      <c r="CQ243" s="283"/>
    </row>
    <row r="244" spans="1:95">
      <c r="A244" s="273"/>
      <c r="B244" s="211"/>
      <c r="C244" s="412"/>
      <c r="D244" s="414"/>
      <c r="E244" s="414"/>
      <c r="F244" s="414"/>
      <c r="G244" s="414"/>
      <c r="H244" s="414"/>
      <c r="I244" s="414"/>
      <c r="J244" s="414"/>
      <c r="K244" s="414"/>
      <c r="L244" s="414"/>
      <c r="M244" s="414"/>
      <c r="N244" s="414"/>
      <c r="O244" s="414"/>
      <c r="P244" s="414"/>
      <c r="Q244" s="414"/>
      <c r="R244" s="414"/>
      <c r="S244" s="414"/>
      <c r="T244" s="414"/>
      <c r="U244" s="414"/>
      <c r="V244" s="414"/>
      <c r="W244" s="283"/>
      <c r="X244" s="283"/>
      <c r="Y244" s="283"/>
      <c r="Z244" s="283"/>
      <c r="AA244" s="283"/>
      <c r="AB244" s="283"/>
      <c r="AC244" s="283"/>
      <c r="AD244" s="283"/>
      <c r="AE244" s="283"/>
      <c r="AF244" s="283"/>
      <c r="AG244" s="283"/>
      <c r="AH244" s="283"/>
      <c r="AI244" s="283"/>
      <c r="AJ244" s="283"/>
      <c r="AK244" s="283"/>
      <c r="AL244" s="283"/>
      <c r="AM244" s="283"/>
      <c r="AN244" s="283"/>
      <c r="AO244" s="283"/>
      <c r="AP244" s="283"/>
      <c r="AQ244" s="283"/>
      <c r="AR244" s="283"/>
      <c r="AS244" s="283"/>
      <c r="AT244" s="283"/>
      <c r="AU244" s="283"/>
      <c r="AV244" s="283"/>
      <c r="AW244" s="283"/>
      <c r="AX244" s="283"/>
      <c r="AY244" s="283"/>
      <c r="AZ244" s="283"/>
      <c r="BA244" s="283"/>
      <c r="BB244" s="283"/>
      <c r="BC244" s="283"/>
      <c r="BD244" s="283"/>
      <c r="BE244" s="283"/>
      <c r="BF244" s="283"/>
      <c r="BG244" s="283"/>
      <c r="BH244" s="283"/>
      <c r="BI244" s="283"/>
      <c r="BJ244" s="283"/>
      <c r="BK244" s="283"/>
      <c r="BL244" s="283"/>
      <c r="BM244" s="283"/>
      <c r="BN244" s="283"/>
      <c r="BO244" s="283"/>
      <c r="BP244" s="283"/>
      <c r="BQ244" s="283"/>
      <c r="BR244" s="283"/>
      <c r="BS244" s="283"/>
      <c r="BT244" s="283"/>
      <c r="BU244" s="283"/>
      <c r="BV244" s="283"/>
      <c r="BW244" s="283"/>
      <c r="BX244" s="283"/>
      <c r="BY244" s="283"/>
      <c r="BZ244" s="283"/>
      <c r="CA244" s="283"/>
      <c r="CB244" s="283"/>
      <c r="CC244" s="283"/>
      <c r="CD244" s="283"/>
      <c r="CE244" s="283"/>
      <c r="CF244" s="283"/>
      <c r="CG244" s="283"/>
      <c r="CH244" s="283"/>
      <c r="CI244" s="283"/>
      <c r="CJ244" s="283"/>
      <c r="CK244" s="283"/>
      <c r="CL244" s="283"/>
      <c r="CM244" s="283"/>
      <c r="CN244" s="283"/>
      <c r="CO244" s="283"/>
      <c r="CP244" s="283"/>
      <c r="CQ244" s="283"/>
    </row>
    <row r="245" spans="1:95" s="321" customFormat="1">
      <c r="B245" s="405"/>
      <c r="C245" s="406"/>
      <c r="D245" s="407"/>
      <c r="E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  <c r="V245" s="407"/>
      <c r="W245" s="407"/>
      <c r="X245" s="407"/>
      <c r="Y245" s="407"/>
      <c r="Z245" s="407"/>
      <c r="AA245" s="407"/>
      <c r="AB245" s="407"/>
      <c r="AC245" s="407"/>
      <c r="AD245" s="407"/>
      <c r="AE245" s="407"/>
      <c r="AF245" s="407"/>
      <c r="AG245" s="407"/>
      <c r="AH245" s="407"/>
      <c r="AI245" s="407"/>
      <c r="AJ245" s="407"/>
      <c r="AK245" s="407"/>
      <c r="AL245" s="407"/>
      <c r="AM245" s="407"/>
      <c r="AN245" s="407"/>
      <c r="AO245" s="407"/>
      <c r="AP245" s="407"/>
      <c r="AQ245" s="407"/>
      <c r="AR245" s="407"/>
      <c r="AS245" s="407"/>
    </row>
    <row r="246" spans="1:95" s="321" customFormat="1">
      <c r="A246" s="78" t="s">
        <v>561</v>
      </c>
      <c r="B246" s="405"/>
      <c r="C246" s="406"/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  <c r="V246" s="407"/>
      <c r="W246" s="407"/>
      <c r="X246" s="407"/>
      <c r="Y246" s="407"/>
      <c r="Z246" s="407"/>
      <c r="AA246" s="407"/>
      <c r="AB246" s="407"/>
      <c r="AC246" s="407"/>
      <c r="AD246" s="407"/>
      <c r="AE246" s="407"/>
      <c r="AF246" s="407"/>
      <c r="AG246" s="407"/>
      <c r="AH246" s="407"/>
      <c r="AI246" s="407"/>
      <c r="AJ246" s="407"/>
      <c r="AK246" s="407"/>
      <c r="AL246" s="407"/>
      <c r="AM246" s="407"/>
      <c r="AN246" s="407"/>
      <c r="AO246" s="407"/>
      <c r="AP246" s="407"/>
      <c r="AQ246" s="407"/>
      <c r="AR246" s="407"/>
      <c r="AS246" s="407"/>
    </row>
    <row r="247" spans="1:95" s="321" customFormat="1">
      <c r="A247" s="408"/>
      <c r="B247" s="405"/>
      <c r="C247" s="406"/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  <c r="V247" s="407"/>
      <c r="W247" s="407"/>
      <c r="X247" s="407"/>
      <c r="Y247" s="407"/>
      <c r="Z247" s="407"/>
      <c r="AA247" s="407"/>
      <c r="AB247" s="407"/>
      <c r="AC247" s="407"/>
      <c r="AD247" s="407"/>
      <c r="AE247" s="407"/>
      <c r="AF247" s="407"/>
      <c r="AG247" s="407"/>
      <c r="AH247" s="407"/>
      <c r="AI247" s="407"/>
      <c r="AJ247" s="407"/>
      <c r="AK247" s="407"/>
      <c r="AL247" s="407"/>
      <c r="AM247" s="407"/>
      <c r="AN247" s="407"/>
      <c r="AO247" s="407"/>
      <c r="AP247" s="407"/>
      <c r="AQ247" s="407"/>
      <c r="AR247" s="407"/>
      <c r="AS247" s="407"/>
    </row>
    <row r="248" spans="1:95">
      <c r="A248" s="139" t="s">
        <v>258</v>
      </c>
      <c r="B248" s="211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453"/>
      <c r="O248" s="453"/>
      <c r="P248" s="453"/>
      <c r="Q248" s="453"/>
      <c r="R248" s="90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  <c r="AM248" s="242"/>
      <c r="AN248" s="242"/>
      <c r="AO248" s="242"/>
      <c r="AP248" s="242"/>
      <c r="AQ248" s="242"/>
      <c r="AR248" s="242"/>
      <c r="AS248" s="242"/>
      <c r="AT248" s="242"/>
      <c r="AU248" s="242"/>
      <c r="AV248" s="242"/>
      <c r="AW248" s="242"/>
      <c r="AX248" s="242"/>
      <c r="AY248" s="242"/>
      <c r="AZ248" s="242"/>
      <c r="BA248" s="242"/>
      <c r="BB248" s="242"/>
      <c r="BC248" s="242"/>
    </row>
    <row r="249" spans="1:95">
      <c r="A249" s="285" t="s">
        <v>259</v>
      </c>
      <c r="B249" s="211" t="s">
        <v>260</v>
      </c>
      <c r="C249" s="216">
        <v>479427.65117250202</v>
      </c>
      <c r="D249" s="216">
        <v>466368.57316059002</v>
      </c>
      <c r="E249" s="216">
        <v>497554.23938701698</v>
      </c>
      <c r="F249" s="216">
        <v>513057.45549247501</v>
      </c>
      <c r="G249" s="216">
        <v>489640.67536126199</v>
      </c>
      <c r="H249" s="216">
        <v>485865.49286208901</v>
      </c>
      <c r="I249" s="216">
        <v>471193.90009964001</v>
      </c>
      <c r="J249" s="216">
        <v>423235.970839168</v>
      </c>
      <c r="K249" s="216">
        <v>380268.56518410001</v>
      </c>
      <c r="L249" s="216">
        <v>361124.79637127498</v>
      </c>
      <c r="M249" s="216">
        <v>332705.785564658</v>
      </c>
      <c r="N249" s="453">
        <v>430989</v>
      </c>
      <c r="O249" s="453">
        <v>381589</v>
      </c>
      <c r="P249" s="454">
        <v>334363</v>
      </c>
      <c r="Q249" s="454">
        <v>307158</v>
      </c>
      <c r="R249" s="454">
        <v>288556</v>
      </c>
      <c r="S249" s="454">
        <v>282664</v>
      </c>
      <c r="T249" s="454">
        <v>290724.00516181602</v>
      </c>
      <c r="U249" s="454">
        <v>312600</v>
      </c>
      <c r="V249" s="140">
        <f>(V301/U301-1)*100</f>
        <v>953604.80916339892</v>
      </c>
      <c r="W249" s="140">
        <f t="shared" ref="W249:AG249" si="472">(W301/V301-1)*100</f>
        <v>518635.88329692982</v>
      </c>
      <c r="X249" s="140">
        <f t="shared" si="472"/>
        <v>492767.51516392716</v>
      </c>
      <c r="Y249" s="140">
        <f t="shared" si="472"/>
        <v>598153.00000181061</v>
      </c>
      <c r="Z249" s="140">
        <f t="shared" si="472"/>
        <v>625642.43750000023</v>
      </c>
      <c r="AA249" s="140">
        <f t="shared" si="472"/>
        <v>597319</v>
      </c>
      <c r="AB249" s="140">
        <f t="shared" si="472"/>
        <v>645184.015625</v>
      </c>
      <c r="AC249" s="140">
        <f t="shared" si="472"/>
        <v>639531.515625</v>
      </c>
      <c r="AD249" s="140">
        <f t="shared" si="472"/>
        <v>2.0954556296763682</v>
      </c>
      <c r="AE249" s="140">
        <f t="shared" si="472"/>
        <v>-4.0301242872818115</v>
      </c>
      <c r="AF249" s="140">
        <f t="shared" si="472"/>
        <v>-4.4433613930287885</v>
      </c>
      <c r="AG249" s="140">
        <f t="shared" si="472"/>
        <v>-9.9089350347991498</v>
      </c>
      <c r="AH249" s="140">
        <f>(AH301/AG301-1)*100</f>
        <v>-9.3574473507486822</v>
      </c>
      <c r="AI249" s="140">
        <f>(AI301/AH301-1)*100</f>
        <v>-6.4397111067146078</v>
      </c>
      <c r="AJ249" s="140">
        <f>(AJ301/AI301-1)*100</f>
        <v>-2.9054728389852791</v>
      </c>
      <c r="AK249" s="140">
        <f t="shared" ref="AK249:BM249" si="473">(AK301/AJ301-1)*100</f>
        <v>-1.3033667822203054</v>
      </c>
      <c r="AL249" s="140">
        <f t="shared" si="473"/>
        <v>-1.8801111323024755</v>
      </c>
      <c r="AM249" s="140">
        <f t="shared" si="473"/>
        <v>0.12748052242328445</v>
      </c>
      <c r="AN249" s="140">
        <f t="shared" si="473"/>
        <v>-0.63197497678967318</v>
      </c>
      <c r="AO249" s="140">
        <f t="shared" si="473"/>
        <v>-1.6702961519613369</v>
      </c>
      <c r="AP249" s="140">
        <f t="shared" si="473"/>
        <v>-2.1515296396817041</v>
      </c>
      <c r="AQ249" s="140">
        <f t="shared" si="473"/>
        <v>-3.766160294631471</v>
      </c>
      <c r="AR249" s="140">
        <f t="shared" si="473"/>
        <v>-3.4036816138102721</v>
      </c>
      <c r="AS249" s="140">
        <f t="shared" si="473"/>
        <v>-3.2054957175048027</v>
      </c>
      <c r="AT249" s="140">
        <f t="shared" si="473"/>
        <v>-2.6851718530985891</v>
      </c>
      <c r="AU249" s="140">
        <f t="shared" si="473"/>
        <v>-3.1918040896020683</v>
      </c>
      <c r="AV249" s="140">
        <f t="shared" si="473"/>
        <v>-3.0616428004044627</v>
      </c>
      <c r="AW249" s="140">
        <f t="shared" si="473"/>
        <v>-2.4676453850286939</v>
      </c>
      <c r="AX249" s="140">
        <f t="shared" si="473"/>
        <v>-3.4102324981015619</v>
      </c>
      <c r="AY249" s="140">
        <f t="shared" si="473"/>
        <v>-3.046628898616377</v>
      </c>
      <c r="AZ249" s="140">
        <f t="shared" si="473"/>
        <v>-3.5652317274477152</v>
      </c>
      <c r="BA249" s="140">
        <f t="shared" si="473"/>
        <v>-2.6684350356065978</v>
      </c>
      <c r="BB249" s="140">
        <f t="shared" si="473"/>
        <v>-3.7724548996509011</v>
      </c>
      <c r="BC249" s="140">
        <f t="shared" si="473"/>
        <v>-3.6840249574075057</v>
      </c>
      <c r="BD249" s="140">
        <f t="shared" si="473"/>
        <v>-3.0670630701149504</v>
      </c>
      <c r="BE249" s="140">
        <f>(BE301/BD301-1)*100</f>
        <v>-3.6194677982736456</v>
      </c>
      <c r="BF249" s="140">
        <f>(BF301/BE301-1)*100</f>
        <v>-3.3931395082170246</v>
      </c>
      <c r="BG249" s="140">
        <f t="shared" si="473"/>
        <v>-3.8230477338225932</v>
      </c>
      <c r="BH249" s="140">
        <f t="shared" si="473"/>
        <v>-4.2246605743691994</v>
      </c>
      <c r="BI249" s="140">
        <f t="shared" si="473"/>
        <v>-4.0070595925471242</v>
      </c>
      <c r="BJ249" s="140">
        <f>(BJ301/BI301-1)*100</f>
        <v>-4.2682551467588592</v>
      </c>
      <c r="BK249" s="140">
        <f t="shared" si="473"/>
        <v>-5.3602794163566063</v>
      </c>
      <c r="BL249" s="140">
        <f>(BL301/BK301-1)*100</f>
        <v>-5.1889142346014268</v>
      </c>
      <c r="BM249" s="140">
        <f t="shared" si="473"/>
        <v>-5.5762709655198028</v>
      </c>
      <c r="BN249" s="140">
        <f>(BN301/BM301-1)*100</f>
        <v>0</v>
      </c>
      <c r="BO249" s="140">
        <f t="shared" ref="BO249:CL249" si="474">(BO301/BN301-1)*100</f>
        <v>0</v>
      </c>
      <c r="BP249" s="140">
        <f t="shared" si="474"/>
        <v>0</v>
      </c>
      <c r="BQ249" s="140">
        <f t="shared" si="474"/>
        <v>0</v>
      </c>
      <c r="BR249" s="140">
        <f t="shared" si="474"/>
        <v>0</v>
      </c>
      <c r="BS249" s="140">
        <f t="shared" si="474"/>
        <v>0</v>
      </c>
      <c r="BT249" s="140">
        <f t="shared" si="474"/>
        <v>0</v>
      </c>
      <c r="BU249" s="140">
        <f t="shared" si="474"/>
        <v>0</v>
      </c>
      <c r="BV249" s="140">
        <f>(BV301/BU301-1)*100</f>
        <v>0</v>
      </c>
      <c r="BW249" s="140">
        <f t="shared" si="474"/>
        <v>0</v>
      </c>
      <c r="BX249" s="140">
        <f t="shared" si="474"/>
        <v>0</v>
      </c>
      <c r="BY249" s="140">
        <f t="shared" si="474"/>
        <v>0</v>
      </c>
      <c r="BZ249" s="140">
        <f t="shared" si="474"/>
        <v>0</v>
      </c>
      <c r="CA249" s="140">
        <f t="shared" si="474"/>
        <v>0</v>
      </c>
      <c r="CB249" s="140">
        <f t="shared" si="474"/>
        <v>0</v>
      </c>
      <c r="CC249" s="140">
        <f t="shared" si="474"/>
        <v>0</v>
      </c>
      <c r="CD249" s="140">
        <f t="shared" si="474"/>
        <v>0</v>
      </c>
      <c r="CE249" s="140">
        <f t="shared" si="474"/>
        <v>0</v>
      </c>
      <c r="CF249" s="140">
        <f t="shared" si="474"/>
        <v>0</v>
      </c>
      <c r="CG249" s="140">
        <f t="shared" si="474"/>
        <v>0</v>
      </c>
      <c r="CH249" s="140">
        <f t="shared" si="474"/>
        <v>0</v>
      </c>
      <c r="CI249" s="140">
        <f t="shared" si="474"/>
        <v>0</v>
      </c>
      <c r="CJ249" s="140">
        <f t="shared" si="474"/>
        <v>0</v>
      </c>
      <c r="CK249" s="140">
        <f t="shared" si="474"/>
        <v>0</v>
      </c>
      <c r="CL249" s="140">
        <f t="shared" si="474"/>
        <v>0</v>
      </c>
      <c r="CM249" s="140">
        <f t="shared" ref="CM249" si="475">(CM301/CL301-1)*100</f>
        <v>0</v>
      </c>
      <c r="CN249" s="140">
        <f t="shared" ref="CN249" si="476">(CN301/CM301-1)*100</f>
        <v>0</v>
      </c>
      <c r="CO249" s="140">
        <f t="shared" ref="CO249" si="477">(CO301/CN301-1)*100</f>
        <v>0</v>
      </c>
      <c r="CP249" s="140">
        <f t="shared" ref="CP249" si="478">(CP301/CO301-1)*100</f>
        <v>0</v>
      </c>
      <c r="CQ249" s="140">
        <f t="shared" ref="CQ249" si="479">(CQ301/CP301-1)*100</f>
        <v>0</v>
      </c>
    </row>
    <row r="250" spans="1:95">
      <c r="A250" s="285" t="s">
        <v>261</v>
      </c>
      <c r="B250" s="211" t="s">
        <v>262</v>
      </c>
      <c r="C250" s="216">
        <v>74594.178713898698</v>
      </c>
      <c r="D250" s="216">
        <v>78948.702959908405</v>
      </c>
      <c r="E250" s="216">
        <v>73639.928773634107</v>
      </c>
      <c r="F250" s="216">
        <v>81720.612330288102</v>
      </c>
      <c r="G250" s="216">
        <v>103700.990080537</v>
      </c>
      <c r="H250" s="216">
        <v>114097.27179943401</v>
      </c>
      <c r="I250" s="216">
        <v>122596.041896353</v>
      </c>
      <c r="J250" s="216">
        <v>132688.152835535</v>
      </c>
      <c r="K250" s="216">
        <v>136080.64897208201</v>
      </c>
      <c r="L250" s="216">
        <v>138156.893597566</v>
      </c>
      <c r="M250" s="216">
        <v>158758.967648394</v>
      </c>
      <c r="N250" s="453">
        <v>233881</v>
      </c>
      <c r="O250" s="453">
        <v>233730</v>
      </c>
      <c r="P250" s="454">
        <v>232676</v>
      </c>
      <c r="Q250" s="454">
        <v>264478</v>
      </c>
      <c r="R250" s="454">
        <v>248778</v>
      </c>
      <c r="S250" s="454">
        <v>223625</v>
      </c>
      <c r="T250" s="454">
        <v>238925</v>
      </c>
      <c r="U250" s="454">
        <v>239892</v>
      </c>
      <c r="V250" s="140">
        <f t="shared" ref="V250:BA250" si="480">V203</f>
        <v>6.828836797877047</v>
      </c>
      <c r="W250" s="140">
        <f t="shared" si="480"/>
        <v>-2.0534901051585619</v>
      </c>
      <c r="X250" s="140">
        <f t="shared" si="480"/>
        <v>-5.7232225885535453</v>
      </c>
      <c r="Y250" s="140">
        <f t="shared" si="480"/>
        <v>-2.699067431850799</v>
      </c>
      <c r="Z250" s="140">
        <f t="shared" si="480"/>
        <v>2.7370749239701508</v>
      </c>
      <c r="AA250" s="140">
        <f t="shared" si="480"/>
        <v>8.7639038392536719</v>
      </c>
      <c r="AB250" s="140">
        <f t="shared" si="480"/>
        <v>-5.632989690721657</v>
      </c>
      <c r="AC250" s="140">
        <f t="shared" si="480"/>
        <v>7.182967969865417</v>
      </c>
      <c r="AD250" s="140">
        <f t="shared" si="480"/>
        <v>-4.7184735067357764</v>
      </c>
      <c r="AE250" s="140">
        <f t="shared" si="480"/>
        <v>1.3983889356192547</v>
      </c>
      <c r="AF250" s="140">
        <f t="shared" si="480"/>
        <v>7.1916545499206563E-3</v>
      </c>
      <c r="AG250" s="140">
        <f t="shared" si="480"/>
        <v>-3.3153819757757552</v>
      </c>
      <c r="AH250" s="140">
        <f t="shared" si="480"/>
        <v>-4.8267523286164682</v>
      </c>
      <c r="AI250" s="140">
        <f t="shared" si="480"/>
        <v>-5.2227525305595819</v>
      </c>
      <c r="AJ250" s="140">
        <f t="shared" si="480"/>
        <v>-4.655561641721162</v>
      </c>
      <c r="AK250" s="140">
        <f t="shared" si="480"/>
        <v>-6.7377258398719331</v>
      </c>
      <c r="AL250" s="140">
        <f t="shared" si="480"/>
        <v>-4.5234204548225909</v>
      </c>
      <c r="AM250" s="140">
        <f t="shared" si="480"/>
        <v>-2.962910270938679</v>
      </c>
      <c r="AN250" s="140">
        <f t="shared" si="480"/>
        <v>-2.8209488826098528</v>
      </c>
      <c r="AO250" s="140">
        <f t="shared" si="480"/>
        <v>-2.6351596881556305</v>
      </c>
      <c r="AP250" s="140">
        <f t="shared" si="480"/>
        <v>-4.1131543510877222</v>
      </c>
      <c r="AQ250" s="140">
        <f t="shared" si="480"/>
        <v>-6.4180776445808991</v>
      </c>
      <c r="AR250" s="140">
        <f t="shared" si="480"/>
        <v>-7.3923619703841652</v>
      </c>
      <c r="AS250" s="140">
        <f t="shared" si="480"/>
        <v>-5.7477126798431089</v>
      </c>
      <c r="AT250" s="140">
        <f t="shared" si="480"/>
        <v>-5.4889333361452746</v>
      </c>
      <c r="AU250" s="140">
        <f t="shared" si="480"/>
        <v>-4.3967991003851186</v>
      </c>
      <c r="AV250" s="140">
        <f t="shared" si="480"/>
        <v>-4.8151455983704512</v>
      </c>
      <c r="AW250" s="140">
        <f t="shared" si="480"/>
        <v>-5.6670281543386487</v>
      </c>
      <c r="AX250" s="140">
        <f t="shared" si="480"/>
        <v>-4.8925988042329056</v>
      </c>
      <c r="AY250" s="140">
        <f t="shared" si="480"/>
        <v>-3.9909746159385584</v>
      </c>
      <c r="AZ250" s="140">
        <f t="shared" si="480"/>
        <v>-4.0511271279182193</v>
      </c>
      <c r="BA250" s="140">
        <f t="shared" si="480"/>
        <v>-3.8957163789168026</v>
      </c>
      <c r="BB250" s="140">
        <f t="shared" ref="BB250:CL250" si="481">BB203</f>
        <v>-3.2619328104703915</v>
      </c>
      <c r="BC250" s="140">
        <f t="shared" si="481"/>
        <v>-3.9447933611554298</v>
      </c>
      <c r="BD250" s="140">
        <f t="shared" si="481"/>
        <v>0.17454718622784693</v>
      </c>
      <c r="BE250" s="140">
        <f t="shared" si="481"/>
        <v>-4.3588925397828548</v>
      </c>
      <c r="BF250" s="140">
        <f t="shared" si="481"/>
        <v>-3.8218387499231232</v>
      </c>
      <c r="BG250" s="140">
        <f t="shared" si="481"/>
        <v>-2.9557478468160925</v>
      </c>
      <c r="BH250" s="140">
        <f t="shared" si="481"/>
        <v>-1.6854548532371227</v>
      </c>
      <c r="BI250" s="140">
        <f t="shared" si="481"/>
        <v>-2.2521900397732719</v>
      </c>
      <c r="BJ250" s="140">
        <f t="shared" si="481"/>
        <v>-1.5241183967219407</v>
      </c>
      <c r="BK250" s="140">
        <f t="shared" si="481"/>
        <v>-1.255031108725424</v>
      </c>
      <c r="BL250" s="140">
        <f t="shared" si="481"/>
        <v>-1.4065566001029817</v>
      </c>
      <c r="BM250" s="140">
        <f t="shared" si="481"/>
        <v>-1.191582118396739</v>
      </c>
      <c r="BN250" s="140">
        <f t="shared" si="481"/>
        <v>-4.2435957990064939</v>
      </c>
      <c r="BO250" s="140">
        <f t="shared" si="481"/>
        <v>0</v>
      </c>
      <c r="BP250" s="140">
        <f t="shared" si="481"/>
        <v>0</v>
      </c>
      <c r="BQ250" s="140">
        <f t="shared" si="481"/>
        <v>0</v>
      </c>
      <c r="BR250" s="140">
        <f t="shared" si="481"/>
        <v>0</v>
      </c>
      <c r="BS250" s="140">
        <f t="shared" si="481"/>
        <v>0</v>
      </c>
      <c r="BT250" s="140">
        <f t="shared" si="481"/>
        <v>0</v>
      </c>
      <c r="BU250" s="140">
        <f t="shared" si="481"/>
        <v>0</v>
      </c>
      <c r="BV250" s="140">
        <f t="shared" si="481"/>
        <v>0</v>
      </c>
      <c r="BW250" s="140">
        <f t="shared" si="481"/>
        <v>0</v>
      </c>
      <c r="BX250" s="140">
        <f t="shared" si="481"/>
        <v>0</v>
      </c>
      <c r="BY250" s="140">
        <f t="shared" si="481"/>
        <v>0</v>
      </c>
      <c r="BZ250" s="140">
        <f t="shared" si="481"/>
        <v>0</v>
      </c>
      <c r="CA250" s="140">
        <f t="shared" si="481"/>
        <v>0</v>
      </c>
      <c r="CB250" s="140">
        <f t="shared" si="481"/>
        <v>0</v>
      </c>
      <c r="CC250" s="140">
        <f t="shared" si="481"/>
        <v>0</v>
      </c>
      <c r="CD250" s="140">
        <f t="shared" si="481"/>
        <v>0</v>
      </c>
      <c r="CE250" s="140">
        <f t="shared" si="481"/>
        <v>0</v>
      </c>
      <c r="CF250" s="140">
        <f t="shared" si="481"/>
        <v>0</v>
      </c>
      <c r="CG250" s="140">
        <f t="shared" si="481"/>
        <v>0</v>
      </c>
      <c r="CH250" s="140">
        <f t="shared" si="481"/>
        <v>0</v>
      </c>
      <c r="CI250" s="140">
        <f t="shared" si="481"/>
        <v>0</v>
      </c>
      <c r="CJ250" s="140">
        <f t="shared" si="481"/>
        <v>0</v>
      </c>
      <c r="CK250" s="140">
        <f t="shared" si="481"/>
        <v>0</v>
      </c>
      <c r="CL250" s="140">
        <f t="shared" si="481"/>
        <v>0</v>
      </c>
      <c r="CM250" s="140">
        <f t="shared" ref="CM250:CQ250" si="482">CM203</f>
        <v>0</v>
      </c>
      <c r="CN250" s="140">
        <f t="shared" si="482"/>
        <v>0</v>
      </c>
      <c r="CO250" s="140">
        <f t="shared" si="482"/>
        <v>0</v>
      </c>
      <c r="CP250" s="140">
        <f t="shared" si="482"/>
        <v>0</v>
      </c>
      <c r="CQ250" s="140">
        <f t="shared" si="482"/>
        <v>0</v>
      </c>
    </row>
    <row r="251" spans="1:95">
      <c r="A251" s="285" t="s">
        <v>263</v>
      </c>
      <c r="B251" s="211" t="s">
        <v>264</v>
      </c>
      <c r="C251" s="216">
        <v>5643.5284142782702</v>
      </c>
      <c r="D251" s="216">
        <v>6027.62382218521</v>
      </c>
      <c r="E251" s="216">
        <v>6159.4981960964196</v>
      </c>
      <c r="F251" s="216">
        <v>7188.7780318422401</v>
      </c>
      <c r="G251" s="216">
        <v>9224.1861972207207</v>
      </c>
      <c r="H251" s="216">
        <v>9684.0257721776306</v>
      </c>
      <c r="I251" s="216">
        <v>10617.320098861799</v>
      </c>
      <c r="J251" s="216">
        <v>11294.1094667858</v>
      </c>
      <c r="K251" s="216">
        <v>11585.107100696699</v>
      </c>
      <c r="L251" s="216">
        <v>11786.5252255338</v>
      </c>
      <c r="M251" s="216">
        <v>12436.8014715893</v>
      </c>
      <c r="N251" s="453">
        <v>11172</v>
      </c>
      <c r="O251" s="453">
        <v>11127</v>
      </c>
      <c r="P251" s="454">
        <v>10706</v>
      </c>
      <c r="Q251" s="454">
        <v>12035</v>
      </c>
      <c r="R251" s="454">
        <v>11401</v>
      </c>
      <c r="S251" s="454">
        <v>11517</v>
      </c>
      <c r="T251" s="454">
        <v>12320</v>
      </c>
      <c r="U251" s="454">
        <v>12302</v>
      </c>
      <c r="V251" s="282">
        <f t="shared" ref="V251:AI251" si="483">V117</f>
        <v>0</v>
      </c>
      <c r="W251" s="282">
        <f t="shared" si="483"/>
        <v>0</v>
      </c>
      <c r="X251" s="282">
        <f t="shared" si="483"/>
        <v>0</v>
      </c>
      <c r="Y251" s="282">
        <f t="shared" si="483"/>
        <v>0</v>
      </c>
      <c r="Z251" s="282">
        <f t="shared" si="483"/>
        <v>0</v>
      </c>
      <c r="AA251" s="282">
        <f t="shared" si="483"/>
        <v>0</v>
      </c>
      <c r="AB251" s="282">
        <f t="shared" si="483"/>
        <v>0</v>
      </c>
      <c r="AC251" s="282">
        <f t="shared" si="483"/>
        <v>0</v>
      </c>
      <c r="AD251" s="282">
        <f t="shared" si="483"/>
        <v>0</v>
      </c>
      <c r="AE251" s="282">
        <f t="shared" si="483"/>
        <v>0</v>
      </c>
      <c r="AF251" s="282">
        <f t="shared" si="483"/>
        <v>0</v>
      </c>
      <c r="AG251" s="282">
        <f t="shared" si="483"/>
        <v>0</v>
      </c>
      <c r="AH251" s="282">
        <f t="shared" si="483"/>
        <v>0</v>
      </c>
      <c r="AI251" s="282">
        <f t="shared" si="483"/>
        <v>0</v>
      </c>
      <c r="AJ251" s="282">
        <v>0</v>
      </c>
      <c r="AK251" s="282">
        <v>0</v>
      </c>
      <c r="AL251" s="282">
        <v>0</v>
      </c>
      <c r="AM251" s="282">
        <v>0</v>
      </c>
      <c r="AN251" s="282">
        <v>0</v>
      </c>
      <c r="AO251" s="282">
        <v>0</v>
      </c>
      <c r="AP251" s="282">
        <v>0</v>
      </c>
      <c r="AQ251" s="282">
        <v>0</v>
      </c>
      <c r="AR251" s="282">
        <v>0</v>
      </c>
      <c r="AS251" s="282">
        <v>0</v>
      </c>
      <c r="AT251" s="282">
        <v>0</v>
      </c>
      <c r="AU251" s="282">
        <v>0</v>
      </c>
      <c r="AV251" s="282">
        <v>0</v>
      </c>
      <c r="AW251" s="282">
        <v>0</v>
      </c>
      <c r="AX251" s="282">
        <v>0</v>
      </c>
      <c r="AY251" s="282">
        <v>0</v>
      </c>
      <c r="AZ251" s="282">
        <v>0</v>
      </c>
      <c r="BA251" s="282">
        <v>0</v>
      </c>
      <c r="BB251" s="282">
        <v>0</v>
      </c>
      <c r="BC251" s="282">
        <v>0</v>
      </c>
      <c r="BD251" s="282">
        <v>0</v>
      </c>
      <c r="BE251" s="282">
        <v>0</v>
      </c>
      <c r="BF251" s="282">
        <v>0</v>
      </c>
      <c r="BG251" s="282">
        <v>0</v>
      </c>
      <c r="BH251" s="282">
        <v>0</v>
      </c>
      <c r="BI251" s="282">
        <v>0</v>
      </c>
      <c r="BJ251" s="282">
        <v>0</v>
      </c>
      <c r="BK251" s="282">
        <v>0</v>
      </c>
      <c r="BL251" s="282">
        <v>0</v>
      </c>
      <c r="BM251" s="282">
        <v>0</v>
      </c>
      <c r="BN251" s="282">
        <v>0</v>
      </c>
      <c r="BO251" s="282">
        <v>0</v>
      </c>
      <c r="BP251" s="282">
        <v>0</v>
      </c>
      <c r="BQ251" s="282">
        <v>0</v>
      </c>
      <c r="BR251" s="282">
        <v>0</v>
      </c>
      <c r="BS251" s="282">
        <v>0</v>
      </c>
      <c r="BT251" s="282">
        <v>0</v>
      </c>
      <c r="BU251" s="282">
        <v>0</v>
      </c>
      <c r="BV251" s="282">
        <v>0</v>
      </c>
      <c r="BW251" s="282">
        <v>0</v>
      </c>
      <c r="BX251" s="282">
        <v>0</v>
      </c>
      <c r="BY251" s="282">
        <v>0</v>
      </c>
      <c r="BZ251" s="282">
        <v>0</v>
      </c>
      <c r="CA251" s="282">
        <v>0</v>
      </c>
      <c r="CB251" s="282">
        <v>0</v>
      </c>
      <c r="CC251" s="282">
        <v>0</v>
      </c>
      <c r="CD251" s="282">
        <v>0</v>
      </c>
      <c r="CE251" s="282">
        <v>0</v>
      </c>
      <c r="CF251" s="282">
        <v>0</v>
      </c>
      <c r="CG251" s="282">
        <v>0</v>
      </c>
      <c r="CH251" s="282">
        <v>0</v>
      </c>
      <c r="CI251" s="282">
        <v>0</v>
      </c>
      <c r="CJ251" s="282">
        <v>0</v>
      </c>
      <c r="CK251" s="282">
        <v>0</v>
      </c>
      <c r="CL251" s="282">
        <v>0</v>
      </c>
      <c r="CM251" s="282">
        <v>0</v>
      </c>
      <c r="CN251" s="282">
        <v>0</v>
      </c>
      <c r="CO251" s="282">
        <v>0</v>
      </c>
      <c r="CP251" s="282">
        <v>0</v>
      </c>
      <c r="CQ251" s="282">
        <v>0</v>
      </c>
    </row>
    <row r="252" spans="1:95">
      <c r="A252" s="285"/>
      <c r="B252" s="211"/>
      <c r="C252" s="216"/>
      <c r="D252" s="216"/>
      <c r="E252" s="216"/>
      <c r="F252" s="229"/>
      <c r="G252" s="229"/>
      <c r="H252" s="229"/>
      <c r="I252" s="229"/>
      <c r="J252" s="229"/>
      <c r="K252" s="229"/>
      <c r="L252" s="229"/>
      <c r="M252" s="229"/>
      <c r="N252" s="453"/>
      <c r="O252" s="453"/>
      <c r="P252" s="453"/>
      <c r="Q252" s="453"/>
      <c r="S252" s="283"/>
      <c r="T252" s="283"/>
      <c r="U252" s="283"/>
      <c r="V252" s="283"/>
      <c r="W252" s="283"/>
      <c r="X252" s="283"/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3"/>
      <c r="AL252" s="283"/>
      <c r="AM252" s="283"/>
      <c r="AN252" s="283"/>
      <c r="AO252" s="283"/>
      <c r="AP252" s="283"/>
      <c r="AQ252" s="283"/>
      <c r="AR252" s="283"/>
      <c r="AS252" s="283"/>
      <c r="AT252" s="283"/>
      <c r="AU252" s="283"/>
      <c r="AV252" s="283"/>
      <c r="AW252" s="283"/>
      <c r="AX252" s="283"/>
      <c r="AY252" s="283"/>
      <c r="AZ252" s="283"/>
      <c r="BA252" s="283"/>
      <c r="BB252" s="283"/>
      <c r="BC252" s="283"/>
    </row>
    <row r="253" spans="1:95">
      <c r="A253" s="139" t="s">
        <v>265</v>
      </c>
      <c r="B253" s="211"/>
      <c r="C253" s="216"/>
      <c r="D253" s="216"/>
      <c r="E253" s="216"/>
      <c r="F253" s="229"/>
      <c r="G253" s="229"/>
      <c r="H253" s="229"/>
      <c r="I253" s="229"/>
      <c r="J253" s="229"/>
      <c r="K253" s="229"/>
      <c r="L253" s="229"/>
      <c r="M253" s="229"/>
      <c r="N253" s="453"/>
      <c r="O253" s="453"/>
      <c r="P253" s="453"/>
      <c r="Q253" s="453"/>
      <c r="S253" s="283" t="s">
        <v>479</v>
      </c>
      <c r="T253" s="283"/>
      <c r="U253" s="283"/>
      <c r="V253" s="283"/>
      <c r="W253" s="283"/>
      <c r="X253" s="283"/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3"/>
      <c r="AL253" s="283"/>
      <c r="AM253" s="283"/>
      <c r="AN253" s="283"/>
      <c r="AO253" s="283"/>
      <c r="AP253" s="283"/>
      <c r="AQ253" s="283"/>
      <c r="AR253" s="283"/>
      <c r="AS253" s="283"/>
      <c r="AT253" s="283"/>
      <c r="AU253" s="283"/>
      <c r="AV253" s="283"/>
      <c r="AW253" s="283"/>
      <c r="AX253" s="283"/>
      <c r="AY253" s="283"/>
      <c r="AZ253" s="283"/>
      <c r="BA253" s="283"/>
      <c r="BB253" s="283"/>
      <c r="BC253" s="283"/>
    </row>
    <row r="254" spans="1:95">
      <c r="A254" s="273" t="s">
        <v>266</v>
      </c>
      <c r="B254" s="211" t="s">
        <v>267</v>
      </c>
      <c r="C254" s="216">
        <v>-1003.25228674096</v>
      </c>
      <c r="D254" s="216">
        <v>1332.2260194754899</v>
      </c>
      <c r="E254" s="216">
        <v>2215.5301353578802</v>
      </c>
      <c r="F254" s="216">
        <v>4679.2560188555699</v>
      </c>
      <c r="G254" s="216">
        <v>-2436.54439873713</v>
      </c>
      <c r="H254" s="216">
        <v>-1056.70042211345</v>
      </c>
      <c r="I254" s="216">
        <v>22455.135821612501</v>
      </c>
      <c r="J254" s="216">
        <v>19621.225296683398</v>
      </c>
      <c r="K254" s="216">
        <v>-1064.76069587436</v>
      </c>
      <c r="L254" s="216">
        <v>6409.83189780472</v>
      </c>
      <c r="M254" s="216">
        <v>6256.4954636313296</v>
      </c>
      <c r="N254" s="453">
        <v>-4337.8072512158697</v>
      </c>
      <c r="O254" s="453">
        <v>745.96148390350299</v>
      </c>
      <c r="P254" s="454">
        <v>3936.5789733422698</v>
      </c>
      <c r="Q254" s="454">
        <v>-1163.8900000000001</v>
      </c>
      <c r="R254" s="454">
        <v>5675.9218684986899</v>
      </c>
      <c r="S254" s="454">
        <v>9813</v>
      </c>
      <c r="T254" s="286">
        <v>0</v>
      </c>
      <c r="U254" s="286">
        <v>0</v>
      </c>
      <c r="V254" s="286">
        <v>0</v>
      </c>
      <c r="W254" s="286">
        <v>0</v>
      </c>
      <c r="X254" s="286">
        <v>0</v>
      </c>
      <c r="Y254" s="286">
        <v>0</v>
      </c>
      <c r="Z254" s="286">
        <v>0</v>
      </c>
      <c r="AA254" s="286">
        <v>0</v>
      </c>
      <c r="AB254" s="286">
        <v>0</v>
      </c>
      <c r="AC254" s="286">
        <v>0</v>
      </c>
      <c r="AD254" s="286">
        <v>0</v>
      </c>
      <c r="AE254" s="286">
        <v>0</v>
      </c>
      <c r="AF254" s="286">
        <v>0</v>
      </c>
      <c r="AG254" s="286">
        <v>0</v>
      </c>
      <c r="AH254" s="286">
        <v>0</v>
      </c>
      <c r="AI254" s="286">
        <v>0</v>
      </c>
      <c r="AJ254" s="286">
        <v>0</v>
      </c>
      <c r="AK254" s="286">
        <v>0</v>
      </c>
      <c r="AL254" s="286">
        <v>0</v>
      </c>
      <c r="AM254" s="286">
        <v>0</v>
      </c>
      <c r="AN254" s="286">
        <v>0</v>
      </c>
      <c r="AO254" s="286">
        <v>0</v>
      </c>
      <c r="AP254" s="286">
        <v>0</v>
      </c>
      <c r="AQ254" s="286">
        <v>0</v>
      </c>
      <c r="AR254" s="286">
        <v>0</v>
      </c>
      <c r="AS254" s="286">
        <v>0</v>
      </c>
      <c r="AT254" s="286">
        <v>0</v>
      </c>
      <c r="AU254" s="286">
        <v>0</v>
      </c>
      <c r="AV254" s="286">
        <v>0</v>
      </c>
      <c r="AW254" s="286">
        <v>0</v>
      </c>
      <c r="AX254" s="286">
        <v>0</v>
      </c>
      <c r="AY254" s="286">
        <v>0</v>
      </c>
      <c r="AZ254" s="286">
        <v>0</v>
      </c>
      <c r="BA254" s="286">
        <v>0</v>
      </c>
      <c r="BB254" s="286">
        <v>0</v>
      </c>
      <c r="BC254" s="286">
        <v>0</v>
      </c>
      <c r="BD254" s="286">
        <v>0</v>
      </c>
      <c r="BE254" s="286">
        <v>0</v>
      </c>
      <c r="BF254" s="286">
        <v>0</v>
      </c>
      <c r="BG254" s="286">
        <v>0</v>
      </c>
      <c r="BH254" s="286">
        <v>0</v>
      </c>
      <c r="BI254" s="286">
        <v>0</v>
      </c>
      <c r="BJ254" s="286">
        <v>0</v>
      </c>
      <c r="BK254" s="286">
        <v>0</v>
      </c>
      <c r="BL254" s="286">
        <v>0</v>
      </c>
      <c r="BM254" s="286">
        <v>0</v>
      </c>
      <c r="BN254" s="286">
        <v>0</v>
      </c>
      <c r="BO254" s="286">
        <v>0</v>
      </c>
      <c r="BP254" s="286">
        <v>0</v>
      </c>
      <c r="BQ254" s="286">
        <v>0</v>
      </c>
      <c r="BR254" s="286">
        <v>0</v>
      </c>
      <c r="BS254" s="286">
        <v>0</v>
      </c>
      <c r="BT254" s="286">
        <v>0</v>
      </c>
      <c r="BU254" s="286">
        <v>0</v>
      </c>
      <c r="BV254" s="286">
        <v>0</v>
      </c>
      <c r="BW254" s="286">
        <v>0</v>
      </c>
      <c r="BX254" s="286">
        <v>0</v>
      </c>
      <c r="BY254" s="286">
        <v>0</v>
      </c>
      <c r="BZ254" s="286">
        <v>0</v>
      </c>
      <c r="CA254" s="286">
        <v>0</v>
      </c>
      <c r="CB254" s="286">
        <v>0</v>
      </c>
      <c r="CC254" s="286">
        <v>0</v>
      </c>
      <c r="CD254" s="286">
        <v>0</v>
      </c>
      <c r="CE254" s="286">
        <v>0</v>
      </c>
      <c r="CF254" s="286">
        <v>0</v>
      </c>
      <c r="CG254" s="286">
        <v>0</v>
      </c>
      <c r="CH254" s="286">
        <v>0</v>
      </c>
      <c r="CI254" s="286">
        <v>0</v>
      </c>
      <c r="CJ254" s="286">
        <v>0</v>
      </c>
      <c r="CK254" s="286">
        <v>0</v>
      </c>
      <c r="CL254" s="286">
        <v>0</v>
      </c>
      <c r="CM254" s="286">
        <v>0</v>
      </c>
      <c r="CN254" s="286">
        <v>0</v>
      </c>
      <c r="CO254" s="286">
        <v>0</v>
      </c>
      <c r="CP254" s="286">
        <v>0</v>
      </c>
      <c r="CQ254" s="286">
        <v>0</v>
      </c>
    </row>
    <row r="255" spans="1:95">
      <c r="A255" s="273"/>
      <c r="B255" s="211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  <c r="AC255" s="284"/>
      <c r="AD255" s="284"/>
      <c r="AE255" s="284"/>
      <c r="AF255" s="284"/>
      <c r="AG255" s="284"/>
      <c r="AH255" s="284"/>
      <c r="AI255" s="284"/>
      <c r="AJ255" s="284"/>
      <c r="AK255" s="284"/>
      <c r="AL255" s="284"/>
      <c r="AM255" s="284"/>
      <c r="AN255" s="284"/>
      <c r="AO255" s="284"/>
      <c r="AP255" s="284"/>
      <c r="AQ255" s="284"/>
      <c r="AR255" s="284"/>
      <c r="AS255" s="284"/>
      <c r="AT255" s="284"/>
      <c r="AU255" s="284"/>
      <c r="AV255" s="284"/>
      <c r="AW255" s="284"/>
      <c r="AX255" s="284"/>
      <c r="AY255" s="284"/>
      <c r="AZ255" s="284"/>
      <c r="BA255" s="284"/>
      <c r="BB255" s="284"/>
      <c r="BC255" s="284"/>
    </row>
    <row r="256" spans="1:95">
      <c r="A256" s="139" t="s">
        <v>268</v>
      </c>
      <c r="B256" s="24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79" t="s">
        <v>483</v>
      </c>
      <c r="S256" s="242"/>
      <c r="T256" s="242"/>
      <c r="U256" s="242"/>
      <c r="V256" s="242"/>
      <c r="W256" s="242"/>
      <c r="X256" s="242"/>
      <c r="Y256" s="242"/>
      <c r="Z256" s="242"/>
      <c r="AA256" s="242"/>
      <c r="AB256" s="242"/>
      <c r="AC256" s="242"/>
      <c r="AD256" s="242"/>
      <c r="AE256" s="242"/>
      <c r="AF256" s="242"/>
      <c r="AG256" s="242"/>
      <c r="AH256" s="242"/>
      <c r="AI256" s="242"/>
      <c r="AJ256" s="242"/>
      <c r="AK256" s="242"/>
      <c r="AL256" s="242"/>
      <c r="AM256" s="242"/>
      <c r="AN256" s="242"/>
      <c r="AO256" s="242"/>
      <c r="AP256" s="242"/>
      <c r="AQ256" s="242"/>
      <c r="AR256" s="242"/>
      <c r="AS256" s="242"/>
      <c r="AT256" s="242"/>
      <c r="AU256" s="242"/>
      <c r="AV256" s="242"/>
      <c r="AW256" s="242"/>
      <c r="AX256" s="242"/>
      <c r="AY256" s="242"/>
      <c r="AZ256" s="242"/>
      <c r="BA256" s="242"/>
      <c r="BB256" s="242"/>
      <c r="BC256" s="242"/>
    </row>
    <row r="257" spans="1:95">
      <c r="A257" s="285" t="s">
        <v>269</v>
      </c>
      <c r="B257" s="211" t="s">
        <v>270</v>
      </c>
      <c r="C257" s="228">
        <v>0.189982784233</v>
      </c>
      <c r="D257" s="228">
        <v>0.28663809634800003</v>
      </c>
      <c r="E257" s="228">
        <v>0.52021464096799996</v>
      </c>
      <c r="F257" s="228">
        <v>0.45744974075099998</v>
      </c>
      <c r="G257" s="228">
        <v>0.40421886898999998</v>
      </c>
      <c r="H257" s="228">
        <v>0.42456194777400003</v>
      </c>
      <c r="I257" s="228">
        <v>0.52794189388299995</v>
      </c>
      <c r="J257" s="228">
        <v>0.71884721754500003</v>
      </c>
      <c r="K257" s="228">
        <v>0.85928743503500005</v>
      </c>
      <c r="L257" s="228">
        <v>0.87775750429300003</v>
      </c>
      <c r="M257" s="228">
        <v>1.1127158470380001</v>
      </c>
      <c r="N257" s="458" t="s">
        <v>469</v>
      </c>
      <c r="O257" s="458">
        <v>0.74250000000000005</v>
      </c>
      <c r="P257" s="458">
        <v>0.96079999999999999</v>
      </c>
      <c r="Q257" s="458">
        <v>0.99890000000000001</v>
      </c>
      <c r="R257" s="458">
        <v>1.0643109558940971</v>
      </c>
      <c r="S257" s="458">
        <v>1.0034354535768477</v>
      </c>
      <c r="T257" s="458">
        <v>0.67840853377672927</v>
      </c>
      <c r="U257" s="458">
        <v>0.59459959022539399</v>
      </c>
      <c r="V257" s="141">
        <f t="shared" ref="V257:BA257" si="484">V47</f>
        <v>19.261213720316618</v>
      </c>
      <c r="W257" s="141">
        <f t="shared" si="484"/>
        <v>28.98230088495577</v>
      </c>
      <c r="X257" s="141">
        <f t="shared" si="484"/>
        <v>-3.2590051457975999</v>
      </c>
      <c r="Y257" s="141">
        <f t="shared" si="484"/>
        <v>-27.836879432624116</v>
      </c>
      <c r="Z257" s="141">
        <f t="shared" si="484"/>
        <v>49.631449631449634</v>
      </c>
      <c r="AA257" s="141">
        <f t="shared" si="484"/>
        <v>56.157635467980292</v>
      </c>
      <c r="AB257" s="141">
        <f t="shared" si="484"/>
        <v>-8.8328075709779181</v>
      </c>
      <c r="AC257" s="141">
        <f t="shared" si="484"/>
        <v>-1.2687427912341231</v>
      </c>
      <c r="AD257" s="141">
        <f t="shared" si="484"/>
        <v>-15.41896957567257</v>
      </c>
      <c r="AE257" s="141">
        <f t="shared" si="484"/>
        <v>-6.8394230936815736</v>
      </c>
      <c r="AF257" s="141">
        <f t="shared" si="484"/>
        <v>-7.8719496195178706E-2</v>
      </c>
      <c r="AG257" s="141">
        <f t="shared" si="484"/>
        <v>0.56147458983590859</v>
      </c>
      <c r="AH257" s="141">
        <f t="shared" si="484"/>
        <v>0.45885820162405722</v>
      </c>
      <c r="AI257" s="141">
        <f t="shared" si="484"/>
        <v>6.5605426682857626E-2</v>
      </c>
      <c r="AJ257" s="141">
        <f t="shared" si="484"/>
        <v>4.7532946740214577</v>
      </c>
      <c r="AK257" s="141">
        <f t="shared" si="484"/>
        <v>4.6809281524186952</v>
      </c>
      <c r="AL257" s="141">
        <f t="shared" si="484"/>
        <v>4.6122683126055719</v>
      </c>
      <c r="AM257" s="141">
        <f t="shared" si="484"/>
        <v>4.5470374764224664</v>
      </c>
      <c r="AN257" s="141">
        <f t="shared" si="484"/>
        <v>4.4851818804160892</v>
      </c>
      <c r="AO257" s="141">
        <f t="shared" si="484"/>
        <v>2.0000000000000018</v>
      </c>
      <c r="AP257" s="141">
        <f t="shared" si="484"/>
        <v>1.9999999999999796</v>
      </c>
      <c r="AQ257" s="141">
        <f t="shared" si="484"/>
        <v>2.0000000000000018</v>
      </c>
      <c r="AR257" s="141">
        <f t="shared" si="484"/>
        <v>2.0000000000000018</v>
      </c>
      <c r="AS257" s="141">
        <f t="shared" si="484"/>
        <v>1.9999999999999796</v>
      </c>
      <c r="AT257" s="141">
        <f t="shared" si="484"/>
        <v>2.0000000000000018</v>
      </c>
      <c r="AU257" s="141">
        <f t="shared" si="484"/>
        <v>2.0000000000000018</v>
      </c>
      <c r="AV257" s="141">
        <f t="shared" si="484"/>
        <v>2.000000000000024</v>
      </c>
      <c r="AW257" s="141">
        <f t="shared" si="484"/>
        <v>1.9999999999999796</v>
      </c>
      <c r="AX257" s="141">
        <f t="shared" si="484"/>
        <v>1.9999999999999796</v>
      </c>
      <c r="AY257" s="141">
        <f t="shared" si="484"/>
        <v>2.000000000000024</v>
      </c>
      <c r="AZ257" s="141">
        <f t="shared" si="484"/>
        <v>2.0000000000000018</v>
      </c>
      <c r="BA257" s="141">
        <f t="shared" si="484"/>
        <v>1.9999999999999796</v>
      </c>
      <c r="BB257" s="141">
        <f t="shared" ref="BB257:CL257" si="485">BB47</f>
        <v>2.000000000000024</v>
      </c>
      <c r="BC257" s="141">
        <f t="shared" si="485"/>
        <v>2.0000000000000018</v>
      </c>
      <c r="BD257" s="141">
        <f t="shared" si="485"/>
        <v>1.9999999999999796</v>
      </c>
      <c r="BE257" s="141">
        <f t="shared" si="485"/>
        <v>2.0000000000000018</v>
      </c>
      <c r="BF257" s="141">
        <f t="shared" si="485"/>
        <v>2.000000000000024</v>
      </c>
      <c r="BG257" s="141">
        <f t="shared" si="485"/>
        <v>2.0000000000000018</v>
      </c>
      <c r="BH257" s="141">
        <f t="shared" si="485"/>
        <v>2.0000000000000018</v>
      </c>
      <c r="BI257" s="141">
        <f t="shared" si="485"/>
        <v>2.0000000000000018</v>
      </c>
      <c r="BJ257" s="141">
        <f t="shared" si="485"/>
        <v>2.0000000000000018</v>
      </c>
      <c r="BK257" s="141">
        <f t="shared" si="485"/>
        <v>2.0000000000000018</v>
      </c>
      <c r="BL257" s="141">
        <f t="shared" si="485"/>
        <v>2.000000000000024</v>
      </c>
      <c r="BM257" s="141">
        <f t="shared" si="485"/>
        <v>1.9999999999999574</v>
      </c>
      <c r="BN257" s="141">
        <f t="shared" si="485"/>
        <v>2.0000000000000018</v>
      </c>
      <c r="BO257" s="141">
        <f t="shared" si="485"/>
        <v>2.0000000000000018</v>
      </c>
      <c r="BP257" s="141">
        <f t="shared" si="485"/>
        <v>2.000000000000024</v>
      </c>
      <c r="BQ257" s="141">
        <f t="shared" si="485"/>
        <v>1.9999999999999796</v>
      </c>
      <c r="BR257" s="141">
        <f t="shared" si="485"/>
        <v>2.0000000000000018</v>
      </c>
      <c r="BS257" s="141">
        <f t="shared" si="485"/>
        <v>2.0000000000000018</v>
      </c>
      <c r="BT257" s="141">
        <f t="shared" si="485"/>
        <v>1.9999999999999796</v>
      </c>
      <c r="BU257" s="141">
        <f t="shared" si="485"/>
        <v>2.000000000000024</v>
      </c>
      <c r="BV257" s="141">
        <f t="shared" si="485"/>
        <v>2.0000000000000018</v>
      </c>
      <c r="BW257" s="141">
        <f t="shared" si="485"/>
        <v>1.9999999999999796</v>
      </c>
      <c r="BX257" s="141">
        <f t="shared" si="485"/>
        <v>2.0000000000000018</v>
      </c>
      <c r="BY257" s="141">
        <f t="shared" si="485"/>
        <v>2.0000000000000018</v>
      </c>
      <c r="BZ257" s="141">
        <f t="shared" si="485"/>
        <v>2.0000000000000018</v>
      </c>
      <c r="CA257" s="141">
        <f t="shared" si="485"/>
        <v>2.0000000000000018</v>
      </c>
      <c r="CB257" s="141">
        <f t="shared" si="485"/>
        <v>2.0000000000000018</v>
      </c>
      <c r="CC257" s="141">
        <f t="shared" si="485"/>
        <v>2.0000000000000018</v>
      </c>
      <c r="CD257" s="141">
        <f t="shared" si="485"/>
        <v>2.0000000000000018</v>
      </c>
      <c r="CE257" s="141">
        <f t="shared" si="485"/>
        <v>2.0000000000000018</v>
      </c>
      <c r="CF257" s="141">
        <f t="shared" si="485"/>
        <v>2.0000000000000018</v>
      </c>
      <c r="CG257" s="141">
        <f t="shared" si="485"/>
        <v>2.0000000000000018</v>
      </c>
      <c r="CH257" s="141">
        <f t="shared" si="485"/>
        <v>2.0000000000000018</v>
      </c>
      <c r="CI257" s="141">
        <f t="shared" si="485"/>
        <v>2.0000000000000018</v>
      </c>
      <c r="CJ257" s="141">
        <f t="shared" si="485"/>
        <v>2.0000000000000018</v>
      </c>
      <c r="CK257" s="141">
        <f t="shared" si="485"/>
        <v>2.0000000000000018</v>
      </c>
      <c r="CL257" s="141">
        <f t="shared" si="485"/>
        <v>2.0000000000000018</v>
      </c>
      <c r="CM257" s="141">
        <f t="shared" ref="CM257:CQ257" si="486">CM47</f>
        <v>2.0000000000000018</v>
      </c>
      <c r="CN257" s="141">
        <f t="shared" si="486"/>
        <v>2.000000000000024</v>
      </c>
      <c r="CO257" s="141">
        <f t="shared" si="486"/>
        <v>1.9999999999999796</v>
      </c>
      <c r="CP257" s="141">
        <f t="shared" si="486"/>
        <v>2.0000000000000018</v>
      </c>
      <c r="CQ257" s="141">
        <f t="shared" si="486"/>
        <v>2.0000000000000018</v>
      </c>
    </row>
    <row r="258" spans="1:95">
      <c r="A258" s="242"/>
      <c r="B258" s="242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458"/>
      <c r="O258" s="458"/>
      <c r="P258" s="458"/>
      <c r="Q258" s="458"/>
      <c r="R258" s="458"/>
      <c r="S258" s="458"/>
      <c r="T258" s="281"/>
      <c r="U258" s="281"/>
      <c r="V258" s="281"/>
      <c r="W258" s="281"/>
      <c r="X258" s="281"/>
      <c r="Y258" s="281"/>
      <c r="Z258" s="281"/>
      <c r="AA258" s="281"/>
      <c r="AB258" s="281"/>
      <c r="AC258" s="281"/>
      <c r="AD258" s="281"/>
      <c r="AE258" s="281"/>
      <c r="AF258" s="281"/>
      <c r="AG258" s="281"/>
      <c r="AH258" s="281"/>
      <c r="AI258" s="281"/>
      <c r="AJ258" s="281"/>
      <c r="AK258" s="281"/>
      <c r="AL258" s="281"/>
      <c r="AM258" s="281"/>
      <c r="AN258" s="281"/>
      <c r="AO258" s="281"/>
      <c r="AP258" s="281"/>
      <c r="AQ258" s="281"/>
      <c r="AR258" s="281"/>
      <c r="AS258" s="281"/>
      <c r="AT258" s="281"/>
      <c r="AU258" s="281"/>
      <c r="AV258" s="281"/>
      <c r="AW258" s="281"/>
      <c r="AX258" s="281"/>
      <c r="AY258" s="281"/>
      <c r="AZ258" s="281"/>
      <c r="BA258" s="281"/>
      <c r="BB258" s="281"/>
      <c r="BC258" s="281"/>
    </row>
    <row r="259" spans="1:95">
      <c r="A259" s="285" t="s">
        <v>271</v>
      </c>
      <c r="B259" s="211" t="s">
        <v>444</v>
      </c>
      <c r="C259" s="228">
        <v>0.19417581245500001</v>
      </c>
      <c r="D259" s="228">
        <v>0.28110807920399999</v>
      </c>
      <c r="E259" s="228">
        <v>0.50343141601399999</v>
      </c>
      <c r="F259" s="228">
        <v>0.43391769332699998</v>
      </c>
      <c r="G259" s="228">
        <v>0.40708606888999999</v>
      </c>
      <c r="H259" s="228">
        <v>0.43840038171700002</v>
      </c>
      <c r="I259" s="228">
        <v>0.53948378131300001</v>
      </c>
      <c r="J259" s="228">
        <v>0.71312227940899997</v>
      </c>
      <c r="K259" s="228">
        <v>0.80092977247599995</v>
      </c>
      <c r="L259" s="228">
        <v>0.880187434973</v>
      </c>
      <c r="M259" s="228">
        <v>0.99647802146300002</v>
      </c>
      <c r="N259" s="458">
        <v>0.61519999999999997</v>
      </c>
      <c r="O259" s="458">
        <v>0.73140000000000005</v>
      </c>
      <c r="P259" s="458">
        <v>0.95369999999999999</v>
      </c>
      <c r="Q259" s="458">
        <v>1.0071000000000001</v>
      </c>
      <c r="R259" s="458">
        <v>1.0100530067510001</v>
      </c>
      <c r="S259" s="458">
        <v>1</v>
      </c>
      <c r="T259" s="284">
        <v>0.64759427685600002</v>
      </c>
      <c r="U259" s="284">
        <v>0.580854176577</v>
      </c>
      <c r="V259" s="284">
        <f t="shared" ref="V259:BB259" si="487">V257</f>
        <v>19.261213720316618</v>
      </c>
      <c r="W259" s="284">
        <f t="shared" si="487"/>
        <v>28.98230088495577</v>
      </c>
      <c r="X259" s="284">
        <f t="shared" si="487"/>
        <v>-3.2590051457975999</v>
      </c>
      <c r="Y259" s="284">
        <f t="shared" si="487"/>
        <v>-27.836879432624116</v>
      </c>
      <c r="Z259" s="284">
        <f t="shared" si="487"/>
        <v>49.631449631449634</v>
      </c>
      <c r="AA259" s="284">
        <f t="shared" si="487"/>
        <v>56.157635467980292</v>
      </c>
      <c r="AB259" s="284">
        <f t="shared" si="487"/>
        <v>-8.8328075709779181</v>
      </c>
      <c r="AC259" s="284">
        <f t="shared" si="487"/>
        <v>-1.2687427912341231</v>
      </c>
      <c r="AD259" s="284">
        <f t="shared" si="487"/>
        <v>-15.41896957567257</v>
      </c>
      <c r="AE259" s="284">
        <f t="shared" si="487"/>
        <v>-6.8394230936815736</v>
      </c>
      <c r="AF259" s="284">
        <f t="shared" si="487"/>
        <v>-7.8719496195178706E-2</v>
      </c>
      <c r="AG259" s="284">
        <f t="shared" si="487"/>
        <v>0.56147458983590859</v>
      </c>
      <c r="AH259" s="284">
        <f t="shared" si="487"/>
        <v>0.45885820162405722</v>
      </c>
      <c r="AI259" s="284">
        <f t="shared" si="487"/>
        <v>6.5605426682857626E-2</v>
      </c>
      <c r="AJ259" s="284">
        <f t="shared" si="487"/>
        <v>4.7532946740214577</v>
      </c>
      <c r="AK259" s="284">
        <f t="shared" si="487"/>
        <v>4.6809281524186952</v>
      </c>
      <c r="AL259" s="284">
        <f t="shared" si="487"/>
        <v>4.6122683126055719</v>
      </c>
      <c r="AM259" s="284">
        <f t="shared" si="487"/>
        <v>4.5470374764224664</v>
      </c>
      <c r="AN259" s="284">
        <f t="shared" si="487"/>
        <v>4.4851818804160892</v>
      </c>
      <c r="AO259" s="284">
        <f t="shared" si="487"/>
        <v>2.0000000000000018</v>
      </c>
      <c r="AP259" s="284">
        <f t="shared" si="487"/>
        <v>1.9999999999999796</v>
      </c>
      <c r="AQ259" s="284">
        <f t="shared" si="487"/>
        <v>2.0000000000000018</v>
      </c>
      <c r="AR259" s="284">
        <f t="shared" si="487"/>
        <v>2.0000000000000018</v>
      </c>
      <c r="AS259" s="284">
        <f t="shared" si="487"/>
        <v>1.9999999999999796</v>
      </c>
      <c r="AT259" s="284">
        <f t="shared" si="487"/>
        <v>2.0000000000000018</v>
      </c>
      <c r="AU259" s="284">
        <f t="shared" si="487"/>
        <v>2.0000000000000018</v>
      </c>
      <c r="AV259" s="284">
        <f t="shared" si="487"/>
        <v>2.000000000000024</v>
      </c>
      <c r="AW259" s="284">
        <f t="shared" si="487"/>
        <v>1.9999999999999796</v>
      </c>
      <c r="AX259" s="284">
        <f t="shared" si="487"/>
        <v>1.9999999999999796</v>
      </c>
      <c r="AY259" s="284">
        <f t="shared" si="487"/>
        <v>2.000000000000024</v>
      </c>
      <c r="AZ259" s="284">
        <f t="shared" si="487"/>
        <v>2.0000000000000018</v>
      </c>
      <c r="BA259" s="284">
        <f t="shared" si="487"/>
        <v>1.9999999999999796</v>
      </c>
      <c r="BB259" s="284">
        <f t="shared" si="487"/>
        <v>2.000000000000024</v>
      </c>
      <c r="BC259" s="284">
        <f>BC257</f>
        <v>2.0000000000000018</v>
      </c>
      <c r="BD259" s="284">
        <f t="shared" ref="BD259:BM259" si="488">BD257</f>
        <v>1.9999999999999796</v>
      </c>
      <c r="BE259" s="284">
        <f t="shared" si="488"/>
        <v>2.0000000000000018</v>
      </c>
      <c r="BF259" s="284">
        <f t="shared" si="488"/>
        <v>2.000000000000024</v>
      </c>
      <c r="BG259" s="284">
        <f t="shared" si="488"/>
        <v>2.0000000000000018</v>
      </c>
      <c r="BH259" s="284">
        <f t="shared" si="488"/>
        <v>2.0000000000000018</v>
      </c>
      <c r="BI259" s="284">
        <f t="shared" si="488"/>
        <v>2.0000000000000018</v>
      </c>
      <c r="BJ259" s="284">
        <f t="shared" si="488"/>
        <v>2.0000000000000018</v>
      </c>
      <c r="BK259" s="284">
        <f t="shared" si="488"/>
        <v>2.0000000000000018</v>
      </c>
      <c r="BL259" s="284">
        <f t="shared" si="488"/>
        <v>2.000000000000024</v>
      </c>
      <c r="BM259" s="284">
        <f t="shared" si="488"/>
        <v>1.9999999999999574</v>
      </c>
      <c r="BN259" s="284">
        <f t="shared" ref="BN259:CL259" si="489">BN257</f>
        <v>2.0000000000000018</v>
      </c>
      <c r="BO259" s="284">
        <f t="shared" si="489"/>
        <v>2.0000000000000018</v>
      </c>
      <c r="BP259" s="284">
        <f t="shared" si="489"/>
        <v>2.000000000000024</v>
      </c>
      <c r="BQ259" s="284">
        <f t="shared" si="489"/>
        <v>1.9999999999999796</v>
      </c>
      <c r="BR259" s="284">
        <f t="shared" si="489"/>
        <v>2.0000000000000018</v>
      </c>
      <c r="BS259" s="284">
        <f t="shared" si="489"/>
        <v>2.0000000000000018</v>
      </c>
      <c r="BT259" s="284">
        <f t="shared" si="489"/>
        <v>1.9999999999999796</v>
      </c>
      <c r="BU259" s="284">
        <f t="shared" si="489"/>
        <v>2.000000000000024</v>
      </c>
      <c r="BV259" s="284">
        <f t="shared" si="489"/>
        <v>2.0000000000000018</v>
      </c>
      <c r="BW259" s="284">
        <f t="shared" si="489"/>
        <v>1.9999999999999796</v>
      </c>
      <c r="BX259" s="284">
        <f t="shared" si="489"/>
        <v>2.0000000000000018</v>
      </c>
      <c r="BY259" s="284">
        <f t="shared" si="489"/>
        <v>2.0000000000000018</v>
      </c>
      <c r="BZ259" s="284">
        <f t="shared" si="489"/>
        <v>2.0000000000000018</v>
      </c>
      <c r="CA259" s="284">
        <f t="shared" si="489"/>
        <v>2.0000000000000018</v>
      </c>
      <c r="CB259" s="284">
        <f t="shared" si="489"/>
        <v>2.0000000000000018</v>
      </c>
      <c r="CC259" s="284">
        <f t="shared" si="489"/>
        <v>2.0000000000000018</v>
      </c>
      <c r="CD259" s="284">
        <f t="shared" si="489"/>
        <v>2.0000000000000018</v>
      </c>
      <c r="CE259" s="284">
        <f t="shared" si="489"/>
        <v>2.0000000000000018</v>
      </c>
      <c r="CF259" s="284">
        <f t="shared" si="489"/>
        <v>2.0000000000000018</v>
      </c>
      <c r="CG259" s="284">
        <f t="shared" si="489"/>
        <v>2.0000000000000018</v>
      </c>
      <c r="CH259" s="284">
        <f t="shared" si="489"/>
        <v>2.0000000000000018</v>
      </c>
      <c r="CI259" s="284">
        <f t="shared" si="489"/>
        <v>2.0000000000000018</v>
      </c>
      <c r="CJ259" s="284">
        <f t="shared" si="489"/>
        <v>2.0000000000000018</v>
      </c>
      <c r="CK259" s="284">
        <f t="shared" si="489"/>
        <v>2.0000000000000018</v>
      </c>
      <c r="CL259" s="284">
        <f t="shared" si="489"/>
        <v>2.0000000000000018</v>
      </c>
      <c r="CM259" s="284">
        <f t="shared" ref="CM259:CQ259" si="490">CM257</f>
        <v>2.0000000000000018</v>
      </c>
      <c r="CN259" s="284">
        <f t="shared" si="490"/>
        <v>2.000000000000024</v>
      </c>
      <c r="CO259" s="284">
        <f t="shared" si="490"/>
        <v>1.9999999999999796</v>
      </c>
      <c r="CP259" s="284">
        <f t="shared" si="490"/>
        <v>2.0000000000000018</v>
      </c>
      <c r="CQ259" s="284">
        <f t="shared" si="490"/>
        <v>2.0000000000000018</v>
      </c>
    </row>
    <row r="260" spans="1:95">
      <c r="A260" s="242"/>
      <c r="B260" s="242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458"/>
      <c r="O260" s="458"/>
      <c r="P260" s="458"/>
      <c r="Q260" s="458"/>
      <c r="R260" s="458"/>
      <c r="S260" s="458"/>
      <c r="T260" s="281"/>
      <c r="U260" s="281"/>
      <c r="V260" s="281"/>
      <c r="W260" s="281"/>
      <c r="X260" s="281"/>
      <c r="Y260" s="281"/>
      <c r="Z260" s="281"/>
      <c r="AA260" s="281"/>
      <c r="AB260" s="281"/>
      <c r="AC260" s="281"/>
      <c r="AD260" s="281"/>
      <c r="AE260" s="281"/>
      <c r="AF260" s="281"/>
      <c r="AG260" s="281"/>
      <c r="AH260" s="281"/>
      <c r="AI260" s="281"/>
      <c r="AJ260" s="281"/>
      <c r="AK260" s="281"/>
      <c r="AL260" s="281"/>
      <c r="AM260" s="281"/>
      <c r="AN260" s="281"/>
      <c r="AO260" s="281"/>
      <c r="AP260" s="281"/>
      <c r="AQ260" s="281"/>
      <c r="AR260" s="281"/>
      <c r="AS260" s="281"/>
      <c r="AT260" s="281"/>
      <c r="AU260" s="281"/>
      <c r="AV260" s="281"/>
      <c r="AW260" s="281"/>
      <c r="AX260" s="281"/>
      <c r="AY260" s="281"/>
      <c r="AZ260" s="281"/>
      <c r="BA260" s="281"/>
      <c r="BB260" s="281"/>
      <c r="BC260" s="281"/>
    </row>
    <row r="261" spans="1:95">
      <c r="A261" s="285" t="s">
        <v>272</v>
      </c>
      <c r="B261" s="211" t="s">
        <v>273</v>
      </c>
      <c r="C261" s="228">
        <v>0.18700443966399999</v>
      </c>
      <c r="D261" s="228">
        <v>0.281815366091</v>
      </c>
      <c r="E261" s="228">
        <v>0.51600396829399997</v>
      </c>
      <c r="F261" s="228">
        <v>0.45150280625599998</v>
      </c>
      <c r="G261" s="228">
        <v>0.39867615935900003</v>
      </c>
      <c r="H261" s="228">
        <v>0.419007746417</v>
      </c>
      <c r="I261" s="228">
        <v>0.52250228721500003</v>
      </c>
      <c r="J261" s="228">
        <v>0.71373764374199999</v>
      </c>
      <c r="K261" s="228">
        <v>0.85505856166600003</v>
      </c>
      <c r="L261" s="228">
        <v>0.87814429143100003</v>
      </c>
      <c r="M261" s="228">
        <v>1.1117299684999999</v>
      </c>
      <c r="N261" s="458">
        <v>0.5887</v>
      </c>
      <c r="O261" s="458">
        <v>0.75649999999999995</v>
      </c>
      <c r="P261" s="458">
        <v>0.97819999999999996</v>
      </c>
      <c r="Q261" s="458">
        <v>1.0173000000000001</v>
      </c>
      <c r="R261" s="458">
        <v>1.06496244919</v>
      </c>
      <c r="S261" s="458">
        <v>1</v>
      </c>
      <c r="T261" s="142">
        <v>0.67570225808200002</v>
      </c>
      <c r="U261" s="142">
        <v>0.59065493785400003</v>
      </c>
      <c r="V261" s="142" t="s">
        <v>300</v>
      </c>
      <c r="W261" s="142" t="s">
        <v>300</v>
      </c>
      <c r="X261" s="142" t="s">
        <v>300</v>
      </c>
      <c r="Y261" s="142" t="s">
        <v>300</v>
      </c>
      <c r="Z261" s="142" t="s">
        <v>300</v>
      </c>
      <c r="AA261" s="142" t="s">
        <v>300</v>
      </c>
      <c r="AB261" s="142" t="s">
        <v>300</v>
      </c>
      <c r="AC261" s="142" t="s">
        <v>300</v>
      </c>
      <c r="AD261" s="142" t="s">
        <v>300</v>
      </c>
      <c r="AE261" s="142" t="s">
        <v>300</v>
      </c>
      <c r="AF261" s="142" t="s">
        <v>300</v>
      </c>
      <c r="AG261" s="142" t="s">
        <v>300</v>
      </c>
      <c r="AH261" s="142" t="s">
        <v>300</v>
      </c>
      <c r="AI261" s="142" t="s">
        <v>300</v>
      </c>
      <c r="AJ261" s="142" t="s">
        <v>300</v>
      </c>
      <c r="AK261" s="142" t="s">
        <v>300</v>
      </c>
      <c r="AL261" s="142" t="s">
        <v>300</v>
      </c>
      <c r="AM261" s="142" t="s">
        <v>300</v>
      </c>
      <c r="AN261" s="142" t="s">
        <v>300</v>
      </c>
      <c r="AO261" s="142" t="s">
        <v>300</v>
      </c>
      <c r="AP261" s="142" t="s">
        <v>300</v>
      </c>
      <c r="AQ261" s="142" t="s">
        <v>300</v>
      </c>
      <c r="AR261" s="142" t="s">
        <v>300</v>
      </c>
      <c r="AS261" s="142" t="s">
        <v>300</v>
      </c>
      <c r="AT261" s="142" t="s">
        <v>300</v>
      </c>
      <c r="AU261" s="142" t="s">
        <v>300</v>
      </c>
      <c r="AV261" s="142" t="s">
        <v>300</v>
      </c>
      <c r="AW261" s="142" t="s">
        <v>300</v>
      </c>
      <c r="AX261" s="142" t="s">
        <v>300</v>
      </c>
      <c r="AY261" s="142" t="s">
        <v>300</v>
      </c>
      <c r="AZ261" s="142" t="s">
        <v>300</v>
      </c>
      <c r="BA261" s="142" t="s">
        <v>300</v>
      </c>
      <c r="BB261" s="142" t="s">
        <v>300</v>
      </c>
      <c r="BC261" s="142" t="s">
        <v>300</v>
      </c>
      <c r="BD261" s="142" t="s">
        <v>300</v>
      </c>
      <c r="BE261" s="142" t="s">
        <v>300</v>
      </c>
      <c r="BF261" s="142" t="s">
        <v>300</v>
      </c>
      <c r="BG261" s="142" t="s">
        <v>300</v>
      </c>
      <c r="BH261" s="142" t="s">
        <v>300</v>
      </c>
      <c r="BI261" s="142" t="s">
        <v>300</v>
      </c>
      <c r="BJ261" s="142" t="s">
        <v>300</v>
      </c>
      <c r="BK261" s="142" t="s">
        <v>300</v>
      </c>
      <c r="BL261" s="142" t="s">
        <v>300</v>
      </c>
      <c r="BM261" s="142" t="s">
        <v>300</v>
      </c>
      <c r="BN261" s="142" t="s">
        <v>300</v>
      </c>
      <c r="BO261" s="142" t="s">
        <v>300</v>
      </c>
      <c r="BP261" s="142" t="s">
        <v>300</v>
      </c>
      <c r="BQ261" s="142" t="s">
        <v>300</v>
      </c>
      <c r="BR261" s="142" t="s">
        <v>300</v>
      </c>
      <c r="BS261" s="142" t="s">
        <v>300</v>
      </c>
      <c r="BT261" s="142" t="s">
        <v>300</v>
      </c>
      <c r="BU261" s="142" t="s">
        <v>300</v>
      </c>
      <c r="BV261" s="142" t="s">
        <v>300</v>
      </c>
      <c r="BW261" s="142" t="s">
        <v>300</v>
      </c>
      <c r="BX261" s="142" t="s">
        <v>300</v>
      </c>
      <c r="BY261" s="142" t="s">
        <v>300</v>
      </c>
      <c r="BZ261" s="142" t="s">
        <v>300</v>
      </c>
      <c r="CA261" s="142" t="s">
        <v>300</v>
      </c>
      <c r="CB261" s="142" t="s">
        <v>300</v>
      </c>
      <c r="CC261" s="142" t="s">
        <v>300</v>
      </c>
      <c r="CD261" s="142" t="s">
        <v>300</v>
      </c>
      <c r="CE261" s="142" t="s">
        <v>300</v>
      </c>
      <c r="CF261" s="142" t="s">
        <v>300</v>
      </c>
      <c r="CG261" s="142" t="s">
        <v>300</v>
      </c>
      <c r="CH261" s="142" t="s">
        <v>300</v>
      </c>
      <c r="CI261" s="142" t="s">
        <v>300</v>
      </c>
      <c r="CJ261" s="142" t="s">
        <v>300</v>
      </c>
      <c r="CK261" s="142" t="s">
        <v>300</v>
      </c>
      <c r="CL261" s="142" t="s">
        <v>300</v>
      </c>
      <c r="CM261" s="142" t="s">
        <v>300</v>
      </c>
      <c r="CN261" s="142" t="s">
        <v>300</v>
      </c>
      <c r="CO261" s="142" t="s">
        <v>300</v>
      </c>
      <c r="CP261" s="142" t="s">
        <v>300</v>
      </c>
      <c r="CQ261" s="142" t="s">
        <v>300</v>
      </c>
    </row>
    <row r="262" spans="1:95">
      <c r="A262" s="242"/>
      <c r="B262" s="242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458"/>
      <c r="O262" s="458"/>
      <c r="P262" s="458"/>
      <c r="Q262" s="458"/>
      <c r="R262" s="458"/>
      <c r="S262" s="458"/>
      <c r="T262" s="281"/>
      <c r="U262" s="281"/>
      <c r="V262" s="281"/>
      <c r="W262" s="281"/>
      <c r="X262" s="281"/>
      <c r="Y262" s="281"/>
      <c r="Z262" s="281"/>
      <c r="AA262" s="281"/>
      <c r="AB262" s="281"/>
      <c r="AC262" s="281"/>
      <c r="AD262" s="281"/>
      <c r="AE262" s="281"/>
      <c r="AF262" s="281"/>
      <c r="AG262" s="281"/>
      <c r="AH262" s="281"/>
      <c r="AI262" s="281"/>
      <c r="AJ262" s="281"/>
      <c r="AK262" s="281"/>
      <c r="AL262" s="281"/>
      <c r="AM262" s="281"/>
      <c r="AN262" s="281"/>
      <c r="AO262" s="281"/>
      <c r="AP262" s="281"/>
      <c r="AQ262" s="281"/>
      <c r="AR262" s="281"/>
      <c r="AS262" s="281"/>
      <c r="AT262" s="281"/>
      <c r="AU262" s="281"/>
      <c r="AV262" s="281"/>
      <c r="AW262" s="281"/>
      <c r="AX262" s="281"/>
      <c r="AY262" s="281"/>
      <c r="AZ262" s="281"/>
      <c r="BA262" s="281"/>
      <c r="BB262" s="281"/>
      <c r="BC262" s="281"/>
    </row>
    <row r="263" spans="1:95">
      <c r="A263" s="285" t="s">
        <v>274</v>
      </c>
      <c r="B263" s="211" t="s">
        <v>275</v>
      </c>
      <c r="C263" s="228">
        <v>0.36490783162500001</v>
      </c>
      <c r="D263" s="228">
        <v>0.32361519631000002</v>
      </c>
      <c r="E263" s="228">
        <v>0.64895500035599996</v>
      </c>
      <c r="F263" s="228">
        <v>0.74666596667100005</v>
      </c>
      <c r="G263" s="228">
        <v>0.57289713394399999</v>
      </c>
      <c r="H263" s="228">
        <v>0.54549069423800001</v>
      </c>
      <c r="I263" s="228">
        <v>0.60373890428300003</v>
      </c>
      <c r="J263" s="228">
        <v>0.77730375921399997</v>
      </c>
      <c r="K263" s="228">
        <v>1.079352583256</v>
      </c>
      <c r="L263" s="228">
        <v>0.97562992689200001</v>
      </c>
      <c r="M263" s="228">
        <v>1.3826557532320001</v>
      </c>
      <c r="N263" s="458">
        <v>0.7147</v>
      </c>
      <c r="O263" s="458">
        <v>0.67969999999999997</v>
      </c>
      <c r="P263" s="458">
        <v>0.8599</v>
      </c>
      <c r="Q263" s="458">
        <v>0.95379999999999998</v>
      </c>
      <c r="R263" s="458">
        <v>1.1163012286072984</v>
      </c>
      <c r="S263" s="458">
        <v>0.98753973566834341</v>
      </c>
      <c r="T263" s="458">
        <v>0.92301817251518448</v>
      </c>
      <c r="U263" s="458">
        <v>0.66230107902744084</v>
      </c>
      <c r="V263" s="143">
        <f t="shared" ref="V263:BA263" si="491">V48</f>
        <v>17.857142857142861</v>
      </c>
      <c r="W263" s="143">
        <f t="shared" si="491"/>
        <v>33.333333333333329</v>
      </c>
      <c r="X263" s="143">
        <f t="shared" si="491"/>
        <v>-28.636363636363637</v>
      </c>
      <c r="Y263" s="143">
        <f t="shared" si="491"/>
        <v>-28.023518747108291</v>
      </c>
      <c r="Z263" s="143">
        <f t="shared" si="491"/>
        <v>307.7226183361999</v>
      </c>
      <c r="AA263" s="143">
        <f t="shared" si="491"/>
        <v>161.50244809128833</v>
      </c>
      <c r="AB263" s="143">
        <f t="shared" si="491"/>
        <v>-54.825359472353455</v>
      </c>
      <c r="AC263" s="143">
        <f t="shared" si="491"/>
        <v>-18.685461545516723</v>
      </c>
      <c r="AD263" s="143">
        <f t="shared" si="491"/>
        <v>16.679433173399239</v>
      </c>
      <c r="AE263" s="143">
        <f t="shared" si="491"/>
        <v>-22.790202781235546</v>
      </c>
      <c r="AF263" s="143">
        <f t="shared" si="491"/>
        <v>-18.516346153846154</v>
      </c>
      <c r="AG263" s="143">
        <f t="shared" si="491"/>
        <v>2.0999999999999686</v>
      </c>
      <c r="AH263" s="143">
        <f t="shared" si="491"/>
        <v>2.0999999999999908</v>
      </c>
      <c r="AI263" s="143">
        <f t="shared" si="491"/>
        <v>-18.919559687966103</v>
      </c>
      <c r="AJ263" s="143">
        <f t="shared" si="491"/>
        <v>0.63999424971183938</v>
      </c>
      <c r="AK263" s="143">
        <f t="shared" si="491"/>
        <v>0.62161571487027167</v>
      </c>
      <c r="AL263" s="143">
        <f t="shared" si="491"/>
        <v>0.60273365633802811</v>
      </c>
      <c r="AM263" s="143">
        <f t="shared" si="491"/>
        <v>0.58332709387070025</v>
      </c>
      <c r="AN263" s="143">
        <f t="shared" si="491"/>
        <v>0.56337386522982147</v>
      </c>
      <c r="AO263" s="143">
        <f t="shared" si="491"/>
        <v>0.54285054175911007</v>
      </c>
      <c r="AP263" s="143">
        <f t="shared" si="491"/>
        <v>0.52173233661403362</v>
      </c>
      <c r="AQ263" s="143">
        <f t="shared" si="491"/>
        <v>0.49999300489083076</v>
      </c>
      <c r="AR263" s="143">
        <f t="shared" si="491"/>
        <v>0.47760473482179044</v>
      </c>
      <c r="AS263" s="143">
        <f t="shared" si="491"/>
        <v>0.4546033732846011</v>
      </c>
      <c r="AT263" s="143">
        <f t="shared" si="491"/>
        <v>1.9999999999999796</v>
      </c>
      <c r="AU263" s="143">
        <f t="shared" si="491"/>
        <v>2.000000000000024</v>
      </c>
      <c r="AV263" s="143">
        <f t="shared" si="491"/>
        <v>1.9999999999999796</v>
      </c>
      <c r="AW263" s="143">
        <f t="shared" si="491"/>
        <v>2.0000000000000018</v>
      </c>
      <c r="AX263" s="143">
        <f t="shared" si="491"/>
        <v>2.0000000000000018</v>
      </c>
      <c r="AY263" s="143">
        <f t="shared" si="491"/>
        <v>1.9999999999999796</v>
      </c>
      <c r="AZ263" s="143">
        <f t="shared" si="491"/>
        <v>2.000000000000024</v>
      </c>
      <c r="BA263" s="143">
        <f t="shared" si="491"/>
        <v>2.0000000000000018</v>
      </c>
      <c r="BB263" s="143">
        <f t="shared" ref="BB263:CL263" si="492">BB48</f>
        <v>2.0000000000000018</v>
      </c>
      <c r="BC263" s="143">
        <f t="shared" si="492"/>
        <v>2.000000000000024</v>
      </c>
      <c r="BD263" s="143">
        <f t="shared" si="492"/>
        <v>1.9999999999999796</v>
      </c>
      <c r="BE263" s="143">
        <f t="shared" si="492"/>
        <v>2.0000000000000018</v>
      </c>
      <c r="BF263" s="143">
        <f t="shared" si="492"/>
        <v>2.000000000000024</v>
      </c>
      <c r="BG263" s="143">
        <f t="shared" si="492"/>
        <v>2.0000000000000018</v>
      </c>
      <c r="BH263" s="143">
        <f t="shared" si="492"/>
        <v>2.0000000000000018</v>
      </c>
      <c r="BI263" s="143">
        <f t="shared" si="492"/>
        <v>2.0000000000000018</v>
      </c>
      <c r="BJ263" s="143">
        <f t="shared" si="492"/>
        <v>2.0000000000000018</v>
      </c>
      <c r="BK263" s="143">
        <f t="shared" si="492"/>
        <v>2.0000000000000018</v>
      </c>
      <c r="BL263" s="143">
        <f t="shared" si="492"/>
        <v>2.0000000000000018</v>
      </c>
      <c r="BM263" s="143">
        <f t="shared" si="492"/>
        <v>2.0000000000000018</v>
      </c>
      <c r="BN263" s="143">
        <f t="shared" si="492"/>
        <v>2.0000000000000018</v>
      </c>
      <c r="BO263" s="143">
        <f t="shared" si="492"/>
        <v>2.0000000000000018</v>
      </c>
      <c r="BP263" s="143">
        <f t="shared" si="492"/>
        <v>2.0000000000000018</v>
      </c>
      <c r="BQ263" s="143">
        <f t="shared" si="492"/>
        <v>2.0000000000000018</v>
      </c>
      <c r="BR263" s="143">
        <f t="shared" si="492"/>
        <v>2.0000000000000018</v>
      </c>
      <c r="BS263" s="143">
        <f t="shared" si="492"/>
        <v>2.0000000000000018</v>
      </c>
      <c r="BT263" s="143">
        <f t="shared" si="492"/>
        <v>2.0000000000000018</v>
      </c>
      <c r="BU263" s="143">
        <f t="shared" si="492"/>
        <v>2.0000000000000018</v>
      </c>
      <c r="BV263" s="143">
        <f t="shared" si="492"/>
        <v>2.0000000000000018</v>
      </c>
      <c r="BW263" s="143">
        <f t="shared" si="492"/>
        <v>2.0000000000000018</v>
      </c>
      <c r="BX263" s="143">
        <f t="shared" si="492"/>
        <v>2.0000000000000018</v>
      </c>
      <c r="BY263" s="143">
        <f t="shared" si="492"/>
        <v>2.0000000000000018</v>
      </c>
      <c r="BZ263" s="143">
        <f t="shared" si="492"/>
        <v>2.0000000000000018</v>
      </c>
      <c r="CA263" s="143">
        <f t="shared" si="492"/>
        <v>2.0000000000000018</v>
      </c>
      <c r="CB263" s="143">
        <f t="shared" si="492"/>
        <v>2.0000000000000018</v>
      </c>
      <c r="CC263" s="143">
        <f t="shared" si="492"/>
        <v>2.0000000000000018</v>
      </c>
      <c r="CD263" s="143">
        <f t="shared" si="492"/>
        <v>2.0000000000000018</v>
      </c>
      <c r="CE263" s="143">
        <f t="shared" si="492"/>
        <v>2.0000000000000018</v>
      </c>
      <c r="CF263" s="143">
        <f t="shared" si="492"/>
        <v>2.000000000000024</v>
      </c>
      <c r="CG263" s="143">
        <f t="shared" si="492"/>
        <v>2.0000000000000018</v>
      </c>
      <c r="CH263" s="143">
        <f t="shared" si="492"/>
        <v>2.0000000000000018</v>
      </c>
      <c r="CI263" s="143">
        <f t="shared" si="492"/>
        <v>2.0000000000000018</v>
      </c>
      <c r="CJ263" s="143">
        <f t="shared" si="492"/>
        <v>2.0000000000000018</v>
      </c>
      <c r="CK263" s="143">
        <f t="shared" si="492"/>
        <v>2.0000000000000018</v>
      </c>
      <c r="CL263" s="143">
        <f t="shared" si="492"/>
        <v>2.0000000000000018</v>
      </c>
      <c r="CM263" s="143">
        <f t="shared" ref="CM263:CQ263" si="493">CM48</f>
        <v>2.0000000000000018</v>
      </c>
      <c r="CN263" s="143">
        <f t="shared" si="493"/>
        <v>2.0000000000000018</v>
      </c>
      <c r="CO263" s="143">
        <f t="shared" si="493"/>
        <v>2.0000000000000018</v>
      </c>
      <c r="CP263" s="143">
        <f t="shared" si="493"/>
        <v>2.0000000000000018</v>
      </c>
      <c r="CQ263" s="143">
        <f t="shared" si="493"/>
        <v>2.0000000000000018</v>
      </c>
    </row>
    <row r="264" spans="1:95">
      <c r="A264" s="242"/>
      <c r="B264" s="242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458"/>
      <c r="O264" s="458"/>
      <c r="P264" s="458"/>
      <c r="Q264" s="458"/>
      <c r="R264" s="458"/>
      <c r="S264" s="458"/>
      <c r="T264" s="281"/>
      <c r="U264" s="281"/>
      <c r="V264" s="281"/>
      <c r="W264" s="281"/>
      <c r="X264" s="281"/>
      <c r="Y264" s="281"/>
      <c r="Z264" s="281"/>
      <c r="AA264" s="281"/>
      <c r="AB264" s="281"/>
      <c r="AC264" s="281"/>
      <c r="AD264" s="281"/>
      <c r="AE264" s="281"/>
      <c r="AF264" s="281"/>
      <c r="AG264" s="281"/>
      <c r="AH264" s="281"/>
      <c r="AI264" s="281"/>
      <c r="AJ264" s="281"/>
      <c r="AK264" s="281"/>
      <c r="AL264" s="281"/>
      <c r="AM264" s="281"/>
      <c r="AN264" s="281"/>
      <c r="AO264" s="281"/>
      <c r="AP264" s="281"/>
      <c r="AQ264" s="281"/>
      <c r="AR264" s="281"/>
      <c r="AS264" s="281"/>
      <c r="AT264" s="281"/>
      <c r="AU264" s="281"/>
      <c r="AV264" s="281"/>
      <c r="AW264" s="281"/>
      <c r="AX264" s="281"/>
      <c r="AY264" s="281"/>
      <c r="AZ264" s="281"/>
      <c r="BA264" s="281"/>
      <c r="BB264" s="281"/>
      <c r="BC264" s="281"/>
      <c r="BH264" s="88"/>
    </row>
    <row r="265" spans="1:95">
      <c r="A265" s="285" t="s">
        <v>276</v>
      </c>
      <c r="B265" s="273" t="s">
        <v>277</v>
      </c>
      <c r="C265" s="228">
        <v>1</v>
      </c>
      <c r="D265" s="228">
        <v>1</v>
      </c>
      <c r="E265" s="228">
        <v>1</v>
      </c>
      <c r="F265" s="228">
        <v>1</v>
      </c>
      <c r="G265" s="228">
        <v>1</v>
      </c>
      <c r="H265" s="228">
        <v>1</v>
      </c>
      <c r="I265" s="228">
        <v>1</v>
      </c>
      <c r="J265" s="228">
        <v>1</v>
      </c>
      <c r="K265" s="228">
        <v>1</v>
      </c>
      <c r="L265" s="228">
        <v>0.80085281075400006</v>
      </c>
      <c r="M265" s="228">
        <v>0.80085360357900004</v>
      </c>
      <c r="N265" s="458">
        <v>1</v>
      </c>
      <c r="O265" s="458">
        <v>0.81989999999999996</v>
      </c>
      <c r="P265" s="458">
        <v>0.9839</v>
      </c>
      <c r="Q265" s="458">
        <v>0.9839</v>
      </c>
      <c r="R265" s="458">
        <v>1</v>
      </c>
      <c r="S265" s="458">
        <v>1</v>
      </c>
      <c r="T265" s="284">
        <v>1</v>
      </c>
      <c r="U265" s="284">
        <v>1</v>
      </c>
      <c r="V265" s="284">
        <f t="shared" ref="V265:BB265" si="494">V263</f>
        <v>17.857142857142861</v>
      </c>
      <c r="W265" s="284">
        <f t="shared" si="494"/>
        <v>33.333333333333329</v>
      </c>
      <c r="X265" s="284">
        <f t="shared" si="494"/>
        <v>-28.636363636363637</v>
      </c>
      <c r="Y265" s="284">
        <f t="shared" si="494"/>
        <v>-28.023518747108291</v>
      </c>
      <c r="Z265" s="284">
        <f t="shared" si="494"/>
        <v>307.7226183361999</v>
      </c>
      <c r="AA265" s="284">
        <f t="shared" si="494"/>
        <v>161.50244809128833</v>
      </c>
      <c r="AB265" s="284">
        <f t="shared" si="494"/>
        <v>-54.825359472353455</v>
      </c>
      <c r="AC265" s="284">
        <f t="shared" si="494"/>
        <v>-18.685461545516723</v>
      </c>
      <c r="AD265" s="284">
        <f t="shared" si="494"/>
        <v>16.679433173399239</v>
      </c>
      <c r="AE265" s="284">
        <f t="shared" si="494"/>
        <v>-22.790202781235546</v>
      </c>
      <c r="AF265" s="284">
        <f t="shared" si="494"/>
        <v>-18.516346153846154</v>
      </c>
      <c r="AG265" s="284">
        <f t="shared" si="494"/>
        <v>2.0999999999999686</v>
      </c>
      <c r="AH265" s="284">
        <f t="shared" si="494"/>
        <v>2.0999999999999908</v>
      </c>
      <c r="AI265" s="284">
        <f t="shared" si="494"/>
        <v>-18.919559687966103</v>
      </c>
      <c r="AJ265" s="284">
        <f t="shared" si="494"/>
        <v>0.63999424971183938</v>
      </c>
      <c r="AK265" s="284">
        <f t="shared" si="494"/>
        <v>0.62161571487027167</v>
      </c>
      <c r="AL265" s="284">
        <f t="shared" si="494"/>
        <v>0.60273365633802811</v>
      </c>
      <c r="AM265" s="284">
        <f t="shared" si="494"/>
        <v>0.58332709387070025</v>
      </c>
      <c r="AN265" s="284">
        <f t="shared" si="494"/>
        <v>0.56337386522982147</v>
      </c>
      <c r="AO265" s="284">
        <f t="shared" si="494"/>
        <v>0.54285054175911007</v>
      </c>
      <c r="AP265" s="284">
        <f t="shared" si="494"/>
        <v>0.52173233661403362</v>
      </c>
      <c r="AQ265" s="284">
        <f t="shared" si="494"/>
        <v>0.49999300489083076</v>
      </c>
      <c r="AR265" s="284">
        <f t="shared" si="494"/>
        <v>0.47760473482179044</v>
      </c>
      <c r="AS265" s="284">
        <f t="shared" si="494"/>
        <v>0.4546033732846011</v>
      </c>
      <c r="AT265" s="284">
        <f t="shared" si="494"/>
        <v>1.9999999999999796</v>
      </c>
      <c r="AU265" s="284">
        <f t="shared" si="494"/>
        <v>2.000000000000024</v>
      </c>
      <c r="AV265" s="284">
        <f t="shared" si="494"/>
        <v>1.9999999999999796</v>
      </c>
      <c r="AW265" s="284">
        <f t="shared" si="494"/>
        <v>2.0000000000000018</v>
      </c>
      <c r="AX265" s="284">
        <f t="shared" si="494"/>
        <v>2.0000000000000018</v>
      </c>
      <c r="AY265" s="284">
        <f t="shared" si="494"/>
        <v>1.9999999999999796</v>
      </c>
      <c r="AZ265" s="284">
        <f t="shared" si="494"/>
        <v>2.000000000000024</v>
      </c>
      <c r="BA265" s="284">
        <f t="shared" si="494"/>
        <v>2.0000000000000018</v>
      </c>
      <c r="BB265" s="284">
        <f t="shared" si="494"/>
        <v>2.0000000000000018</v>
      </c>
      <c r="BC265" s="284">
        <f>BC263</f>
        <v>2.000000000000024</v>
      </c>
      <c r="BD265" s="284">
        <f>BD263</f>
        <v>1.9999999999999796</v>
      </c>
      <c r="BE265" s="284">
        <f t="shared" ref="BE265:BM265" si="495">BE263</f>
        <v>2.0000000000000018</v>
      </c>
      <c r="BF265" s="284">
        <f t="shared" si="495"/>
        <v>2.000000000000024</v>
      </c>
      <c r="BG265" s="284">
        <f t="shared" si="495"/>
        <v>2.0000000000000018</v>
      </c>
      <c r="BH265" s="284">
        <f t="shared" si="495"/>
        <v>2.0000000000000018</v>
      </c>
      <c r="BI265" s="284">
        <f t="shared" si="495"/>
        <v>2.0000000000000018</v>
      </c>
      <c r="BJ265" s="284">
        <f t="shared" si="495"/>
        <v>2.0000000000000018</v>
      </c>
      <c r="BK265" s="284">
        <f t="shared" si="495"/>
        <v>2.0000000000000018</v>
      </c>
      <c r="BL265" s="284">
        <f t="shared" si="495"/>
        <v>2.0000000000000018</v>
      </c>
      <c r="BM265" s="284">
        <f t="shared" si="495"/>
        <v>2.0000000000000018</v>
      </c>
      <c r="BN265" s="284">
        <f t="shared" ref="BN265:CL265" si="496">BN263</f>
        <v>2.0000000000000018</v>
      </c>
      <c r="BO265" s="284">
        <f t="shared" si="496"/>
        <v>2.0000000000000018</v>
      </c>
      <c r="BP265" s="284">
        <f t="shared" si="496"/>
        <v>2.0000000000000018</v>
      </c>
      <c r="BQ265" s="284">
        <f t="shared" si="496"/>
        <v>2.0000000000000018</v>
      </c>
      <c r="BR265" s="284">
        <f t="shared" si="496"/>
        <v>2.0000000000000018</v>
      </c>
      <c r="BS265" s="284">
        <f t="shared" si="496"/>
        <v>2.0000000000000018</v>
      </c>
      <c r="BT265" s="284">
        <f t="shared" si="496"/>
        <v>2.0000000000000018</v>
      </c>
      <c r="BU265" s="284">
        <f t="shared" si="496"/>
        <v>2.0000000000000018</v>
      </c>
      <c r="BV265" s="284">
        <f t="shared" si="496"/>
        <v>2.0000000000000018</v>
      </c>
      <c r="BW265" s="284">
        <f t="shared" si="496"/>
        <v>2.0000000000000018</v>
      </c>
      <c r="BX265" s="284">
        <f t="shared" si="496"/>
        <v>2.0000000000000018</v>
      </c>
      <c r="BY265" s="284">
        <f t="shared" si="496"/>
        <v>2.0000000000000018</v>
      </c>
      <c r="BZ265" s="284">
        <f t="shared" si="496"/>
        <v>2.0000000000000018</v>
      </c>
      <c r="CA265" s="284">
        <f t="shared" si="496"/>
        <v>2.0000000000000018</v>
      </c>
      <c r="CB265" s="284">
        <f t="shared" si="496"/>
        <v>2.0000000000000018</v>
      </c>
      <c r="CC265" s="284">
        <f t="shared" si="496"/>
        <v>2.0000000000000018</v>
      </c>
      <c r="CD265" s="284">
        <f t="shared" si="496"/>
        <v>2.0000000000000018</v>
      </c>
      <c r="CE265" s="284">
        <f t="shared" si="496"/>
        <v>2.0000000000000018</v>
      </c>
      <c r="CF265" s="284">
        <f t="shared" si="496"/>
        <v>2.000000000000024</v>
      </c>
      <c r="CG265" s="284">
        <f t="shared" si="496"/>
        <v>2.0000000000000018</v>
      </c>
      <c r="CH265" s="284">
        <f t="shared" si="496"/>
        <v>2.0000000000000018</v>
      </c>
      <c r="CI265" s="284">
        <f t="shared" si="496"/>
        <v>2.0000000000000018</v>
      </c>
      <c r="CJ265" s="284">
        <f t="shared" si="496"/>
        <v>2.0000000000000018</v>
      </c>
      <c r="CK265" s="284">
        <f t="shared" si="496"/>
        <v>2.0000000000000018</v>
      </c>
      <c r="CL265" s="284">
        <f t="shared" si="496"/>
        <v>2.0000000000000018</v>
      </c>
      <c r="CM265" s="284">
        <f t="shared" ref="CM265:CQ265" si="497">CM263</f>
        <v>2.0000000000000018</v>
      </c>
      <c r="CN265" s="284">
        <f t="shared" si="497"/>
        <v>2.0000000000000018</v>
      </c>
      <c r="CO265" s="284">
        <f t="shared" si="497"/>
        <v>2.0000000000000018</v>
      </c>
      <c r="CP265" s="284">
        <f t="shared" si="497"/>
        <v>2.0000000000000018</v>
      </c>
      <c r="CQ265" s="284">
        <f t="shared" si="497"/>
        <v>2.0000000000000018</v>
      </c>
    </row>
    <row r="266" spans="1:95">
      <c r="A266" s="242"/>
      <c r="B266" s="242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458"/>
      <c r="O266" s="458"/>
      <c r="P266" s="458"/>
      <c r="Q266" s="458"/>
      <c r="R266" s="458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  <c r="AC266" s="281"/>
      <c r="AD266" s="281"/>
      <c r="AE266" s="281"/>
      <c r="AF266" s="281"/>
      <c r="AG266" s="281"/>
      <c r="AH266" s="281"/>
      <c r="AI266" s="281"/>
      <c r="AJ266" s="281"/>
      <c r="AK266" s="281"/>
      <c r="AL266" s="281"/>
      <c r="AM266" s="281"/>
      <c r="AN266" s="281"/>
      <c r="AO266" s="281"/>
      <c r="AP266" s="281"/>
      <c r="AQ266" s="281"/>
      <c r="AR266" s="281"/>
      <c r="AS266" s="281"/>
      <c r="AT266" s="281"/>
      <c r="AU266" s="281"/>
      <c r="AV266" s="281"/>
      <c r="AW266" s="281"/>
      <c r="AX266" s="281"/>
      <c r="AY266" s="281"/>
      <c r="AZ266" s="281"/>
      <c r="BA266" s="281"/>
      <c r="BB266" s="281"/>
      <c r="BC266" s="281"/>
      <c r="BD266" s="281"/>
      <c r="BE266" s="281"/>
      <c r="BF266" s="281"/>
      <c r="BG266" s="281"/>
      <c r="BH266" s="281"/>
      <c r="BI266" s="281"/>
      <c r="BJ266" s="281"/>
      <c r="BK266" s="281"/>
      <c r="BL266" s="281"/>
      <c r="BM266" s="281"/>
      <c r="BN266" s="281"/>
      <c r="BO266" s="281"/>
      <c r="BP266" s="281"/>
      <c r="BQ266" s="281"/>
      <c r="BR266" s="281"/>
      <c r="BS266" s="281"/>
      <c r="BT266" s="281"/>
      <c r="BU266" s="281"/>
      <c r="BV266" s="281"/>
      <c r="BW266" s="281"/>
      <c r="BX266" s="281"/>
      <c r="BY266" s="281"/>
      <c r="BZ266" s="281"/>
      <c r="CA266" s="281"/>
      <c r="CB266" s="281"/>
      <c r="CC266" s="281"/>
      <c r="CD266" s="281"/>
      <c r="CE266" s="281"/>
      <c r="CF266" s="281"/>
      <c r="CG266" s="281"/>
      <c r="CH266" s="281"/>
      <c r="CI266" s="281"/>
      <c r="CJ266" s="281"/>
      <c r="CK266" s="281"/>
      <c r="CL266" s="281"/>
      <c r="CM266" s="281"/>
      <c r="CN266" s="281"/>
      <c r="CO266" s="281"/>
      <c r="CP266" s="281"/>
      <c r="CQ266" s="281"/>
    </row>
    <row r="267" spans="1:95">
      <c r="A267" s="285" t="s">
        <v>278</v>
      </c>
      <c r="B267" s="242" t="s">
        <v>279</v>
      </c>
      <c r="C267" s="227">
        <v>0.32103129621999998</v>
      </c>
      <c r="D267" s="227">
        <v>0.27159140069400001</v>
      </c>
      <c r="E267" s="227">
        <v>0.56545051424699999</v>
      </c>
      <c r="F267" s="227">
        <v>0.71303200136099998</v>
      </c>
      <c r="G267" s="227">
        <v>0.56543108014900001</v>
      </c>
      <c r="H267" s="227">
        <v>0.53659825565599995</v>
      </c>
      <c r="I267" s="227">
        <v>0.59937590892600001</v>
      </c>
      <c r="J267" s="227">
        <v>0.777984883337</v>
      </c>
      <c r="K267" s="227">
        <v>1.0876210332730001</v>
      </c>
      <c r="L267" s="227">
        <v>0.97681968737299996</v>
      </c>
      <c r="M267" s="227">
        <v>1.4015028510180001</v>
      </c>
      <c r="N267" s="458">
        <v>0.70489999999999997</v>
      </c>
      <c r="O267" s="458">
        <v>0.66879999999999995</v>
      </c>
      <c r="P267" s="458">
        <v>0.85119999999999996</v>
      </c>
      <c r="Q267" s="458">
        <v>0.95169999999999999</v>
      </c>
      <c r="R267" s="458">
        <v>1.123722121048</v>
      </c>
      <c r="S267" s="458">
        <v>1</v>
      </c>
      <c r="T267" s="142">
        <v>0.92427496769200002</v>
      </c>
      <c r="U267" s="142">
        <v>0.658734857186</v>
      </c>
      <c r="V267" s="142" t="s">
        <v>300</v>
      </c>
      <c r="W267" s="142" t="s">
        <v>300</v>
      </c>
      <c r="X267" s="142" t="s">
        <v>300</v>
      </c>
      <c r="Y267" s="142" t="s">
        <v>300</v>
      </c>
      <c r="Z267" s="142" t="s">
        <v>300</v>
      </c>
      <c r="AA267" s="142" t="s">
        <v>300</v>
      </c>
      <c r="AB267" s="142" t="s">
        <v>300</v>
      </c>
      <c r="AC267" s="142" t="s">
        <v>300</v>
      </c>
      <c r="AD267" s="142" t="s">
        <v>300</v>
      </c>
      <c r="AE267" s="142" t="s">
        <v>300</v>
      </c>
      <c r="AF267" s="142" t="s">
        <v>300</v>
      </c>
      <c r="AG267" s="142" t="s">
        <v>300</v>
      </c>
      <c r="AH267" s="142" t="s">
        <v>300</v>
      </c>
      <c r="AI267" s="142" t="s">
        <v>300</v>
      </c>
      <c r="AJ267" s="142" t="s">
        <v>300</v>
      </c>
      <c r="AK267" s="142" t="s">
        <v>300</v>
      </c>
      <c r="AL267" s="142" t="s">
        <v>300</v>
      </c>
      <c r="AM267" s="142" t="s">
        <v>300</v>
      </c>
      <c r="AN267" s="142" t="s">
        <v>300</v>
      </c>
      <c r="AO267" s="142" t="s">
        <v>300</v>
      </c>
      <c r="AP267" s="142" t="s">
        <v>300</v>
      </c>
      <c r="AQ267" s="142" t="s">
        <v>300</v>
      </c>
      <c r="AR267" s="142" t="s">
        <v>300</v>
      </c>
      <c r="AS267" s="142" t="s">
        <v>300</v>
      </c>
      <c r="AT267" s="142" t="s">
        <v>300</v>
      </c>
      <c r="AU267" s="142" t="s">
        <v>300</v>
      </c>
      <c r="AV267" s="142" t="s">
        <v>300</v>
      </c>
      <c r="AW267" s="142" t="s">
        <v>300</v>
      </c>
      <c r="AX267" s="142" t="s">
        <v>300</v>
      </c>
      <c r="AY267" s="142" t="s">
        <v>300</v>
      </c>
      <c r="AZ267" s="142" t="s">
        <v>300</v>
      </c>
      <c r="BA267" s="142" t="s">
        <v>300</v>
      </c>
      <c r="BB267" s="142" t="s">
        <v>300</v>
      </c>
      <c r="BC267" s="142" t="s">
        <v>300</v>
      </c>
      <c r="BD267" s="142" t="s">
        <v>300</v>
      </c>
      <c r="BE267" s="142" t="s">
        <v>300</v>
      </c>
      <c r="BF267" s="142" t="s">
        <v>300</v>
      </c>
      <c r="BG267" s="142" t="s">
        <v>300</v>
      </c>
      <c r="BH267" s="142" t="s">
        <v>300</v>
      </c>
      <c r="BI267" s="142" t="s">
        <v>300</v>
      </c>
      <c r="BJ267" s="142" t="s">
        <v>300</v>
      </c>
      <c r="BK267" s="142" t="s">
        <v>300</v>
      </c>
      <c r="BL267" s="142" t="s">
        <v>300</v>
      </c>
      <c r="BM267" s="142" t="s">
        <v>300</v>
      </c>
      <c r="BN267" s="142" t="s">
        <v>300</v>
      </c>
      <c r="BO267" s="142" t="s">
        <v>300</v>
      </c>
      <c r="BP267" s="142" t="s">
        <v>300</v>
      </c>
      <c r="BQ267" s="142" t="s">
        <v>300</v>
      </c>
      <c r="BR267" s="142" t="s">
        <v>300</v>
      </c>
      <c r="BS267" s="142" t="s">
        <v>300</v>
      </c>
      <c r="BT267" s="142" t="s">
        <v>300</v>
      </c>
      <c r="BU267" s="142" t="s">
        <v>300</v>
      </c>
      <c r="BV267" s="142" t="s">
        <v>300</v>
      </c>
      <c r="BW267" s="142" t="s">
        <v>300</v>
      </c>
      <c r="BX267" s="142" t="s">
        <v>300</v>
      </c>
      <c r="BY267" s="142" t="s">
        <v>300</v>
      </c>
      <c r="BZ267" s="142" t="s">
        <v>300</v>
      </c>
      <c r="CA267" s="142" t="s">
        <v>300</v>
      </c>
      <c r="CB267" s="142" t="s">
        <v>300</v>
      </c>
      <c r="CC267" s="142" t="s">
        <v>300</v>
      </c>
      <c r="CD267" s="142" t="s">
        <v>300</v>
      </c>
      <c r="CE267" s="142" t="s">
        <v>300</v>
      </c>
      <c r="CF267" s="142" t="s">
        <v>300</v>
      </c>
      <c r="CG267" s="142" t="s">
        <v>300</v>
      </c>
      <c r="CH267" s="142" t="s">
        <v>300</v>
      </c>
      <c r="CI267" s="142" t="s">
        <v>300</v>
      </c>
      <c r="CJ267" s="142" t="s">
        <v>300</v>
      </c>
      <c r="CK267" s="142" t="s">
        <v>300</v>
      </c>
      <c r="CL267" s="142" t="s">
        <v>300</v>
      </c>
      <c r="CM267" s="142" t="s">
        <v>300</v>
      </c>
      <c r="CN267" s="142" t="s">
        <v>300</v>
      </c>
      <c r="CO267" s="142" t="s">
        <v>300</v>
      </c>
      <c r="CP267" s="142" t="s">
        <v>300</v>
      </c>
      <c r="CQ267" s="142" t="s">
        <v>300</v>
      </c>
    </row>
    <row r="268" spans="1:95">
      <c r="A268" s="242"/>
      <c r="B268" s="242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458"/>
      <c r="O268" s="458"/>
      <c r="P268" s="458"/>
      <c r="Q268" s="458"/>
      <c r="R268" s="458"/>
      <c r="S268" s="458"/>
      <c r="T268" s="281"/>
      <c r="U268" s="281"/>
      <c r="V268" s="281"/>
      <c r="W268" s="281"/>
      <c r="X268" s="281"/>
      <c r="Y268" s="281"/>
      <c r="Z268" s="281"/>
      <c r="AA268" s="281"/>
      <c r="AB268" s="281"/>
      <c r="AC268" s="281"/>
      <c r="AD268" s="281"/>
      <c r="AE268" s="281"/>
      <c r="AF268" s="281"/>
      <c r="AG268" s="281"/>
      <c r="AH268" s="281"/>
      <c r="AI268" s="281"/>
      <c r="AJ268" s="281"/>
      <c r="AK268" s="281"/>
      <c r="AL268" s="281"/>
      <c r="AM268" s="281"/>
      <c r="AN268" s="281"/>
      <c r="AO268" s="281"/>
      <c r="AP268" s="281"/>
      <c r="AQ268" s="281"/>
      <c r="AR268" s="281"/>
      <c r="AS268" s="281"/>
      <c r="AT268" s="281"/>
      <c r="AU268" s="281"/>
      <c r="AV268" s="281"/>
      <c r="AW268" s="281"/>
      <c r="AX268" s="281"/>
      <c r="AY268" s="281"/>
      <c r="AZ268" s="281"/>
      <c r="BA268" s="281"/>
      <c r="BB268" s="281"/>
      <c r="BC268" s="281"/>
    </row>
    <row r="269" spans="1:95">
      <c r="A269" s="280" t="s">
        <v>435</v>
      </c>
      <c r="B269" s="242" t="s">
        <v>280</v>
      </c>
      <c r="C269" s="227">
        <v>0.50935741294900005</v>
      </c>
      <c r="D269" s="227">
        <v>0.58825036474400005</v>
      </c>
      <c r="E269" s="227">
        <v>0.48711008559500002</v>
      </c>
      <c r="F269" s="227">
        <v>0.71201608986300002</v>
      </c>
      <c r="G269" s="227">
        <v>0.67293940327900004</v>
      </c>
      <c r="H269" s="227">
        <v>0.74966437184500001</v>
      </c>
      <c r="I269" s="227">
        <v>0.66763206713699996</v>
      </c>
      <c r="J269" s="227">
        <v>0.70445527405700004</v>
      </c>
      <c r="K269" s="227">
        <v>0.74647654909700001</v>
      </c>
      <c r="L269" s="227">
        <v>0.82672699065599997</v>
      </c>
      <c r="M269" s="227">
        <v>0.90337340124700005</v>
      </c>
      <c r="N269" s="458">
        <v>0.88090000000000002</v>
      </c>
      <c r="O269" s="458">
        <v>0.90629999999999999</v>
      </c>
      <c r="P269" s="458">
        <v>0.95899999999999996</v>
      </c>
      <c r="Q269" s="458">
        <v>0.98429999999999995</v>
      </c>
      <c r="R269" s="458">
        <v>0.94657729222643372</v>
      </c>
      <c r="S269" s="458">
        <v>1.0050653155511449</v>
      </c>
      <c r="T269" s="458">
        <v>1.0116429326492047</v>
      </c>
      <c r="U269" s="458">
        <v>0.89399719396993693</v>
      </c>
      <c r="V269" s="286">
        <v>1.75</v>
      </c>
      <c r="W269" s="286">
        <v>1.75</v>
      </c>
      <c r="X269" s="286">
        <v>1.75</v>
      </c>
      <c r="Y269" s="286">
        <v>1.75</v>
      </c>
      <c r="Z269" s="286">
        <v>1.75</v>
      </c>
      <c r="AA269" s="286">
        <v>1.75</v>
      </c>
      <c r="AB269" s="286">
        <v>1.75</v>
      </c>
      <c r="AC269" s="286">
        <v>1.75</v>
      </c>
      <c r="AD269" s="286">
        <v>1.75</v>
      </c>
      <c r="AE269" s="286">
        <v>1.75</v>
      </c>
      <c r="AF269" s="286">
        <v>1.75</v>
      </c>
      <c r="AG269" s="286">
        <v>1.75</v>
      </c>
      <c r="AH269" s="286">
        <v>1.75</v>
      </c>
      <c r="AI269" s="286">
        <v>1.75</v>
      </c>
      <c r="AJ269" s="286">
        <v>1.75</v>
      </c>
      <c r="AK269" s="286">
        <v>1.75</v>
      </c>
      <c r="AL269" s="286">
        <v>1.75</v>
      </c>
      <c r="AM269" s="286">
        <v>1.75</v>
      </c>
      <c r="AN269" s="286">
        <v>1.75</v>
      </c>
      <c r="AO269" s="286">
        <v>1.75</v>
      </c>
      <c r="AP269" s="286">
        <v>1.75</v>
      </c>
      <c r="AQ269" s="286">
        <v>1.75</v>
      </c>
      <c r="AR269" s="286">
        <v>1.75</v>
      </c>
      <c r="AS269" s="286">
        <v>1.75</v>
      </c>
      <c r="AT269" s="286">
        <v>1.75</v>
      </c>
      <c r="AU269" s="286">
        <v>1.75</v>
      </c>
      <c r="AV269" s="286">
        <v>1.75</v>
      </c>
      <c r="AW269" s="286">
        <v>1.75</v>
      </c>
      <c r="AX269" s="286">
        <v>1.75</v>
      </c>
      <c r="AY269" s="286">
        <v>1.75</v>
      </c>
      <c r="AZ269" s="286">
        <v>1.75</v>
      </c>
      <c r="BA269" s="286">
        <v>1.75</v>
      </c>
      <c r="BB269" s="286">
        <v>1.75</v>
      </c>
      <c r="BC269" s="286">
        <v>1.75</v>
      </c>
      <c r="BD269" s="286">
        <v>1.75</v>
      </c>
      <c r="BE269" s="286">
        <v>1.75</v>
      </c>
      <c r="BF269" s="286">
        <v>1.75</v>
      </c>
      <c r="BG269" s="286">
        <v>1.75</v>
      </c>
      <c r="BH269" s="286">
        <v>1.75</v>
      </c>
      <c r="BI269" s="286">
        <v>1.75</v>
      </c>
      <c r="BJ269" s="286">
        <v>1.75</v>
      </c>
      <c r="BK269" s="286">
        <v>1.75</v>
      </c>
      <c r="BL269" s="286">
        <v>1.75</v>
      </c>
      <c r="BM269" s="286">
        <v>1.75</v>
      </c>
      <c r="BN269" s="286">
        <v>1.75</v>
      </c>
      <c r="BO269" s="286">
        <v>1.75</v>
      </c>
      <c r="BP269" s="286">
        <v>1.75</v>
      </c>
      <c r="BQ269" s="286">
        <v>1.75</v>
      </c>
      <c r="BR269" s="286">
        <v>1.75</v>
      </c>
      <c r="BS269" s="286">
        <v>1.75</v>
      </c>
      <c r="BT269" s="286">
        <v>1.75</v>
      </c>
      <c r="BU269" s="286">
        <v>1.75</v>
      </c>
      <c r="BV269" s="286">
        <v>1.75</v>
      </c>
      <c r="BW269" s="286">
        <v>1.75</v>
      </c>
      <c r="BX269" s="286">
        <v>1.75</v>
      </c>
      <c r="BY269" s="286">
        <v>1.75</v>
      </c>
      <c r="BZ269" s="286">
        <v>1.75</v>
      </c>
      <c r="CA269" s="286">
        <v>1.75</v>
      </c>
      <c r="CB269" s="286">
        <v>1.75</v>
      </c>
      <c r="CC269" s="286">
        <v>1.75</v>
      </c>
      <c r="CD269" s="286">
        <v>1.75</v>
      </c>
      <c r="CE269" s="286">
        <v>1.75</v>
      </c>
      <c r="CF269" s="286">
        <v>1.75</v>
      </c>
      <c r="CG269" s="286">
        <v>1.75</v>
      </c>
      <c r="CH269" s="286">
        <v>1.75</v>
      </c>
      <c r="CI269" s="286">
        <v>1.75</v>
      </c>
      <c r="CJ269" s="286">
        <v>1.75</v>
      </c>
      <c r="CK269" s="286">
        <v>1.75</v>
      </c>
      <c r="CL269" s="286">
        <v>1.75</v>
      </c>
      <c r="CM269" s="286">
        <v>1.75</v>
      </c>
      <c r="CN269" s="286">
        <v>1.75</v>
      </c>
      <c r="CO269" s="286">
        <v>1.75</v>
      </c>
      <c r="CP269" s="286">
        <v>1.75</v>
      </c>
      <c r="CQ269" s="286">
        <v>1.75</v>
      </c>
    </row>
    <row r="270" spans="1:95">
      <c r="A270" s="211"/>
      <c r="B270" s="211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458"/>
      <c r="O270" s="458"/>
      <c r="P270" s="458"/>
      <c r="Q270" s="458"/>
      <c r="R270" s="458"/>
      <c r="S270" s="458"/>
      <c r="T270" s="284"/>
      <c r="U270" s="284"/>
      <c r="V270" s="284"/>
      <c r="W270" s="284"/>
      <c r="X270" s="284"/>
      <c r="Y270" s="284"/>
      <c r="Z270" s="284"/>
      <c r="AA270" s="284"/>
      <c r="AB270" s="284"/>
      <c r="AC270" s="284"/>
      <c r="AD270" s="284"/>
      <c r="AE270" s="284"/>
      <c r="AF270" s="284"/>
      <c r="AG270" s="284"/>
      <c r="AH270" s="284"/>
      <c r="AI270" s="284"/>
      <c r="AJ270" s="284"/>
      <c r="AK270" s="284"/>
      <c r="AL270" s="284"/>
      <c r="AM270" s="284"/>
      <c r="AN270" s="284"/>
      <c r="AO270" s="284"/>
      <c r="AP270" s="284"/>
      <c r="AQ270" s="284"/>
      <c r="AR270" s="284"/>
      <c r="AS270" s="284"/>
      <c r="AT270" s="284"/>
      <c r="AU270" s="284"/>
      <c r="AV270" s="284"/>
      <c r="AW270" s="284"/>
      <c r="AX270" s="284"/>
      <c r="AY270" s="284"/>
      <c r="AZ270" s="284"/>
      <c r="BA270" s="284"/>
      <c r="BB270" s="284"/>
      <c r="BC270" s="284"/>
    </row>
    <row r="271" spans="1:95">
      <c r="A271" s="279" t="s">
        <v>281</v>
      </c>
      <c r="B271" s="242" t="s">
        <v>282</v>
      </c>
      <c r="C271" s="227">
        <v>0.44522552400299997</v>
      </c>
      <c r="D271" s="227">
        <v>0.52661663136299997</v>
      </c>
      <c r="E271" s="227">
        <v>0.43613120070900002</v>
      </c>
      <c r="F271" s="227">
        <v>0.63836685257500003</v>
      </c>
      <c r="G271" s="227">
        <v>0.60328543102099996</v>
      </c>
      <c r="H271" s="227">
        <v>0.67242046010400003</v>
      </c>
      <c r="I271" s="227">
        <v>0.53639940844300005</v>
      </c>
      <c r="J271" s="227">
        <v>0.57282934372700001</v>
      </c>
      <c r="K271" s="227">
        <v>0.60890540357800005</v>
      </c>
      <c r="L271" s="227">
        <v>0.67462008443499999</v>
      </c>
      <c r="M271" s="227">
        <v>0.78799569266799996</v>
      </c>
      <c r="N271" s="458">
        <v>0.90549999999999997</v>
      </c>
      <c r="O271" s="458">
        <v>0.97060000000000002</v>
      </c>
      <c r="P271" s="458">
        <v>1.0424</v>
      </c>
      <c r="Q271" s="458">
        <v>1.0173000000000001</v>
      </c>
      <c r="R271" s="458">
        <v>0.94514435703599997</v>
      </c>
      <c r="S271" s="458">
        <v>1</v>
      </c>
      <c r="T271" s="458">
        <v>1.004106445036</v>
      </c>
      <c r="U271" s="458">
        <v>0.87630202922400002</v>
      </c>
      <c r="V271" s="278">
        <f t="shared" ref="V271:BB271" si="498">V269</f>
        <v>1.75</v>
      </c>
      <c r="W271" s="278">
        <f t="shared" si="498"/>
        <v>1.75</v>
      </c>
      <c r="X271" s="278">
        <f t="shared" si="498"/>
        <v>1.75</v>
      </c>
      <c r="Y271" s="278">
        <f t="shared" si="498"/>
        <v>1.75</v>
      </c>
      <c r="Z271" s="278">
        <f t="shared" si="498"/>
        <v>1.75</v>
      </c>
      <c r="AA271" s="278">
        <f t="shared" si="498"/>
        <v>1.75</v>
      </c>
      <c r="AB271" s="278">
        <f t="shared" si="498"/>
        <v>1.75</v>
      </c>
      <c r="AC271" s="278">
        <f t="shared" si="498"/>
        <v>1.75</v>
      </c>
      <c r="AD271" s="278">
        <f t="shared" si="498"/>
        <v>1.75</v>
      </c>
      <c r="AE271" s="278">
        <f t="shared" si="498"/>
        <v>1.75</v>
      </c>
      <c r="AF271" s="278">
        <f t="shared" si="498"/>
        <v>1.75</v>
      </c>
      <c r="AG271" s="278">
        <f t="shared" si="498"/>
        <v>1.75</v>
      </c>
      <c r="AH271" s="278">
        <f t="shared" si="498"/>
        <v>1.75</v>
      </c>
      <c r="AI271" s="278">
        <f t="shared" si="498"/>
        <v>1.75</v>
      </c>
      <c r="AJ271" s="278">
        <f t="shared" si="498"/>
        <v>1.75</v>
      </c>
      <c r="AK271" s="278">
        <f t="shared" si="498"/>
        <v>1.75</v>
      </c>
      <c r="AL271" s="278">
        <f t="shared" si="498"/>
        <v>1.75</v>
      </c>
      <c r="AM271" s="278">
        <f t="shared" si="498"/>
        <v>1.75</v>
      </c>
      <c r="AN271" s="278">
        <f t="shared" si="498"/>
        <v>1.75</v>
      </c>
      <c r="AO271" s="278">
        <f t="shared" si="498"/>
        <v>1.75</v>
      </c>
      <c r="AP271" s="278">
        <f t="shared" si="498"/>
        <v>1.75</v>
      </c>
      <c r="AQ271" s="278">
        <f t="shared" si="498"/>
        <v>1.75</v>
      </c>
      <c r="AR271" s="278">
        <f t="shared" si="498"/>
        <v>1.75</v>
      </c>
      <c r="AS271" s="278">
        <f t="shared" si="498"/>
        <v>1.75</v>
      </c>
      <c r="AT271" s="278">
        <f t="shared" si="498"/>
        <v>1.75</v>
      </c>
      <c r="AU271" s="278">
        <f t="shared" si="498"/>
        <v>1.75</v>
      </c>
      <c r="AV271" s="278">
        <f t="shared" si="498"/>
        <v>1.75</v>
      </c>
      <c r="AW271" s="278">
        <f t="shared" si="498"/>
        <v>1.75</v>
      </c>
      <c r="AX271" s="278">
        <f t="shared" si="498"/>
        <v>1.75</v>
      </c>
      <c r="AY271" s="278">
        <f t="shared" si="498"/>
        <v>1.75</v>
      </c>
      <c r="AZ271" s="278">
        <f t="shared" si="498"/>
        <v>1.75</v>
      </c>
      <c r="BA271" s="278">
        <f t="shared" si="498"/>
        <v>1.75</v>
      </c>
      <c r="BB271" s="278">
        <f t="shared" si="498"/>
        <v>1.75</v>
      </c>
      <c r="BC271" s="278">
        <f>BC269</f>
        <v>1.75</v>
      </c>
      <c r="BD271" s="278">
        <f t="shared" ref="BD271:BM271" si="499">BD269</f>
        <v>1.75</v>
      </c>
      <c r="BE271" s="278">
        <f t="shared" si="499"/>
        <v>1.75</v>
      </c>
      <c r="BF271" s="278">
        <f t="shared" si="499"/>
        <v>1.75</v>
      </c>
      <c r="BG271" s="278">
        <f t="shared" si="499"/>
        <v>1.75</v>
      </c>
      <c r="BH271" s="278">
        <f t="shared" si="499"/>
        <v>1.75</v>
      </c>
      <c r="BI271" s="278">
        <f t="shared" si="499"/>
        <v>1.75</v>
      </c>
      <c r="BJ271" s="278">
        <f t="shared" si="499"/>
        <v>1.75</v>
      </c>
      <c r="BK271" s="278">
        <f t="shared" si="499"/>
        <v>1.75</v>
      </c>
      <c r="BL271" s="278">
        <f t="shared" si="499"/>
        <v>1.75</v>
      </c>
      <c r="BM271" s="278">
        <f t="shared" si="499"/>
        <v>1.75</v>
      </c>
      <c r="BN271" s="278">
        <f t="shared" ref="BN271:CL271" si="500">BN269</f>
        <v>1.75</v>
      </c>
      <c r="BO271" s="278">
        <f t="shared" si="500"/>
        <v>1.75</v>
      </c>
      <c r="BP271" s="278">
        <f t="shared" si="500"/>
        <v>1.75</v>
      </c>
      <c r="BQ271" s="278">
        <f t="shared" si="500"/>
        <v>1.75</v>
      </c>
      <c r="BR271" s="278">
        <f t="shared" si="500"/>
        <v>1.75</v>
      </c>
      <c r="BS271" s="278">
        <f t="shared" si="500"/>
        <v>1.75</v>
      </c>
      <c r="BT271" s="278">
        <f t="shared" si="500"/>
        <v>1.75</v>
      </c>
      <c r="BU271" s="278">
        <f t="shared" si="500"/>
        <v>1.75</v>
      </c>
      <c r="BV271" s="278">
        <f t="shared" si="500"/>
        <v>1.75</v>
      </c>
      <c r="BW271" s="278">
        <f t="shared" si="500"/>
        <v>1.75</v>
      </c>
      <c r="BX271" s="278">
        <f t="shared" si="500"/>
        <v>1.75</v>
      </c>
      <c r="BY271" s="278">
        <f t="shared" si="500"/>
        <v>1.75</v>
      </c>
      <c r="BZ271" s="278">
        <f t="shared" si="500"/>
        <v>1.75</v>
      </c>
      <c r="CA271" s="278">
        <f t="shared" si="500"/>
        <v>1.75</v>
      </c>
      <c r="CB271" s="278">
        <f t="shared" si="500"/>
        <v>1.75</v>
      </c>
      <c r="CC271" s="278">
        <f t="shared" si="500"/>
        <v>1.75</v>
      </c>
      <c r="CD271" s="278">
        <f t="shared" si="500"/>
        <v>1.75</v>
      </c>
      <c r="CE271" s="278">
        <f t="shared" si="500"/>
        <v>1.75</v>
      </c>
      <c r="CF271" s="278">
        <f t="shared" si="500"/>
        <v>1.75</v>
      </c>
      <c r="CG271" s="278">
        <f t="shared" si="500"/>
        <v>1.75</v>
      </c>
      <c r="CH271" s="278">
        <f t="shared" si="500"/>
        <v>1.75</v>
      </c>
      <c r="CI271" s="278">
        <f t="shared" si="500"/>
        <v>1.75</v>
      </c>
      <c r="CJ271" s="278">
        <f t="shared" si="500"/>
        <v>1.75</v>
      </c>
      <c r="CK271" s="278">
        <f t="shared" si="500"/>
        <v>1.75</v>
      </c>
      <c r="CL271" s="278">
        <f t="shared" si="500"/>
        <v>1.75</v>
      </c>
      <c r="CM271" s="278">
        <f t="shared" ref="CM271:CQ271" si="501">CM269</f>
        <v>1.75</v>
      </c>
      <c r="CN271" s="278">
        <f t="shared" si="501"/>
        <v>1.75</v>
      </c>
      <c r="CO271" s="278">
        <f t="shared" si="501"/>
        <v>1.75</v>
      </c>
      <c r="CP271" s="278">
        <f t="shared" si="501"/>
        <v>1.75</v>
      </c>
      <c r="CQ271" s="278">
        <f t="shared" si="501"/>
        <v>1.75</v>
      </c>
    </row>
    <row r="272" spans="1:95">
      <c r="A272" s="211"/>
      <c r="B272" s="211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458"/>
      <c r="O272" s="458"/>
      <c r="P272" s="458"/>
      <c r="Q272" s="458"/>
      <c r="R272" s="458"/>
      <c r="S272" s="458"/>
      <c r="T272" s="284"/>
      <c r="U272" s="458"/>
      <c r="V272" s="284"/>
      <c r="W272" s="284"/>
      <c r="X272" s="284"/>
      <c r="Y272" s="284"/>
      <c r="Z272" s="284"/>
      <c r="AA272" s="284"/>
      <c r="AB272" s="284"/>
      <c r="AC272" s="284"/>
      <c r="AD272" s="284"/>
      <c r="AE272" s="284"/>
      <c r="AF272" s="284"/>
      <c r="AG272" s="284"/>
      <c r="AH272" s="284"/>
      <c r="AI272" s="284"/>
      <c r="AJ272" s="284"/>
      <c r="AK272" s="284"/>
      <c r="AL272" s="284"/>
      <c r="AM272" s="284"/>
      <c r="AN272" s="284"/>
      <c r="AO272" s="284"/>
      <c r="AP272" s="284"/>
      <c r="AQ272" s="284"/>
      <c r="AR272" s="284"/>
      <c r="AS272" s="284"/>
      <c r="AT272" s="284"/>
      <c r="AU272" s="284"/>
      <c r="AV272" s="284"/>
      <c r="AW272" s="284"/>
      <c r="AX272" s="284"/>
      <c r="AY272" s="284"/>
      <c r="AZ272" s="284"/>
      <c r="BA272" s="284"/>
      <c r="BB272" s="284"/>
      <c r="BC272" s="284"/>
    </row>
    <row r="273" spans="1:95">
      <c r="A273" s="277" t="s">
        <v>283</v>
      </c>
      <c r="B273" s="242" t="s">
        <v>284</v>
      </c>
      <c r="C273" s="227">
        <v>0.51162586023699996</v>
      </c>
      <c r="D273" s="227">
        <v>0.57125383198699997</v>
      </c>
      <c r="E273" s="227">
        <v>0.51905829042200002</v>
      </c>
      <c r="F273" s="227">
        <v>0.61211099372599997</v>
      </c>
      <c r="G273" s="227">
        <v>0.60165368226299998</v>
      </c>
      <c r="H273" s="227">
        <v>0.63391563771399995</v>
      </c>
      <c r="I273" s="227">
        <v>0.57367883658200003</v>
      </c>
      <c r="J273" s="227">
        <v>0.60402985012499999</v>
      </c>
      <c r="K273" s="227">
        <v>0.64593773312799996</v>
      </c>
      <c r="L273" s="227">
        <v>0.72989351704000005</v>
      </c>
      <c r="M273" s="227">
        <v>0.81745782896200003</v>
      </c>
      <c r="N273" s="458">
        <v>0.88049999999999995</v>
      </c>
      <c r="O273" s="458">
        <v>0.9335</v>
      </c>
      <c r="P273" s="458">
        <v>0.99839999999999995</v>
      </c>
      <c r="Q273" s="458">
        <v>0.98629999999999995</v>
      </c>
      <c r="R273" s="458">
        <v>0.94518630277100002</v>
      </c>
      <c r="S273" s="458">
        <v>1</v>
      </c>
      <c r="T273" s="142">
        <v>1.0152868833369999</v>
      </c>
      <c r="U273" s="458">
        <v>0.90151377947699995</v>
      </c>
      <c r="V273" s="142" t="s">
        <v>300</v>
      </c>
      <c r="W273" s="142" t="s">
        <v>300</v>
      </c>
      <c r="X273" s="142" t="s">
        <v>300</v>
      </c>
      <c r="Y273" s="142" t="s">
        <v>300</v>
      </c>
      <c r="Z273" s="142" t="s">
        <v>300</v>
      </c>
      <c r="AA273" s="142" t="s">
        <v>300</v>
      </c>
      <c r="AB273" s="142" t="s">
        <v>300</v>
      </c>
      <c r="AC273" s="142" t="s">
        <v>300</v>
      </c>
      <c r="AD273" s="142" t="s">
        <v>300</v>
      </c>
      <c r="AE273" s="142" t="s">
        <v>300</v>
      </c>
      <c r="AF273" s="142" t="s">
        <v>300</v>
      </c>
      <c r="AG273" s="142" t="s">
        <v>300</v>
      </c>
      <c r="AH273" s="142" t="s">
        <v>300</v>
      </c>
      <c r="AI273" s="142" t="s">
        <v>300</v>
      </c>
      <c r="AJ273" s="142" t="s">
        <v>300</v>
      </c>
      <c r="AK273" s="142" t="s">
        <v>300</v>
      </c>
      <c r="AL273" s="142" t="s">
        <v>300</v>
      </c>
      <c r="AM273" s="142" t="s">
        <v>300</v>
      </c>
      <c r="AN273" s="142" t="s">
        <v>300</v>
      </c>
      <c r="AO273" s="142" t="s">
        <v>300</v>
      </c>
      <c r="AP273" s="142" t="s">
        <v>300</v>
      </c>
      <c r="AQ273" s="142" t="s">
        <v>300</v>
      </c>
      <c r="AR273" s="142" t="s">
        <v>300</v>
      </c>
      <c r="AS273" s="142" t="s">
        <v>300</v>
      </c>
      <c r="AT273" s="142" t="s">
        <v>300</v>
      </c>
      <c r="AU273" s="142" t="s">
        <v>300</v>
      </c>
      <c r="AV273" s="142" t="s">
        <v>300</v>
      </c>
      <c r="AW273" s="142" t="s">
        <v>300</v>
      </c>
      <c r="AX273" s="142" t="s">
        <v>300</v>
      </c>
      <c r="AY273" s="142" t="s">
        <v>300</v>
      </c>
      <c r="AZ273" s="142" t="s">
        <v>300</v>
      </c>
      <c r="BA273" s="142" t="s">
        <v>300</v>
      </c>
      <c r="BB273" s="142" t="s">
        <v>300</v>
      </c>
      <c r="BC273" s="142" t="s">
        <v>300</v>
      </c>
      <c r="BD273" s="142" t="s">
        <v>300</v>
      </c>
      <c r="BE273" s="142" t="s">
        <v>300</v>
      </c>
      <c r="BF273" s="142" t="s">
        <v>300</v>
      </c>
      <c r="BG273" s="142" t="s">
        <v>300</v>
      </c>
      <c r="BH273" s="142" t="s">
        <v>300</v>
      </c>
      <c r="BI273" s="142" t="s">
        <v>300</v>
      </c>
      <c r="BJ273" s="142" t="s">
        <v>300</v>
      </c>
      <c r="BK273" s="142" t="s">
        <v>300</v>
      </c>
      <c r="BL273" s="142" t="s">
        <v>300</v>
      </c>
      <c r="BM273" s="142" t="s">
        <v>300</v>
      </c>
    </row>
    <row r="274" spans="1:95">
      <c r="A274" s="242"/>
      <c r="B274" s="242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458"/>
      <c r="O274" s="458"/>
      <c r="P274" s="458"/>
      <c r="Q274" s="458"/>
      <c r="R274" s="458"/>
      <c r="S274" s="458"/>
      <c r="T274" s="281"/>
      <c r="U274" s="458"/>
      <c r="V274" s="281"/>
      <c r="W274" s="281"/>
      <c r="X274" s="281"/>
      <c r="Y274" s="281"/>
      <c r="Z274" s="281"/>
      <c r="AA274" s="281"/>
      <c r="AB274" s="281"/>
      <c r="AC274" s="281"/>
      <c r="AD274" s="281"/>
      <c r="AE274" s="281"/>
      <c r="AF274" s="281"/>
      <c r="AG274" s="281"/>
      <c r="AH274" s="281"/>
      <c r="AI274" s="281"/>
      <c r="AJ274" s="281"/>
      <c r="AK274" s="281"/>
      <c r="AL274" s="281"/>
      <c r="AM274" s="281"/>
      <c r="AN274" s="281"/>
      <c r="AO274" s="281"/>
      <c r="AP274" s="281"/>
      <c r="AQ274" s="281"/>
      <c r="AR274" s="281"/>
      <c r="AS274" s="281"/>
      <c r="AT274" s="281"/>
      <c r="AU274" s="281"/>
      <c r="AV274" s="281"/>
      <c r="AW274" s="281"/>
      <c r="AX274" s="281"/>
      <c r="AY274" s="281"/>
      <c r="AZ274" s="281"/>
      <c r="BA274" s="281"/>
      <c r="BB274" s="281"/>
      <c r="BC274" s="281"/>
    </row>
    <row r="275" spans="1:95">
      <c r="A275" s="276" t="s">
        <v>436</v>
      </c>
      <c r="B275" s="211" t="s">
        <v>285</v>
      </c>
      <c r="C275" s="228">
        <v>0.82271225746400001</v>
      </c>
      <c r="D275" s="228">
        <v>0.93270585001999995</v>
      </c>
      <c r="E275" s="228">
        <v>1.1124282824239999</v>
      </c>
      <c r="F275" s="228">
        <v>1.1565247892770001</v>
      </c>
      <c r="G275" s="228">
        <v>1.022095586342</v>
      </c>
      <c r="H275" s="228">
        <v>1.025399997207</v>
      </c>
      <c r="I275" s="228">
        <v>1.003266351658</v>
      </c>
      <c r="J275" s="228">
        <v>1.058427849896</v>
      </c>
      <c r="K275" s="228">
        <v>1.122044007517</v>
      </c>
      <c r="L275" s="228">
        <v>0.93191163557599999</v>
      </c>
      <c r="M275" s="228">
        <v>1.05774784855</v>
      </c>
      <c r="N275" s="458">
        <v>1.1516999999999999</v>
      </c>
      <c r="O275" s="458">
        <v>1.1386000000000001</v>
      </c>
      <c r="P275" s="458">
        <v>0.92820000000000003</v>
      </c>
      <c r="Q275" s="458">
        <v>0.86409999999999998</v>
      </c>
      <c r="R275" s="458">
        <v>0.98866795069700297</v>
      </c>
      <c r="S275" s="458">
        <v>1.0175320588140098</v>
      </c>
      <c r="T275" s="458">
        <v>0.99406741546057786</v>
      </c>
      <c r="U275" s="458">
        <v>1.0096734453642664</v>
      </c>
      <c r="V275" s="286">
        <v>1.75</v>
      </c>
      <c r="W275" s="286">
        <v>1.75</v>
      </c>
      <c r="X275" s="286">
        <v>1.75</v>
      </c>
      <c r="Y275" s="286">
        <v>1.75</v>
      </c>
      <c r="Z275" s="286">
        <v>1.75</v>
      </c>
      <c r="AA275" s="286">
        <v>1.75</v>
      </c>
      <c r="AB275" s="286">
        <v>1.75</v>
      </c>
      <c r="AC275" s="286">
        <v>1.75</v>
      </c>
      <c r="AD275" s="286">
        <v>1.75</v>
      </c>
      <c r="AE275" s="286">
        <v>1.75</v>
      </c>
      <c r="AF275" s="286">
        <v>1.75</v>
      </c>
      <c r="AG275" s="286">
        <v>1.75</v>
      </c>
      <c r="AH275" s="286">
        <v>1.75</v>
      </c>
      <c r="AI275" s="286">
        <v>1.75</v>
      </c>
      <c r="AJ275" s="286">
        <v>1.75</v>
      </c>
      <c r="AK275" s="286">
        <v>1.75</v>
      </c>
      <c r="AL275" s="286">
        <v>1.75</v>
      </c>
      <c r="AM275" s="286">
        <v>1.75</v>
      </c>
      <c r="AN275" s="286">
        <v>1.75</v>
      </c>
      <c r="AO275" s="286">
        <v>1.75</v>
      </c>
      <c r="AP275" s="286">
        <v>1.75</v>
      </c>
      <c r="AQ275" s="286">
        <v>1.75</v>
      </c>
      <c r="AR275" s="286">
        <v>1.75</v>
      </c>
      <c r="AS275" s="286">
        <v>1.75</v>
      </c>
      <c r="AT275" s="286">
        <v>1.75</v>
      </c>
      <c r="AU275" s="286">
        <v>1.75</v>
      </c>
      <c r="AV275" s="286">
        <v>1.75</v>
      </c>
      <c r="AW275" s="286">
        <v>1.75</v>
      </c>
      <c r="AX275" s="286">
        <v>1.75</v>
      </c>
      <c r="AY275" s="286">
        <v>1.75</v>
      </c>
      <c r="AZ275" s="286">
        <v>1.75</v>
      </c>
      <c r="BA275" s="286">
        <v>1.75</v>
      </c>
      <c r="BB275" s="286">
        <v>1.75</v>
      </c>
      <c r="BC275" s="286">
        <v>1.75</v>
      </c>
      <c r="BD275" s="286">
        <v>1.75</v>
      </c>
      <c r="BE275" s="286">
        <v>1.75</v>
      </c>
      <c r="BF275" s="286">
        <v>1.75</v>
      </c>
      <c r="BG275" s="286">
        <v>1.75</v>
      </c>
      <c r="BH275" s="286">
        <v>1.75</v>
      </c>
      <c r="BI275" s="286">
        <v>1.75</v>
      </c>
      <c r="BJ275" s="286">
        <v>1.75</v>
      </c>
      <c r="BK275" s="286">
        <v>1.75</v>
      </c>
      <c r="BL275" s="286">
        <v>1.75</v>
      </c>
      <c r="BM275" s="286">
        <v>1.75</v>
      </c>
      <c r="BN275" s="286">
        <v>1.75</v>
      </c>
      <c r="BO275" s="286">
        <v>1.75</v>
      </c>
      <c r="BP275" s="286">
        <v>1.75</v>
      </c>
      <c r="BQ275" s="286">
        <v>1.75</v>
      </c>
      <c r="BR275" s="286">
        <v>1.75</v>
      </c>
      <c r="BS275" s="286">
        <v>1.75</v>
      </c>
      <c r="BT275" s="286">
        <v>1.75</v>
      </c>
      <c r="BU275" s="286">
        <v>1.75</v>
      </c>
      <c r="BV275" s="286">
        <v>1.75</v>
      </c>
      <c r="BW275" s="286">
        <v>1.75</v>
      </c>
      <c r="BX275" s="286">
        <v>1.75</v>
      </c>
      <c r="BY275" s="286">
        <v>1.75</v>
      </c>
      <c r="BZ275" s="286">
        <v>1.75</v>
      </c>
      <c r="CA275" s="286">
        <v>1.75</v>
      </c>
      <c r="CB275" s="286">
        <v>1.75</v>
      </c>
      <c r="CC275" s="286">
        <v>1.75</v>
      </c>
      <c r="CD275" s="286">
        <v>1.75</v>
      </c>
      <c r="CE275" s="286">
        <v>1.75</v>
      </c>
      <c r="CF275" s="286">
        <v>1.75</v>
      </c>
      <c r="CG275" s="286">
        <v>1.75</v>
      </c>
      <c r="CH275" s="286">
        <v>1.75</v>
      </c>
      <c r="CI275" s="286">
        <v>1.75</v>
      </c>
      <c r="CJ275" s="286">
        <v>1.75</v>
      </c>
      <c r="CK275" s="286">
        <v>1.75</v>
      </c>
      <c r="CL275" s="286">
        <v>1.75</v>
      </c>
      <c r="CM275" s="286">
        <v>1.75</v>
      </c>
      <c r="CN275" s="286">
        <v>1.75</v>
      </c>
      <c r="CO275" s="286">
        <v>1.75</v>
      </c>
      <c r="CP275" s="286">
        <v>1.75</v>
      </c>
      <c r="CQ275" s="286">
        <v>1.75</v>
      </c>
    </row>
    <row r="276" spans="1:95">
      <c r="A276" s="242"/>
      <c r="B276" s="242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458"/>
      <c r="O276" s="458"/>
      <c r="P276" s="458"/>
      <c r="Q276" s="458"/>
      <c r="R276" s="458"/>
      <c r="S276" s="458"/>
      <c r="T276" s="281"/>
      <c r="U276" s="281"/>
      <c r="V276" s="281"/>
      <c r="W276" s="281"/>
      <c r="X276" s="281"/>
      <c r="Y276" s="281"/>
      <c r="Z276" s="281"/>
      <c r="AA276" s="281"/>
      <c r="AB276" s="281"/>
      <c r="AC276" s="281"/>
      <c r="AD276" s="281"/>
      <c r="AE276" s="281"/>
      <c r="AF276" s="281"/>
      <c r="AG276" s="281"/>
      <c r="AH276" s="281"/>
      <c r="AI276" s="281"/>
      <c r="AJ276" s="281"/>
      <c r="AK276" s="281"/>
      <c r="AL276" s="281"/>
      <c r="AM276" s="281"/>
      <c r="AN276" s="281"/>
      <c r="AO276" s="281"/>
      <c r="AP276" s="281"/>
      <c r="AQ276" s="281"/>
      <c r="AR276" s="281"/>
      <c r="AS276" s="281"/>
      <c r="AT276" s="281"/>
      <c r="AU276" s="281"/>
      <c r="AV276" s="281"/>
      <c r="AW276" s="281"/>
      <c r="AX276" s="281"/>
      <c r="AY276" s="281"/>
      <c r="AZ276" s="281"/>
      <c r="BA276" s="281"/>
      <c r="BB276" s="281"/>
      <c r="BC276" s="281"/>
    </row>
    <row r="277" spans="1:95">
      <c r="A277" s="285" t="s">
        <v>286</v>
      </c>
      <c r="B277" s="242" t="s">
        <v>287</v>
      </c>
      <c r="C277" s="227">
        <v>1.416190655881</v>
      </c>
      <c r="D277" s="227">
        <v>1.7237824054999999</v>
      </c>
      <c r="E277" s="227">
        <v>2.261222787146</v>
      </c>
      <c r="F277" s="227">
        <v>1.519902269885</v>
      </c>
      <c r="G277" s="227">
        <v>1.073477197606</v>
      </c>
      <c r="H277" s="227">
        <v>1.0571051180369999</v>
      </c>
      <c r="I277" s="227">
        <v>1.0035191063369999</v>
      </c>
      <c r="J277" s="227">
        <v>9.0467294501609992</v>
      </c>
      <c r="K277" s="227">
        <v>2.9241923043089999</v>
      </c>
      <c r="L277" s="227">
        <v>1.310740199466</v>
      </c>
      <c r="M277" s="227">
        <v>2.2145356040180002</v>
      </c>
      <c r="N277" s="458">
        <v>1.1303000000000001</v>
      </c>
      <c r="O277" s="458">
        <v>1.0535000000000001</v>
      </c>
      <c r="P277" s="458">
        <v>0.88300000000000001</v>
      </c>
      <c r="Q277" s="458">
        <v>0.83509999999999995</v>
      </c>
      <c r="R277" s="458">
        <v>1.1648662228590001</v>
      </c>
      <c r="S277" s="458">
        <v>1</v>
      </c>
      <c r="T277" s="281">
        <v>0.913683715457</v>
      </c>
      <c r="U277" s="281">
        <v>1.012889226028</v>
      </c>
      <c r="V277" s="281">
        <f t="shared" ref="V277:BM277" si="502">V275</f>
        <v>1.75</v>
      </c>
      <c r="W277" s="281">
        <f t="shared" si="502"/>
        <v>1.75</v>
      </c>
      <c r="X277" s="281">
        <f t="shared" si="502"/>
        <v>1.75</v>
      </c>
      <c r="Y277" s="281">
        <f t="shared" si="502"/>
        <v>1.75</v>
      </c>
      <c r="Z277" s="281">
        <f t="shared" si="502"/>
        <v>1.75</v>
      </c>
      <c r="AA277" s="281">
        <f t="shared" si="502"/>
        <v>1.75</v>
      </c>
      <c r="AB277" s="281">
        <f t="shared" si="502"/>
        <v>1.75</v>
      </c>
      <c r="AC277" s="281">
        <f t="shared" si="502"/>
        <v>1.75</v>
      </c>
      <c r="AD277" s="281">
        <f t="shared" si="502"/>
        <v>1.75</v>
      </c>
      <c r="AE277" s="281">
        <f t="shared" si="502"/>
        <v>1.75</v>
      </c>
      <c r="AF277" s="281">
        <f t="shared" si="502"/>
        <v>1.75</v>
      </c>
      <c r="AG277" s="281">
        <f t="shared" si="502"/>
        <v>1.75</v>
      </c>
      <c r="AH277" s="281">
        <f t="shared" si="502"/>
        <v>1.75</v>
      </c>
      <c r="AI277" s="281">
        <f t="shared" si="502"/>
        <v>1.75</v>
      </c>
      <c r="AJ277" s="281">
        <f t="shared" si="502"/>
        <v>1.75</v>
      </c>
      <c r="AK277" s="281">
        <f t="shared" si="502"/>
        <v>1.75</v>
      </c>
      <c r="AL277" s="281">
        <f t="shared" si="502"/>
        <v>1.75</v>
      </c>
      <c r="AM277" s="281">
        <f t="shared" si="502"/>
        <v>1.75</v>
      </c>
      <c r="AN277" s="281">
        <f t="shared" si="502"/>
        <v>1.75</v>
      </c>
      <c r="AO277" s="281">
        <f t="shared" si="502"/>
        <v>1.75</v>
      </c>
      <c r="AP277" s="281">
        <f t="shared" si="502"/>
        <v>1.75</v>
      </c>
      <c r="AQ277" s="281">
        <f t="shared" si="502"/>
        <v>1.75</v>
      </c>
      <c r="AR277" s="281">
        <f t="shared" si="502"/>
        <v>1.75</v>
      </c>
      <c r="AS277" s="281">
        <f t="shared" si="502"/>
        <v>1.75</v>
      </c>
      <c r="AT277" s="281">
        <f t="shared" si="502"/>
        <v>1.75</v>
      </c>
      <c r="AU277" s="281">
        <f t="shared" si="502"/>
        <v>1.75</v>
      </c>
      <c r="AV277" s="281">
        <f t="shared" si="502"/>
        <v>1.75</v>
      </c>
      <c r="AW277" s="281">
        <f t="shared" si="502"/>
        <v>1.75</v>
      </c>
      <c r="AX277" s="281">
        <f t="shared" si="502"/>
        <v>1.75</v>
      </c>
      <c r="AY277" s="281">
        <f t="shared" si="502"/>
        <v>1.75</v>
      </c>
      <c r="AZ277" s="281">
        <f t="shared" si="502"/>
        <v>1.75</v>
      </c>
      <c r="BA277" s="281">
        <f t="shared" si="502"/>
        <v>1.75</v>
      </c>
      <c r="BB277" s="281">
        <f t="shared" si="502"/>
        <v>1.75</v>
      </c>
      <c r="BC277" s="281">
        <f t="shared" si="502"/>
        <v>1.75</v>
      </c>
      <c r="BD277" s="281">
        <f t="shared" si="502"/>
        <v>1.75</v>
      </c>
      <c r="BE277" s="281">
        <f t="shared" si="502"/>
        <v>1.75</v>
      </c>
      <c r="BF277" s="281">
        <f t="shared" si="502"/>
        <v>1.75</v>
      </c>
      <c r="BG277" s="281">
        <f t="shared" si="502"/>
        <v>1.75</v>
      </c>
      <c r="BH277" s="281">
        <f t="shared" si="502"/>
        <v>1.75</v>
      </c>
      <c r="BI277" s="281">
        <f t="shared" si="502"/>
        <v>1.75</v>
      </c>
      <c r="BJ277" s="281">
        <f t="shared" si="502"/>
        <v>1.75</v>
      </c>
      <c r="BK277" s="281">
        <f t="shared" si="502"/>
        <v>1.75</v>
      </c>
      <c r="BL277" s="281">
        <f t="shared" si="502"/>
        <v>1.75</v>
      </c>
      <c r="BM277" s="281">
        <f t="shared" si="502"/>
        <v>1.75</v>
      </c>
      <c r="BN277" s="281">
        <f t="shared" ref="BN277:CL277" si="503">BN275</f>
        <v>1.75</v>
      </c>
      <c r="BO277" s="281">
        <f t="shared" si="503"/>
        <v>1.75</v>
      </c>
      <c r="BP277" s="281">
        <f t="shared" si="503"/>
        <v>1.75</v>
      </c>
      <c r="BQ277" s="281">
        <f t="shared" si="503"/>
        <v>1.75</v>
      </c>
      <c r="BR277" s="281">
        <f t="shared" si="503"/>
        <v>1.75</v>
      </c>
      <c r="BS277" s="281">
        <f t="shared" si="503"/>
        <v>1.75</v>
      </c>
      <c r="BT277" s="281">
        <f t="shared" si="503"/>
        <v>1.75</v>
      </c>
      <c r="BU277" s="281">
        <f t="shared" si="503"/>
        <v>1.75</v>
      </c>
      <c r="BV277" s="281">
        <f t="shared" si="503"/>
        <v>1.75</v>
      </c>
      <c r="BW277" s="281">
        <f t="shared" si="503"/>
        <v>1.75</v>
      </c>
      <c r="BX277" s="281">
        <f t="shared" si="503"/>
        <v>1.75</v>
      </c>
      <c r="BY277" s="281">
        <f t="shared" si="503"/>
        <v>1.75</v>
      </c>
      <c r="BZ277" s="281">
        <f t="shared" si="503"/>
        <v>1.75</v>
      </c>
      <c r="CA277" s="281">
        <f t="shared" si="503"/>
        <v>1.75</v>
      </c>
      <c r="CB277" s="281">
        <f t="shared" si="503"/>
        <v>1.75</v>
      </c>
      <c r="CC277" s="281">
        <f t="shared" si="503"/>
        <v>1.75</v>
      </c>
      <c r="CD277" s="281">
        <f t="shared" si="503"/>
        <v>1.75</v>
      </c>
      <c r="CE277" s="281">
        <f t="shared" si="503"/>
        <v>1.75</v>
      </c>
      <c r="CF277" s="281">
        <f t="shared" si="503"/>
        <v>1.75</v>
      </c>
      <c r="CG277" s="281">
        <f t="shared" si="503"/>
        <v>1.75</v>
      </c>
      <c r="CH277" s="281">
        <f t="shared" si="503"/>
        <v>1.75</v>
      </c>
      <c r="CI277" s="281">
        <f t="shared" si="503"/>
        <v>1.75</v>
      </c>
      <c r="CJ277" s="281">
        <f t="shared" si="503"/>
        <v>1.75</v>
      </c>
      <c r="CK277" s="281">
        <f t="shared" si="503"/>
        <v>1.75</v>
      </c>
      <c r="CL277" s="281">
        <f t="shared" si="503"/>
        <v>1.75</v>
      </c>
      <c r="CM277" s="281">
        <f t="shared" ref="CM277:CQ277" si="504">CM275</f>
        <v>1.75</v>
      </c>
      <c r="CN277" s="281">
        <f t="shared" si="504"/>
        <v>1.75</v>
      </c>
      <c r="CO277" s="281">
        <f t="shared" si="504"/>
        <v>1.75</v>
      </c>
      <c r="CP277" s="281">
        <f t="shared" si="504"/>
        <v>1.75</v>
      </c>
      <c r="CQ277" s="281">
        <f t="shared" si="504"/>
        <v>1.75</v>
      </c>
    </row>
    <row r="278" spans="1:95">
      <c r="A278" s="285"/>
      <c r="B278" s="242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458"/>
      <c r="O278" s="458"/>
      <c r="P278" s="458"/>
      <c r="Q278" s="459"/>
      <c r="R278" s="459"/>
      <c r="S278" s="458"/>
      <c r="T278" s="281"/>
      <c r="U278" s="281"/>
      <c r="V278" s="281"/>
      <c r="W278" s="281"/>
      <c r="X278" s="281"/>
      <c r="Y278" s="281"/>
      <c r="Z278" s="281"/>
      <c r="AA278" s="281"/>
      <c r="AB278" s="281"/>
      <c r="AC278" s="281"/>
      <c r="AD278" s="281"/>
      <c r="AE278" s="281"/>
      <c r="AF278" s="281"/>
      <c r="AG278" s="281"/>
      <c r="AH278" s="281"/>
      <c r="AI278" s="281"/>
      <c r="AJ278" s="281"/>
      <c r="AK278" s="281"/>
      <c r="AL278" s="281"/>
      <c r="AM278" s="281"/>
      <c r="AN278" s="281"/>
      <c r="AO278" s="281"/>
      <c r="AP278" s="281"/>
      <c r="AQ278" s="281"/>
      <c r="AR278" s="281"/>
      <c r="AS278" s="281"/>
      <c r="AT278" s="281"/>
      <c r="AU278" s="281"/>
      <c r="AV278" s="281"/>
      <c r="AW278" s="281"/>
      <c r="AX278" s="281"/>
      <c r="AY278" s="281"/>
      <c r="AZ278" s="281"/>
      <c r="BA278" s="281"/>
      <c r="BB278" s="281"/>
      <c r="BC278" s="281"/>
    </row>
    <row r="279" spans="1:95">
      <c r="A279" s="275" t="s">
        <v>395</v>
      </c>
      <c r="B279" s="242" t="s">
        <v>458</v>
      </c>
      <c r="C279" s="228">
        <v>0.29545218118299998</v>
      </c>
      <c r="D279" s="228">
        <v>0.34855476677399999</v>
      </c>
      <c r="E279" s="228">
        <v>0.60048537835399995</v>
      </c>
      <c r="F279" s="228">
        <v>0.52487410573000004</v>
      </c>
      <c r="G279" s="228">
        <v>0.43414271551</v>
      </c>
      <c r="H279" s="228">
        <v>0.49351400556699998</v>
      </c>
      <c r="I279" s="228">
        <v>0.59669332676200004</v>
      </c>
      <c r="J279" s="228">
        <v>0.72737236950100004</v>
      </c>
      <c r="K279" s="228">
        <v>0.86429604306899999</v>
      </c>
      <c r="L279" s="228">
        <v>0.90329926004700001</v>
      </c>
      <c r="M279" s="228">
        <v>1.0768450590109999</v>
      </c>
      <c r="N279" s="458">
        <v>0.61529999999999996</v>
      </c>
      <c r="O279" s="458">
        <v>0.81669999999999998</v>
      </c>
      <c r="P279" s="458">
        <v>0.99719999999999998</v>
      </c>
      <c r="Q279" s="458">
        <v>1.0580000000000001</v>
      </c>
      <c r="R279" s="460">
        <v>1.0057173402277999</v>
      </c>
      <c r="S279" s="460">
        <v>1.001067079662918</v>
      </c>
      <c r="T279" s="460">
        <v>0.78529741208684956</v>
      </c>
      <c r="U279" s="460">
        <v>0.67138558851543872</v>
      </c>
      <c r="V279" s="274">
        <f t="shared" ref="V279:BA279" si="505">V49</f>
        <v>28.976676461386418</v>
      </c>
      <c r="W279" s="274">
        <f t="shared" si="505"/>
        <v>17.620545489764218</v>
      </c>
      <c r="X279" s="274">
        <f t="shared" si="505"/>
        <v>-5.7887786676523723</v>
      </c>
      <c r="Y279" s="274">
        <f t="shared" si="505"/>
        <v>-26.159668042749797</v>
      </c>
      <c r="Z279" s="274">
        <f t="shared" si="505"/>
        <v>39.900262431981282</v>
      </c>
      <c r="AA279" s="274">
        <f t="shared" si="505"/>
        <v>82.584465427092127</v>
      </c>
      <c r="AB279" s="274">
        <f t="shared" si="505"/>
        <v>-6.5551139067935971</v>
      </c>
      <c r="AC279" s="274">
        <f t="shared" si="505"/>
        <v>-12.785134023953059</v>
      </c>
      <c r="AD279" s="274">
        <f t="shared" si="505"/>
        <v>-15.47971338890164</v>
      </c>
      <c r="AE279" s="274">
        <f t="shared" si="505"/>
        <v>-5.5463364591059268</v>
      </c>
      <c r="AF279" s="274">
        <f t="shared" si="505"/>
        <v>-3.5063177819694147E-2</v>
      </c>
      <c r="AG279" s="274">
        <f t="shared" si="505"/>
        <v>0.48310411061043279</v>
      </c>
      <c r="AH279" s="274">
        <f t="shared" si="505"/>
        <v>0.8000792564576642</v>
      </c>
      <c r="AI279" s="274">
        <f t="shared" si="505"/>
        <v>0.4542538992328593</v>
      </c>
      <c r="AJ279" s="274">
        <f t="shared" si="505"/>
        <v>4.7228775338230777</v>
      </c>
      <c r="AK279" s="274">
        <f t="shared" si="505"/>
        <v>4.658825525300192</v>
      </c>
      <c r="AL279" s="274">
        <f t="shared" si="505"/>
        <v>4.8663917570498372</v>
      </c>
      <c r="AM279" s="274">
        <f t="shared" si="505"/>
        <v>4.7153403771261315</v>
      </c>
      <c r="AN279" s="274">
        <f t="shared" si="505"/>
        <v>4.9920819961902785</v>
      </c>
      <c r="AO279" s="274">
        <f t="shared" si="505"/>
        <v>2.8827818688798912</v>
      </c>
      <c r="AP279" s="274">
        <f t="shared" si="505"/>
        <v>2.9697219155402799</v>
      </c>
      <c r="AQ279" s="274">
        <f t="shared" si="505"/>
        <v>3.1597723957026203</v>
      </c>
      <c r="AR279" s="274">
        <f t="shared" si="505"/>
        <v>2.5442023126178048</v>
      </c>
      <c r="AS279" s="274">
        <f t="shared" si="505"/>
        <v>2.1666647617693435</v>
      </c>
      <c r="AT279" s="274">
        <f t="shared" si="505"/>
        <v>0.52471545468519842</v>
      </c>
      <c r="AU279" s="274">
        <f t="shared" si="505"/>
        <v>2.8058203758471345</v>
      </c>
      <c r="AV279" s="274">
        <f t="shared" si="505"/>
        <v>3.2458984416499304</v>
      </c>
      <c r="AW279" s="274">
        <f t="shared" si="505"/>
        <v>3.7960809757550784</v>
      </c>
      <c r="AX279" s="274">
        <f t="shared" si="505"/>
        <v>2.885147181704717</v>
      </c>
      <c r="AY279" s="274">
        <f t="shared" si="505"/>
        <v>4.2472125122781978</v>
      </c>
      <c r="AZ279" s="274">
        <f t="shared" si="505"/>
        <v>3.329846731658348</v>
      </c>
      <c r="BA279" s="274">
        <f t="shared" si="505"/>
        <v>4.9658075375571764</v>
      </c>
      <c r="BB279" s="274">
        <f t="shared" ref="BB279:CL279" si="506">BB49</f>
        <v>4.2005750981617185</v>
      </c>
      <c r="BC279" s="274">
        <f t="shared" si="506"/>
        <v>0.57246841021707517</v>
      </c>
      <c r="BD279" s="274">
        <f t="shared" si="506"/>
        <v>0.81807203369026471</v>
      </c>
      <c r="BE279" s="274">
        <f t="shared" si="506"/>
        <v>3.0016362442554456</v>
      </c>
      <c r="BF279" s="274">
        <f t="shared" si="506"/>
        <v>0.75980168641711643</v>
      </c>
      <c r="BG279" s="274">
        <f t="shared" si="506"/>
        <v>0.44224854881917963</v>
      </c>
      <c r="BH279" s="274">
        <f t="shared" si="506"/>
        <v>-0.52294659725312664</v>
      </c>
      <c r="BI279" s="274">
        <f t="shared" si="506"/>
        <v>1.3122862099214094</v>
      </c>
      <c r="BJ279" s="274">
        <f t="shared" si="506"/>
        <v>-11.997955155019646</v>
      </c>
      <c r="BK279" s="274">
        <f t="shared" si="506"/>
        <v>1.9999999999999796</v>
      </c>
      <c r="BL279" s="274">
        <f t="shared" si="506"/>
        <v>1.9999999999998908</v>
      </c>
      <c r="BM279" s="274">
        <f t="shared" si="506"/>
        <v>2.000000000000246</v>
      </c>
      <c r="BN279" s="274">
        <f t="shared" si="506"/>
        <v>2.0000000000000018</v>
      </c>
      <c r="BO279" s="274">
        <f t="shared" si="506"/>
        <v>2.0000000000000018</v>
      </c>
      <c r="BP279" s="274">
        <f t="shared" si="506"/>
        <v>2.0000000000000018</v>
      </c>
      <c r="BQ279" s="274">
        <f t="shared" si="506"/>
        <v>2.0000000000000018</v>
      </c>
      <c r="BR279" s="274">
        <f t="shared" si="506"/>
        <v>1.9999999999999796</v>
      </c>
      <c r="BS279" s="274">
        <f t="shared" si="506"/>
        <v>2.000000000000024</v>
      </c>
      <c r="BT279" s="274">
        <f t="shared" si="506"/>
        <v>2.0000000000000018</v>
      </c>
      <c r="BU279" s="274">
        <f t="shared" si="506"/>
        <v>2.0000000000000018</v>
      </c>
      <c r="BV279" s="274">
        <f t="shared" si="506"/>
        <v>2.0000000000000018</v>
      </c>
      <c r="BW279" s="274">
        <f t="shared" si="506"/>
        <v>2.0000000000000018</v>
      </c>
      <c r="BX279" s="274">
        <f t="shared" si="506"/>
        <v>1.9999999999999796</v>
      </c>
      <c r="BY279" s="274">
        <f t="shared" si="506"/>
        <v>2.0000000000000018</v>
      </c>
      <c r="BZ279" s="274">
        <f t="shared" si="506"/>
        <v>2.0000000000000018</v>
      </c>
      <c r="CA279" s="274">
        <f t="shared" si="506"/>
        <v>2.0000000000000018</v>
      </c>
      <c r="CB279" s="274">
        <f t="shared" si="506"/>
        <v>2.0000000000000018</v>
      </c>
      <c r="CC279" s="274">
        <f t="shared" si="506"/>
        <v>2.0000000000000018</v>
      </c>
      <c r="CD279" s="274">
        <f t="shared" si="506"/>
        <v>2.0000000000000018</v>
      </c>
      <c r="CE279" s="274">
        <f t="shared" si="506"/>
        <v>2.0000000000000018</v>
      </c>
      <c r="CF279" s="274">
        <f t="shared" si="506"/>
        <v>2.0000000000000018</v>
      </c>
      <c r="CG279" s="274">
        <f t="shared" si="506"/>
        <v>2.0000000000000018</v>
      </c>
      <c r="CH279" s="274">
        <f t="shared" si="506"/>
        <v>1.9999999999999796</v>
      </c>
      <c r="CI279" s="274">
        <f t="shared" si="506"/>
        <v>2.0000000000000018</v>
      </c>
      <c r="CJ279" s="274">
        <f t="shared" si="506"/>
        <v>2.000000000000024</v>
      </c>
      <c r="CK279" s="274">
        <f t="shared" si="506"/>
        <v>2.0000000000000018</v>
      </c>
      <c r="CL279" s="274">
        <f t="shared" si="506"/>
        <v>2.0000000000000018</v>
      </c>
      <c r="CM279" s="274">
        <f t="shared" ref="CM279:CQ279" si="507">CM49</f>
        <v>2.0000000000000018</v>
      </c>
      <c r="CN279" s="274">
        <f t="shared" si="507"/>
        <v>2.0000000000000018</v>
      </c>
      <c r="CO279" s="274">
        <f t="shared" si="507"/>
        <v>2.0000000000000018</v>
      </c>
      <c r="CP279" s="274">
        <f t="shared" si="507"/>
        <v>2.0000000000000018</v>
      </c>
      <c r="CQ279" s="274">
        <f t="shared" si="507"/>
        <v>2.0000000000000018</v>
      </c>
    </row>
    <row r="280" spans="1:95">
      <c r="A280" s="273"/>
      <c r="B280" s="242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458"/>
      <c r="O280" s="458"/>
      <c r="P280" s="458"/>
      <c r="Q280" s="458"/>
      <c r="R280" s="458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  <c r="AC280" s="281"/>
      <c r="AD280" s="281"/>
      <c r="AE280" s="281"/>
      <c r="AF280" s="281"/>
      <c r="AG280" s="281"/>
      <c r="AH280" s="281"/>
      <c r="AI280" s="281"/>
      <c r="AJ280" s="281"/>
      <c r="AK280" s="281"/>
      <c r="AL280" s="281"/>
      <c r="AM280" s="281"/>
      <c r="AN280" s="281"/>
      <c r="AO280" s="281"/>
      <c r="AP280" s="281"/>
      <c r="AQ280" s="281"/>
      <c r="AR280" s="281"/>
      <c r="AS280" s="281"/>
      <c r="AT280" s="281"/>
      <c r="AU280" s="281"/>
      <c r="AV280" s="281"/>
      <c r="AW280" s="281"/>
      <c r="AX280" s="281"/>
      <c r="AY280" s="281"/>
      <c r="AZ280" s="281"/>
      <c r="BA280" s="281"/>
      <c r="BB280" s="281"/>
      <c r="BC280" s="281"/>
    </row>
    <row r="281" spans="1:95">
      <c r="A281" s="273" t="s">
        <v>288</v>
      </c>
      <c r="B281" s="242" t="s">
        <v>459</v>
      </c>
      <c r="C281" s="227">
        <v>0.426747904319</v>
      </c>
      <c r="D281" s="227">
        <v>0.44935512031399999</v>
      </c>
      <c r="E281" s="227">
        <v>0.69326903255700001</v>
      </c>
      <c r="F281" s="227">
        <v>0.64465137968599995</v>
      </c>
      <c r="G281" s="227">
        <v>0.57057845690700004</v>
      </c>
      <c r="H281" s="227">
        <v>0.57012332916999997</v>
      </c>
      <c r="I281" s="227">
        <v>0.61192041798100005</v>
      </c>
      <c r="J281" s="227">
        <v>0.72877657539700003</v>
      </c>
      <c r="K281" s="227">
        <v>0.83789376063499998</v>
      </c>
      <c r="L281" s="227">
        <v>0.87094828496800003</v>
      </c>
      <c r="M281" s="227">
        <v>1.0761110829330001</v>
      </c>
      <c r="N281" s="458">
        <v>0.77</v>
      </c>
      <c r="O281" s="458">
        <v>0.84599999999999997</v>
      </c>
      <c r="P281" s="458">
        <v>1.0146999999999999</v>
      </c>
      <c r="Q281" s="458">
        <v>1.0806</v>
      </c>
      <c r="R281" s="458">
        <v>1.029828850813</v>
      </c>
      <c r="S281" s="458">
        <v>1</v>
      </c>
      <c r="T281" s="281">
        <v>0.91236868578999997</v>
      </c>
      <c r="U281" s="281">
        <v>0.78922729452100004</v>
      </c>
      <c r="V281" s="281">
        <f t="shared" ref="V281:BC281" si="508">V279</f>
        <v>28.976676461386418</v>
      </c>
      <c r="W281" s="281">
        <f t="shared" si="508"/>
        <v>17.620545489764218</v>
      </c>
      <c r="X281" s="281">
        <f t="shared" si="508"/>
        <v>-5.7887786676523723</v>
      </c>
      <c r="Y281" s="281">
        <f t="shared" si="508"/>
        <v>-26.159668042749797</v>
      </c>
      <c r="Z281" s="281">
        <f t="shared" si="508"/>
        <v>39.900262431981282</v>
      </c>
      <c r="AA281" s="281">
        <f t="shared" si="508"/>
        <v>82.584465427092127</v>
      </c>
      <c r="AB281" s="281">
        <f t="shared" si="508"/>
        <v>-6.5551139067935971</v>
      </c>
      <c r="AC281" s="281">
        <f t="shared" si="508"/>
        <v>-12.785134023953059</v>
      </c>
      <c r="AD281" s="281">
        <f t="shared" si="508"/>
        <v>-15.47971338890164</v>
      </c>
      <c r="AE281" s="281">
        <f t="shared" si="508"/>
        <v>-5.5463364591059268</v>
      </c>
      <c r="AF281" s="281">
        <f t="shared" si="508"/>
        <v>-3.5063177819694147E-2</v>
      </c>
      <c r="AG281" s="281">
        <f t="shared" si="508"/>
        <v>0.48310411061043279</v>
      </c>
      <c r="AH281" s="281">
        <f t="shared" si="508"/>
        <v>0.8000792564576642</v>
      </c>
      <c r="AI281" s="281">
        <f t="shared" si="508"/>
        <v>0.4542538992328593</v>
      </c>
      <c r="AJ281" s="281">
        <f t="shared" si="508"/>
        <v>4.7228775338230777</v>
      </c>
      <c r="AK281" s="281">
        <f t="shared" si="508"/>
        <v>4.658825525300192</v>
      </c>
      <c r="AL281" s="281">
        <f t="shared" si="508"/>
        <v>4.8663917570498372</v>
      </c>
      <c r="AM281" s="281">
        <f t="shared" si="508"/>
        <v>4.7153403771261315</v>
      </c>
      <c r="AN281" s="281">
        <f t="shared" si="508"/>
        <v>4.9920819961902785</v>
      </c>
      <c r="AO281" s="281">
        <f t="shared" si="508"/>
        <v>2.8827818688798912</v>
      </c>
      <c r="AP281" s="281">
        <f t="shared" si="508"/>
        <v>2.9697219155402799</v>
      </c>
      <c r="AQ281" s="281">
        <f t="shared" si="508"/>
        <v>3.1597723957026203</v>
      </c>
      <c r="AR281" s="281">
        <f t="shared" si="508"/>
        <v>2.5442023126178048</v>
      </c>
      <c r="AS281" s="281">
        <f t="shared" si="508"/>
        <v>2.1666647617693435</v>
      </c>
      <c r="AT281" s="281">
        <f t="shared" si="508"/>
        <v>0.52471545468519842</v>
      </c>
      <c r="AU281" s="281">
        <f t="shared" si="508"/>
        <v>2.8058203758471345</v>
      </c>
      <c r="AV281" s="281">
        <f t="shared" si="508"/>
        <v>3.2458984416499304</v>
      </c>
      <c r="AW281" s="281">
        <f t="shared" si="508"/>
        <v>3.7960809757550784</v>
      </c>
      <c r="AX281" s="281">
        <f t="shared" si="508"/>
        <v>2.885147181704717</v>
      </c>
      <c r="AY281" s="281">
        <f t="shared" si="508"/>
        <v>4.2472125122781978</v>
      </c>
      <c r="AZ281" s="281">
        <f t="shared" si="508"/>
        <v>3.329846731658348</v>
      </c>
      <c r="BA281" s="281">
        <f t="shared" si="508"/>
        <v>4.9658075375571764</v>
      </c>
      <c r="BB281" s="281">
        <f t="shared" si="508"/>
        <v>4.2005750981617185</v>
      </c>
      <c r="BC281" s="281">
        <f t="shared" si="508"/>
        <v>0.57246841021707517</v>
      </c>
      <c r="BD281" s="281">
        <f t="shared" ref="BD281:BM281" si="509">BD279</f>
        <v>0.81807203369026471</v>
      </c>
      <c r="BE281" s="281">
        <f t="shared" si="509"/>
        <v>3.0016362442554456</v>
      </c>
      <c r="BF281" s="281">
        <f t="shared" si="509"/>
        <v>0.75980168641711643</v>
      </c>
      <c r="BG281" s="281">
        <f t="shared" si="509"/>
        <v>0.44224854881917963</v>
      </c>
      <c r="BH281" s="281">
        <f t="shared" si="509"/>
        <v>-0.52294659725312664</v>
      </c>
      <c r="BI281" s="281">
        <f t="shared" si="509"/>
        <v>1.3122862099214094</v>
      </c>
      <c r="BJ281" s="281">
        <f t="shared" si="509"/>
        <v>-11.997955155019646</v>
      </c>
      <c r="BK281" s="281">
        <f t="shared" si="509"/>
        <v>1.9999999999999796</v>
      </c>
      <c r="BL281" s="281">
        <f t="shared" si="509"/>
        <v>1.9999999999998908</v>
      </c>
      <c r="BM281" s="281">
        <f t="shared" si="509"/>
        <v>2.000000000000246</v>
      </c>
      <c r="BN281" s="281">
        <f t="shared" ref="BN281:CL281" si="510">BN279</f>
        <v>2.0000000000000018</v>
      </c>
      <c r="BO281" s="281">
        <f t="shared" si="510"/>
        <v>2.0000000000000018</v>
      </c>
      <c r="BP281" s="281">
        <f t="shared" si="510"/>
        <v>2.0000000000000018</v>
      </c>
      <c r="BQ281" s="281">
        <f t="shared" si="510"/>
        <v>2.0000000000000018</v>
      </c>
      <c r="BR281" s="281">
        <f t="shared" si="510"/>
        <v>1.9999999999999796</v>
      </c>
      <c r="BS281" s="281">
        <f t="shared" si="510"/>
        <v>2.000000000000024</v>
      </c>
      <c r="BT281" s="281">
        <f t="shared" si="510"/>
        <v>2.0000000000000018</v>
      </c>
      <c r="BU281" s="281">
        <f t="shared" si="510"/>
        <v>2.0000000000000018</v>
      </c>
      <c r="BV281" s="281">
        <f t="shared" si="510"/>
        <v>2.0000000000000018</v>
      </c>
      <c r="BW281" s="281">
        <f t="shared" si="510"/>
        <v>2.0000000000000018</v>
      </c>
      <c r="BX281" s="281">
        <f t="shared" si="510"/>
        <v>1.9999999999999796</v>
      </c>
      <c r="BY281" s="281">
        <f t="shared" si="510"/>
        <v>2.0000000000000018</v>
      </c>
      <c r="BZ281" s="281">
        <f t="shared" si="510"/>
        <v>2.0000000000000018</v>
      </c>
      <c r="CA281" s="281">
        <f t="shared" si="510"/>
        <v>2.0000000000000018</v>
      </c>
      <c r="CB281" s="281">
        <f t="shared" si="510"/>
        <v>2.0000000000000018</v>
      </c>
      <c r="CC281" s="281">
        <f t="shared" si="510"/>
        <v>2.0000000000000018</v>
      </c>
      <c r="CD281" s="281">
        <f t="shared" si="510"/>
        <v>2.0000000000000018</v>
      </c>
      <c r="CE281" s="281">
        <f t="shared" si="510"/>
        <v>2.0000000000000018</v>
      </c>
      <c r="CF281" s="281">
        <f t="shared" si="510"/>
        <v>2.0000000000000018</v>
      </c>
      <c r="CG281" s="281">
        <f t="shared" si="510"/>
        <v>2.0000000000000018</v>
      </c>
      <c r="CH281" s="281">
        <f t="shared" si="510"/>
        <v>1.9999999999999796</v>
      </c>
      <c r="CI281" s="281">
        <f t="shared" si="510"/>
        <v>2.0000000000000018</v>
      </c>
      <c r="CJ281" s="281">
        <f t="shared" si="510"/>
        <v>2.000000000000024</v>
      </c>
      <c r="CK281" s="281">
        <f t="shared" si="510"/>
        <v>2.0000000000000018</v>
      </c>
      <c r="CL281" s="281">
        <f t="shared" si="510"/>
        <v>2.0000000000000018</v>
      </c>
      <c r="CM281" s="281">
        <f t="shared" ref="CM281:CQ281" si="511">CM279</f>
        <v>2.0000000000000018</v>
      </c>
      <c r="CN281" s="281">
        <f t="shared" si="511"/>
        <v>2.0000000000000018</v>
      </c>
      <c r="CO281" s="281">
        <f t="shared" si="511"/>
        <v>2.0000000000000018</v>
      </c>
      <c r="CP281" s="281">
        <f t="shared" si="511"/>
        <v>2.0000000000000018</v>
      </c>
      <c r="CQ281" s="281">
        <f t="shared" si="511"/>
        <v>2.0000000000000018</v>
      </c>
    </row>
    <row r="282" spans="1:95">
      <c r="A282" s="273"/>
      <c r="B282" s="242"/>
      <c r="C282" s="227"/>
      <c r="D282" s="227"/>
      <c r="E282" s="227"/>
      <c r="F282" s="227"/>
      <c r="G282" s="227"/>
      <c r="H282" s="227"/>
      <c r="I282" s="227"/>
      <c r="J282" s="228"/>
      <c r="K282" s="228"/>
      <c r="L282" s="228"/>
      <c r="M282" s="228"/>
      <c r="N282" s="458"/>
      <c r="O282" s="458"/>
      <c r="P282" s="458"/>
      <c r="Q282" s="458"/>
      <c r="R282" s="458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84"/>
      <c r="AG282" s="284"/>
      <c r="AH282" s="284"/>
      <c r="AI282" s="284"/>
      <c r="AJ282" s="284"/>
      <c r="AK282" s="284"/>
      <c r="AL282" s="284"/>
      <c r="AM282" s="284"/>
      <c r="AN282" s="284"/>
      <c r="AO282" s="284"/>
      <c r="AP282" s="284"/>
      <c r="AQ282" s="284"/>
      <c r="AR282" s="284"/>
      <c r="AS282" s="284"/>
      <c r="AT282" s="284"/>
      <c r="AU282" s="284"/>
      <c r="AV282" s="284"/>
      <c r="AW282" s="284"/>
      <c r="AX282" s="284"/>
      <c r="AY282" s="284"/>
      <c r="AZ282" s="284"/>
      <c r="BA282" s="284"/>
      <c r="BB282" s="284"/>
      <c r="BC282" s="284"/>
      <c r="BD282" s="284"/>
      <c r="BE282" s="284"/>
      <c r="BF282" s="284"/>
      <c r="BG282" s="284"/>
      <c r="BH282" s="284"/>
      <c r="BI282" s="284"/>
      <c r="BJ282" s="284"/>
      <c r="BK282" s="284"/>
      <c r="BL282" s="284"/>
      <c r="BM282" s="284"/>
      <c r="BN282" s="284"/>
      <c r="BO282" s="284"/>
      <c r="BP282" s="284"/>
      <c r="BQ282" s="284"/>
      <c r="BR282" s="284"/>
      <c r="BS282" s="284"/>
      <c r="BT282" s="284"/>
      <c r="BU282" s="284"/>
      <c r="BV282" s="284"/>
      <c r="BW282" s="284"/>
      <c r="BX282" s="284"/>
      <c r="BY282" s="284"/>
      <c r="BZ282" s="284"/>
      <c r="CA282" s="284"/>
      <c r="CB282" s="284"/>
      <c r="CC282" s="284"/>
      <c r="CD282" s="284"/>
      <c r="CE282" s="284"/>
      <c r="CF282" s="284"/>
      <c r="CG282" s="284"/>
      <c r="CH282" s="284"/>
      <c r="CI282" s="284"/>
      <c r="CJ282" s="284"/>
      <c r="CK282" s="284"/>
      <c r="CL282" s="284"/>
      <c r="CM282" s="284"/>
      <c r="CN282" s="284"/>
      <c r="CO282" s="284"/>
      <c r="CP282" s="284"/>
      <c r="CQ282" s="284"/>
    </row>
    <row r="283" spans="1:95">
      <c r="A283" s="273" t="s">
        <v>318</v>
      </c>
      <c r="B283" s="242" t="s">
        <v>460</v>
      </c>
      <c r="C283" s="227">
        <v>0.36459285996899998</v>
      </c>
      <c r="D283" s="227">
        <v>0.42296905756300002</v>
      </c>
      <c r="E283" s="227">
        <v>0.68573579465099999</v>
      </c>
      <c r="F283" s="227">
        <v>0.60952308929499999</v>
      </c>
      <c r="G283" s="227">
        <v>0.50512660356100003</v>
      </c>
      <c r="H283" s="227">
        <v>0.54718208838100002</v>
      </c>
      <c r="I283" s="227">
        <v>0.65063359045000002</v>
      </c>
      <c r="J283" s="227">
        <v>0.76731823718299996</v>
      </c>
      <c r="K283" s="227">
        <v>0.87481466890899995</v>
      </c>
      <c r="L283" s="227">
        <v>0.90057247302400001</v>
      </c>
      <c r="M283" s="227">
        <v>1.0311080034269999</v>
      </c>
      <c r="N283" s="458">
        <v>0.67969999999999997</v>
      </c>
      <c r="O283" s="458">
        <v>0.83020000000000005</v>
      </c>
      <c r="P283" s="458">
        <v>0.9889</v>
      </c>
      <c r="Q283" s="458">
        <v>1.0496000000000001</v>
      </c>
      <c r="R283" s="458">
        <v>1.015219287139</v>
      </c>
      <c r="S283" s="458">
        <v>1</v>
      </c>
      <c r="T283" s="144">
        <v>0.786637915789</v>
      </c>
      <c r="U283" s="144">
        <v>0.69205928517699999</v>
      </c>
      <c r="V283" s="144">
        <f t="shared" ref="V283:BC283" si="512">V279</f>
        <v>28.976676461386418</v>
      </c>
      <c r="W283" s="144">
        <f t="shared" si="512"/>
        <v>17.620545489764218</v>
      </c>
      <c r="X283" s="144">
        <f t="shared" si="512"/>
        <v>-5.7887786676523723</v>
      </c>
      <c r="Y283" s="144">
        <f t="shared" si="512"/>
        <v>-26.159668042749797</v>
      </c>
      <c r="Z283" s="144">
        <f t="shared" si="512"/>
        <v>39.900262431981282</v>
      </c>
      <c r="AA283" s="144">
        <f t="shared" si="512"/>
        <v>82.584465427092127</v>
      </c>
      <c r="AB283" s="144">
        <f t="shared" si="512"/>
        <v>-6.5551139067935971</v>
      </c>
      <c r="AC283" s="144">
        <f t="shared" si="512"/>
        <v>-12.785134023953059</v>
      </c>
      <c r="AD283" s="144">
        <f t="shared" si="512"/>
        <v>-15.47971338890164</v>
      </c>
      <c r="AE283" s="144">
        <f t="shared" si="512"/>
        <v>-5.5463364591059268</v>
      </c>
      <c r="AF283" s="144">
        <f t="shared" si="512"/>
        <v>-3.5063177819694147E-2</v>
      </c>
      <c r="AG283" s="144">
        <f t="shared" si="512"/>
        <v>0.48310411061043279</v>
      </c>
      <c r="AH283" s="144">
        <f t="shared" si="512"/>
        <v>0.8000792564576642</v>
      </c>
      <c r="AI283" s="144">
        <f t="shared" si="512"/>
        <v>0.4542538992328593</v>
      </c>
      <c r="AJ283" s="144">
        <f t="shared" si="512"/>
        <v>4.7228775338230777</v>
      </c>
      <c r="AK283" s="144">
        <f t="shared" si="512"/>
        <v>4.658825525300192</v>
      </c>
      <c r="AL283" s="144">
        <f t="shared" si="512"/>
        <v>4.8663917570498372</v>
      </c>
      <c r="AM283" s="144">
        <f t="shared" si="512"/>
        <v>4.7153403771261315</v>
      </c>
      <c r="AN283" s="144">
        <f t="shared" si="512"/>
        <v>4.9920819961902785</v>
      </c>
      <c r="AO283" s="144">
        <f t="shared" si="512"/>
        <v>2.8827818688798912</v>
      </c>
      <c r="AP283" s="144">
        <f t="shared" si="512"/>
        <v>2.9697219155402799</v>
      </c>
      <c r="AQ283" s="144">
        <f t="shared" si="512"/>
        <v>3.1597723957026203</v>
      </c>
      <c r="AR283" s="144">
        <f t="shared" si="512"/>
        <v>2.5442023126178048</v>
      </c>
      <c r="AS283" s="144">
        <f t="shared" si="512"/>
        <v>2.1666647617693435</v>
      </c>
      <c r="AT283" s="144">
        <f t="shared" si="512"/>
        <v>0.52471545468519842</v>
      </c>
      <c r="AU283" s="144">
        <f t="shared" si="512"/>
        <v>2.8058203758471345</v>
      </c>
      <c r="AV283" s="144">
        <f t="shared" si="512"/>
        <v>3.2458984416499304</v>
      </c>
      <c r="AW283" s="144">
        <f t="shared" si="512"/>
        <v>3.7960809757550784</v>
      </c>
      <c r="AX283" s="144">
        <f t="shared" si="512"/>
        <v>2.885147181704717</v>
      </c>
      <c r="AY283" s="144">
        <f t="shared" si="512"/>
        <v>4.2472125122781978</v>
      </c>
      <c r="AZ283" s="144">
        <f t="shared" si="512"/>
        <v>3.329846731658348</v>
      </c>
      <c r="BA283" s="144">
        <f t="shared" si="512"/>
        <v>4.9658075375571764</v>
      </c>
      <c r="BB283" s="144">
        <f t="shared" si="512"/>
        <v>4.2005750981617185</v>
      </c>
      <c r="BC283" s="144">
        <f t="shared" si="512"/>
        <v>0.57246841021707517</v>
      </c>
      <c r="BD283" s="144">
        <f t="shared" ref="BD283:BM283" si="513">BD279</f>
        <v>0.81807203369026471</v>
      </c>
      <c r="BE283" s="144">
        <f t="shared" si="513"/>
        <v>3.0016362442554456</v>
      </c>
      <c r="BF283" s="144">
        <f t="shared" si="513"/>
        <v>0.75980168641711643</v>
      </c>
      <c r="BG283" s="144">
        <f t="shared" si="513"/>
        <v>0.44224854881917963</v>
      </c>
      <c r="BH283" s="144">
        <f t="shared" si="513"/>
        <v>-0.52294659725312664</v>
      </c>
      <c r="BI283" s="144">
        <f t="shared" si="513"/>
        <v>1.3122862099214094</v>
      </c>
      <c r="BJ283" s="144">
        <f t="shared" si="513"/>
        <v>-11.997955155019646</v>
      </c>
      <c r="BK283" s="144">
        <f t="shared" si="513"/>
        <v>1.9999999999999796</v>
      </c>
      <c r="BL283" s="144">
        <f t="shared" si="513"/>
        <v>1.9999999999998908</v>
      </c>
      <c r="BM283" s="144">
        <f t="shared" si="513"/>
        <v>2.000000000000246</v>
      </c>
      <c r="BN283" s="144">
        <f t="shared" ref="BN283:CL283" si="514">BN279</f>
        <v>2.0000000000000018</v>
      </c>
      <c r="BO283" s="144">
        <f t="shared" si="514"/>
        <v>2.0000000000000018</v>
      </c>
      <c r="BP283" s="144">
        <f t="shared" si="514"/>
        <v>2.0000000000000018</v>
      </c>
      <c r="BQ283" s="144">
        <f t="shared" si="514"/>
        <v>2.0000000000000018</v>
      </c>
      <c r="BR283" s="144">
        <f t="shared" si="514"/>
        <v>1.9999999999999796</v>
      </c>
      <c r="BS283" s="144">
        <f t="shared" si="514"/>
        <v>2.000000000000024</v>
      </c>
      <c r="BT283" s="144">
        <f t="shared" si="514"/>
        <v>2.0000000000000018</v>
      </c>
      <c r="BU283" s="144">
        <f t="shared" si="514"/>
        <v>2.0000000000000018</v>
      </c>
      <c r="BV283" s="144">
        <f t="shared" si="514"/>
        <v>2.0000000000000018</v>
      </c>
      <c r="BW283" s="144">
        <f t="shared" si="514"/>
        <v>2.0000000000000018</v>
      </c>
      <c r="BX283" s="144">
        <f t="shared" si="514"/>
        <v>1.9999999999999796</v>
      </c>
      <c r="BY283" s="144">
        <f t="shared" si="514"/>
        <v>2.0000000000000018</v>
      </c>
      <c r="BZ283" s="144">
        <f t="shared" si="514"/>
        <v>2.0000000000000018</v>
      </c>
      <c r="CA283" s="144">
        <f t="shared" si="514"/>
        <v>2.0000000000000018</v>
      </c>
      <c r="CB283" s="144">
        <f t="shared" si="514"/>
        <v>2.0000000000000018</v>
      </c>
      <c r="CC283" s="144">
        <f t="shared" si="514"/>
        <v>2.0000000000000018</v>
      </c>
      <c r="CD283" s="144">
        <f t="shared" si="514"/>
        <v>2.0000000000000018</v>
      </c>
      <c r="CE283" s="144">
        <f t="shared" si="514"/>
        <v>2.0000000000000018</v>
      </c>
      <c r="CF283" s="144">
        <f t="shared" si="514"/>
        <v>2.0000000000000018</v>
      </c>
      <c r="CG283" s="144">
        <f t="shared" si="514"/>
        <v>2.0000000000000018</v>
      </c>
      <c r="CH283" s="144">
        <f t="shared" si="514"/>
        <v>1.9999999999999796</v>
      </c>
      <c r="CI283" s="144">
        <f t="shared" si="514"/>
        <v>2.0000000000000018</v>
      </c>
      <c r="CJ283" s="144">
        <f t="shared" si="514"/>
        <v>2.000000000000024</v>
      </c>
      <c r="CK283" s="144">
        <f t="shared" si="514"/>
        <v>2.0000000000000018</v>
      </c>
      <c r="CL283" s="144">
        <f t="shared" si="514"/>
        <v>2.0000000000000018</v>
      </c>
      <c r="CM283" s="144">
        <f t="shared" ref="CM283:CQ283" si="515">CM279</f>
        <v>2.0000000000000018</v>
      </c>
      <c r="CN283" s="144">
        <f t="shared" si="515"/>
        <v>2.0000000000000018</v>
      </c>
      <c r="CO283" s="144">
        <f t="shared" si="515"/>
        <v>2.0000000000000018</v>
      </c>
      <c r="CP283" s="144">
        <f t="shared" si="515"/>
        <v>2.0000000000000018</v>
      </c>
      <c r="CQ283" s="144">
        <f t="shared" si="515"/>
        <v>2.0000000000000018</v>
      </c>
    </row>
    <row r="284" spans="1:95">
      <c r="A284" s="275" t="s">
        <v>480</v>
      </c>
      <c r="B284" s="211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30"/>
      <c r="S284" s="284"/>
      <c r="T284" s="284"/>
      <c r="U284" s="284"/>
      <c r="V284" s="284"/>
      <c r="W284" s="284"/>
      <c r="X284" s="284"/>
      <c r="Y284" s="284"/>
      <c r="Z284" s="284"/>
      <c r="AA284" s="284"/>
      <c r="AB284" s="284"/>
      <c r="AC284" s="284"/>
      <c r="AD284" s="284"/>
      <c r="AE284" s="284"/>
      <c r="AF284" s="284"/>
      <c r="AG284" s="284"/>
      <c r="AH284" s="284"/>
      <c r="AI284" s="284"/>
      <c r="AJ284" s="284"/>
      <c r="AK284" s="284"/>
      <c r="AL284" s="284"/>
      <c r="AM284" s="284"/>
      <c r="AN284" s="284"/>
      <c r="AO284" s="284"/>
      <c r="AP284" s="284"/>
      <c r="AQ284" s="284"/>
      <c r="AR284" s="284"/>
      <c r="AS284" s="284"/>
      <c r="AT284" s="284"/>
      <c r="AU284" s="284"/>
      <c r="AV284" s="284"/>
      <c r="AW284" s="284"/>
      <c r="AX284" s="284"/>
      <c r="AY284" s="284"/>
      <c r="AZ284" s="284"/>
      <c r="BA284" s="284"/>
      <c r="BB284" s="284"/>
      <c r="BC284" s="284"/>
    </row>
    <row r="285" spans="1:95" ht="13.5" customHeight="1">
      <c r="A285" s="275" t="s">
        <v>289</v>
      </c>
      <c r="B285" s="24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1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242"/>
      <c r="AL285" s="242"/>
      <c r="AM285" s="242"/>
      <c r="AN285" s="242"/>
      <c r="AO285" s="242"/>
      <c r="AP285" s="242"/>
      <c r="AQ285" s="242"/>
      <c r="AR285" s="242"/>
      <c r="AS285" s="242"/>
      <c r="AT285" s="242"/>
      <c r="AU285" s="242"/>
      <c r="AV285" s="242"/>
      <c r="AW285" s="242"/>
      <c r="AX285" s="242"/>
      <c r="AY285" s="242"/>
      <c r="AZ285" s="242"/>
      <c r="BA285" s="242"/>
      <c r="BB285" s="242"/>
      <c r="BC285" s="242"/>
    </row>
    <row r="286" spans="1:95">
      <c r="A286" s="275" t="s">
        <v>251</v>
      </c>
      <c r="B286" s="242"/>
      <c r="C286" s="216">
        <v>21064.056142631602</v>
      </c>
      <c r="D286" s="216">
        <v>23033.847214793201</v>
      </c>
      <c r="E286" s="216">
        <v>21753.640885335401</v>
      </c>
      <c r="F286" s="216">
        <v>25937.839744871799</v>
      </c>
      <c r="G286" s="216">
        <v>27239.063482154699</v>
      </c>
      <c r="H286" s="216">
        <v>46324.614190257198</v>
      </c>
      <c r="I286" s="216">
        <v>32343.323073298401</v>
      </c>
      <c r="J286" s="216">
        <v>35186.028970440901</v>
      </c>
      <c r="K286" s="216">
        <v>58521.8339583704</v>
      </c>
      <c r="L286" s="216">
        <f t="shared" ref="L286:U286" si="516">L217</f>
        <v>84536.307402902268</v>
      </c>
      <c r="M286" s="216">
        <f t="shared" si="516"/>
        <v>85120.598593080475</v>
      </c>
      <c r="N286" s="216">
        <f t="shared" si="516"/>
        <v>83818.765216685031</v>
      </c>
      <c r="O286" s="216">
        <f t="shared" si="516"/>
        <v>81054.690345347757</v>
      </c>
      <c r="P286" s="216">
        <f t="shared" si="516"/>
        <v>89310.974982497748</v>
      </c>
      <c r="Q286" s="216">
        <f t="shared" si="516"/>
        <v>92551.463440446023</v>
      </c>
      <c r="R286" s="216">
        <f t="shared" si="516"/>
        <v>87764.157336067932</v>
      </c>
      <c r="S286" s="216">
        <f t="shared" si="516"/>
        <v>85932.899046461389</v>
      </c>
      <c r="T286" s="216">
        <f t="shared" si="516"/>
        <v>73178.383443708983</v>
      </c>
      <c r="U286" s="216">
        <f t="shared" si="516"/>
        <v>72487.744751069607</v>
      </c>
      <c r="V286" s="293">
        <f t="shared" ref="V286:BA286" si="517">U286*(1+V217/100)</f>
        <v>57173812.69964987</v>
      </c>
      <c r="W286" s="293">
        <f t="shared" si="517"/>
        <v>43315306266.385635</v>
      </c>
      <c r="X286" s="293">
        <f t="shared" si="517"/>
        <v>28973329345844.664</v>
      </c>
      <c r="Y286" s="293">
        <f t="shared" si="517"/>
        <v>1.774580181618858E+16</v>
      </c>
      <c r="Z286" s="293">
        <f t="shared" si="517"/>
        <v>9.5943569356975944E+18</v>
      </c>
      <c r="AA286" s="293">
        <f t="shared" si="517"/>
        <v>4.2977921893457377E+21</v>
      </c>
      <c r="AB286" s="293">
        <f t="shared" si="517"/>
        <v>1.8405787282485084E+24</v>
      </c>
      <c r="AC286" s="293">
        <f t="shared" si="517"/>
        <v>8.4866652954194884E+26</v>
      </c>
      <c r="AD286" s="293">
        <f t="shared" si="517"/>
        <v>8.7490271003131055E+26</v>
      </c>
      <c r="AE286" s="293">
        <f t="shared" si="517"/>
        <v>9.2044604310875791E+26</v>
      </c>
      <c r="AF286" s="293">
        <f t="shared" si="517"/>
        <v>9.2853717697353208E+26</v>
      </c>
      <c r="AG286" s="293">
        <f t="shared" si="517"/>
        <v>9.2641599065061064E+26</v>
      </c>
      <c r="AH286" s="293">
        <f t="shared" si="517"/>
        <v>9.1088375818850067E+26</v>
      </c>
      <c r="AI286" s="293">
        <f t="shared" si="517"/>
        <v>8.7079214352942136E+26</v>
      </c>
      <c r="AJ286" s="293">
        <f t="shared" si="517"/>
        <v>7.82948393467596E+26</v>
      </c>
      <c r="AK286" s="293">
        <f t="shared" si="517"/>
        <v>7.288263273210895E+26</v>
      </c>
      <c r="AL286" s="293">
        <f t="shared" si="517"/>
        <v>6.4466355113252299E+26</v>
      </c>
      <c r="AM286" s="293">
        <f t="shared" si="517"/>
        <v>5.7483222403969558E+26</v>
      </c>
      <c r="AN286" s="293">
        <f t="shared" si="517"/>
        <v>5.0630902530499724E+26</v>
      </c>
      <c r="AO286" s="293">
        <f t="shared" si="517"/>
        <v>4.5925502361490794E+26</v>
      </c>
      <c r="AP286" s="293">
        <f t="shared" si="517"/>
        <v>3.9450303531727816E+26</v>
      </c>
      <c r="AQ286" s="293">
        <f t="shared" si="517"/>
        <v>3.3259419719375005E+26</v>
      </c>
      <c r="AR286" s="293">
        <f t="shared" si="517"/>
        <v>2.9424168435191333E+26</v>
      </c>
      <c r="AS286" s="293">
        <f t="shared" si="517"/>
        <v>2.6616230121767569E+26</v>
      </c>
      <c r="AT286" s="293">
        <f t="shared" si="517"/>
        <v>2.3553007029282069E+26</v>
      </c>
      <c r="AU286" s="293">
        <f t="shared" si="517"/>
        <v>2.1163446276641717E+26</v>
      </c>
      <c r="AV286" s="293">
        <f t="shared" si="517"/>
        <v>1.9027137614937112E+26</v>
      </c>
      <c r="AW286" s="293">
        <f t="shared" si="517"/>
        <v>1.6543441873892241E+26</v>
      </c>
      <c r="AX286" s="293">
        <f t="shared" si="517"/>
        <v>1.4898823631940477E+26</v>
      </c>
      <c r="AY286" s="293">
        <f t="shared" si="517"/>
        <v>1.2339257802071045E+26</v>
      </c>
      <c r="AZ286" s="293">
        <f t="shared" si="517"/>
        <v>1.1547850963370826E+26</v>
      </c>
      <c r="BA286" s="293">
        <f t="shared" si="517"/>
        <v>8.8977543798006599E+25</v>
      </c>
      <c r="BB286" s="293">
        <f t="shared" ref="BB286:CL286" si="518">BA286*(1+BB217/100)</f>
        <v>6.9095835195018724E+25</v>
      </c>
      <c r="BC286" s="293">
        <f t="shared" si="518"/>
        <v>5.7536279200783964E+25</v>
      </c>
      <c r="BD286" s="293">
        <f t="shared" si="518"/>
        <v>4.703954149581793E+25</v>
      </c>
      <c r="BE286" s="293">
        <f t="shared" si="518"/>
        <v>3.2169206233472495E+25</v>
      </c>
      <c r="BF286" s="293">
        <f t="shared" si="518"/>
        <v>2.560491431020566E+25</v>
      </c>
      <c r="BG286" s="293">
        <f t="shared" si="518"/>
        <v>1.8351080437647741E+25</v>
      </c>
      <c r="BH286" s="293">
        <f t="shared" si="518"/>
        <v>1.256823050620755E+25</v>
      </c>
      <c r="BI286" s="293">
        <f t="shared" si="518"/>
        <v>8.4305072502075064E+24</v>
      </c>
      <c r="BJ286" s="293">
        <f t="shared" si="518"/>
        <v>4.6344734579034204E+24</v>
      </c>
      <c r="BK286" s="293">
        <f t="shared" si="518"/>
        <v>4.3679256072111424E+24</v>
      </c>
      <c r="BL286" s="293">
        <f t="shared" si="518"/>
        <v>4.069683616513567E+24</v>
      </c>
      <c r="BM286" s="293">
        <f t="shared" si="518"/>
        <v>2.829624340478777E+24</v>
      </c>
      <c r="BN286" s="293">
        <f t="shared" si="518"/>
        <v>2.829624340478777E+24</v>
      </c>
      <c r="BO286" s="293">
        <f t="shared" si="518"/>
        <v>2.829624340478777E+24</v>
      </c>
      <c r="BP286" s="293">
        <f t="shared" si="518"/>
        <v>2.829624340478777E+24</v>
      </c>
      <c r="BQ286" s="293">
        <f t="shared" si="518"/>
        <v>2.829624340478777E+24</v>
      </c>
      <c r="BR286" s="293">
        <f t="shared" si="518"/>
        <v>2.829624340478777E+24</v>
      </c>
      <c r="BS286" s="293">
        <f t="shared" si="518"/>
        <v>2.829624340478777E+24</v>
      </c>
      <c r="BT286" s="293">
        <f t="shared" si="518"/>
        <v>2.829624340478777E+24</v>
      </c>
      <c r="BU286" s="293">
        <f t="shared" si="518"/>
        <v>2.829624340478777E+24</v>
      </c>
      <c r="BV286" s="293">
        <f t="shared" si="518"/>
        <v>2.829624340478777E+24</v>
      </c>
      <c r="BW286" s="293">
        <f t="shared" si="518"/>
        <v>2.829624340478777E+24</v>
      </c>
      <c r="BX286" s="293">
        <f t="shared" si="518"/>
        <v>2.829624340478777E+24</v>
      </c>
      <c r="BY286" s="293">
        <f t="shared" si="518"/>
        <v>2.829624340478777E+24</v>
      </c>
      <c r="BZ286" s="293">
        <f t="shared" si="518"/>
        <v>2.829624340478777E+24</v>
      </c>
      <c r="CA286" s="293">
        <f t="shared" si="518"/>
        <v>2.829624340478777E+24</v>
      </c>
      <c r="CB286" s="293">
        <f t="shared" si="518"/>
        <v>2.829624340478777E+24</v>
      </c>
      <c r="CC286" s="293">
        <f t="shared" si="518"/>
        <v>2.829624340478777E+24</v>
      </c>
      <c r="CD286" s="293">
        <f t="shared" si="518"/>
        <v>2.829624340478777E+24</v>
      </c>
      <c r="CE286" s="293">
        <f t="shared" si="518"/>
        <v>2.829624340478777E+24</v>
      </c>
      <c r="CF286" s="293">
        <f t="shared" si="518"/>
        <v>2.829624340478777E+24</v>
      </c>
      <c r="CG286" s="293">
        <f t="shared" si="518"/>
        <v>2.829624340478777E+24</v>
      </c>
      <c r="CH286" s="293">
        <f t="shared" si="518"/>
        <v>2.829624340478777E+24</v>
      </c>
      <c r="CI286" s="293">
        <f t="shared" si="518"/>
        <v>2.829624340478777E+24</v>
      </c>
      <c r="CJ286" s="293">
        <f t="shared" si="518"/>
        <v>2.829624340478777E+24</v>
      </c>
      <c r="CK286" s="293">
        <f t="shared" si="518"/>
        <v>2.829624340478777E+24</v>
      </c>
      <c r="CL286" s="293">
        <f t="shared" si="518"/>
        <v>2.829624340478777E+24</v>
      </c>
      <c r="CM286" s="293">
        <f t="shared" ref="CM286" si="519">CL286*(1+CM217/100)</f>
        <v>2.829624340478777E+24</v>
      </c>
      <c r="CN286" s="293">
        <f t="shared" ref="CN286" si="520">CM286*(1+CN217/100)</f>
        <v>2.829624340478777E+24</v>
      </c>
      <c r="CO286" s="293">
        <f t="shared" ref="CO286" si="521">CN286*(1+CO217/100)</f>
        <v>2.829624340478777E+24</v>
      </c>
      <c r="CP286" s="293">
        <f t="shared" ref="CP286" si="522">CO286*(1+CP217/100)</f>
        <v>2.829624340478777E+24</v>
      </c>
      <c r="CQ286" s="293">
        <f t="shared" ref="CQ286" si="523">CP286*(1+CQ217/100)</f>
        <v>2.829624340478777E+24</v>
      </c>
    </row>
    <row r="287" spans="1:95">
      <c r="A287" s="275" t="s">
        <v>252</v>
      </c>
      <c r="B287" s="273"/>
      <c r="C287" s="216">
        <v>11717.722790874701</v>
      </c>
      <c r="D287" s="216">
        <v>14450.368616262</v>
      </c>
      <c r="E287" s="216">
        <v>11073.442451218099</v>
      </c>
      <c r="F287" s="216">
        <v>10361.656684142699</v>
      </c>
      <c r="G287" s="216">
        <v>8903.2827633511806</v>
      </c>
      <c r="H287" s="216">
        <v>14655.2021899724</v>
      </c>
      <c r="I287" s="216">
        <v>20041.4558311006</v>
      </c>
      <c r="J287" s="216">
        <v>21892.732810177298</v>
      </c>
      <c r="K287" s="216">
        <v>24158.6376456418</v>
      </c>
      <c r="L287" s="216" t="e">
        <f>#REF!</f>
        <v>#REF!</v>
      </c>
      <c r="M287" s="216" t="e">
        <f>#REF!</f>
        <v>#REF!</v>
      </c>
      <c r="N287" s="216" t="e">
        <f>#REF!</f>
        <v>#REF!</v>
      </c>
      <c r="O287" s="216" t="e">
        <f>#REF!</f>
        <v>#REF!</v>
      </c>
      <c r="P287" s="216" t="e">
        <f>#REF!</f>
        <v>#REF!</v>
      </c>
      <c r="Q287" s="216" t="e">
        <f>#REF!</f>
        <v>#REF!</v>
      </c>
      <c r="R287" s="216" t="e">
        <f>#REF!</f>
        <v>#REF!</v>
      </c>
      <c r="S287" s="216" t="e">
        <f>#REF!</f>
        <v>#REF!</v>
      </c>
      <c r="T287" s="216" t="e">
        <f>#REF!</f>
        <v>#REF!</v>
      </c>
      <c r="U287" s="216" t="e">
        <f>#REF!</f>
        <v>#REF!</v>
      </c>
      <c r="V287" s="272" t="e">
        <f>U287*(1+#REF!/100)</f>
        <v>#REF!</v>
      </c>
      <c r="W287" s="272" t="e">
        <f>V287*(1+#REF!/100)</f>
        <v>#REF!</v>
      </c>
      <c r="X287" s="272" t="e">
        <f>W287*(1+#REF!/100)</f>
        <v>#REF!</v>
      </c>
      <c r="Y287" s="272" t="e">
        <f>X287*(1+#REF!/100)</f>
        <v>#REF!</v>
      </c>
      <c r="Z287" s="272" t="e">
        <f>Y287*(1+#REF!/100)</f>
        <v>#REF!</v>
      </c>
      <c r="AA287" s="272" t="e">
        <f>Z287*(1+#REF!/100)</f>
        <v>#REF!</v>
      </c>
      <c r="AB287" s="272" t="e">
        <f>AA287*(1+#REF!/100)</f>
        <v>#REF!</v>
      </c>
      <c r="AC287" s="272" t="e">
        <f>AB287*(1+#REF!/100)</f>
        <v>#REF!</v>
      </c>
      <c r="AD287" s="272" t="e">
        <f>AC287*(1+#REF!/100)</f>
        <v>#REF!</v>
      </c>
      <c r="AE287" s="272" t="e">
        <f>AD287*(1+#REF!/100)</f>
        <v>#REF!</v>
      </c>
      <c r="AF287" s="272" t="e">
        <f>AE287*(1+#REF!/100)</f>
        <v>#REF!</v>
      </c>
      <c r="AG287" s="272" t="e">
        <f>AF287*(1+#REF!/100)</f>
        <v>#REF!</v>
      </c>
      <c r="AH287" s="272" t="e">
        <f>AG287*(1+#REF!/100)</f>
        <v>#REF!</v>
      </c>
      <c r="AI287" s="272" t="e">
        <f>AH287*(1+#REF!/100)</f>
        <v>#REF!</v>
      </c>
      <c r="AJ287" s="272" t="e">
        <f>AI287*(1+#REF!/100)</f>
        <v>#REF!</v>
      </c>
      <c r="AK287" s="272" t="e">
        <f>AJ287*(1+#REF!/100)</f>
        <v>#REF!</v>
      </c>
      <c r="AL287" s="272" t="e">
        <f>AK287*(1+#REF!/100)</f>
        <v>#REF!</v>
      </c>
      <c r="AM287" s="272" t="e">
        <f>AL287*(1+#REF!/100)</f>
        <v>#REF!</v>
      </c>
      <c r="AN287" s="272" t="e">
        <f>AM287*(1+#REF!/100)</f>
        <v>#REF!</v>
      </c>
      <c r="AO287" s="272" t="e">
        <f>AN287*(1+#REF!/100)</f>
        <v>#REF!</v>
      </c>
      <c r="AP287" s="272" t="e">
        <f>AO287*(1+#REF!/100)</f>
        <v>#REF!</v>
      </c>
      <c r="AQ287" s="272" t="e">
        <f>AP287*(1+#REF!/100)</f>
        <v>#REF!</v>
      </c>
      <c r="AR287" s="272" t="e">
        <f>AQ287*(1+#REF!/100)</f>
        <v>#REF!</v>
      </c>
      <c r="AS287" s="272" t="e">
        <f>AR287*(1+#REF!/100)</f>
        <v>#REF!</v>
      </c>
      <c r="AT287" s="272" t="e">
        <f>AS287*(1+#REF!/100)</f>
        <v>#REF!</v>
      </c>
      <c r="AU287" s="272" t="e">
        <f>AT287*(1+#REF!/100)</f>
        <v>#REF!</v>
      </c>
      <c r="AV287" s="272" t="e">
        <f>AU287*(1+#REF!/100)</f>
        <v>#REF!</v>
      </c>
      <c r="AW287" s="272" t="e">
        <f>AV287*(1+#REF!/100)</f>
        <v>#REF!</v>
      </c>
      <c r="AX287" s="272" t="e">
        <f>AW287*(1+#REF!/100)</f>
        <v>#REF!</v>
      </c>
      <c r="AY287" s="272" t="e">
        <f>AX287*(1+#REF!/100)</f>
        <v>#REF!</v>
      </c>
      <c r="AZ287" s="272" t="e">
        <f>AY287*(1+#REF!/100)</f>
        <v>#REF!</v>
      </c>
      <c r="BA287" s="272" t="e">
        <f>AZ287*(1+#REF!/100)</f>
        <v>#REF!</v>
      </c>
      <c r="BB287" s="272" t="e">
        <f>BA287*(1+#REF!/100)</f>
        <v>#REF!</v>
      </c>
      <c r="BC287" s="272" t="e">
        <f>BB287*(1+#REF!/100)</f>
        <v>#REF!</v>
      </c>
      <c r="BD287" s="272" t="e">
        <f>BC287*(1+#REF!/100)</f>
        <v>#REF!</v>
      </c>
      <c r="BE287" s="272" t="e">
        <f>BD287*(1+#REF!/100)</f>
        <v>#REF!</v>
      </c>
      <c r="BF287" s="272" t="e">
        <f>BE287*(1+#REF!/100)</f>
        <v>#REF!</v>
      </c>
      <c r="BG287" s="272" t="e">
        <f>BF287*(1+#REF!/100)</f>
        <v>#REF!</v>
      </c>
      <c r="BH287" s="272" t="e">
        <f>BG287*(1+#REF!/100)</f>
        <v>#REF!</v>
      </c>
      <c r="BI287" s="272" t="e">
        <f>BH287*(1+#REF!/100)</f>
        <v>#REF!</v>
      </c>
      <c r="BJ287" s="272" t="e">
        <f>BI287*(1+#REF!/100)</f>
        <v>#REF!</v>
      </c>
      <c r="BK287" s="272" t="e">
        <f>BJ287*(1+#REF!/100)</f>
        <v>#REF!</v>
      </c>
      <c r="BL287" s="272" t="e">
        <f>BK287*(1+#REF!/100)</f>
        <v>#REF!</v>
      </c>
      <c r="BM287" s="272" t="e">
        <f>BL287*(1+#REF!/100)</f>
        <v>#REF!</v>
      </c>
      <c r="BN287" s="272" t="e">
        <f>BM287*(1+#REF!/100)</f>
        <v>#REF!</v>
      </c>
      <c r="BO287" s="272" t="e">
        <f>BN287*(1+#REF!/100)</f>
        <v>#REF!</v>
      </c>
      <c r="BP287" s="272" t="e">
        <f>BO287*(1+#REF!/100)</f>
        <v>#REF!</v>
      </c>
      <c r="BQ287" s="272" t="e">
        <f>BP287*(1+#REF!/100)</f>
        <v>#REF!</v>
      </c>
      <c r="BR287" s="272" t="e">
        <f>BQ287*(1+#REF!/100)</f>
        <v>#REF!</v>
      </c>
      <c r="BS287" s="272" t="e">
        <f>BR287*(1+#REF!/100)</f>
        <v>#REF!</v>
      </c>
      <c r="BT287" s="272" t="e">
        <f>BS287*(1+#REF!/100)</f>
        <v>#REF!</v>
      </c>
      <c r="BU287" s="272" t="e">
        <f>BT287*(1+#REF!/100)</f>
        <v>#REF!</v>
      </c>
      <c r="BV287" s="272" t="e">
        <f>BU287*(1+#REF!/100)</f>
        <v>#REF!</v>
      </c>
      <c r="BW287" s="272" t="e">
        <f>BV287*(1+#REF!/100)</f>
        <v>#REF!</v>
      </c>
      <c r="BX287" s="272" t="e">
        <f>BW287*(1+#REF!/100)</f>
        <v>#REF!</v>
      </c>
      <c r="BY287" s="272" t="e">
        <f>BX287*(1+#REF!/100)</f>
        <v>#REF!</v>
      </c>
      <c r="BZ287" s="272" t="e">
        <f>BY287*(1+#REF!/100)</f>
        <v>#REF!</v>
      </c>
      <c r="CA287" s="272" t="e">
        <f>BZ287*(1+#REF!/100)</f>
        <v>#REF!</v>
      </c>
      <c r="CB287" s="272" t="e">
        <f>CA287*(1+#REF!/100)</f>
        <v>#REF!</v>
      </c>
      <c r="CC287" s="272" t="e">
        <f>CB287*(1+#REF!/100)</f>
        <v>#REF!</v>
      </c>
      <c r="CD287" s="272" t="e">
        <f>CC287*(1+#REF!/100)</f>
        <v>#REF!</v>
      </c>
      <c r="CE287" s="272" t="e">
        <f>CD287*(1+#REF!/100)</f>
        <v>#REF!</v>
      </c>
      <c r="CF287" s="272" t="e">
        <f>CE287*(1+#REF!/100)</f>
        <v>#REF!</v>
      </c>
      <c r="CG287" s="272" t="e">
        <f>CF287*(1+#REF!/100)</f>
        <v>#REF!</v>
      </c>
      <c r="CH287" s="272" t="e">
        <f>CG287*(1+#REF!/100)</f>
        <v>#REF!</v>
      </c>
      <c r="CI287" s="272" t="e">
        <f>CH287*(1+#REF!/100)</f>
        <v>#REF!</v>
      </c>
      <c r="CJ287" s="272" t="e">
        <f>CI287*(1+#REF!/100)</f>
        <v>#REF!</v>
      </c>
      <c r="CK287" s="272" t="e">
        <f>CJ287*(1+#REF!/100)</f>
        <v>#REF!</v>
      </c>
      <c r="CL287" s="272" t="e">
        <f>CK287*(1+#REF!/100)</f>
        <v>#REF!</v>
      </c>
      <c r="CM287" s="272" t="e">
        <f>CL287*(1+#REF!/100)</f>
        <v>#REF!</v>
      </c>
      <c r="CN287" s="272" t="e">
        <f>CM287*(1+#REF!/100)</f>
        <v>#REF!</v>
      </c>
      <c r="CO287" s="272" t="e">
        <f>CN287*(1+#REF!/100)</f>
        <v>#REF!</v>
      </c>
      <c r="CP287" s="272" t="e">
        <f>CO287*(1+#REF!/100)</f>
        <v>#REF!</v>
      </c>
      <c r="CQ287" s="272" t="e">
        <f>CP287*(1+#REF!/100)</f>
        <v>#REF!</v>
      </c>
    </row>
    <row r="288" spans="1:95">
      <c r="A288" s="275" t="s">
        <v>0</v>
      </c>
      <c r="B288" s="273"/>
      <c r="C288" s="216">
        <v>516854.03930496</v>
      </c>
      <c r="D288" s="216">
        <v>508517.33883445302</v>
      </c>
      <c r="E288" s="216">
        <v>545470.61127299001</v>
      </c>
      <c r="F288" s="216">
        <v>563059.62329193996</v>
      </c>
      <c r="G288" s="216">
        <v>533859.36181488703</v>
      </c>
      <c r="H288" s="216">
        <v>508322.34446058603</v>
      </c>
      <c r="I288" s="216">
        <v>515350.85413675202</v>
      </c>
      <c r="J288" s="216">
        <v>470258.22855995299</v>
      </c>
      <c r="K288" s="216">
        <v>414128.36018103297</v>
      </c>
      <c r="L288" s="216">
        <f t="shared" ref="L288:U288" si="524">L218</f>
        <v>753917.625</v>
      </c>
      <c r="M288" s="216">
        <f t="shared" si="524"/>
        <v>698850.125</v>
      </c>
      <c r="N288" s="216">
        <f t="shared" si="524"/>
        <v>667360.1875</v>
      </c>
      <c r="O288" s="216">
        <f t="shared" si="524"/>
        <v>603362.4375</v>
      </c>
      <c r="P288" s="216">
        <f t="shared" si="524"/>
        <v>561952.3125</v>
      </c>
      <c r="Q288" s="216">
        <f t="shared" si="524"/>
        <v>512900.875</v>
      </c>
      <c r="R288" s="216">
        <f t="shared" si="524"/>
        <v>488683.40625000006</v>
      </c>
      <c r="S288" s="216">
        <f t="shared" si="524"/>
        <v>510039.4375</v>
      </c>
      <c r="T288" s="216">
        <f t="shared" si="524"/>
        <v>526554.25</v>
      </c>
      <c r="U288" s="216">
        <f t="shared" si="524"/>
        <v>543316.59375</v>
      </c>
      <c r="V288" s="272">
        <f t="shared" ref="V288:BA288" si="525">U288*(1+V218/100)</f>
        <v>2981511950.0385351</v>
      </c>
      <c r="W288" s="272">
        <f t="shared" si="525"/>
        <v>15464975770592.006</v>
      </c>
      <c r="X288" s="272">
        <f t="shared" si="525"/>
        <v>7.6221840664323792E+16</v>
      </c>
      <c r="Y288" s="272">
        <f t="shared" si="525"/>
        <v>4.55999448429537E+20</v>
      </c>
      <c r="Z288" s="272">
        <f t="shared" si="525"/>
        <v>2.8533820635895401E+24</v>
      </c>
      <c r="AA288" s="272">
        <f t="shared" si="525"/>
        <v>1.7046646590475994E+28</v>
      </c>
      <c r="AB288" s="272">
        <f t="shared" si="525"/>
        <v>1.0999928564842565E+32</v>
      </c>
      <c r="AC288" s="272">
        <f t="shared" si="525"/>
        <v>7.0359009796969804E+35</v>
      </c>
      <c r="AD288" s="272">
        <f t="shared" si="525"/>
        <v>7.1833351628744958E+35</v>
      </c>
      <c r="AE288" s="272">
        <f t="shared" si="525"/>
        <v>6.893837827838636E+35</v>
      </c>
      <c r="AF288" s="272">
        <f t="shared" si="525"/>
        <v>6.5875196992984393E+35</v>
      </c>
      <c r="AG288" s="272">
        <f t="shared" si="525"/>
        <v>5.934766651890361E+35</v>
      </c>
      <c r="AH288" s="272">
        <f t="shared" si="525"/>
        <v>5.3794239870499298E+35</v>
      </c>
      <c r="AI288" s="272">
        <f t="shared" si="525"/>
        <v>5.033004623078606E+35</v>
      </c>
      <c r="AJ288" s="272">
        <f t="shared" si="525"/>
        <v>4.8867720407701837E+35</v>
      </c>
      <c r="AK288" s="272">
        <f t="shared" si="525"/>
        <v>4.8230794772679558E+35</v>
      </c>
      <c r="AL288" s="272">
        <f t="shared" si="525"/>
        <v>4.7324002230960448E+35</v>
      </c>
      <c r="AM288" s="272">
        <f t="shared" si="525"/>
        <v>4.7384331116236083E+35</v>
      </c>
      <c r="AN288" s="272">
        <f t="shared" si="525"/>
        <v>4.7084874000662309E+35</v>
      </c>
      <c r="AO288" s="272">
        <f t="shared" si="525"/>
        <v>4.6298417162073401E+35</v>
      </c>
      <c r="AP288" s="272">
        <f t="shared" si="525"/>
        <v>4.5302292994127911E+35</v>
      </c>
      <c r="AQ288" s="272">
        <f t="shared" si="525"/>
        <v>4.359613602282545E+35</v>
      </c>
      <c r="AR288" s="272">
        <f t="shared" si="525"/>
        <v>4.2112262356684825E+35</v>
      </c>
      <c r="AS288" s="272">
        <f t="shared" si="525"/>
        <v>4.0762355590296906E+35</v>
      </c>
      <c r="AT288" s="272">
        <f t="shared" si="525"/>
        <v>3.9667816291326296E+35</v>
      </c>
      <c r="AU288" s="272">
        <f t="shared" si="525"/>
        <v>3.8401697308683906E+35</v>
      </c>
      <c r="AV288" s="272">
        <f t="shared" si="525"/>
        <v>3.722597450779947E+35</v>
      </c>
      <c r="AW288" s="272">
        <f t="shared" si="525"/>
        <v>3.6307369465825799E+35</v>
      </c>
      <c r="AX288" s="272">
        <f t="shared" si="525"/>
        <v>3.5069203753096405E+35</v>
      </c>
      <c r="AY288" s="272">
        <f t="shared" si="525"/>
        <v>3.400077525703991E+35</v>
      </c>
      <c r="AZ288" s="272">
        <f t="shared" si="525"/>
        <v>3.2788568829997733E+35</v>
      </c>
      <c r="BA288" s="272">
        <f t="shared" si="525"/>
        <v>3.1913627171664087E+35</v>
      </c>
      <c r="BB288" s="272">
        <f t="shared" ref="BB288:CL288" si="526">BA288*(1+BB218/100)</f>
        <v>3.0709699979770323E+35</v>
      </c>
      <c r="BC288" s="272">
        <f t="shared" si="526"/>
        <v>2.9578346968170617E+35</v>
      </c>
      <c r="BD288" s="272">
        <f t="shared" si="526"/>
        <v>2.867116041155939E+35</v>
      </c>
      <c r="BE288" s="272">
        <f t="shared" si="526"/>
        <v>2.7633416993071615E+35</v>
      </c>
      <c r="BF288" s="272">
        <f t="shared" si="526"/>
        <v>2.6695776603609344E+35</v>
      </c>
      <c r="BG288" s="272">
        <f t="shared" si="526"/>
        <v>2.5675184321138715E+35</v>
      </c>
      <c r="BH288" s="272">
        <f t="shared" si="526"/>
        <v>2.4590494931726945E+35</v>
      </c>
      <c r="BI288" s="272">
        <f t="shared" si="526"/>
        <v>2.3605139145710367E+35</v>
      </c>
      <c r="BJ288" s="272">
        <f t="shared" si="526"/>
        <v>2.2597611579223993E+35</v>
      </c>
      <c r="BK288" s="272">
        <f t="shared" si="526"/>
        <v>2.1386316457154632E+35</v>
      </c>
      <c r="BL288" s="272">
        <f t="shared" si="526"/>
        <v>2.0276598838252426E+35</v>
      </c>
      <c r="BM288" s="272">
        <f t="shared" si="526"/>
        <v>1.9145920744440031E+35</v>
      </c>
      <c r="BN288" s="272">
        <f t="shared" si="526"/>
        <v>1.9145920744440031E+35</v>
      </c>
      <c r="BO288" s="272">
        <f t="shared" si="526"/>
        <v>1.9145920744440031E+35</v>
      </c>
      <c r="BP288" s="272">
        <f t="shared" si="526"/>
        <v>1.9145920744440031E+35</v>
      </c>
      <c r="BQ288" s="272">
        <f t="shared" si="526"/>
        <v>1.9145920744440031E+35</v>
      </c>
      <c r="BR288" s="272">
        <f t="shared" si="526"/>
        <v>1.9145920744440031E+35</v>
      </c>
      <c r="BS288" s="272">
        <f t="shared" si="526"/>
        <v>1.9145920744440031E+35</v>
      </c>
      <c r="BT288" s="272">
        <f t="shared" si="526"/>
        <v>1.9145920744440031E+35</v>
      </c>
      <c r="BU288" s="272">
        <f t="shared" si="526"/>
        <v>1.9145920744440031E+35</v>
      </c>
      <c r="BV288" s="272">
        <f t="shared" si="526"/>
        <v>1.9145920744440031E+35</v>
      </c>
      <c r="BW288" s="272">
        <f t="shared" si="526"/>
        <v>1.9145920744440031E+35</v>
      </c>
      <c r="BX288" s="272">
        <f t="shared" si="526"/>
        <v>1.9145920744440031E+35</v>
      </c>
      <c r="BY288" s="272">
        <f t="shared" si="526"/>
        <v>1.9145920744440031E+35</v>
      </c>
      <c r="BZ288" s="272">
        <f t="shared" si="526"/>
        <v>1.9145920744440031E+35</v>
      </c>
      <c r="CA288" s="272">
        <f t="shared" si="526"/>
        <v>1.9145920744440031E+35</v>
      </c>
      <c r="CB288" s="272">
        <f t="shared" si="526"/>
        <v>1.9145920744440031E+35</v>
      </c>
      <c r="CC288" s="272">
        <f t="shared" si="526"/>
        <v>1.9145920744440031E+35</v>
      </c>
      <c r="CD288" s="272">
        <f t="shared" si="526"/>
        <v>1.9145920744440031E+35</v>
      </c>
      <c r="CE288" s="272">
        <f t="shared" si="526"/>
        <v>1.9145920744440031E+35</v>
      </c>
      <c r="CF288" s="272">
        <f t="shared" si="526"/>
        <v>1.9145920744440031E+35</v>
      </c>
      <c r="CG288" s="272">
        <f t="shared" si="526"/>
        <v>1.9145920744440031E+35</v>
      </c>
      <c r="CH288" s="272">
        <f t="shared" si="526"/>
        <v>1.9145920744440031E+35</v>
      </c>
      <c r="CI288" s="272">
        <f t="shared" si="526"/>
        <v>1.9145920744440031E+35</v>
      </c>
      <c r="CJ288" s="272">
        <f t="shared" si="526"/>
        <v>1.9145920744440031E+35</v>
      </c>
      <c r="CK288" s="272">
        <f t="shared" si="526"/>
        <v>1.9145920744440031E+35</v>
      </c>
      <c r="CL288" s="272">
        <f t="shared" si="526"/>
        <v>1.9145920744440031E+35</v>
      </c>
      <c r="CM288" s="272">
        <f t="shared" ref="CM288:CM289" si="527">CL288*(1+CM218/100)</f>
        <v>1.9145920744440031E+35</v>
      </c>
      <c r="CN288" s="272">
        <f t="shared" ref="CN288:CN289" si="528">CM288*(1+CN218/100)</f>
        <v>1.9145920744440031E+35</v>
      </c>
      <c r="CO288" s="272">
        <f t="shared" ref="CO288:CO289" si="529">CN288*(1+CO218/100)</f>
        <v>1.9145920744440031E+35</v>
      </c>
      <c r="CP288" s="272">
        <f t="shared" ref="CP288:CP289" si="530">CO288*(1+CP218/100)</f>
        <v>1.9145920744440031E+35</v>
      </c>
      <c r="CQ288" s="272">
        <f t="shared" ref="CQ288:CQ289" si="531">CP288*(1+CQ218/100)</f>
        <v>1.9145920744440031E+35</v>
      </c>
    </row>
    <row r="289" spans="1:95">
      <c r="A289" s="275" t="s">
        <v>253</v>
      </c>
      <c r="B289" s="273"/>
      <c r="C289" s="216">
        <v>69208.205767999694</v>
      </c>
      <c r="D289" s="216">
        <v>76213.753286778607</v>
      </c>
      <c r="E289" s="216">
        <v>77646.051949929402</v>
      </c>
      <c r="F289" s="216">
        <v>78390.5910199879</v>
      </c>
      <c r="G289" s="216">
        <v>99789.350082211298</v>
      </c>
      <c r="H289" s="216">
        <v>109840.08871323999</v>
      </c>
      <c r="I289" s="216">
        <v>118131.207727241</v>
      </c>
      <c r="J289" s="216">
        <v>128011.4847156</v>
      </c>
      <c r="K289" s="216">
        <v>131980.71350938399</v>
      </c>
      <c r="L289" s="216">
        <f t="shared" ref="L289:U289" si="532">L219</f>
        <v>976237.3125</v>
      </c>
      <c r="M289" s="216">
        <f t="shared" si="532"/>
        <v>1103659</v>
      </c>
      <c r="N289" s="216">
        <f t="shared" si="532"/>
        <v>1151855.5</v>
      </c>
      <c r="O289" s="216">
        <f t="shared" si="532"/>
        <v>1176544.875</v>
      </c>
      <c r="P289" s="216">
        <f t="shared" si="532"/>
        <v>1143005.375</v>
      </c>
      <c r="Q289" s="216">
        <f t="shared" si="532"/>
        <v>1299613.0000000002</v>
      </c>
      <c r="R289" s="216">
        <f t="shared" si="532"/>
        <v>1235332.375</v>
      </c>
      <c r="S289" s="216">
        <f t="shared" si="532"/>
        <v>1230465.7499999998</v>
      </c>
      <c r="T289" s="216">
        <f t="shared" si="532"/>
        <v>1315635.3750000002</v>
      </c>
      <c r="U289" s="216">
        <f t="shared" si="532"/>
        <v>1327594.15625</v>
      </c>
      <c r="V289" s="272">
        <f t="shared" ref="V289:BA289" si="533">U289*(1+V219/100)</f>
        <v>19348006665.355614</v>
      </c>
      <c r="W289" s="272">
        <f t="shared" si="533"/>
        <v>277124891415306.97</v>
      </c>
      <c r="X289" s="272">
        <f t="shared" si="533"/>
        <v>3.7707940575054556E+18</v>
      </c>
      <c r="Y289" s="272">
        <f t="shared" si="533"/>
        <v>5.1522856180386999E+22</v>
      </c>
      <c r="Z289" s="272">
        <f t="shared" si="533"/>
        <v>6.8962027554526141E+26</v>
      </c>
      <c r="AA289" s="272">
        <f t="shared" si="533"/>
        <v>9.7163014292536286E+30</v>
      </c>
      <c r="AB289" s="272">
        <f t="shared" si="533"/>
        <v>1.3086639236644105E+35</v>
      </c>
      <c r="AC289" s="272">
        <f t="shared" si="533"/>
        <v>1.8980123380584169E+39</v>
      </c>
      <c r="AD289" s="272">
        <f t="shared" si="533"/>
        <v>1.8107599926134232E+39</v>
      </c>
      <c r="AE289" s="272">
        <f t="shared" si="533"/>
        <v>1.8261928505877382E+39</v>
      </c>
      <c r="AF289" s="272">
        <f t="shared" si="533"/>
        <v>1.8154050604554363E+39</v>
      </c>
      <c r="AG289" s="272">
        <f t="shared" si="533"/>
        <v>1.7543297607914665E+39</v>
      </c>
      <c r="AH289" s="272">
        <f t="shared" si="533"/>
        <v>1.6853955779560726E+39</v>
      </c>
      <c r="AI289" s="272">
        <f t="shared" si="533"/>
        <v>1.5937584193934652E+39</v>
      </c>
      <c r="AJ289" s="272">
        <f t="shared" si="533"/>
        <v>1.520802214594684E+39</v>
      </c>
      <c r="AK289" s="272">
        <f t="shared" si="533"/>
        <v>1.4146623358105622E+39</v>
      </c>
      <c r="AL289" s="272">
        <f t="shared" si="533"/>
        <v>1.3558732617962458E+39</v>
      </c>
      <c r="AM289" s="272">
        <f t="shared" si="533"/>
        <v>1.3177832321492451E+39</v>
      </c>
      <c r="AN289" s="272">
        <f t="shared" si="533"/>
        <v>1.2790674080363444E+39</v>
      </c>
      <c r="AO289" s="272">
        <f t="shared" si="533"/>
        <v>1.2441293251552826E+39</v>
      </c>
      <c r="AP289" s="272">
        <f t="shared" si="533"/>
        <v>1.1873608122837854E+39</v>
      </c>
      <c r="AQ289" s="272">
        <f t="shared" si="533"/>
        <v>1.110804042692423E+39</v>
      </c>
      <c r="AR289" s="272">
        <f t="shared" si="533"/>
        <v>1.0284797363661346E+39</v>
      </c>
      <c r="AS289" s="272">
        <f t="shared" si="533"/>
        <v>9.6610575674184507E+38</v>
      </c>
      <c r="AT289" s="272">
        <f t="shared" si="533"/>
        <v>9.1494146553724085E+38</v>
      </c>
      <c r="AU289" s="272">
        <f t="shared" si="533"/>
        <v>8.6252908544289681E+38</v>
      </c>
      <c r="AV289" s="272">
        <f t="shared" si="533"/>
        <v>8.203590236654885E+38</v>
      </c>
      <c r="AW289" s="272">
        <f t="shared" si="533"/>
        <v>7.7385442979195828E+38</v>
      </c>
      <c r="AX289" s="272">
        <f t="shared" si="533"/>
        <v>7.3537292464680531E+38</v>
      </c>
      <c r="AY289" s="272">
        <f t="shared" si="533"/>
        <v>7.0602714788658689E+38</v>
      </c>
      <c r="AZ289" s="272">
        <f t="shared" si="533"/>
        <v>6.779848572371336E+38</v>
      </c>
      <c r="BA289" s="272">
        <f t="shared" si="533"/>
        <v>6.5289232798891187E+38</v>
      </c>
      <c r="BB289" s="272">
        <f t="shared" ref="BB289:CL289" si="534">BA289*(1+BB219/100)</f>
        <v>6.3818980128394363E+38</v>
      </c>
      <c r="BC289" s="272">
        <f t="shared" si="534"/>
        <v>6.1814708285454009E+38</v>
      </c>
      <c r="BD289" s="272">
        <f t="shared" si="534"/>
        <v>5.9615731888371081E+38</v>
      </c>
      <c r="BE289" s="272">
        <f t="shared" si="534"/>
        <v>5.7100239708238864E+38</v>
      </c>
      <c r="BF289" s="272">
        <f t="shared" si="534"/>
        <v>5.4946278709775198E+38</v>
      </c>
      <c r="BG289" s="272">
        <f t="shared" si="534"/>
        <v>5.3356120971431933E+38</v>
      </c>
      <c r="BH289" s="272">
        <f t="shared" si="534"/>
        <v>5.2534950919581416E+38</v>
      </c>
      <c r="BI289" s="272">
        <f t="shared" si="534"/>
        <v>5.1365121546386841E+38</v>
      </c>
      <c r="BJ289" s="272">
        <f t="shared" si="534"/>
        <v>5.0484216050189155E+38</v>
      </c>
      <c r="BK289" s="272">
        <f t="shared" si="534"/>
        <v>4.9800248817338557E+38</v>
      </c>
      <c r="BL289" s="272">
        <f t="shared" si="534"/>
        <v>4.9083733059323219E+38</v>
      </c>
      <c r="BM289" s="272">
        <f t="shared" si="534"/>
        <v>4.8481423398755892E+38</v>
      </c>
      <c r="BN289" s="272">
        <f t="shared" si="534"/>
        <v>4.8481423398755892E+38</v>
      </c>
      <c r="BO289" s="272">
        <f t="shared" si="534"/>
        <v>4.8481423398755892E+38</v>
      </c>
      <c r="BP289" s="272">
        <f t="shared" si="534"/>
        <v>4.8481423398755892E+38</v>
      </c>
      <c r="BQ289" s="272">
        <f t="shared" si="534"/>
        <v>4.8481423398755892E+38</v>
      </c>
      <c r="BR289" s="272">
        <f t="shared" si="534"/>
        <v>4.8481423398755892E+38</v>
      </c>
      <c r="BS289" s="272">
        <f t="shared" si="534"/>
        <v>4.8481423398755892E+38</v>
      </c>
      <c r="BT289" s="272">
        <f t="shared" si="534"/>
        <v>4.8481423398755892E+38</v>
      </c>
      <c r="BU289" s="272">
        <f t="shared" si="534"/>
        <v>4.8481423398755892E+38</v>
      </c>
      <c r="BV289" s="272">
        <f t="shared" si="534"/>
        <v>4.8481423398755892E+38</v>
      </c>
      <c r="BW289" s="272">
        <f t="shared" si="534"/>
        <v>4.8481423398755892E+38</v>
      </c>
      <c r="BX289" s="272">
        <f t="shared" si="534"/>
        <v>4.8481423398755892E+38</v>
      </c>
      <c r="BY289" s="272">
        <f t="shared" si="534"/>
        <v>4.8481423398755892E+38</v>
      </c>
      <c r="BZ289" s="272">
        <f t="shared" si="534"/>
        <v>4.8481423398755892E+38</v>
      </c>
      <c r="CA289" s="272">
        <f t="shared" si="534"/>
        <v>4.8481423398755892E+38</v>
      </c>
      <c r="CB289" s="272">
        <f t="shared" si="534"/>
        <v>4.8481423398755892E+38</v>
      </c>
      <c r="CC289" s="272">
        <f t="shared" si="534"/>
        <v>4.8481423398755892E+38</v>
      </c>
      <c r="CD289" s="272">
        <f t="shared" si="534"/>
        <v>4.8481423398755892E+38</v>
      </c>
      <c r="CE289" s="272">
        <f t="shared" si="534"/>
        <v>4.8481423398755892E+38</v>
      </c>
      <c r="CF289" s="272">
        <f t="shared" si="534"/>
        <v>4.8481423398755892E+38</v>
      </c>
      <c r="CG289" s="272">
        <f t="shared" si="534"/>
        <v>4.8481423398755892E+38</v>
      </c>
      <c r="CH289" s="272">
        <f t="shared" si="534"/>
        <v>4.8481423398755892E+38</v>
      </c>
      <c r="CI289" s="272">
        <f t="shared" si="534"/>
        <v>4.8481423398755892E+38</v>
      </c>
      <c r="CJ289" s="272">
        <f t="shared" si="534"/>
        <v>4.8481423398755892E+38</v>
      </c>
      <c r="CK289" s="272">
        <f t="shared" si="534"/>
        <v>4.8481423398755892E+38</v>
      </c>
      <c r="CL289" s="272">
        <f t="shared" si="534"/>
        <v>4.8481423398755892E+38</v>
      </c>
      <c r="CM289" s="272">
        <f t="shared" si="527"/>
        <v>4.8481423398755892E+38</v>
      </c>
      <c r="CN289" s="272">
        <f t="shared" si="528"/>
        <v>4.8481423398755892E+38</v>
      </c>
      <c r="CO289" s="272">
        <f t="shared" si="529"/>
        <v>4.8481423398755892E+38</v>
      </c>
      <c r="CP289" s="272">
        <f t="shared" si="530"/>
        <v>4.8481423398755892E+38</v>
      </c>
      <c r="CQ289" s="272">
        <f t="shared" si="531"/>
        <v>4.8481423398755892E+38</v>
      </c>
    </row>
    <row r="290" spans="1:95">
      <c r="A290" s="275"/>
      <c r="B290" s="24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461"/>
      <c r="O290" s="461"/>
      <c r="P290" s="459"/>
      <c r="Q290" s="459"/>
      <c r="R290" s="459"/>
      <c r="S290" s="454"/>
      <c r="T290" s="293"/>
      <c r="U290" s="293"/>
      <c r="V290" s="293"/>
      <c r="W290" s="293"/>
      <c r="X290" s="293"/>
      <c r="Y290" s="293"/>
      <c r="Z290" s="293"/>
      <c r="AA290" s="293"/>
      <c r="AB290" s="293"/>
      <c r="AC290" s="293"/>
      <c r="AD290" s="293"/>
      <c r="AE290" s="293"/>
      <c r="AF290" s="293"/>
      <c r="AG290" s="293"/>
      <c r="AH290" s="293"/>
      <c r="AI290" s="293"/>
      <c r="AJ290" s="293"/>
      <c r="AK290" s="293"/>
      <c r="AL290" s="293"/>
      <c r="AM290" s="293"/>
      <c r="AN290" s="293"/>
      <c r="AO290" s="293"/>
      <c r="AP290" s="293"/>
      <c r="AQ290" s="293"/>
      <c r="AR290" s="293"/>
      <c r="AS290" s="293"/>
      <c r="AT290" s="293"/>
      <c r="AU290" s="293"/>
      <c r="AV290" s="293"/>
      <c r="AW290" s="293"/>
      <c r="AX290" s="293"/>
      <c r="AY290" s="293"/>
      <c r="AZ290" s="293"/>
      <c r="BA290" s="293"/>
      <c r="BB290" s="293"/>
      <c r="BC290" s="293"/>
    </row>
    <row r="291" spans="1:95">
      <c r="A291" s="275" t="s">
        <v>254</v>
      </c>
      <c r="B291" s="211"/>
      <c r="C291" s="216">
        <v>28931.892043227701</v>
      </c>
      <c r="D291" s="216">
        <v>24385.2363453902</v>
      </c>
      <c r="E291" s="216">
        <v>29353.3200252227</v>
      </c>
      <c r="F291" s="216">
        <v>33860.027278804599</v>
      </c>
      <c r="G291" s="216">
        <v>38975.515476741399</v>
      </c>
      <c r="H291" s="216">
        <v>37929.108300752603</v>
      </c>
      <c r="I291" s="216">
        <v>42932.332890317099</v>
      </c>
      <c r="J291" s="216">
        <v>49777.573544465697</v>
      </c>
      <c r="K291" s="216">
        <v>58822.062140121503</v>
      </c>
      <c r="L291" s="216">
        <v>73953.667770813205</v>
      </c>
      <c r="M291" s="216">
        <v>83294.063633569007</v>
      </c>
      <c r="N291" s="453">
        <v>107138.89637513801</v>
      </c>
      <c r="O291" s="453">
        <v>105879.299721213</v>
      </c>
      <c r="P291" s="454">
        <v>102647.36940418401</v>
      </c>
      <c r="Q291" s="454">
        <v>114633</v>
      </c>
      <c r="R291" s="454">
        <v>128570.158203125</v>
      </c>
      <c r="S291" s="454">
        <v>136503</v>
      </c>
      <c r="T291" s="272">
        <v>119896</v>
      </c>
      <c r="U291" s="272">
        <v>119896</v>
      </c>
      <c r="V291" s="272">
        <f t="shared" ref="V291:BA291" si="535">U291*(1+V220/100)</f>
        <v>43979667.556226447</v>
      </c>
      <c r="W291" s="272">
        <f t="shared" si="535"/>
        <v>19506907532.732391</v>
      </c>
      <c r="X291" s="272">
        <f t="shared" si="535"/>
        <v>8798050309274.8105</v>
      </c>
      <c r="Y291" s="272">
        <f t="shared" si="535"/>
        <v>3008018958603202</v>
      </c>
      <c r="Z291" s="272">
        <f t="shared" si="535"/>
        <v>9.8721307391439462E+17</v>
      </c>
      <c r="AA291" s="272">
        <f t="shared" si="535"/>
        <v>2.4199551550165991E+20</v>
      </c>
      <c r="AB291" s="272">
        <f t="shared" si="535"/>
        <v>5.9307475191668576E+22</v>
      </c>
      <c r="AC291" s="272">
        <f t="shared" si="535"/>
        <v>1.5359289109818987E+25</v>
      </c>
      <c r="AD291" s="272">
        <f t="shared" si="535"/>
        <v>1.5520212653983975E+25</v>
      </c>
      <c r="AE291" s="272">
        <f t="shared" si="535"/>
        <v>1.5207470724180978E+25</v>
      </c>
      <c r="AF291" s="272">
        <f t="shared" si="535"/>
        <v>1.4869609282673772E+25</v>
      </c>
      <c r="AG291" s="272">
        <f t="shared" si="535"/>
        <v>1.4132899320799468E+25</v>
      </c>
      <c r="AH291" s="272">
        <f t="shared" si="535"/>
        <v>1.3471660014260405E+25</v>
      </c>
      <c r="AI291" s="272">
        <f t="shared" si="535"/>
        <v>1.3037892021161827E+25</v>
      </c>
      <c r="AJ291" s="272">
        <f t="shared" si="535"/>
        <v>1.2848485815436284E+25</v>
      </c>
      <c r="AK291" s="272">
        <f t="shared" si="535"/>
        <v>1.2764754367367943E+25</v>
      </c>
      <c r="AL291" s="272">
        <f t="shared" si="535"/>
        <v>1.2644758583431966E+25</v>
      </c>
      <c r="AM291" s="272">
        <f t="shared" si="535"/>
        <v>1.2652818385582626E+25</v>
      </c>
      <c r="AN291" s="272">
        <f t="shared" si="535"/>
        <v>1.2612837062554865E+25</v>
      </c>
      <c r="AO291" s="272">
        <f t="shared" si="535"/>
        <v>1.2507501196500363E+25</v>
      </c>
      <c r="AP291" s="272">
        <f t="shared" si="535"/>
        <v>1.2372949898787239E+25</v>
      </c>
      <c r="AQ291" s="272">
        <f t="shared" si="535"/>
        <v>1.2139957335605855E+25</v>
      </c>
      <c r="AR291" s="272">
        <f t="shared" si="535"/>
        <v>1.193335458772764E+25</v>
      </c>
      <c r="AS291" s="272">
        <f t="shared" si="535"/>
        <v>1.1742093002595502E+25</v>
      </c>
      <c r="AT291" s="272">
        <f t="shared" si="535"/>
        <v>1.1584445314460324E+25</v>
      </c>
      <c r="AU291" s="272">
        <f t="shared" si="535"/>
        <v>1.1399568914807992E+25</v>
      </c>
      <c r="AV291" s="272">
        <f t="shared" si="535"/>
        <v>1.122506187432931E+25</v>
      </c>
      <c r="AW291" s="272">
        <f t="shared" si="535"/>
        <v>1.1086564513675059E+25</v>
      </c>
      <c r="AX291" s="272">
        <f t="shared" si="535"/>
        <v>1.0897525700690888E+25</v>
      </c>
      <c r="AY291" s="272">
        <f t="shared" si="535"/>
        <v>1.0731522117075189E+25</v>
      </c>
      <c r="AZ291" s="272">
        <f t="shared" si="535"/>
        <v>1.0540220301397173E+25</v>
      </c>
      <c r="BA291" s="272">
        <f t="shared" si="535"/>
        <v>1.0399590835720874E+25</v>
      </c>
      <c r="BB291" s="272">
        <f t="shared" ref="BB291:CL291" si="536">BA291*(1+BB220/100)</f>
        <v>1.0203430898707974E+25</v>
      </c>
      <c r="BC291" s="272">
        <f t="shared" si="536"/>
        <v>1.0015482428297858E+25</v>
      </c>
      <c r="BD291" s="272">
        <f t="shared" si="536"/>
        <v>9.8618918468717708E+24</v>
      </c>
      <c r="BE291" s="272">
        <f t="shared" si="536"/>
        <v>9.6834178470227227E+24</v>
      </c>
      <c r="BF291" s="272">
        <f t="shared" si="536"/>
        <v>9.5191319086661898E+24</v>
      </c>
      <c r="BG291" s="272">
        <f t="shared" si="536"/>
        <v>9.3371714303092675E+24</v>
      </c>
      <c r="BH291" s="272">
        <f t="shared" si="536"/>
        <v>9.1399395302204965E+24</v>
      </c>
      <c r="BI291" s="272">
        <f t="shared" si="536"/>
        <v>8.9568181183711433E+24</v>
      </c>
      <c r="BJ291" s="272">
        <f t="shared" si="536"/>
        <v>8.7656681932095405E+24</v>
      </c>
      <c r="BK291" s="272">
        <f t="shared" si="536"/>
        <v>8.5307360392761759E+24</v>
      </c>
      <c r="BL291" s="272">
        <f t="shared" si="536"/>
        <v>8.3094097509470374E+24</v>
      </c>
      <c r="BM291" s="272">
        <f t="shared" si="536"/>
        <v>8.0777321492729719E+24</v>
      </c>
      <c r="BN291" s="272">
        <f t="shared" si="536"/>
        <v>8.0777321492729719E+24</v>
      </c>
      <c r="BO291" s="272">
        <f t="shared" si="536"/>
        <v>8.0777321492729719E+24</v>
      </c>
      <c r="BP291" s="272">
        <f t="shared" si="536"/>
        <v>8.0777321492729719E+24</v>
      </c>
      <c r="BQ291" s="272">
        <f t="shared" si="536"/>
        <v>8.0777321492729719E+24</v>
      </c>
      <c r="BR291" s="272">
        <f t="shared" si="536"/>
        <v>8.0777321492729719E+24</v>
      </c>
      <c r="BS291" s="272">
        <f t="shared" si="536"/>
        <v>8.0777321492729719E+24</v>
      </c>
      <c r="BT291" s="272">
        <f t="shared" si="536"/>
        <v>8.0777321492729719E+24</v>
      </c>
      <c r="BU291" s="272">
        <f t="shared" si="536"/>
        <v>8.0777321492729719E+24</v>
      </c>
      <c r="BV291" s="272">
        <f t="shared" si="536"/>
        <v>8.0777321492729719E+24</v>
      </c>
      <c r="BW291" s="272">
        <f t="shared" si="536"/>
        <v>8.0777321492729719E+24</v>
      </c>
      <c r="BX291" s="272">
        <f t="shared" si="536"/>
        <v>8.0777321492729719E+24</v>
      </c>
      <c r="BY291" s="272">
        <f t="shared" si="536"/>
        <v>8.0777321492729719E+24</v>
      </c>
      <c r="BZ291" s="272">
        <f t="shared" si="536"/>
        <v>8.0777321492729719E+24</v>
      </c>
      <c r="CA291" s="272">
        <f t="shared" si="536"/>
        <v>8.0777321492729719E+24</v>
      </c>
      <c r="CB291" s="272">
        <f t="shared" si="536"/>
        <v>8.0777321492729719E+24</v>
      </c>
      <c r="CC291" s="272">
        <f t="shared" si="536"/>
        <v>8.0777321492729719E+24</v>
      </c>
      <c r="CD291" s="272">
        <f t="shared" si="536"/>
        <v>8.0777321492729719E+24</v>
      </c>
      <c r="CE291" s="272">
        <f t="shared" si="536"/>
        <v>8.0777321492729719E+24</v>
      </c>
      <c r="CF291" s="272">
        <f t="shared" si="536"/>
        <v>8.0777321492729719E+24</v>
      </c>
      <c r="CG291" s="272">
        <f t="shared" si="536"/>
        <v>8.0777321492729719E+24</v>
      </c>
      <c r="CH291" s="272">
        <f t="shared" si="536"/>
        <v>8.0777321492729719E+24</v>
      </c>
      <c r="CI291" s="272">
        <f t="shared" si="536"/>
        <v>8.0777321492729719E+24</v>
      </c>
      <c r="CJ291" s="272">
        <f t="shared" si="536"/>
        <v>8.0777321492729719E+24</v>
      </c>
      <c r="CK291" s="272">
        <f t="shared" si="536"/>
        <v>8.0777321492729719E+24</v>
      </c>
      <c r="CL291" s="272">
        <f t="shared" si="536"/>
        <v>8.0777321492729719E+24</v>
      </c>
      <c r="CM291" s="272">
        <f t="shared" ref="CM291" si="537">CL291*(1+CM220/100)</f>
        <v>8.0777321492729719E+24</v>
      </c>
      <c r="CN291" s="272">
        <f t="shared" ref="CN291" si="538">CM291*(1+CN220/100)</f>
        <v>8.0777321492729719E+24</v>
      </c>
      <c r="CO291" s="272">
        <f t="shared" ref="CO291" si="539">CN291*(1+CO220/100)</f>
        <v>8.0777321492729719E+24</v>
      </c>
      <c r="CP291" s="272">
        <f t="shared" ref="CP291" si="540">CO291*(1+CP220/100)</f>
        <v>8.0777321492729719E+24</v>
      </c>
      <c r="CQ291" s="272">
        <f t="shared" ref="CQ291" si="541">CP291*(1+CQ220/100)</f>
        <v>8.0777321492729719E+24</v>
      </c>
    </row>
    <row r="292" spans="1:95">
      <c r="A292" s="275"/>
      <c r="B292" s="24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461"/>
      <c r="O292" s="461"/>
      <c r="P292" s="459"/>
      <c r="Q292" s="459"/>
      <c r="R292" s="459"/>
      <c r="S292" s="454"/>
      <c r="T292" s="293"/>
      <c r="U292" s="293"/>
      <c r="V292" s="293"/>
      <c r="W292" s="293"/>
      <c r="X292" s="293"/>
      <c r="Y292" s="293"/>
      <c r="Z292" s="293"/>
      <c r="AA292" s="293"/>
      <c r="AB292" s="293"/>
      <c r="AC292" s="293"/>
      <c r="AD292" s="293"/>
      <c r="AE292" s="293"/>
      <c r="AF292" s="293"/>
      <c r="AG292" s="293"/>
      <c r="AH292" s="293"/>
      <c r="AI292" s="293"/>
      <c r="AJ292" s="293"/>
      <c r="AK292" s="293"/>
      <c r="AL292" s="293"/>
      <c r="AM292" s="293"/>
      <c r="AN292" s="293"/>
      <c r="AO292" s="293"/>
      <c r="AP292" s="293"/>
      <c r="AQ292" s="293"/>
      <c r="AR292" s="293"/>
      <c r="AS292" s="293"/>
      <c r="AT292" s="293"/>
      <c r="AU292" s="293"/>
      <c r="AV292" s="293"/>
      <c r="AW292" s="293"/>
      <c r="AX292" s="293"/>
      <c r="AY292" s="293"/>
      <c r="AZ292" s="293"/>
      <c r="BA292" s="293"/>
      <c r="BB292" s="293"/>
      <c r="BC292" s="293"/>
    </row>
    <row r="293" spans="1:95">
      <c r="A293" s="275" t="s">
        <v>255</v>
      </c>
      <c r="B293" s="273"/>
      <c r="C293" s="216">
        <v>9093.1724649863609</v>
      </c>
      <c r="D293" s="216">
        <v>8232.9190986944905</v>
      </c>
      <c r="E293" s="216">
        <v>6206.9598482126803</v>
      </c>
      <c r="F293" s="216">
        <v>6654.6353148479102</v>
      </c>
      <c r="G293" s="216">
        <v>6280.40701637856</v>
      </c>
      <c r="H293" s="216">
        <v>8284.2289133282793</v>
      </c>
      <c r="I293" s="216">
        <v>5721.50115517827</v>
      </c>
      <c r="J293" s="216">
        <v>6365.2190990034997</v>
      </c>
      <c r="K293" s="216">
        <v>6397.9322234498504</v>
      </c>
      <c r="L293" s="216">
        <v>7373.4991675048605</v>
      </c>
      <c r="M293" s="216">
        <v>6442.5017978704</v>
      </c>
      <c r="N293" s="453">
        <v>8133.8928396975298</v>
      </c>
      <c r="O293" s="453">
        <v>10969.746420846601</v>
      </c>
      <c r="P293" s="454">
        <v>11623.8609453137</v>
      </c>
      <c r="Q293" s="454">
        <v>12881</v>
      </c>
      <c r="R293" s="454">
        <v>11877.154307369299</v>
      </c>
      <c r="S293" s="454">
        <v>12606</v>
      </c>
      <c r="T293" s="272" t="e">
        <f>S293*(1+#REF!/100)</f>
        <v>#REF!</v>
      </c>
      <c r="U293" s="272" t="e">
        <f>T293*(1+#REF!/100)</f>
        <v>#REF!</v>
      </c>
      <c r="V293" s="272" t="e">
        <f>U293*(1+#REF!/100)</f>
        <v>#REF!</v>
      </c>
      <c r="W293" s="272" t="e">
        <f>V293*(1+#REF!/100)</f>
        <v>#REF!</v>
      </c>
      <c r="X293" s="272" t="e">
        <f>W293*(1+#REF!/100)</f>
        <v>#REF!</v>
      </c>
      <c r="Y293" s="272" t="e">
        <f>X293*(1+#REF!/100)</f>
        <v>#REF!</v>
      </c>
      <c r="Z293" s="272" t="e">
        <f>Y293*(1+#REF!/100)</f>
        <v>#REF!</v>
      </c>
      <c r="AA293" s="272" t="e">
        <f>Z293*(1+#REF!/100)</f>
        <v>#REF!</v>
      </c>
      <c r="AB293" s="272" t="e">
        <f>AA293*(1+#REF!/100)</f>
        <v>#REF!</v>
      </c>
      <c r="AC293" s="272" t="e">
        <f>AB293*(1+#REF!/100)</f>
        <v>#REF!</v>
      </c>
      <c r="AD293" s="272" t="e">
        <f>AC293*(1+#REF!/100)</f>
        <v>#REF!</v>
      </c>
      <c r="AE293" s="272" t="e">
        <f>AD293*(1+#REF!/100)</f>
        <v>#REF!</v>
      </c>
      <c r="AF293" s="272" t="e">
        <f>AE293*(1+#REF!/100)</f>
        <v>#REF!</v>
      </c>
      <c r="AG293" s="272" t="e">
        <f>AF293*(1+#REF!/100)</f>
        <v>#REF!</v>
      </c>
      <c r="AH293" s="272" t="e">
        <f>AG293*(1+#REF!/100)</f>
        <v>#REF!</v>
      </c>
      <c r="AI293" s="272" t="e">
        <f>AH293*(1+#REF!/100)</f>
        <v>#REF!</v>
      </c>
      <c r="AJ293" s="272" t="e">
        <f>AI293*(1+#REF!/100)</f>
        <v>#REF!</v>
      </c>
      <c r="AK293" s="272" t="e">
        <f>AJ293*(1+#REF!/100)</f>
        <v>#REF!</v>
      </c>
      <c r="AL293" s="272" t="e">
        <f>AK293*(1+#REF!/100)</f>
        <v>#REF!</v>
      </c>
      <c r="AM293" s="272" t="e">
        <f>AL293*(1+#REF!/100)</f>
        <v>#REF!</v>
      </c>
      <c r="AN293" s="272" t="e">
        <f>AM293*(1+#REF!/100)</f>
        <v>#REF!</v>
      </c>
      <c r="AO293" s="272" t="e">
        <f>AN293*(1+#REF!/100)</f>
        <v>#REF!</v>
      </c>
      <c r="AP293" s="272" t="e">
        <f>AO293*(1+#REF!/100)</f>
        <v>#REF!</v>
      </c>
      <c r="AQ293" s="272" t="e">
        <f>AP293*(1+#REF!/100)</f>
        <v>#REF!</v>
      </c>
      <c r="AR293" s="272" t="e">
        <f>AQ293*(1+#REF!/100)</f>
        <v>#REF!</v>
      </c>
      <c r="AS293" s="272" t="e">
        <f>AR293*(1+#REF!/100)</f>
        <v>#REF!</v>
      </c>
      <c r="AT293" s="272" t="e">
        <f>AS293*(1+#REF!/100)</f>
        <v>#REF!</v>
      </c>
      <c r="AU293" s="272" t="e">
        <f>AT293*(1+#REF!/100)</f>
        <v>#REF!</v>
      </c>
      <c r="AV293" s="272" t="e">
        <f>AU293*(1+#REF!/100)</f>
        <v>#REF!</v>
      </c>
      <c r="AW293" s="272" t="e">
        <f>AV293*(1+#REF!/100)</f>
        <v>#REF!</v>
      </c>
      <c r="AX293" s="272" t="e">
        <f>AW293*(1+#REF!/100)</f>
        <v>#REF!</v>
      </c>
      <c r="AY293" s="272" t="e">
        <f>AX293*(1+#REF!/100)</f>
        <v>#REF!</v>
      </c>
      <c r="AZ293" s="272" t="e">
        <f>AY293*(1+#REF!/100)</f>
        <v>#REF!</v>
      </c>
      <c r="BA293" s="272" t="e">
        <f>AZ293*(1+#REF!/100)</f>
        <v>#REF!</v>
      </c>
      <c r="BB293" s="272" t="e">
        <f>BA293*(1+#REF!/100)</f>
        <v>#REF!</v>
      </c>
      <c r="BC293" s="272" t="e">
        <f>BB293*(1+#REF!/100)</f>
        <v>#REF!</v>
      </c>
      <c r="BD293" s="272" t="e">
        <f>BC293*(1+#REF!/100)</f>
        <v>#REF!</v>
      </c>
      <c r="BE293" s="272" t="e">
        <f>BD293*(1+#REF!/100)</f>
        <v>#REF!</v>
      </c>
      <c r="BF293" s="272" t="e">
        <f>BE293*(1+#REF!/100)</f>
        <v>#REF!</v>
      </c>
      <c r="BG293" s="272" t="e">
        <f>BF293*(1+#REF!/100)</f>
        <v>#REF!</v>
      </c>
      <c r="BH293" s="272" t="e">
        <f>BG293*(1+#REF!/100)</f>
        <v>#REF!</v>
      </c>
      <c r="BI293" s="272" t="e">
        <f>BH293*(1+#REF!/100)</f>
        <v>#REF!</v>
      </c>
      <c r="BJ293" s="272" t="e">
        <f>BI293*(1+#REF!/100)</f>
        <v>#REF!</v>
      </c>
      <c r="BK293" s="272" t="e">
        <f>BJ293*(1+#REF!/100)</f>
        <v>#REF!</v>
      </c>
      <c r="BL293" s="272" t="e">
        <f>BK293*(1+#REF!/100)</f>
        <v>#REF!</v>
      </c>
      <c r="BM293" s="272" t="e">
        <f>BL293*(1+#REF!/100)</f>
        <v>#REF!</v>
      </c>
      <c r="BN293" s="272" t="e">
        <f>BM293*(1+#REF!/100)</f>
        <v>#REF!</v>
      </c>
      <c r="BO293" s="272" t="e">
        <f>BN293*(1+#REF!/100)</f>
        <v>#REF!</v>
      </c>
      <c r="BP293" s="272" t="e">
        <f>BO293*(1+#REF!/100)</f>
        <v>#REF!</v>
      </c>
      <c r="BQ293" s="272" t="e">
        <f>BP293*(1+#REF!/100)</f>
        <v>#REF!</v>
      </c>
      <c r="BR293" s="272" t="e">
        <f>BQ293*(1+#REF!/100)</f>
        <v>#REF!</v>
      </c>
      <c r="BS293" s="272" t="e">
        <f>BR293*(1+#REF!/100)</f>
        <v>#REF!</v>
      </c>
      <c r="BT293" s="272" t="e">
        <f>BS293*(1+#REF!/100)</f>
        <v>#REF!</v>
      </c>
      <c r="BU293" s="272" t="e">
        <f>BT293*(1+#REF!/100)</f>
        <v>#REF!</v>
      </c>
      <c r="BV293" s="272" t="e">
        <f>BU293*(1+#REF!/100)</f>
        <v>#REF!</v>
      </c>
      <c r="BW293" s="272" t="e">
        <f>BV293*(1+#REF!/100)</f>
        <v>#REF!</v>
      </c>
      <c r="BX293" s="272" t="e">
        <f>BW293*(1+#REF!/100)</f>
        <v>#REF!</v>
      </c>
      <c r="BY293" s="272" t="e">
        <f>BX293*(1+#REF!/100)</f>
        <v>#REF!</v>
      </c>
      <c r="BZ293" s="272" t="e">
        <f>BY293*(1+#REF!/100)</f>
        <v>#REF!</v>
      </c>
      <c r="CA293" s="272" t="e">
        <f>BZ293*(1+#REF!/100)</f>
        <v>#REF!</v>
      </c>
      <c r="CB293" s="272" t="e">
        <f>CA293*(1+#REF!/100)</f>
        <v>#REF!</v>
      </c>
      <c r="CC293" s="272" t="e">
        <f>CB293*(1+#REF!/100)</f>
        <v>#REF!</v>
      </c>
      <c r="CD293" s="272" t="e">
        <f>CC293*(1+#REF!/100)</f>
        <v>#REF!</v>
      </c>
      <c r="CE293" s="272" t="e">
        <f>CD293*(1+#REF!/100)</f>
        <v>#REF!</v>
      </c>
      <c r="CF293" s="272" t="e">
        <f>CE293*(1+#REF!/100)</f>
        <v>#REF!</v>
      </c>
      <c r="CG293" s="272" t="e">
        <f>CF293*(1+#REF!/100)</f>
        <v>#REF!</v>
      </c>
      <c r="CH293" s="272" t="e">
        <f>CG293*(1+#REF!/100)</f>
        <v>#REF!</v>
      </c>
      <c r="CI293" s="272" t="e">
        <f>CH293*(1+#REF!/100)</f>
        <v>#REF!</v>
      </c>
      <c r="CJ293" s="272" t="e">
        <f>CI293*(1+#REF!/100)</f>
        <v>#REF!</v>
      </c>
      <c r="CK293" s="272" t="e">
        <f>CJ293*(1+#REF!/100)</f>
        <v>#REF!</v>
      </c>
      <c r="CL293" s="272" t="e">
        <f>CK293*(1+#REF!/100)</f>
        <v>#REF!</v>
      </c>
      <c r="CM293" s="272" t="e">
        <f>CL293*(1+#REF!/100)</f>
        <v>#REF!</v>
      </c>
      <c r="CN293" s="272" t="e">
        <f>CM293*(1+#REF!/100)</f>
        <v>#REF!</v>
      </c>
      <c r="CO293" s="272" t="e">
        <f>CN293*(1+#REF!/100)</f>
        <v>#REF!</v>
      </c>
      <c r="CP293" s="272" t="e">
        <f>CO293*(1+#REF!/100)</f>
        <v>#REF!</v>
      </c>
      <c r="CQ293" s="272" t="e">
        <f>CP293*(1+#REF!/100)</f>
        <v>#REF!</v>
      </c>
    </row>
    <row r="294" spans="1:95">
      <c r="A294" s="275"/>
      <c r="B294" s="24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461"/>
      <c r="O294" s="461"/>
      <c r="P294" s="459"/>
      <c r="Q294" s="459"/>
      <c r="R294" s="459"/>
      <c r="S294" s="454"/>
      <c r="T294" s="293"/>
      <c r="U294" s="293"/>
      <c r="V294" s="293"/>
      <c r="W294" s="293"/>
      <c r="X294" s="293"/>
      <c r="Y294" s="293"/>
      <c r="Z294" s="293"/>
      <c r="AA294" s="293"/>
      <c r="AB294" s="293"/>
      <c r="AC294" s="293"/>
      <c r="AD294" s="293"/>
      <c r="AE294" s="293"/>
      <c r="AF294" s="293"/>
      <c r="AG294" s="293"/>
      <c r="AH294" s="293"/>
      <c r="AI294" s="293"/>
      <c r="AJ294" s="293"/>
      <c r="AK294" s="293"/>
      <c r="AL294" s="293"/>
      <c r="AM294" s="293"/>
      <c r="AN294" s="293"/>
      <c r="AO294" s="293"/>
      <c r="AP294" s="293"/>
      <c r="AQ294" s="293"/>
      <c r="AR294" s="293"/>
      <c r="AS294" s="293"/>
      <c r="AT294" s="293"/>
      <c r="AU294" s="293"/>
      <c r="AV294" s="293"/>
      <c r="AW294" s="293"/>
      <c r="AX294" s="293"/>
      <c r="AY294" s="293"/>
      <c r="AZ294" s="293"/>
      <c r="BA294" s="293"/>
      <c r="BB294" s="293"/>
      <c r="BC294" s="293"/>
    </row>
    <row r="295" spans="1:95">
      <c r="A295" s="275" t="s">
        <v>256</v>
      </c>
      <c r="B295" s="273"/>
      <c r="C295" s="216">
        <v>14952.1873601564</v>
      </c>
      <c r="D295" s="216">
        <v>15945.7389635199</v>
      </c>
      <c r="E295" s="216">
        <v>16719.925193542</v>
      </c>
      <c r="F295" s="216">
        <v>16485.2766111704</v>
      </c>
      <c r="G295" s="216">
        <v>14472.2349485425</v>
      </c>
      <c r="H295" s="216">
        <v>15578.030807658301</v>
      </c>
      <c r="I295" s="216">
        <v>15016.124735191999</v>
      </c>
      <c r="J295" s="216">
        <v>19435.1511968214</v>
      </c>
      <c r="K295" s="216">
        <v>23495.6047913804</v>
      </c>
      <c r="L295" s="216">
        <v>19046.923200640798</v>
      </c>
      <c r="M295" s="216">
        <v>21691.5072206158</v>
      </c>
      <c r="N295" s="453">
        <v>23227.952710335299</v>
      </c>
      <c r="O295" s="453">
        <v>25621.673027812602</v>
      </c>
      <c r="P295" s="454">
        <v>29046.6453615358</v>
      </c>
      <c r="Q295" s="454">
        <v>28536</v>
      </c>
      <c r="R295" s="454">
        <v>30034.648637238199</v>
      </c>
      <c r="S295" s="454">
        <v>22253</v>
      </c>
      <c r="T295" s="272" t="e">
        <f>#REF!</f>
        <v>#REF!</v>
      </c>
      <c r="U295" s="272" t="e">
        <f>#REF!</f>
        <v>#REF!</v>
      </c>
      <c r="V295" s="272" t="e">
        <f>U295*(1+#REF!/100)</f>
        <v>#REF!</v>
      </c>
      <c r="W295" s="272" t="e">
        <f>V295*(1+#REF!/100)</f>
        <v>#REF!</v>
      </c>
      <c r="X295" s="272" t="e">
        <f>W295*(1+#REF!/100)</f>
        <v>#REF!</v>
      </c>
      <c r="Y295" s="272" t="e">
        <f>X295*(1+#REF!/100)</f>
        <v>#REF!</v>
      </c>
      <c r="Z295" s="272" t="e">
        <f>Y295*(1+#REF!/100)</f>
        <v>#REF!</v>
      </c>
      <c r="AA295" s="272" t="e">
        <f>Z295*(1+#REF!/100)</f>
        <v>#REF!</v>
      </c>
      <c r="AB295" s="272" t="e">
        <f>AA295*(1+#REF!/100)</f>
        <v>#REF!</v>
      </c>
      <c r="AC295" s="272" t="e">
        <f>AB295*(1+#REF!/100)</f>
        <v>#REF!</v>
      </c>
      <c r="AD295" s="272" t="e">
        <f>AC295*(1+#REF!/100)</f>
        <v>#REF!</v>
      </c>
      <c r="AE295" s="272" t="e">
        <f>AD295*(1+#REF!/100)</f>
        <v>#REF!</v>
      </c>
      <c r="AF295" s="272" t="e">
        <f>AE295*(1+#REF!/100)</f>
        <v>#REF!</v>
      </c>
      <c r="AG295" s="272" t="e">
        <f>AF295*(1+#REF!/100)</f>
        <v>#REF!</v>
      </c>
      <c r="AH295" s="272" t="e">
        <f>AG295*(1+#REF!/100)</f>
        <v>#REF!</v>
      </c>
      <c r="AI295" s="272" t="e">
        <f>AH295*(1+#REF!/100)</f>
        <v>#REF!</v>
      </c>
      <c r="AJ295" s="272" t="e">
        <f>AI295*(1+#REF!/100)</f>
        <v>#REF!</v>
      </c>
      <c r="AK295" s="272" t="e">
        <f>AJ295*(1+#REF!/100)</f>
        <v>#REF!</v>
      </c>
      <c r="AL295" s="272" t="e">
        <f>AK295*(1+#REF!/100)</f>
        <v>#REF!</v>
      </c>
      <c r="AM295" s="272" t="e">
        <f>AL295*(1+#REF!/100)</f>
        <v>#REF!</v>
      </c>
      <c r="AN295" s="272" t="e">
        <f>AM295*(1+#REF!/100)</f>
        <v>#REF!</v>
      </c>
      <c r="AO295" s="272" t="e">
        <f>AN295*(1+#REF!/100)</f>
        <v>#REF!</v>
      </c>
      <c r="AP295" s="272" t="e">
        <f>AO295*(1+#REF!/100)</f>
        <v>#REF!</v>
      </c>
      <c r="AQ295" s="272" t="e">
        <f>AP295*(1+#REF!/100)</f>
        <v>#REF!</v>
      </c>
      <c r="AR295" s="272" t="e">
        <f>AQ295*(1+#REF!/100)</f>
        <v>#REF!</v>
      </c>
      <c r="AS295" s="272" t="e">
        <f>AR295*(1+#REF!/100)</f>
        <v>#REF!</v>
      </c>
      <c r="AT295" s="272" t="e">
        <f>AS295*(1+#REF!/100)</f>
        <v>#REF!</v>
      </c>
      <c r="AU295" s="272" t="e">
        <f>AT295*(1+#REF!/100)</f>
        <v>#REF!</v>
      </c>
      <c r="AV295" s="272" t="e">
        <f>AU295*(1+#REF!/100)</f>
        <v>#REF!</v>
      </c>
      <c r="AW295" s="272" t="e">
        <f>AV295*(1+#REF!/100)</f>
        <v>#REF!</v>
      </c>
      <c r="AX295" s="272" t="e">
        <f>AW295*(1+#REF!/100)</f>
        <v>#REF!</v>
      </c>
      <c r="AY295" s="272" t="e">
        <f>AX295*(1+#REF!/100)</f>
        <v>#REF!</v>
      </c>
      <c r="AZ295" s="272" t="e">
        <f>AY295*(1+#REF!/100)</f>
        <v>#REF!</v>
      </c>
      <c r="BA295" s="272" t="e">
        <f>AZ295*(1+#REF!/100)</f>
        <v>#REF!</v>
      </c>
      <c r="BB295" s="272" t="e">
        <f>BA295*(1+#REF!/100)</f>
        <v>#REF!</v>
      </c>
      <c r="BC295" s="272" t="e">
        <f>BB295*(1+#REF!/100)</f>
        <v>#REF!</v>
      </c>
      <c r="BD295" s="272" t="e">
        <f>BC295*(1+#REF!/100)</f>
        <v>#REF!</v>
      </c>
      <c r="BE295" s="272" t="e">
        <f>BD295*(1+#REF!/100)</f>
        <v>#REF!</v>
      </c>
      <c r="BF295" s="272" t="e">
        <f>BE295*(1+#REF!/100)</f>
        <v>#REF!</v>
      </c>
      <c r="BG295" s="272" t="e">
        <f>BF295*(1+#REF!/100)</f>
        <v>#REF!</v>
      </c>
      <c r="BH295" s="272" t="e">
        <f>BG295*(1+#REF!/100)</f>
        <v>#REF!</v>
      </c>
      <c r="BI295" s="272" t="e">
        <f>BH295*(1+#REF!/100)</f>
        <v>#REF!</v>
      </c>
      <c r="BJ295" s="272" t="e">
        <f>BI295*(1+#REF!/100)</f>
        <v>#REF!</v>
      </c>
      <c r="BK295" s="272" t="e">
        <f>BJ295*(1+#REF!/100)</f>
        <v>#REF!</v>
      </c>
      <c r="BL295" s="272" t="e">
        <f>BK295*(1+#REF!/100)</f>
        <v>#REF!</v>
      </c>
      <c r="BM295" s="272" t="e">
        <f>BL295*(1+#REF!/100)</f>
        <v>#REF!</v>
      </c>
      <c r="BN295" s="272" t="e">
        <f>BM295*(1+#REF!/100)</f>
        <v>#REF!</v>
      </c>
      <c r="BO295" s="272" t="e">
        <f>BN295*(1+#REF!/100)</f>
        <v>#REF!</v>
      </c>
      <c r="BP295" s="272" t="e">
        <f>BO295*(1+#REF!/100)</f>
        <v>#REF!</v>
      </c>
      <c r="BQ295" s="272" t="e">
        <f>BP295*(1+#REF!/100)</f>
        <v>#REF!</v>
      </c>
      <c r="BR295" s="272" t="e">
        <f>BQ295*(1+#REF!/100)</f>
        <v>#REF!</v>
      </c>
      <c r="BS295" s="272" t="e">
        <f>BR295*(1+#REF!/100)</f>
        <v>#REF!</v>
      </c>
      <c r="BT295" s="272" t="e">
        <f>BS295*(1+#REF!/100)</f>
        <v>#REF!</v>
      </c>
      <c r="BU295" s="272" t="e">
        <f>BT295*(1+#REF!/100)</f>
        <v>#REF!</v>
      </c>
      <c r="BV295" s="272" t="e">
        <f>BU295*(1+#REF!/100)</f>
        <v>#REF!</v>
      </c>
      <c r="BW295" s="272" t="e">
        <f>BV295*(1+#REF!/100)</f>
        <v>#REF!</v>
      </c>
      <c r="BX295" s="272" t="e">
        <f>BW295*(1+#REF!/100)</f>
        <v>#REF!</v>
      </c>
      <c r="BY295" s="272" t="e">
        <f>BX295*(1+#REF!/100)</f>
        <v>#REF!</v>
      </c>
      <c r="BZ295" s="272" t="e">
        <f>BY295*(1+#REF!/100)</f>
        <v>#REF!</v>
      </c>
      <c r="CA295" s="272" t="e">
        <f>BZ295*(1+#REF!/100)</f>
        <v>#REF!</v>
      </c>
      <c r="CB295" s="272" t="e">
        <f>CA295*(1+#REF!/100)</f>
        <v>#REF!</v>
      </c>
      <c r="CC295" s="272" t="e">
        <f>CB295*(1+#REF!/100)</f>
        <v>#REF!</v>
      </c>
      <c r="CD295" s="272" t="e">
        <f>CC295*(1+#REF!/100)</f>
        <v>#REF!</v>
      </c>
      <c r="CE295" s="272" t="e">
        <f>CD295*(1+#REF!/100)</f>
        <v>#REF!</v>
      </c>
      <c r="CF295" s="272" t="e">
        <f>CE295*(1+#REF!/100)</f>
        <v>#REF!</v>
      </c>
      <c r="CG295" s="272" t="e">
        <f>CF295*(1+#REF!/100)</f>
        <v>#REF!</v>
      </c>
      <c r="CH295" s="272" t="e">
        <f>CG295*(1+#REF!/100)</f>
        <v>#REF!</v>
      </c>
      <c r="CI295" s="272" t="e">
        <f>CH295*(1+#REF!/100)</f>
        <v>#REF!</v>
      </c>
      <c r="CJ295" s="272" t="e">
        <f>CI295*(1+#REF!/100)</f>
        <v>#REF!</v>
      </c>
      <c r="CK295" s="272" t="e">
        <f>CJ295*(1+#REF!/100)</f>
        <v>#REF!</v>
      </c>
      <c r="CL295" s="272" t="e">
        <f>CK295*(1+#REF!/100)</f>
        <v>#REF!</v>
      </c>
      <c r="CM295" s="272" t="e">
        <f>CL295*(1+#REF!/100)</f>
        <v>#REF!</v>
      </c>
      <c r="CN295" s="272" t="e">
        <f>CM295*(1+#REF!/100)</f>
        <v>#REF!</v>
      </c>
      <c r="CO295" s="272" t="e">
        <f>CN295*(1+#REF!/100)</f>
        <v>#REF!</v>
      </c>
      <c r="CP295" s="272" t="e">
        <f>CO295*(1+#REF!/100)</f>
        <v>#REF!</v>
      </c>
      <c r="CQ295" s="272" t="e">
        <f>CP295*(1+#REF!/100)</f>
        <v>#REF!</v>
      </c>
    </row>
    <row r="296" spans="1:95">
      <c r="A296" s="275"/>
      <c r="B296" s="24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461"/>
      <c r="O296" s="461"/>
      <c r="P296" s="459"/>
      <c r="Q296" s="459"/>
      <c r="R296" s="459"/>
      <c r="S296" s="454"/>
      <c r="T296" s="293"/>
      <c r="U296" s="293"/>
      <c r="V296" s="293"/>
      <c r="W296" s="293"/>
      <c r="X296" s="293"/>
      <c r="Y296" s="293"/>
      <c r="Z296" s="293"/>
      <c r="AA296" s="293"/>
      <c r="AB296" s="293"/>
      <c r="AC296" s="293"/>
      <c r="AD296" s="293"/>
      <c r="AE296" s="293"/>
      <c r="AF296" s="293"/>
      <c r="AG296" s="293"/>
      <c r="AH296" s="293"/>
      <c r="AI296" s="293"/>
      <c r="AJ296" s="293"/>
      <c r="AK296" s="293"/>
      <c r="AL296" s="293"/>
      <c r="AM296" s="293"/>
      <c r="AN296" s="293"/>
      <c r="AO296" s="293"/>
      <c r="AP296" s="293"/>
      <c r="AQ296" s="293"/>
      <c r="AR296" s="293"/>
      <c r="AS296" s="293"/>
      <c r="AT296" s="293"/>
      <c r="AU296" s="293"/>
      <c r="AV296" s="293"/>
      <c r="AW296" s="293"/>
      <c r="AX296" s="293"/>
      <c r="AY296" s="293"/>
      <c r="AZ296" s="293"/>
      <c r="BA296" s="293"/>
      <c r="BB296" s="293"/>
      <c r="BC296" s="293"/>
    </row>
    <row r="297" spans="1:95">
      <c r="A297" s="275" t="s">
        <v>257</v>
      </c>
      <c r="B297" s="273"/>
      <c r="C297" s="216">
        <v>11475.727309768599</v>
      </c>
      <c r="D297" s="216">
        <v>13623.615788671001</v>
      </c>
      <c r="E297" s="216">
        <v>13196.9343664227</v>
      </c>
      <c r="F297" s="216">
        <v>11636.2739085379</v>
      </c>
      <c r="G297" s="216">
        <v>14487.387182775101</v>
      </c>
      <c r="H297" s="216">
        <v>16106.899364581701</v>
      </c>
      <c r="I297" s="216">
        <v>21465.911306686401</v>
      </c>
      <c r="J297" s="216">
        <v>18022.6565629016</v>
      </c>
      <c r="K297" s="216">
        <v>18479.433541152099</v>
      </c>
      <c r="L297" s="216">
        <v>35117.912168750299</v>
      </c>
      <c r="M297" s="216">
        <v>20193.1900432076</v>
      </c>
      <c r="N297" s="453">
        <v>42584.784746378202</v>
      </c>
      <c r="O297" s="453">
        <v>43647.695855389102</v>
      </c>
      <c r="P297" s="454">
        <v>46959.521165437101</v>
      </c>
      <c r="Q297" s="454">
        <v>46056</v>
      </c>
      <c r="R297" s="454">
        <v>48474.760920824403</v>
      </c>
      <c r="S297" s="454">
        <v>44422</v>
      </c>
      <c r="T297" s="272" t="e">
        <f>S297*(1+#REF!/100)</f>
        <v>#REF!</v>
      </c>
      <c r="U297" s="272" t="e">
        <f>T297*(1+#REF!/100)</f>
        <v>#REF!</v>
      </c>
      <c r="V297" s="272" t="e">
        <f>U297*(1+#REF!/100)</f>
        <v>#REF!</v>
      </c>
      <c r="W297" s="272" t="e">
        <f>V297*(1+#REF!/100)</f>
        <v>#REF!</v>
      </c>
      <c r="X297" s="272" t="e">
        <f>W297*(1+#REF!/100)</f>
        <v>#REF!</v>
      </c>
      <c r="Y297" s="272" t="e">
        <f>X297*(1+#REF!/100)</f>
        <v>#REF!</v>
      </c>
      <c r="Z297" s="272" t="e">
        <f>Y297*(1+#REF!/100)</f>
        <v>#REF!</v>
      </c>
      <c r="AA297" s="272" t="e">
        <f>Z297*(1+#REF!/100)</f>
        <v>#REF!</v>
      </c>
      <c r="AB297" s="272" t="e">
        <f>AA297*(1+#REF!/100)</f>
        <v>#REF!</v>
      </c>
      <c r="AC297" s="272" t="e">
        <f>AB297*(1+#REF!/100)</f>
        <v>#REF!</v>
      </c>
      <c r="AD297" s="272" t="e">
        <f>AC297*(1+#REF!/100)</f>
        <v>#REF!</v>
      </c>
      <c r="AE297" s="272" t="e">
        <f>AD297*(1+#REF!/100)</f>
        <v>#REF!</v>
      </c>
      <c r="AF297" s="272" t="e">
        <f>AE297*(1+#REF!/100)</f>
        <v>#REF!</v>
      </c>
      <c r="AG297" s="272" t="e">
        <f>AF297*(1+#REF!/100)</f>
        <v>#REF!</v>
      </c>
      <c r="AH297" s="272" t="e">
        <f>AG297*(1+#REF!/100)</f>
        <v>#REF!</v>
      </c>
      <c r="AI297" s="272" t="e">
        <f>AH297*(1+#REF!/100)</f>
        <v>#REF!</v>
      </c>
      <c r="AJ297" s="272" t="e">
        <f>AI297*(1+#REF!/100)</f>
        <v>#REF!</v>
      </c>
      <c r="AK297" s="272" t="e">
        <f>AJ297*(1+#REF!/100)</f>
        <v>#REF!</v>
      </c>
      <c r="AL297" s="272" t="e">
        <f>AK297*(1+#REF!/100)</f>
        <v>#REF!</v>
      </c>
      <c r="AM297" s="272" t="e">
        <f>AL297*(1+#REF!/100)</f>
        <v>#REF!</v>
      </c>
      <c r="AN297" s="272" t="e">
        <f>AM297*(1+#REF!/100)</f>
        <v>#REF!</v>
      </c>
      <c r="AO297" s="272" t="e">
        <f>AN297*(1+#REF!/100)</f>
        <v>#REF!</v>
      </c>
      <c r="AP297" s="272" t="e">
        <f>AO297*(1+#REF!/100)</f>
        <v>#REF!</v>
      </c>
      <c r="AQ297" s="272" t="e">
        <f>AP297*(1+#REF!/100)</f>
        <v>#REF!</v>
      </c>
      <c r="AR297" s="272" t="e">
        <f>AQ297*(1+#REF!/100)</f>
        <v>#REF!</v>
      </c>
      <c r="AS297" s="272" t="e">
        <f>AR297*(1+#REF!/100)</f>
        <v>#REF!</v>
      </c>
      <c r="AT297" s="272" t="e">
        <f>AS297*(1+#REF!/100)</f>
        <v>#REF!</v>
      </c>
      <c r="AU297" s="272" t="e">
        <f>AT297*(1+#REF!/100)</f>
        <v>#REF!</v>
      </c>
      <c r="AV297" s="272" t="e">
        <f>AU297*(1+#REF!/100)</f>
        <v>#REF!</v>
      </c>
      <c r="AW297" s="272" t="e">
        <f>AV297*(1+#REF!/100)</f>
        <v>#REF!</v>
      </c>
      <c r="AX297" s="272" t="e">
        <f>AW297*(1+#REF!/100)</f>
        <v>#REF!</v>
      </c>
      <c r="AY297" s="272" t="e">
        <f>AX297*(1+#REF!/100)</f>
        <v>#REF!</v>
      </c>
      <c r="AZ297" s="272" t="e">
        <f>AY297*(1+#REF!/100)</f>
        <v>#REF!</v>
      </c>
      <c r="BA297" s="272" t="e">
        <f>AZ297*(1+#REF!/100)</f>
        <v>#REF!</v>
      </c>
      <c r="BB297" s="272" t="e">
        <f>BA297*(1+#REF!/100)</f>
        <v>#REF!</v>
      </c>
      <c r="BC297" s="272" t="e">
        <f>BB297*(1+#REF!/100)</f>
        <v>#REF!</v>
      </c>
      <c r="BD297" s="272" t="e">
        <f>BC297*(1+#REF!/100)</f>
        <v>#REF!</v>
      </c>
      <c r="BE297" s="272" t="e">
        <f>BD297*(1+#REF!/100)</f>
        <v>#REF!</v>
      </c>
      <c r="BF297" s="272" t="e">
        <f>BE297*(1+#REF!/100)</f>
        <v>#REF!</v>
      </c>
      <c r="BG297" s="272" t="e">
        <f>BF297*(1+#REF!/100)</f>
        <v>#REF!</v>
      </c>
      <c r="BH297" s="272" t="e">
        <f>BG297*(1+#REF!/100)</f>
        <v>#REF!</v>
      </c>
      <c r="BI297" s="272" t="e">
        <f>BH297*(1+#REF!/100)</f>
        <v>#REF!</v>
      </c>
      <c r="BJ297" s="272" t="e">
        <f>BI297*(1+#REF!/100)</f>
        <v>#REF!</v>
      </c>
      <c r="BK297" s="272" t="e">
        <f>BJ297*(1+#REF!/100)</f>
        <v>#REF!</v>
      </c>
      <c r="BL297" s="272" t="e">
        <f>BK297*(1+#REF!/100)</f>
        <v>#REF!</v>
      </c>
      <c r="BM297" s="272" t="e">
        <f>BL297*(1+#REF!/100)</f>
        <v>#REF!</v>
      </c>
      <c r="BN297" s="272" t="e">
        <f>BM297*(1+#REF!/100)</f>
        <v>#REF!</v>
      </c>
      <c r="BO297" s="272" t="e">
        <f>BN297*(1+#REF!/100)</f>
        <v>#REF!</v>
      </c>
      <c r="BP297" s="272" t="e">
        <f>BO297*(1+#REF!/100)</f>
        <v>#REF!</v>
      </c>
      <c r="BQ297" s="272" t="e">
        <f>BP297*(1+#REF!/100)</f>
        <v>#REF!</v>
      </c>
      <c r="BR297" s="272" t="e">
        <f>BQ297*(1+#REF!/100)</f>
        <v>#REF!</v>
      </c>
      <c r="BS297" s="272" t="e">
        <f>BR297*(1+#REF!/100)</f>
        <v>#REF!</v>
      </c>
      <c r="BT297" s="272" t="e">
        <f>BS297*(1+#REF!/100)</f>
        <v>#REF!</v>
      </c>
      <c r="BU297" s="272" t="e">
        <f>BT297*(1+#REF!/100)</f>
        <v>#REF!</v>
      </c>
      <c r="BV297" s="272" t="e">
        <f>BU297*(1+#REF!/100)</f>
        <v>#REF!</v>
      </c>
      <c r="BW297" s="272" t="e">
        <f>BV297*(1+#REF!/100)</f>
        <v>#REF!</v>
      </c>
      <c r="BX297" s="272" t="e">
        <f>BW297*(1+#REF!/100)</f>
        <v>#REF!</v>
      </c>
      <c r="BY297" s="272" t="e">
        <f>BX297*(1+#REF!/100)</f>
        <v>#REF!</v>
      </c>
      <c r="BZ297" s="272" t="e">
        <f>BY297*(1+#REF!/100)</f>
        <v>#REF!</v>
      </c>
      <c r="CA297" s="272" t="e">
        <f>BZ297*(1+#REF!/100)</f>
        <v>#REF!</v>
      </c>
      <c r="CB297" s="272" t="e">
        <f>CA297*(1+#REF!/100)</f>
        <v>#REF!</v>
      </c>
      <c r="CC297" s="272" t="e">
        <f>CB297*(1+#REF!/100)</f>
        <v>#REF!</v>
      </c>
      <c r="CD297" s="272" t="e">
        <f>CC297*(1+#REF!/100)</f>
        <v>#REF!</v>
      </c>
      <c r="CE297" s="272" t="e">
        <f>CD297*(1+#REF!/100)</f>
        <v>#REF!</v>
      </c>
      <c r="CF297" s="272" t="e">
        <f>CE297*(1+#REF!/100)</f>
        <v>#REF!</v>
      </c>
      <c r="CG297" s="272" t="e">
        <f>CF297*(1+#REF!/100)</f>
        <v>#REF!</v>
      </c>
      <c r="CH297" s="272" t="e">
        <f>CG297*(1+#REF!/100)</f>
        <v>#REF!</v>
      </c>
      <c r="CI297" s="272" t="e">
        <f>CH297*(1+#REF!/100)</f>
        <v>#REF!</v>
      </c>
      <c r="CJ297" s="272" t="e">
        <f>CI297*(1+#REF!/100)</f>
        <v>#REF!</v>
      </c>
      <c r="CK297" s="272" t="e">
        <f>CJ297*(1+#REF!/100)</f>
        <v>#REF!</v>
      </c>
      <c r="CL297" s="272" t="e">
        <f>CK297*(1+#REF!/100)</f>
        <v>#REF!</v>
      </c>
      <c r="CM297" s="272" t="e">
        <f>CL297*(1+#REF!/100)</f>
        <v>#REF!</v>
      </c>
      <c r="CN297" s="272" t="e">
        <f>CM297*(1+#REF!/100)</f>
        <v>#REF!</v>
      </c>
      <c r="CO297" s="272" t="e">
        <f>CN297*(1+#REF!/100)</f>
        <v>#REF!</v>
      </c>
      <c r="CP297" s="272" t="e">
        <f>CO297*(1+#REF!/100)</f>
        <v>#REF!</v>
      </c>
      <c r="CQ297" s="272" t="e">
        <f>CP297*(1+#REF!/100)</f>
        <v>#REF!</v>
      </c>
    </row>
    <row r="298" spans="1:95">
      <c r="A298" s="275"/>
      <c r="B298" s="273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461"/>
      <c r="O298" s="461"/>
      <c r="P298" s="459"/>
      <c r="Q298" s="459"/>
      <c r="R298" s="459"/>
      <c r="S298" s="454"/>
      <c r="T298" s="272"/>
      <c r="U298" s="272"/>
      <c r="V298" s="272"/>
      <c r="W298" s="272"/>
      <c r="X298" s="272"/>
      <c r="Y298" s="272"/>
      <c r="Z298" s="272"/>
      <c r="AA298" s="272"/>
      <c r="AB298" s="272"/>
      <c r="AC298" s="272"/>
      <c r="AD298" s="272"/>
      <c r="AE298" s="272"/>
      <c r="AF298" s="272"/>
      <c r="AG298" s="272"/>
      <c r="AH298" s="272"/>
      <c r="AI298" s="272"/>
      <c r="AJ298" s="272"/>
      <c r="AK298" s="272"/>
      <c r="AL298" s="272"/>
      <c r="AM298" s="272"/>
      <c r="AN298" s="272"/>
      <c r="AO298" s="272"/>
      <c r="AP298" s="272"/>
      <c r="AQ298" s="272"/>
      <c r="AR298" s="272"/>
      <c r="AS298" s="272"/>
      <c r="AT298" s="272"/>
      <c r="AU298" s="272"/>
      <c r="AV298" s="272"/>
      <c r="AW298" s="272"/>
      <c r="AX298" s="272"/>
      <c r="AY298" s="272"/>
      <c r="AZ298" s="272"/>
      <c r="BA298" s="272"/>
      <c r="BB298" s="272"/>
      <c r="BC298" s="272"/>
    </row>
    <row r="299" spans="1:95">
      <c r="A299" s="275" t="s">
        <v>319</v>
      </c>
      <c r="B299" s="273"/>
      <c r="C299" s="216">
        <v>17328.8446873799</v>
      </c>
      <c r="D299" s="216">
        <v>19998.949288842301</v>
      </c>
      <c r="E299" s="216">
        <v>22766.988768929499</v>
      </c>
      <c r="F299" s="216">
        <v>17975.533467859201</v>
      </c>
      <c r="G299" s="216">
        <v>14224.740222599599</v>
      </c>
      <c r="H299" s="216">
        <v>14055.350629027</v>
      </c>
      <c r="I299" s="216">
        <v>11496.875697711601</v>
      </c>
      <c r="J299" s="216">
        <v>20783.511034614901</v>
      </c>
      <c r="K299" s="216">
        <v>19390.558548625198</v>
      </c>
      <c r="L299" s="216">
        <v>9727.3150272909297</v>
      </c>
      <c r="M299" s="216">
        <v>18365.1285018239</v>
      </c>
      <c r="N299" s="453">
        <v>11801.7441149723</v>
      </c>
      <c r="O299" s="453">
        <v>14390.305161066801</v>
      </c>
      <c r="P299" s="454">
        <v>15786.623401869099</v>
      </c>
      <c r="Q299" s="454">
        <v>14284</v>
      </c>
      <c r="R299" s="454">
        <v>15034.164603809601</v>
      </c>
      <c r="S299" s="454">
        <v>13777</v>
      </c>
      <c r="T299" s="272" t="e">
        <f>S299*(1+#REF!/100)</f>
        <v>#REF!</v>
      </c>
      <c r="U299" s="272" t="e">
        <f>T299*(1+#REF!/100)</f>
        <v>#REF!</v>
      </c>
      <c r="V299" s="272" t="e">
        <f>U299*(1+#REF!/100)</f>
        <v>#REF!</v>
      </c>
      <c r="W299" s="272" t="e">
        <f>V299*(1+#REF!/100)</f>
        <v>#REF!</v>
      </c>
      <c r="X299" s="272" t="e">
        <f>W299*(1+#REF!/100)</f>
        <v>#REF!</v>
      </c>
      <c r="Y299" s="272" t="e">
        <f>X299*(1+#REF!/100)</f>
        <v>#REF!</v>
      </c>
      <c r="Z299" s="272" t="e">
        <f>Y299*(1+#REF!/100)</f>
        <v>#REF!</v>
      </c>
      <c r="AA299" s="272" t="e">
        <f>Z299*(1+#REF!/100)</f>
        <v>#REF!</v>
      </c>
      <c r="AB299" s="272" t="e">
        <f>AA299*(1+#REF!/100)</f>
        <v>#REF!</v>
      </c>
      <c r="AC299" s="272" t="e">
        <f>AB299*(1+#REF!/100)</f>
        <v>#REF!</v>
      </c>
      <c r="AD299" s="272" t="e">
        <f>AC299*(1+#REF!/100)</f>
        <v>#REF!</v>
      </c>
      <c r="AE299" s="272" t="e">
        <f>AD299*(1+#REF!/100)</f>
        <v>#REF!</v>
      </c>
      <c r="AF299" s="272" t="e">
        <f>AE299*(1+#REF!/100)</f>
        <v>#REF!</v>
      </c>
      <c r="AG299" s="272" t="e">
        <f>AF299*(1+#REF!/100)</f>
        <v>#REF!</v>
      </c>
      <c r="AH299" s="272" t="e">
        <f>AG299*(1+#REF!/100)</f>
        <v>#REF!</v>
      </c>
      <c r="AI299" s="272" t="e">
        <f>AH299*(1+#REF!/100)</f>
        <v>#REF!</v>
      </c>
      <c r="AJ299" s="272" t="e">
        <f>AI299*(1+#REF!/100)</f>
        <v>#REF!</v>
      </c>
      <c r="AK299" s="272" t="e">
        <f>AJ299*(1+#REF!/100)</f>
        <v>#REF!</v>
      </c>
      <c r="AL299" s="272" t="e">
        <f>AK299*(1+#REF!/100)</f>
        <v>#REF!</v>
      </c>
      <c r="AM299" s="272" t="e">
        <f>AL299*(1+#REF!/100)</f>
        <v>#REF!</v>
      </c>
      <c r="AN299" s="272" t="e">
        <f>AM299*(1+#REF!/100)</f>
        <v>#REF!</v>
      </c>
      <c r="AO299" s="272" t="e">
        <f>AN299*(1+#REF!/100)</f>
        <v>#REF!</v>
      </c>
      <c r="AP299" s="272" t="e">
        <f>AO299*(1+#REF!/100)</f>
        <v>#REF!</v>
      </c>
      <c r="AQ299" s="272" t="e">
        <f>AP299*(1+#REF!/100)</f>
        <v>#REF!</v>
      </c>
      <c r="AR299" s="272" t="e">
        <f>AQ299*(1+#REF!/100)</f>
        <v>#REF!</v>
      </c>
      <c r="AS299" s="272" t="e">
        <f>AR299*(1+#REF!/100)</f>
        <v>#REF!</v>
      </c>
      <c r="AT299" s="272" t="e">
        <f>AS299*(1+#REF!/100)</f>
        <v>#REF!</v>
      </c>
      <c r="AU299" s="272" t="e">
        <f>AT299*(1+#REF!/100)</f>
        <v>#REF!</v>
      </c>
      <c r="AV299" s="272" t="e">
        <f>AU299*(1+#REF!/100)</f>
        <v>#REF!</v>
      </c>
      <c r="AW299" s="272" t="e">
        <f>AV299*(1+#REF!/100)</f>
        <v>#REF!</v>
      </c>
      <c r="AX299" s="272" t="e">
        <f>AW299*(1+#REF!/100)</f>
        <v>#REF!</v>
      </c>
      <c r="AY299" s="272" t="e">
        <f>AX299*(1+#REF!/100)</f>
        <v>#REF!</v>
      </c>
      <c r="AZ299" s="272" t="e">
        <f>AY299*(1+#REF!/100)</f>
        <v>#REF!</v>
      </c>
      <c r="BA299" s="272" t="e">
        <f>AZ299*(1+#REF!/100)</f>
        <v>#REF!</v>
      </c>
      <c r="BB299" s="272" t="e">
        <f>BA299*(1+#REF!/100)</f>
        <v>#REF!</v>
      </c>
      <c r="BC299" s="272" t="e">
        <f>BB299*(1+#REF!/100)</f>
        <v>#REF!</v>
      </c>
      <c r="BD299" s="272" t="e">
        <f>BC299*(1+#REF!/100)</f>
        <v>#REF!</v>
      </c>
      <c r="BE299" s="272" t="e">
        <f>BD299*(1+#REF!/100)</f>
        <v>#REF!</v>
      </c>
      <c r="BF299" s="272" t="e">
        <f>BE299*(1+#REF!/100)</f>
        <v>#REF!</v>
      </c>
      <c r="BG299" s="272" t="e">
        <f>BF299*(1+#REF!/100)</f>
        <v>#REF!</v>
      </c>
      <c r="BH299" s="272" t="e">
        <f>BG299*(1+#REF!/100)</f>
        <v>#REF!</v>
      </c>
      <c r="BI299" s="272" t="e">
        <f>BH299*(1+#REF!/100)</f>
        <v>#REF!</v>
      </c>
      <c r="BJ299" s="272" t="e">
        <f>BI299*(1+#REF!/100)</f>
        <v>#REF!</v>
      </c>
      <c r="BK299" s="272" t="e">
        <f>BJ299*(1+#REF!/100)</f>
        <v>#REF!</v>
      </c>
      <c r="BL299" s="272" t="e">
        <f>BK299*(1+#REF!/100)</f>
        <v>#REF!</v>
      </c>
      <c r="BM299" s="272" t="e">
        <f>BL299*(1+#REF!/100)</f>
        <v>#REF!</v>
      </c>
      <c r="BN299" s="272" t="e">
        <f>BM299*(1+#REF!/100)</f>
        <v>#REF!</v>
      </c>
      <c r="BO299" s="272" t="e">
        <f>BN299*(1+#REF!/100)</f>
        <v>#REF!</v>
      </c>
      <c r="BP299" s="272" t="e">
        <f>BO299*(1+#REF!/100)</f>
        <v>#REF!</v>
      </c>
      <c r="BQ299" s="272" t="e">
        <f>BP299*(1+#REF!/100)</f>
        <v>#REF!</v>
      </c>
      <c r="BR299" s="272" t="e">
        <f>BQ299*(1+#REF!/100)</f>
        <v>#REF!</v>
      </c>
      <c r="BS299" s="272" t="e">
        <f>BR299*(1+#REF!/100)</f>
        <v>#REF!</v>
      </c>
      <c r="BT299" s="272" t="e">
        <f>BS299*(1+#REF!/100)</f>
        <v>#REF!</v>
      </c>
      <c r="BU299" s="272" t="e">
        <f>BT299*(1+#REF!/100)</f>
        <v>#REF!</v>
      </c>
      <c r="BV299" s="272" t="e">
        <f>BU299*(1+#REF!/100)</f>
        <v>#REF!</v>
      </c>
      <c r="BW299" s="272" t="e">
        <f>BV299*(1+#REF!/100)</f>
        <v>#REF!</v>
      </c>
      <c r="BX299" s="272" t="e">
        <f>BW299*(1+#REF!/100)</f>
        <v>#REF!</v>
      </c>
      <c r="BY299" s="272" t="e">
        <f>BX299*(1+#REF!/100)</f>
        <v>#REF!</v>
      </c>
      <c r="BZ299" s="272" t="e">
        <f>BY299*(1+#REF!/100)</f>
        <v>#REF!</v>
      </c>
      <c r="CA299" s="272" t="e">
        <f>BZ299*(1+#REF!/100)</f>
        <v>#REF!</v>
      </c>
      <c r="CB299" s="272" t="e">
        <f>CA299*(1+#REF!/100)</f>
        <v>#REF!</v>
      </c>
      <c r="CC299" s="272" t="e">
        <f>CB299*(1+#REF!/100)</f>
        <v>#REF!</v>
      </c>
      <c r="CD299" s="272" t="e">
        <f>CC299*(1+#REF!/100)</f>
        <v>#REF!</v>
      </c>
      <c r="CE299" s="272" t="e">
        <f>CD299*(1+#REF!/100)</f>
        <v>#REF!</v>
      </c>
      <c r="CF299" s="272" t="e">
        <f>CE299*(1+#REF!/100)</f>
        <v>#REF!</v>
      </c>
      <c r="CG299" s="272" t="e">
        <f>CF299*(1+#REF!/100)</f>
        <v>#REF!</v>
      </c>
      <c r="CH299" s="272" t="e">
        <f>CG299*(1+#REF!/100)</f>
        <v>#REF!</v>
      </c>
      <c r="CI299" s="272" t="e">
        <f>CH299*(1+#REF!/100)</f>
        <v>#REF!</v>
      </c>
      <c r="CJ299" s="272" t="e">
        <f>CI299*(1+#REF!/100)</f>
        <v>#REF!</v>
      </c>
      <c r="CK299" s="272" t="e">
        <f>CJ299*(1+#REF!/100)</f>
        <v>#REF!</v>
      </c>
      <c r="CL299" s="272" t="e">
        <f>CK299*(1+#REF!/100)</f>
        <v>#REF!</v>
      </c>
      <c r="CM299" s="272" t="e">
        <f>CL299*(1+#REF!/100)</f>
        <v>#REF!</v>
      </c>
      <c r="CN299" s="272" t="e">
        <f>CM299*(1+#REF!/100)</f>
        <v>#REF!</v>
      </c>
      <c r="CO299" s="272" t="e">
        <f>CN299*(1+#REF!/100)</f>
        <v>#REF!</v>
      </c>
      <c r="CP299" s="272" t="e">
        <f>CO299*(1+#REF!/100)</f>
        <v>#REF!</v>
      </c>
      <c r="CQ299" s="272" t="e">
        <f>CP299*(1+#REF!/100)</f>
        <v>#REF!</v>
      </c>
    </row>
    <row r="300" spans="1:95">
      <c r="A300" s="275"/>
      <c r="B300" s="273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461"/>
      <c r="O300" s="461"/>
      <c r="P300" s="459"/>
      <c r="Q300" s="459"/>
      <c r="R300" s="459"/>
      <c r="S300" s="454"/>
      <c r="T300" s="272"/>
      <c r="U300" s="272"/>
      <c r="V300" s="272"/>
      <c r="W300" s="272"/>
      <c r="X300" s="272"/>
      <c r="Y300" s="272"/>
      <c r="Z300" s="272"/>
      <c r="AA300" s="272"/>
      <c r="AB300" s="272"/>
      <c r="AC300" s="272"/>
      <c r="AD300" s="272"/>
      <c r="AE300" s="272"/>
      <c r="AF300" s="272"/>
      <c r="AG300" s="272"/>
      <c r="AH300" s="272"/>
      <c r="AI300" s="272"/>
      <c r="AJ300" s="272"/>
      <c r="AK300" s="272"/>
      <c r="AL300" s="272"/>
      <c r="AM300" s="272"/>
      <c r="AN300" s="272"/>
      <c r="AO300" s="272"/>
      <c r="AP300" s="272"/>
      <c r="AQ300" s="272"/>
      <c r="AR300" s="272"/>
      <c r="AS300" s="272"/>
      <c r="AT300" s="272"/>
      <c r="AU300" s="272"/>
      <c r="AV300" s="272"/>
      <c r="AW300" s="272"/>
      <c r="AX300" s="272"/>
      <c r="AY300" s="272"/>
      <c r="AZ300" s="272"/>
      <c r="BA300" s="272"/>
      <c r="BB300" s="272"/>
      <c r="BC300" s="272"/>
    </row>
    <row r="301" spans="1:95">
      <c r="A301" s="275" t="s">
        <v>259</v>
      </c>
      <c r="B301" s="273"/>
      <c r="C301" s="216">
        <v>479427.65117250202</v>
      </c>
      <c r="D301" s="216">
        <v>466368.57316059002</v>
      </c>
      <c r="E301" s="216">
        <v>497554.23938701698</v>
      </c>
      <c r="F301" s="216">
        <v>513057.45549247501</v>
      </c>
      <c r="G301" s="216">
        <v>489640.67536126199</v>
      </c>
      <c r="H301" s="216">
        <v>485865.49286208901</v>
      </c>
      <c r="I301" s="216">
        <v>471193.90009964001</v>
      </c>
      <c r="J301" s="216">
        <v>423235.970839168</v>
      </c>
      <c r="K301" s="216">
        <v>380268.56518410001</v>
      </c>
      <c r="L301" s="216">
        <v>361124.79637127498</v>
      </c>
      <c r="M301" s="216">
        <v>332705.785564658</v>
      </c>
      <c r="N301" s="453">
        <v>414083.75619243702</v>
      </c>
      <c r="O301" s="453">
        <v>366621.14867564599</v>
      </c>
      <c r="P301" s="454">
        <v>334000.60180949402</v>
      </c>
      <c r="Q301" s="454">
        <v>306825</v>
      </c>
      <c r="R301" s="454">
        <v>281518</v>
      </c>
      <c r="S301" s="454">
        <f>S249</f>
        <v>282664</v>
      </c>
      <c r="T301" s="454">
        <f>T249</f>
        <v>290724.00516181602</v>
      </c>
      <c r="U301" s="454">
        <f>U249</f>
        <v>312600</v>
      </c>
      <c r="V301" s="145">
        <f>U301+(V288-U288)</f>
        <v>2981281233.4447851</v>
      </c>
      <c r="W301" s="145">
        <f>V301+(W288-V288)</f>
        <v>15464975539875.412</v>
      </c>
      <c r="X301" s="145">
        <f t="shared" ref="X301:AX301" si="542">W301+(X288-W288)</f>
        <v>7.6221840664093072E+16</v>
      </c>
      <c r="Y301" s="145">
        <f t="shared" si="542"/>
        <v>4.559994484295368E+20</v>
      </c>
      <c r="Z301" s="145">
        <f t="shared" si="542"/>
        <v>2.8533820635895401E+24</v>
      </c>
      <c r="AA301" s="145">
        <f t="shared" si="542"/>
        <v>1.7046646590475994E+28</v>
      </c>
      <c r="AB301" s="145">
        <f t="shared" si="542"/>
        <v>1.0999928564842565E+32</v>
      </c>
      <c r="AC301" s="145">
        <f t="shared" si="542"/>
        <v>7.0359009796969804E+35</v>
      </c>
      <c r="AD301" s="145">
        <f t="shared" si="542"/>
        <v>7.1833351628744958E+35</v>
      </c>
      <c r="AE301" s="145">
        <f t="shared" si="542"/>
        <v>6.893837827838636E+35</v>
      </c>
      <c r="AF301" s="145">
        <f t="shared" si="542"/>
        <v>6.5875196992984393E+35</v>
      </c>
      <c r="AG301" s="145">
        <f t="shared" si="542"/>
        <v>5.934766651890361E+35</v>
      </c>
      <c r="AH301" s="145">
        <f t="shared" si="542"/>
        <v>5.3794239870499298E+35</v>
      </c>
      <c r="AI301" s="145">
        <f t="shared" si="542"/>
        <v>5.033004623078606E+35</v>
      </c>
      <c r="AJ301" s="145">
        <f t="shared" si="542"/>
        <v>4.8867720407701837E+35</v>
      </c>
      <c r="AK301" s="145">
        <f t="shared" si="542"/>
        <v>4.8230794772679558E+35</v>
      </c>
      <c r="AL301" s="145">
        <f t="shared" si="542"/>
        <v>4.7324002230960448E+35</v>
      </c>
      <c r="AM301" s="145">
        <f t="shared" si="542"/>
        <v>4.7384331116236083E+35</v>
      </c>
      <c r="AN301" s="145">
        <f t="shared" si="542"/>
        <v>4.7084874000662309E+35</v>
      </c>
      <c r="AO301" s="145">
        <f t="shared" si="542"/>
        <v>4.6298417162073401E+35</v>
      </c>
      <c r="AP301" s="145">
        <f t="shared" si="542"/>
        <v>4.5302292994127911E+35</v>
      </c>
      <c r="AQ301" s="145">
        <f t="shared" si="542"/>
        <v>4.359613602282545E+35</v>
      </c>
      <c r="AR301" s="145">
        <f t="shared" si="542"/>
        <v>4.2112262356684825E+35</v>
      </c>
      <c r="AS301" s="145">
        <f t="shared" si="542"/>
        <v>4.0762355590296906E+35</v>
      </c>
      <c r="AT301" s="145">
        <f t="shared" si="542"/>
        <v>3.9667816291326296E+35</v>
      </c>
      <c r="AU301" s="145">
        <f t="shared" si="542"/>
        <v>3.8401697308683906E+35</v>
      </c>
      <c r="AV301" s="145">
        <f t="shared" si="542"/>
        <v>3.722597450779947E+35</v>
      </c>
      <c r="AW301" s="145">
        <f t="shared" si="542"/>
        <v>3.6307369465825799E+35</v>
      </c>
      <c r="AX301" s="145">
        <f t="shared" si="542"/>
        <v>3.5069203753096405E+35</v>
      </c>
      <c r="AY301" s="145">
        <f t="shared" ref="AY301:BD301" si="543">IF((AX301+(AY288-AX288))&lt;=0,0,(AX301+(AY288-AX288)))</f>
        <v>3.400077525703991E+35</v>
      </c>
      <c r="AZ301" s="145">
        <f t="shared" si="543"/>
        <v>3.2788568829997733E+35</v>
      </c>
      <c r="BA301" s="145">
        <f t="shared" si="543"/>
        <v>3.1913627171664087E+35</v>
      </c>
      <c r="BB301" s="145">
        <f t="shared" si="543"/>
        <v>3.0709699979770323E+35</v>
      </c>
      <c r="BC301" s="145">
        <f t="shared" si="543"/>
        <v>2.9578346968170617E+35</v>
      </c>
      <c r="BD301" s="145">
        <f t="shared" si="543"/>
        <v>2.867116041155939E+35</v>
      </c>
      <c r="BE301" s="145">
        <f t="shared" ref="BE301:CL301" si="544">IF((BD301+(BE288-BD288))&lt;=0,0.00001,(BD301+(BE288-BD288)))</f>
        <v>2.7633416993071615E+35</v>
      </c>
      <c r="BF301" s="145">
        <f t="shared" si="544"/>
        <v>2.6695776603609344E+35</v>
      </c>
      <c r="BG301" s="145">
        <f t="shared" si="544"/>
        <v>2.5675184321138715E+35</v>
      </c>
      <c r="BH301" s="145">
        <f t="shared" si="544"/>
        <v>2.4590494931726945E+35</v>
      </c>
      <c r="BI301" s="145">
        <f t="shared" si="544"/>
        <v>2.3605139145710367E+35</v>
      </c>
      <c r="BJ301" s="145">
        <f t="shared" si="544"/>
        <v>2.2597611579223993E+35</v>
      </c>
      <c r="BK301" s="145">
        <f t="shared" si="544"/>
        <v>2.1386316457154632E+35</v>
      </c>
      <c r="BL301" s="145">
        <f t="shared" si="544"/>
        <v>2.0276598838252426E+35</v>
      </c>
      <c r="BM301" s="145">
        <f t="shared" si="544"/>
        <v>1.9145920744440031E+35</v>
      </c>
      <c r="BN301" s="145">
        <f t="shared" si="544"/>
        <v>1.9145920744440031E+35</v>
      </c>
      <c r="BO301" s="145">
        <f t="shared" si="544"/>
        <v>1.9145920744440031E+35</v>
      </c>
      <c r="BP301" s="145">
        <f t="shared" si="544"/>
        <v>1.9145920744440031E+35</v>
      </c>
      <c r="BQ301" s="145">
        <f t="shared" si="544"/>
        <v>1.9145920744440031E+35</v>
      </c>
      <c r="BR301" s="145">
        <f t="shared" si="544"/>
        <v>1.9145920744440031E+35</v>
      </c>
      <c r="BS301" s="145">
        <f t="shared" si="544"/>
        <v>1.9145920744440031E+35</v>
      </c>
      <c r="BT301" s="145">
        <f t="shared" si="544"/>
        <v>1.9145920744440031E+35</v>
      </c>
      <c r="BU301" s="145">
        <f t="shared" si="544"/>
        <v>1.9145920744440031E+35</v>
      </c>
      <c r="BV301" s="145">
        <f t="shared" si="544"/>
        <v>1.9145920744440031E+35</v>
      </c>
      <c r="BW301" s="145">
        <f t="shared" si="544"/>
        <v>1.9145920744440031E+35</v>
      </c>
      <c r="BX301" s="145">
        <f t="shared" si="544"/>
        <v>1.9145920744440031E+35</v>
      </c>
      <c r="BY301" s="145">
        <f t="shared" si="544"/>
        <v>1.9145920744440031E+35</v>
      </c>
      <c r="BZ301" s="145">
        <f t="shared" si="544"/>
        <v>1.9145920744440031E+35</v>
      </c>
      <c r="CA301" s="145">
        <f t="shared" si="544"/>
        <v>1.9145920744440031E+35</v>
      </c>
      <c r="CB301" s="145">
        <f t="shared" si="544"/>
        <v>1.9145920744440031E+35</v>
      </c>
      <c r="CC301" s="145">
        <f t="shared" si="544"/>
        <v>1.9145920744440031E+35</v>
      </c>
      <c r="CD301" s="145">
        <f t="shared" si="544"/>
        <v>1.9145920744440031E+35</v>
      </c>
      <c r="CE301" s="145">
        <f t="shared" si="544"/>
        <v>1.9145920744440031E+35</v>
      </c>
      <c r="CF301" s="145">
        <f t="shared" si="544"/>
        <v>1.9145920744440031E+35</v>
      </c>
      <c r="CG301" s="145">
        <f t="shared" si="544"/>
        <v>1.9145920744440031E+35</v>
      </c>
      <c r="CH301" s="145">
        <f t="shared" si="544"/>
        <v>1.9145920744440031E+35</v>
      </c>
      <c r="CI301" s="145">
        <f t="shared" si="544"/>
        <v>1.9145920744440031E+35</v>
      </c>
      <c r="CJ301" s="145">
        <f t="shared" si="544"/>
        <v>1.9145920744440031E+35</v>
      </c>
      <c r="CK301" s="145">
        <f t="shared" si="544"/>
        <v>1.9145920744440031E+35</v>
      </c>
      <c r="CL301" s="145">
        <f t="shared" si="544"/>
        <v>1.9145920744440031E+35</v>
      </c>
      <c r="CM301" s="145">
        <f t="shared" ref="CM301" si="545">IF((CL301+(CM288-CL288))&lt;=0,0.00001,(CL301+(CM288-CL288)))</f>
        <v>1.9145920744440031E+35</v>
      </c>
      <c r="CN301" s="145">
        <f t="shared" ref="CN301" si="546">IF((CM301+(CN288-CM288))&lt;=0,0.00001,(CM301+(CN288-CM288)))</f>
        <v>1.9145920744440031E+35</v>
      </c>
      <c r="CO301" s="145">
        <f t="shared" ref="CO301" si="547">IF((CN301+(CO288-CN288))&lt;=0,0.00001,(CN301+(CO288-CN288)))</f>
        <v>1.9145920744440031E+35</v>
      </c>
      <c r="CP301" s="145">
        <f t="shared" ref="CP301" si="548">IF((CO301+(CP288-CO288))&lt;=0,0.00001,(CO301+(CP288-CO288)))</f>
        <v>1.9145920744440031E+35</v>
      </c>
      <c r="CQ301" s="145">
        <f t="shared" ref="CQ301" si="549">IF((CP301+(CQ288-CP288))&lt;=0,0.00001,(CP301+(CQ288-CP288)))</f>
        <v>1.9145920744440031E+35</v>
      </c>
    </row>
    <row r="302" spans="1:95">
      <c r="A302" s="275"/>
      <c r="B302" s="273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461"/>
      <c r="O302" s="461"/>
      <c r="P302" s="459"/>
      <c r="Q302" s="459"/>
      <c r="R302" s="459"/>
      <c r="S302" s="454"/>
      <c r="T302" s="272"/>
      <c r="U302" s="272"/>
      <c r="V302" s="272"/>
      <c r="W302" s="272"/>
      <c r="X302" s="272"/>
      <c r="Y302" s="272"/>
      <c r="Z302" s="272"/>
      <c r="AA302" s="272"/>
      <c r="AB302" s="272"/>
      <c r="AC302" s="272"/>
      <c r="AD302" s="272"/>
      <c r="AE302" s="272"/>
      <c r="AF302" s="272"/>
      <c r="AG302" s="272"/>
      <c r="AH302" s="272"/>
      <c r="AI302" s="272"/>
      <c r="AJ302" s="272"/>
      <c r="AK302" s="272"/>
      <c r="AL302" s="272"/>
      <c r="AM302" s="272"/>
      <c r="AN302" s="272"/>
      <c r="AO302" s="272"/>
      <c r="AP302" s="272"/>
      <c r="AQ302" s="272"/>
      <c r="AR302" s="272"/>
      <c r="AS302" s="272"/>
      <c r="AT302" s="272"/>
      <c r="AU302" s="272"/>
      <c r="AV302" s="272"/>
      <c r="AW302" s="272"/>
      <c r="AX302" s="272"/>
      <c r="AY302" s="272"/>
      <c r="AZ302" s="272"/>
      <c r="BA302" s="272"/>
      <c r="BB302" s="272"/>
      <c r="BC302" s="272"/>
      <c r="BE302" s="79" t="s">
        <v>232</v>
      </c>
    </row>
    <row r="303" spans="1:95">
      <c r="A303" s="275" t="s">
        <v>261</v>
      </c>
      <c r="B303" s="273"/>
      <c r="C303" s="216">
        <v>74594.178713898698</v>
      </c>
      <c r="D303" s="216">
        <v>78948.702959908405</v>
      </c>
      <c r="E303" s="216">
        <v>73639.928773634107</v>
      </c>
      <c r="F303" s="216">
        <v>81720.612330288102</v>
      </c>
      <c r="G303" s="216">
        <v>103700.990080537</v>
      </c>
      <c r="H303" s="216">
        <v>114097.27179943401</v>
      </c>
      <c r="I303" s="216">
        <v>122596.041896353</v>
      </c>
      <c r="J303" s="216">
        <v>132688.152835535</v>
      </c>
      <c r="K303" s="216">
        <v>136080.64897208201</v>
      </c>
      <c r="L303" s="216">
        <v>138156.893597566</v>
      </c>
      <c r="M303" s="216">
        <v>158758.967648394</v>
      </c>
      <c r="N303" s="453">
        <v>201121.80269653699</v>
      </c>
      <c r="O303" s="453">
        <v>200991.85884286999</v>
      </c>
      <c r="P303" s="454">
        <v>221921.59342751399</v>
      </c>
      <c r="Q303" s="454">
        <v>252253</v>
      </c>
      <c r="R303" s="454">
        <v>236352.99998804001</v>
      </c>
      <c r="S303" s="454">
        <f>S250</f>
        <v>223625</v>
      </c>
      <c r="T303" s="454">
        <f>T250</f>
        <v>238925</v>
      </c>
      <c r="U303" s="454">
        <f>U250</f>
        <v>239892</v>
      </c>
      <c r="V303" s="272">
        <f t="shared" ref="V303:BA303" si="550">U303*(1+V250/100)</f>
        <v>256273.83317116322</v>
      </c>
      <c r="W303" s="272">
        <f t="shared" si="550"/>
        <v>251011.27536488284</v>
      </c>
      <c r="X303" s="272">
        <f t="shared" si="550"/>
        <v>236645.34135338353</v>
      </c>
      <c r="Y303" s="272">
        <f t="shared" si="550"/>
        <v>230258.12401592219</v>
      </c>
      <c r="Z303" s="272">
        <f t="shared" si="550"/>
        <v>236560.4613887661</v>
      </c>
      <c r="AA303" s="272">
        <f t="shared" si="550"/>
        <v>257292.39274657238</v>
      </c>
      <c r="AB303" s="272">
        <f t="shared" si="550"/>
        <v>242799.1387881469</v>
      </c>
      <c r="AC303" s="272">
        <f t="shared" si="550"/>
        <v>260239.32315840857</v>
      </c>
      <c r="AD303" s="272">
        <f t="shared" si="550"/>
        <v>247959.99964107055</v>
      </c>
      <c r="AE303" s="272">
        <f t="shared" si="550"/>
        <v>251427.44484081282</v>
      </c>
      <c r="AF303" s="272">
        <f t="shared" si="550"/>
        <v>251445.52663408947</v>
      </c>
      <c r="AG303" s="272">
        <f t="shared" si="550"/>
        <v>243109.14696516845</v>
      </c>
      <c r="AH303" s="272">
        <f t="shared" si="550"/>
        <v>231374.87055294754</v>
      </c>
      <c r="AI303" s="272">
        <f t="shared" si="550"/>
        <v>219290.7336460645</v>
      </c>
      <c r="AJ303" s="272">
        <f t="shared" si="550"/>
        <v>209081.51836658941</v>
      </c>
      <c r="AK303" s="272">
        <f t="shared" si="550"/>
        <v>194994.17887720713</v>
      </c>
      <c r="AL303" s="272">
        <f t="shared" si="550"/>
        <v>186173.77230416218</v>
      </c>
      <c r="AM303" s="272">
        <f t="shared" si="550"/>
        <v>180657.61048276816</v>
      </c>
      <c r="AN303" s="272">
        <f t="shared" si="550"/>
        <v>175561.35163850486</v>
      </c>
      <c r="AO303" s="272">
        <f t="shared" si="550"/>
        <v>170935.02967214581</v>
      </c>
      <c r="AP303" s="272">
        <f t="shared" si="550"/>
        <v>163904.20806165287</v>
      </c>
      <c r="AQ303" s="272">
        <f t="shared" si="550"/>
        <v>153384.70872552056</v>
      </c>
      <c r="AR303" s="272">
        <f t="shared" si="550"/>
        <v>142045.95584931065</v>
      </c>
      <c r="AS303" s="272">
        <f t="shared" si="550"/>
        <v>133881.56243375546</v>
      </c>
      <c r="AT303" s="272">
        <f t="shared" si="550"/>
        <v>126532.89272237691</v>
      </c>
      <c r="AU303" s="272">
        <f t="shared" si="550"/>
        <v>120969.49563346818</v>
      </c>
      <c r="AV303" s="272">
        <f t="shared" si="550"/>
        <v>115144.63828910229</v>
      </c>
      <c r="AW303" s="272">
        <f t="shared" si="550"/>
        <v>108619.35921904747</v>
      </c>
      <c r="AX303" s="272">
        <f t="shared" si="550"/>
        <v>103305.04974873092</v>
      </c>
      <c r="AY303" s="272">
        <f t="shared" si="550"/>
        <v>99182.171436276374</v>
      </c>
      <c r="AZ303" s="272">
        <f t="shared" si="550"/>
        <v>95164.175583163029</v>
      </c>
      <c r="BA303" s="272">
        <f t="shared" si="550"/>
        <v>91456.849208108601</v>
      </c>
      <c r="BB303" s="272">
        <f t="shared" ref="BB303:CL303" si="551">BA303*(1+BB250/100)</f>
        <v>88473.588236366879</v>
      </c>
      <c r="BC303" s="272">
        <f t="shared" si="551"/>
        <v>84983.488001242687</v>
      </c>
      <c r="BD303" s="272">
        <f t="shared" si="551"/>
        <v>85131.824288307136</v>
      </c>
      <c r="BE303" s="272">
        <f t="shared" si="551"/>
        <v>81421.019550423065</v>
      </c>
      <c r="BF303" s="272">
        <f t="shared" si="551"/>
        <v>78309.239474662521</v>
      </c>
      <c r="BG303" s="272">
        <f t="shared" si="551"/>
        <v>75994.615815032128</v>
      </c>
      <c r="BH303" s="272">
        <f t="shared" si="551"/>
        <v>74713.760874578758</v>
      </c>
      <c r="BI303" s="272">
        <f t="shared" si="551"/>
        <v>73031.064993821477</v>
      </c>
      <c r="BJ303" s="272">
        <f t="shared" si="551"/>
        <v>71917.985096928693</v>
      </c>
      <c r="BK303" s="272">
        <f t="shared" si="551"/>
        <v>71015.392011193719</v>
      </c>
      <c r="BL303" s="272">
        <f t="shared" si="551"/>
        <v>70016.520327771272</v>
      </c>
      <c r="BM303" s="272">
        <f t="shared" si="551"/>
        <v>69182.215991621924</v>
      </c>
      <c r="BN303" s="272">
        <f t="shared" si="551"/>
        <v>66246.402380141852</v>
      </c>
      <c r="BO303" s="272">
        <f t="shared" si="551"/>
        <v>66246.402380141852</v>
      </c>
      <c r="BP303" s="272">
        <f t="shared" si="551"/>
        <v>66246.402380141852</v>
      </c>
      <c r="BQ303" s="272">
        <f t="shared" si="551"/>
        <v>66246.402380141852</v>
      </c>
      <c r="BR303" s="272">
        <f t="shared" si="551"/>
        <v>66246.402380141852</v>
      </c>
      <c r="BS303" s="272">
        <f t="shared" si="551"/>
        <v>66246.402380141852</v>
      </c>
      <c r="BT303" s="272">
        <f t="shared" si="551"/>
        <v>66246.402380141852</v>
      </c>
      <c r="BU303" s="272">
        <f t="shared" si="551"/>
        <v>66246.402380141852</v>
      </c>
      <c r="BV303" s="272">
        <f t="shared" si="551"/>
        <v>66246.402380141852</v>
      </c>
      <c r="BW303" s="272">
        <f t="shared" si="551"/>
        <v>66246.402380141852</v>
      </c>
      <c r="BX303" s="272">
        <f t="shared" si="551"/>
        <v>66246.402380141852</v>
      </c>
      <c r="BY303" s="272">
        <f t="shared" si="551"/>
        <v>66246.402380141852</v>
      </c>
      <c r="BZ303" s="272">
        <f t="shared" si="551"/>
        <v>66246.402380141852</v>
      </c>
      <c r="CA303" s="272">
        <f t="shared" si="551"/>
        <v>66246.402380141852</v>
      </c>
      <c r="CB303" s="272">
        <f t="shared" si="551"/>
        <v>66246.402380141852</v>
      </c>
      <c r="CC303" s="272">
        <f t="shared" si="551"/>
        <v>66246.402380141852</v>
      </c>
      <c r="CD303" s="272">
        <f t="shared" si="551"/>
        <v>66246.402380141852</v>
      </c>
      <c r="CE303" s="272">
        <f t="shared" si="551"/>
        <v>66246.402380141852</v>
      </c>
      <c r="CF303" s="272">
        <f t="shared" si="551"/>
        <v>66246.402380141852</v>
      </c>
      <c r="CG303" s="272">
        <f t="shared" si="551"/>
        <v>66246.402380141852</v>
      </c>
      <c r="CH303" s="272">
        <f t="shared" si="551"/>
        <v>66246.402380141852</v>
      </c>
      <c r="CI303" s="272">
        <f t="shared" si="551"/>
        <v>66246.402380141852</v>
      </c>
      <c r="CJ303" s="272">
        <f t="shared" si="551"/>
        <v>66246.402380141852</v>
      </c>
      <c r="CK303" s="272">
        <f t="shared" si="551"/>
        <v>66246.402380141852</v>
      </c>
      <c r="CL303" s="272">
        <f t="shared" si="551"/>
        <v>66246.402380141852</v>
      </c>
      <c r="CM303" s="272">
        <f t="shared" ref="CM303" si="552">CL303*(1+CM250/100)</f>
        <v>66246.402380141852</v>
      </c>
      <c r="CN303" s="272">
        <f t="shared" ref="CN303" si="553">CM303*(1+CN250/100)</f>
        <v>66246.402380141852</v>
      </c>
      <c r="CO303" s="272">
        <f t="shared" ref="CO303" si="554">CN303*(1+CO250/100)</f>
        <v>66246.402380141852</v>
      </c>
      <c r="CP303" s="272">
        <f t="shared" ref="CP303" si="555">CO303*(1+CP250/100)</f>
        <v>66246.402380141852</v>
      </c>
      <c r="CQ303" s="272">
        <f t="shared" ref="CQ303" si="556">CP303*(1+CQ250/100)</f>
        <v>66246.402380141852</v>
      </c>
    </row>
    <row r="304" spans="1:95">
      <c r="A304" s="275"/>
      <c r="B304" s="285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461"/>
      <c r="O304" s="461"/>
      <c r="P304" s="459"/>
      <c r="Q304" s="459"/>
      <c r="R304" s="459"/>
      <c r="S304" s="454"/>
      <c r="T304" s="272"/>
      <c r="U304" s="272"/>
      <c r="V304" s="272"/>
      <c r="W304" s="272"/>
      <c r="X304" s="272"/>
      <c r="Y304" s="272"/>
      <c r="Z304" s="272"/>
      <c r="AA304" s="272"/>
      <c r="AB304" s="272"/>
      <c r="AC304" s="272"/>
      <c r="AD304" s="272"/>
      <c r="AE304" s="272"/>
      <c r="AF304" s="272"/>
      <c r="AG304" s="272"/>
      <c r="AH304" s="272"/>
      <c r="AI304" s="272"/>
      <c r="AJ304" s="272"/>
      <c r="AK304" s="272"/>
      <c r="AL304" s="272"/>
      <c r="AM304" s="272"/>
      <c r="AN304" s="272"/>
      <c r="AO304" s="272"/>
      <c r="AP304" s="272"/>
      <c r="AQ304" s="272"/>
      <c r="AR304" s="272"/>
      <c r="AS304" s="272"/>
      <c r="AT304" s="272"/>
      <c r="AU304" s="272"/>
      <c r="AV304" s="272"/>
      <c r="AW304" s="272"/>
      <c r="AX304" s="272"/>
      <c r="AY304" s="272"/>
      <c r="AZ304" s="272"/>
      <c r="BA304" s="272"/>
      <c r="BB304" s="272"/>
      <c r="BC304" s="272"/>
    </row>
    <row r="305" spans="1:95">
      <c r="A305" s="275" t="s">
        <v>323</v>
      </c>
      <c r="B305" s="273"/>
      <c r="C305" s="216">
        <v>5643.5284142782702</v>
      </c>
      <c r="D305" s="216">
        <v>6027.62382218521</v>
      </c>
      <c r="E305" s="216">
        <v>6159.4981960964196</v>
      </c>
      <c r="F305" s="216">
        <v>7188.7780318422401</v>
      </c>
      <c r="G305" s="216">
        <v>9224.1861972207207</v>
      </c>
      <c r="H305" s="216">
        <v>9684.0257721776306</v>
      </c>
      <c r="I305" s="216">
        <v>10617.320098861799</v>
      </c>
      <c r="J305" s="216">
        <v>11294.1094667858</v>
      </c>
      <c r="K305" s="216">
        <v>11585.107100696699</v>
      </c>
      <c r="L305" s="216">
        <v>11786.5252255338</v>
      </c>
      <c r="M305" s="216">
        <v>12436.8014715893</v>
      </c>
      <c r="N305" s="453">
        <v>10369.388250476801</v>
      </c>
      <c r="O305" s="453">
        <v>10328.284659557001</v>
      </c>
      <c r="P305" s="454">
        <v>9251.1682033837606</v>
      </c>
      <c r="Q305" s="454">
        <v>10400</v>
      </c>
      <c r="R305" s="454">
        <v>9887.7915034059097</v>
      </c>
      <c r="S305" s="454">
        <v>11314</v>
      </c>
      <c r="T305" s="272">
        <v>12101</v>
      </c>
      <c r="U305" s="272">
        <f t="shared" ref="U305:BB305" si="557">T305*U289/T289</f>
        <v>12210.994923104166</v>
      </c>
      <c r="V305" s="272">
        <f t="shared" si="557"/>
        <v>177959815.54347321</v>
      </c>
      <c r="W305" s="272">
        <f t="shared" si="557"/>
        <v>2548949636609.3296</v>
      </c>
      <c r="X305" s="272">
        <f t="shared" si="557"/>
        <v>3.4683149873401292E+16</v>
      </c>
      <c r="Y305" s="272">
        <f t="shared" si="557"/>
        <v>4.7389884346858871E+20</v>
      </c>
      <c r="Z305" s="272">
        <f t="shared" si="557"/>
        <v>6.343015027528587E+24</v>
      </c>
      <c r="AA305" s="272">
        <f t="shared" si="557"/>
        <v>8.9368958778109895E+28</v>
      </c>
      <c r="AB305" s="272">
        <f t="shared" si="557"/>
        <v>1.203687772553473E+33</v>
      </c>
      <c r="AC305" s="272">
        <f t="shared" si="557"/>
        <v>1.7457608497981366E+37</v>
      </c>
      <c r="AD305" s="272">
        <f t="shared" si="557"/>
        <v>1.6655075628849696E+37</v>
      </c>
      <c r="AE305" s="272">
        <f t="shared" si="557"/>
        <v>1.6797024544100766E+37</v>
      </c>
      <c r="AF305" s="272">
        <f t="shared" si="557"/>
        <v>1.6697800206665337E+37</v>
      </c>
      <c r="AG305" s="272">
        <f t="shared" si="557"/>
        <v>1.6136039543127615E+37</v>
      </c>
      <c r="AH305" s="272">
        <f t="shared" si="557"/>
        <v>1.5501994151568347E+37</v>
      </c>
      <c r="AI305" s="272">
        <f>AH305*AI289/AH289</f>
        <v>1.4659130485207816E+37</v>
      </c>
      <c r="AJ305" s="272">
        <f t="shared" si="557"/>
        <v>1.3988091190395563E+37</v>
      </c>
      <c r="AK305" s="272">
        <f t="shared" si="557"/>
        <v>1.3011833864412169E+37</v>
      </c>
      <c r="AL305" s="272">
        <f t="shared" si="557"/>
        <v>1.2471101532213179E+37</v>
      </c>
      <c r="AM305" s="272">
        <f t="shared" si="557"/>
        <v>1.2120755640397709E+37</v>
      </c>
      <c r="AN305" s="272">
        <f t="shared" si="557"/>
        <v>1.1764653792961287E+37</v>
      </c>
      <c r="AO305" s="272">
        <f t="shared" si="557"/>
        <v>1.1443298994376816E+37</v>
      </c>
      <c r="AP305" s="272">
        <f t="shared" si="557"/>
        <v>1.0921151454631629E+37</v>
      </c>
      <c r="AQ305" s="272">
        <f t="shared" si="557"/>
        <v>1.0216994751012227E+37</v>
      </c>
      <c r="AR305" s="272">
        <f t="shared" si="557"/>
        <v>9.4597891834328239E+36</v>
      </c>
      <c r="AS305" s="272">
        <f t="shared" si="557"/>
        <v>8.8860834730390717E+36</v>
      </c>
      <c r="AT305" s="272">
        <f t="shared" si="557"/>
        <v>8.415482651845042E+36</v>
      </c>
      <c r="AU305" s="272">
        <f t="shared" si="557"/>
        <v>7.9334021122261849E+36</v>
      </c>
      <c r="AV305" s="272">
        <f t="shared" si="557"/>
        <v>7.5455287490852625E+36</v>
      </c>
      <c r="AW305" s="272">
        <f t="shared" si="557"/>
        <v>7.1177870653656467E+36</v>
      </c>
      <c r="AX305" s="272">
        <f t="shared" si="557"/>
        <v>6.7638404456485423E+36</v>
      </c>
      <c r="AY305" s="272">
        <f t="shared" si="557"/>
        <v>6.4939227683624604E+36</v>
      </c>
      <c r="AZ305" s="272">
        <f t="shared" si="557"/>
        <v>6.2359943441217895E+36</v>
      </c>
      <c r="BA305" s="272">
        <f t="shared" si="557"/>
        <v>6.0051973450423674E+36</v>
      </c>
      <c r="BB305" s="272">
        <f t="shared" si="557"/>
        <v>5.8699658979122529E+36</v>
      </c>
      <c r="BC305" s="272">
        <f>BB305*BC289/BB289</f>
        <v>5.6856162366588733E+36</v>
      </c>
      <c r="BD305" s="272">
        <f t="shared" ref="BD305:BM305" si="558">BC305*BD289/BC289</f>
        <v>5.4833579674853158E+36</v>
      </c>
      <c r="BE305" s="272">
        <f t="shared" si="558"/>
        <v>5.2519870918596894E+36</v>
      </c>
      <c r="BF305" s="272">
        <f t="shared" si="558"/>
        <v>5.0538692657681795E+36</v>
      </c>
      <c r="BG305" s="272">
        <f t="shared" si="558"/>
        <v>4.9076091456973596E+36</v>
      </c>
      <c r="BH305" s="272">
        <f t="shared" si="558"/>
        <v>4.8320792611543635E+36</v>
      </c>
      <c r="BI305" s="272">
        <f t="shared" si="558"/>
        <v>4.7244802598351143E+36</v>
      </c>
      <c r="BJ305" s="272">
        <f t="shared" si="558"/>
        <v>4.6434560063675594E+36</v>
      </c>
      <c r="BK305" s="272">
        <f t="shared" si="558"/>
        <v>4.5805458137564407E+36</v>
      </c>
      <c r="BL305" s="272">
        <f t="shared" si="558"/>
        <v>4.5146418607881371E+36</v>
      </c>
      <c r="BM305" s="272">
        <f t="shared" si="558"/>
        <v>4.4592423987409478E+36</v>
      </c>
      <c r="BN305" s="272">
        <f t="shared" ref="BN305:CL305" si="559">BM305*BN289/BM289</f>
        <v>4.4592423987409473E+36</v>
      </c>
      <c r="BO305" s="272">
        <f t="shared" si="559"/>
        <v>4.4592423987409473E+36</v>
      </c>
      <c r="BP305" s="272">
        <f t="shared" si="559"/>
        <v>4.4592423987409473E+36</v>
      </c>
      <c r="BQ305" s="272">
        <f t="shared" si="559"/>
        <v>4.4592423987409473E+36</v>
      </c>
      <c r="BR305" s="272">
        <f t="shared" si="559"/>
        <v>4.4592423987409473E+36</v>
      </c>
      <c r="BS305" s="272">
        <f t="shared" si="559"/>
        <v>4.4592423987409473E+36</v>
      </c>
      <c r="BT305" s="272">
        <f t="shared" si="559"/>
        <v>4.4592423987409473E+36</v>
      </c>
      <c r="BU305" s="272">
        <f t="shared" si="559"/>
        <v>4.4592423987409473E+36</v>
      </c>
      <c r="BV305" s="272">
        <f t="shared" si="559"/>
        <v>4.4592423987409473E+36</v>
      </c>
      <c r="BW305" s="272">
        <f t="shared" si="559"/>
        <v>4.4592423987409473E+36</v>
      </c>
      <c r="BX305" s="272">
        <f t="shared" si="559"/>
        <v>4.4592423987409473E+36</v>
      </c>
      <c r="BY305" s="272">
        <f t="shared" si="559"/>
        <v>4.4592423987409473E+36</v>
      </c>
      <c r="BZ305" s="272">
        <f t="shared" si="559"/>
        <v>4.4592423987409473E+36</v>
      </c>
      <c r="CA305" s="272">
        <f t="shared" si="559"/>
        <v>4.4592423987409473E+36</v>
      </c>
      <c r="CB305" s="272">
        <f t="shared" si="559"/>
        <v>4.4592423987409473E+36</v>
      </c>
      <c r="CC305" s="272">
        <f t="shared" si="559"/>
        <v>4.4592423987409473E+36</v>
      </c>
      <c r="CD305" s="272">
        <f t="shared" si="559"/>
        <v>4.4592423987409473E+36</v>
      </c>
      <c r="CE305" s="272">
        <f t="shared" si="559"/>
        <v>4.4592423987409473E+36</v>
      </c>
      <c r="CF305" s="272">
        <f t="shared" si="559"/>
        <v>4.4592423987409473E+36</v>
      </c>
      <c r="CG305" s="272">
        <f t="shared" si="559"/>
        <v>4.4592423987409473E+36</v>
      </c>
      <c r="CH305" s="272">
        <f t="shared" si="559"/>
        <v>4.4592423987409473E+36</v>
      </c>
      <c r="CI305" s="272">
        <f t="shared" si="559"/>
        <v>4.4592423987409473E+36</v>
      </c>
      <c r="CJ305" s="272">
        <f t="shared" si="559"/>
        <v>4.4592423987409473E+36</v>
      </c>
      <c r="CK305" s="272">
        <f t="shared" si="559"/>
        <v>4.4592423987409473E+36</v>
      </c>
      <c r="CL305" s="272">
        <f t="shared" si="559"/>
        <v>4.4592423987409473E+36</v>
      </c>
      <c r="CM305" s="272">
        <f t="shared" ref="CM305" si="560">CL305*CM289/CL289</f>
        <v>4.4592423987409473E+36</v>
      </c>
      <c r="CN305" s="272">
        <f t="shared" ref="CN305" si="561">CM305*CN289/CM289</f>
        <v>4.4592423987409473E+36</v>
      </c>
      <c r="CO305" s="272">
        <f t="shared" ref="CO305" si="562">CN305*CO289/CN289</f>
        <v>4.4592423987409473E+36</v>
      </c>
      <c r="CP305" s="272">
        <f t="shared" ref="CP305" si="563">CO305*CP289/CO289</f>
        <v>4.4592423987409473E+36</v>
      </c>
      <c r="CQ305" s="272">
        <f t="shared" ref="CQ305" si="564">CP305*CQ289/CP289</f>
        <v>4.4592423987409473E+36</v>
      </c>
    </row>
    <row r="306" spans="1:95">
      <c r="A306" s="275"/>
      <c r="B306" s="273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461"/>
      <c r="O306" s="461"/>
      <c r="P306" s="459"/>
      <c r="Q306" s="459"/>
      <c r="R306" s="459"/>
      <c r="S306" s="454"/>
      <c r="T306" s="272"/>
      <c r="U306" s="272"/>
      <c r="V306" s="272"/>
      <c r="W306" s="272"/>
      <c r="X306" s="272"/>
      <c r="Y306" s="272"/>
      <c r="Z306" s="272"/>
      <c r="AA306" s="272"/>
      <c r="AB306" s="272"/>
      <c r="AC306" s="272"/>
      <c r="AD306" s="272"/>
      <c r="AE306" s="272"/>
      <c r="AF306" s="272"/>
      <c r="AG306" s="272"/>
      <c r="AH306" s="272"/>
      <c r="AI306" s="272"/>
      <c r="AJ306" s="272"/>
      <c r="AK306" s="272"/>
      <c r="AL306" s="272"/>
      <c r="AM306" s="272"/>
      <c r="AN306" s="272"/>
      <c r="AO306" s="272"/>
      <c r="AP306" s="272"/>
      <c r="AQ306" s="272"/>
      <c r="AR306" s="272"/>
      <c r="AS306" s="272"/>
      <c r="AT306" s="272"/>
      <c r="AU306" s="272"/>
      <c r="AV306" s="272"/>
      <c r="AW306" s="272"/>
      <c r="AX306" s="272"/>
      <c r="AY306" s="272"/>
      <c r="AZ306" s="272"/>
      <c r="BA306" s="272"/>
      <c r="BB306" s="272"/>
      <c r="BC306" s="272"/>
    </row>
    <row r="307" spans="1:95">
      <c r="A307" s="275" t="s">
        <v>266</v>
      </c>
      <c r="B307" s="273"/>
      <c r="C307" s="216">
        <v>-1003.25228674096</v>
      </c>
      <c r="D307" s="216">
        <v>1332.2260194754899</v>
      </c>
      <c r="E307" s="216">
        <v>2215.5301353578802</v>
      </c>
      <c r="F307" s="216">
        <v>4679.2560188555699</v>
      </c>
      <c r="G307" s="216">
        <v>-2436.54439873713</v>
      </c>
      <c r="H307" s="216">
        <v>-1056.70042211345</v>
      </c>
      <c r="I307" s="216">
        <v>22455.135821612501</v>
      </c>
      <c r="J307" s="216">
        <v>19621.225296683398</v>
      </c>
      <c r="K307" s="216">
        <v>-1064.76069587436</v>
      </c>
      <c r="L307" s="216">
        <v>6409.83189780472</v>
      </c>
      <c r="M307" s="216">
        <v>6256.4954636313296</v>
      </c>
      <c r="N307" s="453">
        <v>-4337.8072512158697</v>
      </c>
      <c r="O307" s="453">
        <v>745.96148390350299</v>
      </c>
      <c r="P307" s="454">
        <v>3936.5789733422698</v>
      </c>
      <c r="Q307" s="454">
        <v>-1163.8900000000001</v>
      </c>
      <c r="R307" s="454">
        <v>5675.9218684986899</v>
      </c>
      <c r="S307" s="454">
        <v>9813</v>
      </c>
      <c r="T307" s="272">
        <f t="shared" ref="T307:AY307" si="565">S307+T254</f>
        <v>9813</v>
      </c>
      <c r="U307" s="272">
        <f t="shared" si="565"/>
        <v>9813</v>
      </c>
      <c r="V307" s="272">
        <f t="shared" si="565"/>
        <v>9813</v>
      </c>
      <c r="W307" s="272">
        <f t="shared" si="565"/>
        <v>9813</v>
      </c>
      <c r="X307" s="272">
        <f t="shared" si="565"/>
        <v>9813</v>
      </c>
      <c r="Y307" s="272">
        <f t="shared" si="565"/>
        <v>9813</v>
      </c>
      <c r="Z307" s="272">
        <f t="shared" si="565"/>
        <v>9813</v>
      </c>
      <c r="AA307" s="272">
        <f t="shared" si="565"/>
        <v>9813</v>
      </c>
      <c r="AB307" s="272">
        <f t="shared" si="565"/>
        <v>9813</v>
      </c>
      <c r="AC307" s="272">
        <f t="shared" si="565"/>
        <v>9813</v>
      </c>
      <c r="AD307" s="272">
        <f t="shared" si="565"/>
        <v>9813</v>
      </c>
      <c r="AE307" s="272">
        <f t="shared" si="565"/>
        <v>9813</v>
      </c>
      <c r="AF307" s="272">
        <f t="shared" si="565"/>
        <v>9813</v>
      </c>
      <c r="AG307" s="272">
        <f t="shared" si="565"/>
        <v>9813</v>
      </c>
      <c r="AH307" s="272">
        <f t="shared" si="565"/>
        <v>9813</v>
      </c>
      <c r="AI307" s="272">
        <f t="shared" si="565"/>
        <v>9813</v>
      </c>
      <c r="AJ307" s="272">
        <f t="shared" si="565"/>
        <v>9813</v>
      </c>
      <c r="AK307" s="272">
        <f t="shared" si="565"/>
        <v>9813</v>
      </c>
      <c r="AL307" s="272">
        <f t="shared" si="565"/>
        <v>9813</v>
      </c>
      <c r="AM307" s="272">
        <f t="shared" si="565"/>
        <v>9813</v>
      </c>
      <c r="AN307" s="272">
        <f t="shared" si="565"/>
        <v>9813</v>
      </c>
      <c r="AO307" s="272">
        <f t="shared" si="565"/>
        <v>9813</v>
      </c>
      <c r="AP307" s="272">
        <f t="shared" si="565"/>
        <v>9813</v>
      </c>
      <c r="AQ307" s="272">
        <f t="shared" si="565"/>
        <v>9813</v>
      </c>
      <c r="AR307" s="272">
        <f t="shared" si="565"/>
        <v>9813</v>
      </c>
      <c r="AS307" s="272">
        <f t="shared" si="565"/>
        <v>9813</v>
      </c>
      <c r="AT307" s="272">
        <f t="shared" si="565"/>
        <v>9813</v>
      </c>
      <c r="AU307" s="272">
        <f t="shared" si="565"/>
        <v>9813</v>
      </c>
      <c r="AV307" s="272">
        <f t="shared" si="565"/>
        <v>9813</v>
      </c>
      <c r="AW307" s="272">
        <f t="shared" si="565"/>
        <v>9813</v>
      </c>
      <c r="AX307" s="272">
        <f t="shared" si="565"/>
        <v>9813</v>
      </c>
      <c r="AY307" s="272">
        <f t="shared" si="565"/>
        <v>9813</v>
      </c>
      <c r="AZ307" s="272">
        <f t="shared" ref="AZ307:CE307" si="566">AY307+AZ254</f>
        <v>9813</v>
      </c>
      <c r="BA307" s="272">
        <f t="shared" si="566"/>
        <v>9813</v>
      </c>
      <c r="BB307" s="272">
        <f t="shared" si="566"/>
        <v>9813</v>
      </c>
      <c r="BC307" s="272">
        <f t="shared" si="566"/>
        <v>9813</v>
      </c>
      <c r="BD307" s="272">
        <f t="shared" si="566"/>
        <v>9813</v>
      </c>
      <c r="BE307" s="272">
        <f t="shared" si="566"/>
        <v>9813</v>
      </c>
      <c r="BF307" s="272">
        <f t="shared" si="566"/>
        <v>9813</v>
      </c>
      <c r="BG307" s="272">
        <f t="shared" si="566"/>
        <v>9813</v>
      </c>
      <c r="BH307" s="272">
        <f t="shared" si="566"/>
        <v>9813</v>
      </c>
      <c r="BI307" s="272">
        <f t="shared" si="566"/>
        <v>9813</v>
      </c>
      <c r="BJ307" s="272">
        <f t="shared" si="566"/>
        <v>9813</v>
      </c>
      <c r="BK307" s="272">
        <f t="shared" si="566"/>
        <v>9813</v>
      </c>
      <c r="BL307" s="272">
        <f t="shared" si="566"/>
        <v>9813</v>
      </c>
      <c r="BM307" s="272">
        <f t="shared" si="566"/>
        <v>9813</v>
      </c>
      <c r="BN307" s="272">
        <f t="shared" si="566"/>
        <v>9813</v>
      </c>
      <c r="BO307" s="272">
        <f t="shared" si="566"/>
        <v>9813</v>
      </c>
      <c r="BP307" s="272">
        <f t="shared" si="566"/>
        <v>9813</v>
      </c>
      <c r="BQ307" s="272">
        <f t="shared" si="566"/>
        <v>9813</v>
      </c>
      <c r="BR307" s="272">
        <f t="shared" si="566"/>
        <v>9813</v>
      </c>
      <c r="BS307" s="272">
        <f t="shared" si="566"/>
        <v>9813</v>
      </c>
      <c r="BT307" s="272">
        <f t="shared" si="566"/>
        <v>9813</v>
      </c>
      <c r="BU307" s="272">
        <f t="shared" si="566"/>
        <v>9813</v>
      </c>
      <c r="BV307" s="272">
        <f t="shared" si="566"/>
        <v>9813</v>
      </c>
      <c r="BW307" s="272">
        <f t="shared" si="566"/>
        <v>9813</v>
      </c>
      <c r="BX307" s="272">
        <f t="shared" si="566"/>
        <v>9813</v>
      </c>
      <c r="BY307" s="272">
        <f t="shared" si="566"/>
        <v>9813</v>
      </c>
      <c r="BZ307" s="272">
        <f t="shared" si="566"/>
        <v>9813</v>
      </c>
      <c r="CA307" s="272">
        <f t="shared" si="566"/>
        <v>9813</v>
      </c>
      <c r="CB307" s="272">
        <f t="shared" si="566"/>
        <v>9813</v>
      </c>
      <c r="CC307" s="272">
        <f t="shared" si="566"/>
        <v>9813</v>
      </c>
      <c r="CD307" s="272">
        <f t="shared" si="566"/>
        <v>9813</v>
      </c>
      <c r="CE307" s="272">
        <f t="shared" si="566"/>
        <v>9813</v>
      </c>
      <c r="CF307" s="272">
        <f t="shared" ref="CF307:CL307" si="567">CE307+CF254</f>
        <v>9813</v>
      </c>
      <c r="CG307" s="272">
        <f t="shared" si="567"/>
        <v>9813</v>
      </c>
      <c r="CH307" s="272">
        <f t="shared" si="567"/>
        <v>9813</v>
      </c>
      <c r="CI307" s="272">
        <f t="shared" si="567"/>
        <v>9813</v>
      </c>
      <c r="CJ307" s="272">
        <f t="shared" si="567"/>
        <v>9813</v>
      </c>
      <c r="CK307" s="272">
        <f t="shared" si="567"/>
        <v>9813</v>
      </c>
      <c r="CL307" s="272">
        <f t="shared" si="567"/>
        <v>9813</v>
      </c>
      <c r="CM307" s="272">
        <f t="shared" ref="CM307" si="568">CL307+CM254</f>
        <v>9813</v>
      </c>
      <c r="CN307" s="272">
        <f t="shared" ref="CN307" si="569">CM307+CN254</f>
        <v>9813</v>
      </c>
      <c r="CO307" s="272">
        <f t="shared" ref="CO307" si="570">CN307+CO254</f>
        <v>9813</v>
      </c>
      <c r="CP307" s="272">
        <f t="shared" ref="CP307" si="571">CO307+CP254</f>
        <v>9813</v>
      </c>
      <c r="CQ307" s="272">
        <f t="shared" ref="CQ307" si="572">CP307+CQ254</f>
        <v>9813</v>
      </c>
    </row>
    <row r="308" spans="1:95">
      <c r="A308" s="275"/>
      <c r="B308" s="211"/>
      <c r="C308" s="221"/>
      <c r="D308" s="221"/>
      <c r="E308" s="221"/>
      <c r="F308" s="221"/>
      <c r="G308" s="221"/>
      <c r="H308" s="221"/>
      <c r="I308" s="221"/>
      <c r="J308" s="222"/>
      <c r="K308" s="222"/>
      <c r="L308" s="222"/>
      <c r="M308" s="222"/>
      <c r="N308" s="222"/>
      <c r="O308" s="222"/>
      <c r="P308" s="222"/>
      <c r="Q308" s="222"/>
      <c r="S308" s="293"/>
      <c r="T308" s="293"/>
      <c r="U308" s="293"/>
      <c r="V308" s="293"/>
      <c r="W308" s="293"/>
      <c r="X308" s="293"/>
      <c r="Y308" s="293"/>
      <c r="Z308" s="293"/>
      <c r="AA308" s="293"/>
      <c r="AB308" s="293"/>
      <c r="AC308" s="293"/>
      <c r="AD308" s="293"/>
      <c r="AE308" s="293"/>
      <c r="AF308" s="293"/>
      <c r="AG308" s="293"/>
      <c r="AH308" s="293"/>
      <c r="AI308" s="293"/>
      <c r="AJ308" s="293"/>
      <c r="AK308" s="293"/>
      <c r="AL308" s="293"/>
      <c r="AM308" s="293"/>
      <c r="AN308" s="293"/>
      <c r="AO308" s="293"/>
      <c r="AP308" s="293"/>
      <c r="AQ308" s="293"/>
      <c r="AR308" s="293"/>
      <c r="AS308" s="293"/>
      <c r="AT308" s="293"/>
      <c r="AU308" s="293"/>
      <c r="AV308" s="293"/>
      <c r="AW308" s="293"/>
      <c r="AX308" s="293"/>
      <c r="AY308" s="293"/>
      <c r="AZ308" s="293"/>
      <c r="BA308" s="293"/>
      <c r="BB308" s="293"/>
      <c r="BC308" s="293"/>
    </row>
    <row r="309" spans="1:95">
      <c r="A309" s="275" t="s">
        <v>290</v>
      </c>
      <c r="B309" s="211"/>
      <c r="C309" s="221"/>
      <c r="D309" s="221"/>
      <c r="E309" s="221"/>
      <c r="F309" s="221"/>
      <c r="G309" s="221"/>
      <c r="H309" s="221"/>
      <c r="I309" s="221"/>
      <c r="J309" s="222"/>
      <c r="K309" s="222"/>
      <c r="L309" s="222"/>
      <c r="M309" s="222"/>
      <c r="N309" s="222"/>
      <c r="O309" s="222"/>
      <c r="P309" s="222"/>
      <c r="Q309" s="222"/>
      <c r="S309" s="293"/>
      <c r="T309" s="293"/>
      <c r="U309" s="293"/>
      <c r="V309" s="293"/>
      <c r="W309" s="293"/>
      <c r="X309" s="293"/>
      <c r="Y309" s="293"/>
      <c r="Z309" s="293"/>
      <c r="AA309" s="293"/>
      <c r="AB309" s="293"/>
      <c r="AC309" s="293"/>
      <c r="AD309" s="293"/>
      <c r="AE309" s="293"/>
      <c r="AF309" s="293"/>
      <c r="AG309" s="293"/>
      <c r="AH309" s="293"/>
      <c r="AI309" s="293"/>
      <c r="AJ309" s="293"/>
      <c r="AK309" s="293"/>
      <c r="AL309" s="293"/>
      <c r="AM309" s="293"/>
      <c r="AN309" s="293"/>
      <c r="AO309" s="293"/>
      <c r="AP309" s="293"/>
      <c r="AQ309" s="293"/>
      <c r="AR309" s="293"/>
      <c r="AS309" s="293"/>
      <c r="AT309" s="293"/>
      <c r="AU309" s="293"/>
      <c r="AV309" s="293"/>
      <c r="AW309" s="293"/>
      <c r="AX309" s="293"/>
      <c r="AY309" s="293"/>
      <c r="AZ309" s="293"/>
      <c r="BA309" s="293"/>
      <c r="BB309" s="293"/>
      <c r="BC309" s="293"/>
      <c r="BF309" s="79" t="s">
        <v>232</v>
      </c>
    </row>
    <row r="310" spans="1:95">
      <c r="A310" s="275" t="s">
        <v>251</v>
      </c>
      <c r="B310" s="211"/>
      <c r="C310" s="216">
        <v>-1607.4427302147997</v>
      </c>
      <c r="D310" s="216">
        <v>1969.791072161599</v>
      </c>
      <c r="E310" s="216">
        <v>-1280.2063294578002</v>
      </c>
      <c r="F310" s="216">
        <v>4184.1988595363982</v>
      </c>
      <c r="G310" s="216">
        <v>1301.2237372829004</v>
      </c>
      <c r="H310" s="216">
        <v>19085.550708102499</v>
      </c>
      <c r="I310" s="216">
        <v>-13981.291116958797</v>
      </c>
      <c r="J310" s="216">
        <v>2842.7058971424995</v>
      </c>
      <c r="K310" s="216">
        <v>23335.804987929499</v>
      </c>
      <c r="L310" s="216">
        <v>-13035.485688453897</v>
      </c>
      <c r="M310" s="216">
        <v>-310.37449268130149</v>
      </c>
      <c r="N310" s="216">
        <v>-34.210893638904963</v>
      </c>
      <c r="O310" s="453">
        <v>-2895.9153023835024</v>
      </c>
      <c r="P310" s="454">
        <v>6135.9366795416063</v>
      </c>
      <c r="Q310" s="454">
        <v>2362.6814992298969</v>
      </c>
      <c r="R310" s="454">
        <v>-2966.8050964158974</v>
      </c>
      <c r="S310" s="90">
        <v>927</v>
      </c>
      <c r="T310" s="90">
        <f t="shared" ref="T310:AY310" si="573">T217-S217</f>
        <v>-12754.515602752406</v>
      </c>
      <c r="U310" s="90">
        <f t="shared" si="573"/>
        <v>-690.63869263937522</v>
      </c>
      <c r="V310" s="90">
        <f t="shared" si="573"/>
        <v>6286.0192155024561</v>
      </c>
      <c r="W310" s="90">
        <f t="shared" si="573"/>
        <v>-3113.0192810057342</v>
      </c>
      <c r="X310" s="90">
        <f t="shared" si="573"/>
        <v>-8871.3888360173733</v>
      </c>
      <c r="Y310" s="90">
        <f t="shared" si="573"/>
        <v>-5640.6066831585485</v>
      </c>
      <c r="Z310" s="90">
        <f t="shared" si="573"/>
        <v>-7183.2466037214326</v>
      </c>
      <c r="AA310" s="90">
        <f t="shared" si="573"/>
        <v>-9270.5025626689676</v>
      </c>
      <c r="AB310" s="90">
        <f t="shared" si="573"/>
        <v>-1968.8546872666848</v>
      </c>
      <c r="AC310" s="90">
        <f t="shared" si="573"/>
        <v>3282.5332521623204</v>
      </c>
      <c r="AD310" s="90">
        <f t="shared" si="573"/>
        <v>-46005.587105579638</v>
      </c>
      <c r="AE310" s="90">
        <f t="shared" si="573"/>
        <v>2.1140718310863171</v>
      </c>
      <c r="AF310" s="90">
        <f t="shared" si="573"/>
        <v>-4.3264862616981148</v>
      </c>
      <c r="AG310" s="90">
        <f t="shared" si="573"/>
        <v>-1.1074887620140639</v>
      </c>
      <c r="AH310" s="90">
        <f t="shared" si="573"/>
        <v>-1.4481498586863872</v>
      </c>
      <c r="AI310" s="90">
        <f t="shared" si="573"/>
        <v>-2.7248037315696365</v>
      </c>
      <c r="AJ310" s="90">
        <f t="shared" si="573"/>
        <v>-5.6864002601220918</v>
      </c>
      <c r="AK310" s="90">
        <f t="shared" si="573"/>
        <v>3.1752008562365592</v>
      </c>
      <c r="AL310" s="90">
        <f t="shared" si="573"/>
        <v>-4.6351166288222228</v>
      </c>
      <c r="AM310" s="90">
        <f t="shared" si="573"/>
        <v>0.71550079418724088</v>
      </c>
      <c r="AN310" s="90">
        <f t="shared" si="573"/>
        <v>-1.0883435663366807</v>
      </c>
      <c r="AO310" s="90">
        <f t="shared" si="573"/>
        <v>2.6270222167650399</v>
      </c>
      <c r="AP310" s="90">
        <f t="shared" si="573"/>
        <v>-4.8058192385371239</v>
      </c>
      <c r="AQ310" s="90">
        <f t="shared" si="573"/>
        <v>-1.5935140817087685</v>
      </c>
      <c r="AR310" s="90">
        <f t="shared" si="573"/>
        <v>4.161543868839102</v>
      </c>
      <c r="AS310" s="90">
        <f t="shared" si="573"/>
        <v>1.9883577651038102</v>
      </c>
      <c r="AT310" s="90">
        <f t="shared" si="573"/>
        <v>-1.9658883619277923</v>
      </c>
      <c r="AU310" s="90">
        <f t="shared" si="573"/>
        <v>1.3633947583691182</v>
      </c>
      <c r="AV310" s="90">
        <f t="shared" si="573"/>
        <v>5.1126721589712432E-2</v>
      </c>
      <c r="AW310" s="90">
        <f t="shared" si="573"/>
        <v>-2.959106056340179</v>
      </c>
      <c r="AX310" s="90">
        <f t="shared" si="573"/>
        <v>3.1122290178384198</v>
      </c>
      <c r="AY310" s="90">
        <f t="shared" si="573"/>
        <v>-7.2384408469224901</v>
      </c>
      <c r="AZ310" s="90">
        <f t="shared" ref="AZ310:CE310" si="574">AZ217-AY217</f>
        <v>10.765919217892707</v>
      </c>
      <c r="BA310" s="90">
        <f t="shared" si="574"/>
        <v>-16.535097820171288</v>
      </c>
      <c r="BB310" s="90">
        <f t="shared" si="574"/>
        <v>0.60419275176901976</v>
      </c>
      <c r="BC310" s="90">
        <f t="shared" si="574"/>
        <v>5.6148928636220994</v>
      </c>
      <c r="BD310" s="90">
        <f t="shared" si="574"/>
        <v>-1.5139417944485025</v>
      </c>
      <c r="BE310" s="90">
        <f t="shared" si="574"/>
        <v>-13.36873011517158</v>
      </c>
      <c r="BF310" s="90">
        <f t="shared" si="574"/>
        <v>11.206901275833182</v>
      </c>
      <c r="BG310" s="90">
        <f t="shared" si="574"/>
        <v>-7.9243360887777072</v>
      </c>
      <c r="BH310" s="90">
        <f t="shared" si="574"/>
        <v>-3.1824629183722983</v>
      </c>
      <c r="BI310" s="90">
        <f t="shared" si="574"/>
        <v>-1.4097696814273384</v>
      </c>
      <c r="BJ310" s="90">
        <f t="shared" si="574"/>
        <v>-12.105264643421854</v>
      </c>
      <c r="BK310" s="90">
        <f t="shared" si="574"/>
        <v>39.275931402674502</v>
      </c>
      <c r="BL310" s="90">
        <f t="shared" si="574"/>
        <v>-1.0765846335935016</v>
      </c>
      <c r="BM310" s="90">
        <f t="shared" si="574"/>
        <v>-23.642654839860178</v>
      </c>
      <c r="BN310" s="90">
        <f t="shared" si="574"/>
        <v>30.470655532115522</v>
      </c>
      <c r="BO310" s="90">
        <f t="shared" si="574"/>
        <v>0</v>
      </c>
      <c r="BP310" s="90">
        <f t="shared" si="574"/>
        <v>0</v>
      </c>
      <c r="BQ310" s="90">
        <f t="shared" si="574"/>
        <v>0</v>
      </c>
      <c r="BR310" s="90">
        <f t="shared" si="574"/>
        <v>0</v>
      </c>
      <c r="BS310" s="90">
        <f t="shared" si="574"/>
        <v>0</v>
      </c>
      <c r="BT310" s="90">
        <f t="shared" si="574"/>
        <v>0</v>
      </c>
      <c r="BU310" s="90">
        <f t="shared" si="574"/>
        <v>0</v>
      </c>
      <c r="BV310" s="90">
        <f t="shared" si="574"/>
        <v>0</v>
      </c>
      <c r="BW310" s="90">
        <f t="shared" si="574"/>
        <v>0</v>
      </c>
      <c r="BX310" s="90">
        <f t="shared" si="574"/>
        <v>0</v>
      </c>
      <c r="BY310" s="90">
        <f t="shared" si="574"/>
        <v>0</v>
      </c>
      <c r="BZ310" s="90">
        <f t="shared" si="574"/>
        <v>0</v>
      </c>
      <c r="CA310" s="90">
        <f t="shared" si="574"/>
        <v>0</v>
      </c>
      <c r="CB310" s="90">
        <f t="shared" si="574"/>
        <v>0</v>
      </c>
      <c r="CC310" s="90">
        <f t="shared" si="574"/>
        <v>0</v>
      </c>
      <c r="CD310" s="90">
        <f t="shared" si="574"/>
        <v>0</v>
      </c>
      <c r="CE310" s="90">
        <f t="shared" si="574"/>
        <v>0</v>
      </c>
      <c r="CF310" s="90">
        <f t="shared" ref="CF310:CL310" si="575">CF217-CE217</f>
        <v>0</v>
      </c>
      <c r="CG310" s="90">
        <f t="shared" si="575"/>
        <v>0</v>
      </c>
      <c r="CH310" s="90">
        <f t="shared" si="575"/>
        <v>0</v>
      </c>
      <c r="CI310" s="90">
        <f t="shared" si="575"/>
        <v>0</v>
      </c>
      <c r="CJ310" s="90">
        <f t="shared" si="575"/>
        <v>0</v>
      </c>
      <c r="CK310" s="90">
        <f t="shared" si="575"/>
        <v>0</v>
      </c>
      <c r="CL310" s="90">
        <f t="shared" si="575"/>
        <v>0</v>
      </c>
      <c r="CM310" s="90">
        <f t="shared" ref="CM310" si="576">CM217-CL217</f>
        <v>0</v>
      </c>
      <c r="CN310" s="90">
        <f t="shared" ref="CN310" si="577">CN217-CM217</f>
        <v>0</v>
      </c>
      <c r="CO310" s="90">
        <f t="shared" ref="CO310" si="578">CO217-CN217</f>
        <v>0</v>
      </c>
      <c r="CP310" s="90">
        <f t="shared" ref="CP310" si="579">CP217-CO217</f>
        <v>0</v>
      </c>
      <c r="CQ310" s="90">
        <f t="shared" ref="CQ310" si="580">CQ217-CP217</f>
        <v>0</v>
      </c>
    </row>
    <row r="311" spans="1:95">
      <c r="A311" s="275"/>
      <c r="B311" s="211"/>
      <c r="C311" s="216"/>
      <c r="D311" s="216"/>
      <c r="E311" s="216"/>
      <c r="F311" s="216"/>
      <c r="G311" s="216"/>
      <c r="H311" s="216"/>
      <c r="I311" s="216"/>
      <c r="J311" s="232"/>
      <c r="K311" s="232"/>
      <c r="L311" s="232"/>
      <c r="M311" s="232"/>
      <c r="N311" s="232"/>
      <c r="O311" s="461"/>
      <c r="P311" s="459"/>
      <c r="Q311" s="459"/>
      <c r="R311" s="459"/>
      <c r="S311" s="293"/>
      <c r="T311" s="293"/>
      <c r="U311" s="293"/>
      <c r="V311" s="293"/>
      <c r="W311" s="293"/>
      <c r="X311" s="293"/>
      <c r="Y311" s="293"/>
      <c r="Z311" s="293"/>
      <c r="AA311" s="293"/>
      <c r="AB311" s="293"/>
      <c r="AC311" s="293"/>
      <c r="AD311" s="293"/>
      <c r="AE311" s="293"/>
      <c r="AF311" s="293"/>
      <c r="AG311" s="293"/>
      <c r="AH311" s="293"/>
      <c r="AI311" s="293"/>
      <c r="AJ311" s="293"/>
      <c r="AK311" s="293"/>
      <c r="AL311" s="293"/>
      <c r="AM311" s="293"/>
      <c r="AN311" s="293"/>
      <c r="AO311" s="293"/>
      <c r="AP311" s="293"/>
      <c r="AQ311" s="293"/>
      <c r="AR311" s="293"/>
      <c r="AS311" s="293"/>
      <c r="AT311" s="293"/>
      <c r="AU311" s="293"/>
      <c r="AV311" s="293"/>
      <c r="AW311" s="293"/>
      <c r="AX311" s="293"/>
      <c r="AY311" s="293"/>
      <c r="AZ311" s="293"/>
      <c r="BA311" s="293"/>
      <c r="BB311" s="293"/>
      <c r="BC311" s="293"/>
    </row>
    <row r="312" spans="1:95">
      <c r="A312" s="275" t="s">
        <v>252</v>
      </c>
      <c r="B312" s="211"/>
      <c r="C312" s="216">
        <v>-1983.4734230568993</v>
      </c>
      <c r="D312" s="216">
        <v>2732.6458253872988</v>
      </c>
      <c r="E312" s="216">
        <v>-3376.9261650439003</v>
      </c>
      <c r="F312" s="216">
        <v>-711.78576707540014</v>
      </c>
      <c r="G312" s="216">
        <v>-1458.3739207915187</v>
      </c>
      <c r="H312" s="216">
        <v>5751.9194266212198</v>
      </c>
      <c r="I312" s="216">
        <v>5386.2536411281999</v>
      </c>
      <c r="J312" s="216">
        <v>1851.2769790766979</v>
      </c>
      <c r="K312" s="216">
        <v>2265.904835464502</v>
      </c>
      <c r="L312" s="216">
        <v>3162.8166242492989</v>
      </c>
      <c r="M312" s="216">
        <v>1281.2284414786009</v>
      </c>
      <c r="N312" s="216">
        <v>-169.25298185069914</v>
      </c>
      <c r="O312" s="453">
        <v>-2103.6853733032985</v>
      </c>
      <c r="P312" s="454">
        <v>-176.90557054280998</v>
      </c>
      <c r="Q312" s="454">
        <v>198.41506129597201</v>
      </c>
      <c r="R312" s="454">
        <v>-28.005515236578958</v>
      </c>
      <c r="S312" s="272">
        <v>10</v>
      </c>
      <c r="T312" s="272" t="e">
        <f t="shared" ref="T312:AY312" si="581">T287-S287</f>
        <v>#REF!</v>
      </c>
      <c r="U312" s="272" t="e">
        <f t="shared" si="581"/>
        <v>#REF!</v>
      </c>
      <c r="V312" s="272" t="e">
        <f t="shared" si="581"/>
        <v>#REF!</v>
      </c>
      <c r="W312" s="272" t="e">
        <f t="shared" si="581"/>
        <v>#REF!</v>
      </c>
      <c r="X312" s="272" t="e">
        <f t="shared" si="581"/>
        <v>#REF!</v>
      </c>
      <c r="Y312" s="272" t="e">
        <f t="shared" si="581"/>
        <v>#REF!</v>
      </c>
      <c r="Z312" s="272" t="e">
        <f t="shared" si="581"/>
        <v>#REF!</v>
      </c>
      <c r="AA312" s="272" t="e">
        <f t="shared" si="581"/>
        <v>#REF!</v>
      </c>
      <c r="AB312" s="272" t="e">
        <f t="shared" si="581"/>
        <v>#REF!</v>
      </c>
      <c r="AC312" s="272" t="e">
        <f t="shared" si="581"/>
        <v>#REF!</v>
      </c>
      <c r="AD312" s="272" t="e">
        <f t="shared" si="581"/>
        <v>#REF!</v>
      </c>
      <c r="AE312" s="272" t="e">
        <f t="shared" si="581"/>
        <v>#REF!</v>
      </c>
      <c r="AF312" s="272" t="e">
        <f t="shared" si="581"/>
        <v>#REF!</v>
      </c>
      <c r="AG312" s="272" t="e">
        <f t="shared" si="581"/>
        <v>#REF!</v>
      </c>
      <c r="AH312" s="272" t="e">
        <f t="shared" si="581"/>
        <v>#REF!</v>
      </c>
      <c r="AI312" s="272" t="e">
        <f t="shared" si="581"/>
        <v>#REF!</v>
      </c>
      <c r="AJ312" s="272" t="e">
        <f t="shared" si="581"/>
        <v>#REF!</v>
      </c>
      <c r="AK312" s="272" t="e">
        <f t="shared" si="581"/>
        <v>#REF!</v>
      </c>
      <c r="AL312" s="272" t="e">
        <f t="shared" si="581"/>
        <v>#REF!</v>
      </c>
      <c r="AM312" s="272" t="e">
        <f t="shared" si="581"/>
        <v>#REF!</v>
      </c>
      <c r="AN312" s="272" t="e">
        <f t="shared" si="581"/>
        <v>#REF!</v>
      </c>
      <c r="AO312" s="272" t="e">
        <f t="shared" si="581"/>
        <v>#REF!</v>
      </c>
      <c r="AP312" s="272" t="e">
        <f t="shared" si="581"/>
        <v>#REF!</v>
      </c>
      <c r="AQ312" s="272" t="e">
        <f t="shared" si="581"/>
        <v>#REF!</v>
      </c>
      <c r="AR312" s="272" t="e">
        <f t="shared" si="581"/>
        <v>#REF!</v>
      </c>
      <c r="AS312" s="272" t="e">
        <f t="shared" si="581"/>
        <v>#REF!</v>
      </c>
      <c r="AT312" s="272" t="e">
        <f t="shared" si="581"/>
        <v>#REF!</v>
      </c>
      <c r="AU312" s="272" t="e">
        <f t="shared" si="581"/>
        <v>#REF!</v>
      </c>
      <c r="AV312" s="272" t="e">
        <f t="shared" si="581"/>
        <v>#REF!</v>
      </c>
      <c r="AW312" s="272" t="e">
        <f t="shared" si="581"/>
        <v>#REF!</v>
      </c>
      <c r="AX312" s="272" t="e">
        <f t="shared" si="581"/>
        <v>#REF!</v>
      </c>
      <c r="AY312" s="272" t="e">
        <f t="shared" si="581"/>
        <v>#REF!</v>
      </c>
      <c r="AZ312" s="272" t="e">
        <f t="shared" ref="AZ312:CE312" si="582">AZ287-AY287</f>
        <v>#REF!</v>
      </c>
      <c r="BA312" s="272" t="e">
        <f t="shared" si="582"/>
        <v>#REF!</v>
      </c>
      <c r="BB312" s="272" t="e">
        <f t="shared" si="582"/>
        <v>#REF!</v>
      </c>
      <c r="BC312" s="272" t="e">
        <f t="shared" si="582"/>
        <v>#REF!</v>
      </c>
      <c r="BD312" s="272" t="e">
        <f t="shared" si="582"/>
        <v>#REF!</v>
      </c>
      <c r="BE312" s="272" t="e">
        <f t="shared" si="582"/>
        <v>#REF!</v>
      </c>
      <c r="BF312" s="272" t="e">
        <f t="shared" si="582"/>
        <v>#REF!</v>
      </c>
      <c r="BG312" s="272" t="e">
        <f t="shared" si="582"/>
        <v>#REF!</v>
      </c>
      <c r="BH312" s="272" t="e">
        <f t="shared" si="582"/>
        <v>#REF!</v>
      </c>
      <c r="BI312" s="272" t="e">
        <f t="shared" si="582"/>
        <v>#REF!</v>
      </c>
      <c r="BJ312" s="272" t="e">
        <f t="shared" si="582"/>
        <v>#REF!</v>
      </c>
      <c r="BK312" s="272" t="e">
        <f t="shared" si="582"/>
        <v>#REF!</v>
      </c>
      <c r="BL312" s="272" t="e">
        <f t="shared" si="582"/>
        <v>#REF!</v>
      </c>
      <c r="BM312" s="272" t="e">
        <f t="shared" si="582"/>
        <v>#REF!</v>
      </c>
      <c r="BN312" s="272" t="e">
        <f t="shared" si="582"/>
        <v>#REF!</v>
      </c>
      <c r="BO312" s="272" t="e">
        <f t="shared" si="582"/>
        <v>#REF!</v>
      </c>
      <c r="BP312" s="272" t="e">
        <f t="shared" si="582"/>
        <v>#REF!</v>
      </c>
      <c r="BQ312" s="272" t="e">
        <f t="shared" si="582"/>
        <v>#REF!</v>
      </c>
      <c r="BR312" s="272" t="e">
        <f t="shared" si="582"/>
        <v>#REF!</v>
      </c>
      <c r="BS312" s="272" t="e">
        <f t="shared" si="582"/>
        <v>#REF!</v>
      </c>
      <c r="BT312" s="272" t="e">
        <f t="shared" si="582"/>
        <v>#REF!</v>
      </c>
      <c r="BU312" s="272" t="e">
        <f t="shared" si="582"/>
        <v>#REF!</v>
      </c>
      <c r="BV312" s="272" t="e">
        <f t="shared" si="582"/>
        <v>#REF!</v>
      </c>
      <c r="BW312" s="272" t="e">
        <f t="shared" si="582"/>
        <v>#REF!</v>
      </c>
      <c r="BX312" s="272" t="e">
        <f t="shared" si="582"/>
        <v>#REF!</v>
      </c>
      <c r="BY312" s="272" t="e">
        <f t="shared" si="582"/>
        <v>#REF!</v>
      </c>
      <c r="BZ312" s="272" t="e">
        <f t="shared" si="582"/>
        <v>#REF!</v>
      </c>
      <c r="CA312" s="272" t="e">
        <f t="shared" si="582"/>
        <v>#REF!</v>
      </c>
      <c r="CB312" s="272" t="e">
        <f t="shared" si="582"/>
        <v>#REF!</v>
      </c>
      <c r="CC312" s="272" t="e">
        <f t="shared" si="582"/>
        <v>#REF!</v>
      </c>
      <c r="CD312" s="272" t="e">
        <f t="shared" si="582"/>
        <v>#REF!</v>
      </c>
      <c r="CE312" s="272" t="e">
        <f t="shared" si="582"/>
        <v>#REF!</v>
      </c>
      <c r="CF312" s="272" t="e">
        <f t="shared" ref="CF312:CL312" si="583">CF287-CE287</f>
        <v>#REF!</v>
      </c>
      <c r="CG312" s="272" t="e">
        <f t="shared" si="583"/>
        <v>#REF!</v>
      </c>
      <c r="CH312" s="272" t="e">
        <f t="shared" si="583"/>
        <v>#REF!</v>
      </c>
      <c r="CI312" s="272" t="e">
        <f t="shared" si="583"/>
        <v>#REF!</v>
      </c>
      <c r="CJ312" s="272" t="e">
        <f t="shared" si="583"/>
        <v>#REF!</v>
      </c>
      <c r="CK312" s="272" t="e">
        <f t="shared" si="583"/>
        <v>#REF!</v>
      </c>
      <c r="CL312" s="272" t="e">
        <f t="shared" si="583"/>
        <v>#REF!</v>
      </c>
      <c r="CM312" s="272" t="e">
        <f t="shared" ref="CM312" si="584">CM287-CL287</f>
        <v>#REF!</v>
      </c>
      <c r="CN312" s="272" t="e">
        <f t="shared" ref="CN312" si="585">CN287-CM287</f>
        <v>#REF!</v>
      </c>
      <c r="CO312" s="272" t="e">
        <f t="shared" ref="CO312" si="586">CO287-CN287</f>
        <v>#REF!</v>
      </c>
      <c r="CP312" s="272" t="e">
        <f t="shared" ref="CP312" si="587">CP287-CO287</f>
        <v>#REF!</v>
      </c>
      <c r="CQ312" s="272" t="e">
        <f t="shared" ref="CQ312" si="588">CQ287-CP287</f>
        <v>#REF!</v>
      </c>
    </row>
    <row r="313" spans="1:95">
      <c r="A313" s="275"/>
      <c r="B313" s="211"/>
      <c r="C313" s="216"/>
      <c r="D313" s="216"/>
      <c r="E313" s="216"/>
      <c r="F313" s="216"/>
      <c r="G313" s="216"/>
      <c r="H313" s="216"/>
      <c r="I313" s="216"/>
      <c r="J313" s="232"/>
      <c r="K313" s="232"/>
      <c r="L313" s="232"/>
      <c r="M313" s="232"/>
      <c r="N313" s="232"/>
      <c r="O313" s="461"/>
      <c r="P313" s="459"/>
      <c r="Q313" s="459"/>
      <c r="R313" s="459"/>
      <c r="S313" s="293"/>
      <c r="T313" s="293"/>
      <c r="U313" s="293"/>
      <c r="V313" s="293"/>
      <c r="W313" s="293"/>
      <c r="X313" s="293"/>
      <c r="Y313" s="293"/>
      <c r="Z313" s="293"/>
      <c r="AA313" s="293"/>
      <c r="AB313" s="293"/>
      <c r="AC313" s="293"/>
      <c r="AD313" s="293"/>
      <c r="AE313" s="293"/>
      <c r="AF313" s="293"/>
      <c r="AG313" s="293"/>
      <c r="AH313" s="293"/>
      <c r="AI313" s="293"/>
      <c r="AJ313" s="293"/>
      <c r="AK313" s="293"/>
      <c r="AL313" s="293"/>
      <c r="AM313" s="293"/>
      <c r="AN313" s="293"/>
      <c r="AO313" s="293"/>
      <c r="AP313" s="293"/>
      <c r="AQ313" s="293"/>
      <c r="AR313" s="293"/>
      <c r="AS313" s="293"/>
      <c r="AT313" s="293"/>
      <c r="AU313" s="293"/>
      <c r="AV313" s="293"/>
      <c r="AW313" s="293"/>
      <c r="AX313" s="293"/>
      <c r="AY313" s="293"/>
      <c r="AZ313" s="293"/>
      <c r="BA313" s="293"/>
      <c r="BB313" s="293"/>
      <c r="BC313" s="293"/>
    </row>
    <row r="314" spans="1:95">
      <c r="A314" s="275" t="s">
        <v>0</v>
      </c>
      <c r="B314" s="273"/>
      <c r="C314" s="216">
        <v>-21696.009712153987</v>
      </c>
      <c r="D314" s="216">
        <v>-8336.7004705069703</v>
      </c>
      <c r="E314" s="216">
        <v>36953.27243853698</v>
      </c>
      <c r="F314" s="216">
        <v>17589.012018949958</v>
      </c>
      <c r="G314" s="216">
        <v>-29200.261477052933</v>
      </c>
      <c r="H314" s="216">
        <v>-25537.017354301002</v>
      </c>
      <c r="I314" s="216">
        <v>7028.5096761659952</v>
      </c>
      <c r="J314" s="216">
        <v>-45092.625576799037</v>
      </c>
      <c r="K314" s="216">
        <v>-56129.868378920015</v>
      </c>
      <c r="L314" s="216">
        <v>-15960.310336483992</v>
      </c>
      <c r="M314" s="216">
        <v>-29082.919799512951</v>
      </c>
      <c r="N314" s="216">
        <v>-16630.837095173018</v>
      </c>
      <c r="O314" s="453">
        <v>-43702.485214749002</v>
      </c>
      <c r="P314" s="454">
        <v>-29409.035705260001</v>
      </c>
      <c r="Q314" s="454">
        <v>-34835.851476242999</v>
      </c>
      <c r="R314" s="454">
        <v>-17667.523512148997</v>
      </c>
      <c r="S314" s="272">
        <v>7007</v>
      </c>
      <c r="T314" s="272">
        <f t="shared" ref="T314:AY314" si="589">T288-S288</f>
        <v>16514.8125</v>
      </c>
      <c r="U314" s="272">
        <f t="shared" si="589"/>
        <v>16762.34375</v>
      </c>
      <c r="V314" s="272">
        <f t="shared" si="589"/>
        <v>2980968633.4447851</v>
      </c>
      <c r="W314" s="272">
        <f t="shared" si="589"/>
        <v>15461994258641.967</v>
      </c>
      <c r="X314" s="272">
        <f t="shared" si="589"/>
        <v>7.62063756885532E+16</v>
      </c>
      <c r="Y314" s="272">
        <f t="shared" si="589"/>
        <v>4.559232265888727E+20</v>
      </c>
      <c r="Z314" s="272">
        <f t="shared" si="589"/>
        <v>2.8529260641411107E+24</v>
      </c>
      <c r="AA314" s="272">
        <f t="shared" si="589"/>
        <v>1.7043793208412405E+28</v>
      </c>
      <c r="AB314" s="272">
        <f t="shared" si="589"/>
        <v>1.0998223900183517E+32</v>
      </c>
      <c r="AC314" s="272">
        <f t="shared" si="589"/>
        <v>7.0348009868404965E+35</v>
      </c>
      <c r="AD314" s="272">
        <f t="shared" si="589"/>
        <v>1.4743418317751539E+34</v>
      </c>
      <c r="AE314" s="272">
        <f t="shared" si="589"/>
        <v>-2.8949733503585986E+34</v>
      </c>
      <c r="AF314" s="272">
        <f t="shared" si="589"/>
        <v>-3.0631812854019664E+34</v>
      </c>
      <c r="AG314" s="272">
        <f t="shared" si="589"/>
        <v>-6.5275304740807834E+34</v>
      </c>
      <c r="AH314" s="272">
        <f t="shared" si="589"/>
        <v>-5.5534266484043114E+34</v>
      </c>
      <c r="AI314" s="272">
        <f t="shared" si="589"/>
        <v>-3.4641936397132385E+34</v>
      </c>
      <c r="AJ314" s="272">
        <f t="shared" si="589"/>
        <v>-1.462325823084223E+34</v>
      </c>
      <c r="AK314" s="272">
        <f t="shared" si="589"/>
        <v>-6.3692563502227865E+33</v>
      </c>
      <c r="AL314" s="272">
        <f t="shared" si="589"/>
        <v>-9.0679254171911048E+33</v>
      </c>
      <c r="AM314" s="272">
        <f t="shared" si="589"/>
        <v>6.0328885275634791E+32</v>
      </c>
      <c r="AN314" s="272">
        <f t="shared" si="589"/>
        <v>-2.9945711557377349E+33</v>
      </c>
      <c r="AO314" s="272">
        <f t="shared" si="589"/>
        <v>-7.8645683858890823E+33</v>
      </c>
      <c r="AP314" s="272">
        <f t="shared" si="589"/>
        <v>-9.9612416794549024E+33</v>
      </c>
      <c r="AQ314" s="272">
        <f t="shared" si="589"/>
        <v>-1.7061569713024604E+34</v>
      </c>
      <c r="AR314" s="272">
        <f t="shared" si="589"/>
        <v>-1.4838736661406253E+34</v>
      </c>
      <c r="AS314" s="272">
        <f t="shared" si="589"/>
        <v>-1.3499067663879189E+34</v>
      </c>
      <c r="AT314" s="272">
        <f t="shared" si="589"/>
        <v>-1.0945392989706096E+34</v>
      </c>
      <c r="AU314" s="272">
        <f t="shared" si="589"/>
        <v>-1.2661189826423901E+34</v>
      </c>
      <c r="AV314" s="272">
        <f t="shared" si="589"/>
        <v>-1.1757228008844363E+34</v>
      </c>
      <c r="AW314" s="272">
        <f t="shared" si="589"/>
        <v>-9.1860504197367092E+33</v>
      </c>
      <c r="AX314" s="272">
        <f t="shared" si="589"/>
        <v>-1.238165712729394E+34</v>
      </c>
      <c r="AY314" s="272">
        <f t="shared" si="589"/>
        <v>-1.0684284960564949E+34</v>
      </c>
      <c r="AZ314" s="272">
        <f t="shared" ref="AZ314:CE314" si="590">AZ288-AY288</f>
        <v>-1.2122064270421775E+34</v>
      </c>
      <c r="BA314" s="272">
        <f t="shared" si="590"/>
        <v>-8.7494165833364513E+33</v>
      </c>
      <c r="BB314" s="272">
        <f t="shared" si="590"/>
        <v>-1.2039271918937643E+34</v>
      </c>
      <c r="BC314" s="272">
        <f t="shared" si="590"/>
        <v>-1.1313530115997066E+34</v>
      </c>
      <c r="BD314" s="272">
        <f t="shared" si="590"/>
        <v>-9.0718655661122666E+33</v>
      </c>
      <c r="BE314" s="272">
        <f t="shared" si="590"/>
        <v>-1.0377434184877753E+34</v>
      </c>
      <c r="BF314" s="272">
        <f t="shared" si="590"/>
        <v>-9.3764038946227036E+33</v>
      </c>
      <c r="BG314" s="272">
        <f t="shared" si="590"/>
        <v>-1.0205922824706294E+34</v>
      </c>
      <c r="BH314" s="272">
        <f t="shared" si="590"/>
        <v>-1.0846893894117697E+34</v>
      </c>
      <c r="BI314" s="272">
        <f t="shared" si="590"/>
        <v>-9.8535578601657828E+33</v>
      </c>
      <c r="BJ314" s="272">
        <f t="shared" si="590"/>
        <v>-1.0075275664863738E+34</v>
      </c>
      <c r="BK314" s="272">
        <f t="shared" si="590"/>
        <v>-1.2112951220693615E+34</v>
      </c>
      <c r="BL314" s="272">
        <f t="shared" si="590"/>
        <v>-1.1097176189022052E+34</v>
      </c>
      <c r="BM314" s="272">
        <f t="shared" si="590"/>
        <v>-1.1306780938123953E+34</v>
      </c>
      <c r="BN314" s="272">
        <f t="shared" si="590"/>
        <v>0</v>
      </c>
      <c r="BO314" s="272">
        <f t="shared" si="590"/>
        <v>0</v>
      </c>
      <c r="BP314" s="272">
        <f t="shared" si="590"/>
        <v>0</v>
      </c>
      <c r="BQ314" s="272">
        <f t="shared" si="590"/>
        <v>0</v>
      </c>
      <c r="BR314" s="272">
        <f t="shared" si="590"/>
        <v>0</v>
      </c>
      <c r="BS314" s="272">
        <f t="shared" si="590"/>
        <v>0</v>
      </c>
      <c r="BT314" s="272">
        <f t="shared" si="590"/>
        <v>0</v>
      </c>
      <c r="BU314" s="272">
        <f t="shared" si="590"/>
        <v>0</v>
      </c>
      <c r="BV314" s="272">
        <f t="shared" si="590"/>
        <v>0</v>
      </c>
      <c r="BW314" s="272">
        <f t="shared" si="590"/>
        <v>0</v>
      </c>
      <c r="BX314" s="272">
        <f t="shared" si="590"/>
        <v>0</v>
      </c>
      <c r="BY314" s="272">
        <f t="shared" si="590"/>
        <v>0</v>
      </c>
      <c r="BZ314" s="272">
        <f t="shared" si="590"/>
        <v>0</v>
      </c>
      <c r="CA314" s="272">
        <f t="shared" si="590"/>
        <v>0</v>
      </c>
      <c r="CB314" s="272">
        <f t="shared" si="590"/>
        <v>0</v>
      </c>
      <c r="CC314" s="272">
        <f t="shared" si="590"/>
        <v>0</v>
      </c>
      <c r="CD314" s="272">
        <f t="shared" si="590"/>
        <v>0</v>
      </c>
      <c r="CE314" s="272">
        <f t="shared" si="590"/>
        <v>0</v>
      </c>
      <c r="CF314" s="272">
        <f t="shared" ref="CF314:CL314" si="591">CF288-CE288</f>
        <v>0</v>
      </c>
      <c r="CG314" s="272">
        <f t="shared" si="591"/>
        <v>0</v>
      </c>
      <c r="CH314" s="272">
        <f t="shared" si="591"/>
        <v>0</v>
      </c>
      <c r="CI314" s="272">
        <f t="shared" si="591"/>
        <v>0</v>
      </c>
      <c r="CJ314" s="272">
        <f t="shared" si="591"/>
        <v>0</v>
      </c>
      <c r="CK314" s="272">
        <f t="shared" si="591"/>
        <v>0</v>
      </c>
      <c r="CL314" s="272">
        <f t="shared" si="591"/>
        <v>0</v>
      </c>
      <c r="CM314" s="272">
        <f t="shared" ref="CM314" si="592">CM288-CL288</f>
        <v>0</v>
      </c>
      <c r="CN314" s="272">
        <f t="shared" ref="CN314" si="593">CN288-CM288</f>
        <v>0</v>
      </c>
      <c r="CO314" s="272">
        <f t="shared" ref="CO314" si="594">CO288-CN288</f>
        <v>0</v>
      </c>
      <c r="CP314" s="272">
        <f t="shared" ref="CP314" si="595">CP288-CO288</f>
        <v>0</v>
      </c>
      <c r="CQ314" s="272">
        <f t="shared" ref="CQ314" si="596">CQ288-CP288</f>
        <v>0</v>
      </c>
    </row>
    <row r="315" spans="1:95">
      <c r="A315" s="275"/>
      <c r="B315" s="211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461"/>
      <c r="P315" s="459"/>
      <c r="Q315" s="459"/>
      <c r="R315" s="459"/>
      <c r="S315" s="272"/>
      <c r="T315" s="272"/>
      <c r="U315" s="272"/>
      <c r="V315" s="272"/>
      <c r="W315" s="272"/>
      <c r="X315" s="272"/>
      <c r="Y315" s="272"/>
      <c r="Z315" s="272"/>
      <c r="AA315" s="272"/>
      <c r="AB315" s="272"/>
      <c r="AC315" s="272"/>
      <c r="AD315" s="272"/>
      <c r="AE315" s="272"/>
      <c r="AF315" s="272"/>
      <c r="AG315" s="272"/>
      <c r="AH315" s="272"/>
      <c r="AI315" s="272"/>
      <c r="AJ315" s="272"/>
      <c r="AK315" s="272"/>
      <c r="AL315" s="272"/>
      <c r="AM315" s="272"/>
      <c r="AN315" s="272"/>
      <c r="AO315" s="272"/>
      <c r="AP315" s="272"/>
      <c r="AQ315" s="272"/>
      <c r="AR315" s="272"/>
      <c r="AS315" s="272"/>
      <c r="AT315" s="272"/>
      <c r="AU315" s="272"/>
      <c r="AV315" s="272"/>
      <c r="AW315" s="272"/>
      <c r="AX315" s="272"/>
      <c r="AY315" s="272"/>
      <c r="AZ315" s="272"/>
      <c r="BA315" s="272"/>
      <c r="BB315" s="272"/>
      <c r="BC315" s="272"/>
    </row>
    <row r="316" spans="1:95">
      <c r="A316" s="275" t="s">
        <v>253</v>
      </c>
      <c r="B316" s="273"/>
      <c r="C316" s="216">
        <v>3180.3796111036936</v>
      </c>
      <c r="D316" s="216">
        <v>7005.5475187789125</v>
      </c>
      <c r="E316" s="216">
        <v>1432.2986631507956</v>
      </c>
      <c r="F316" s="216">
        <v>744.5390700584976</v>
      </c>
      <c r="G316" s="216">
        <v>21398.759062223398</v>
      </c>
      <c r="H316" s="216">
        <v>10050.738631028697</v>
      </c>
      <c r="I316" s="216">
        <v>8291.1190140010003</v>
      </c>
      <c r="J316" s="216">
        <v>9880.2769883590081</v>
      </c>
      <c r="K316" s="216">
        <v>3969.2287937839865</v>
      </c>
      <c r="L316" s="216">
        <v>1402.1427991350065</v>
      </c>
      <c r="M316" s="216">
        <v>17409.55902082799</v>
      </c>
      <c r="N316" s="216">
        <v>5297.8843349940144</v>
      </c>
      <c r="O316" s="453">
        <v>4257.9912607389851</v>
      </c>
      <c r="P316" s="454">
        <v>-6467.2999024270102</v>
      </c>
      <c r="Q316" s="454">
        <v>30198.118990787014</v>
      </c>
      <c r="R316" s="454">
        <v>-12036.675255178008</v>
      </c>
      <c r="S316" s="272">
        <v>3760</v>
      </c>
      <c r="T316" s="272">
        <f t="shared" ref="T316:BB316" si="597">T289-S289</f>
        <v>85169.625000000466</v>
      </c>
      <c r="U316" s="272">
        <f t="shared" si="597"/>
        <v>11958.781249999767</v>
      </c>
      <c r="V316" s="272">
        <f t="shared" si="597"/>
        <v>19346679071.199364</v>
      </c>
      <c r="W316" s="272">
        <f t="shared" si="597"/>
        <v>277105543408641.63</v>
      </c>
      <c r="X316" s="272">
        <f t="shared" si="597"/>
        <v>3.7705169326140401E+18</v>
      </c>
      <c r="Y316" s="272">
        <f t="shared" si="597"/>
        <v>5.1519085386329489E+22</v>
      </c>
      <c r="Z316" s="272">
        <f t="shared" si="597"/>
        <v>6.8956875268908105E+26</v>
      </c>
      <c r="AA316" s="272">
        <f t="shared" si="597"/>
        <v>9.7156118089780833E+30</v>
      </c>
      <c r="AB316" s="272">
        <f t="shared" si="597"/>
        <v>1.308566760650118E+35</v>
      </c>
      <c r="AC316" s="272">
        <f t="shared" si="597"/>
        <v>1.8978814716660505E+39</v>
      </c>
      <c r="AD316" s="272">
        <f t="shared" si="597"/>
        <v>-8.7252345444993684E+37</v>
      </c>
      <c r="AE316" s="272">
        <f t="shared" si="597"/>
        <v>1.5432857974314988E+37</v>
      </c>
      <c r="AF316" s="272">
        <f t="shared" si="597"/>
        <v>-1.0787790132301908E+37</v>
      </c>
      <c r="AG316" s="272">
        <f t="shared" si="597"/>
        <v>-6.1075299663969782E+37</v>
      </c>
      <c r="AH316" s="272">
        <f t="shared" si="597"/>
        <v>-6.8934182835393861E+37</v>
      </c>
      <c r="AI316" s="272">
        <f t="shared" si="597"/>
        <v>-9.1637158562607383E+37</v>
      </c>
      <c r="AJ316" s="272">
        <f t="shared" si="597"/>
        <v>-7.2956204798781236E+37</v>
      </c>
      <c r="AK316" s="272">
        <f t="shared" si="597"/>
        <v>-1.0613987878412183E+38</v>
      </c>
      <c r="AL316" s="272">
        <f t="shared" si="597"/>
        <v>-5.8789074014316374E+37</v>
      </c>
      <c r="AM316" s="272">
        <f t="shared" si="597"/>
        <v>-3.8090029647000672E+37</v>
      </c>
      <c r="AN316" s="272">
        <f t="shared" si="597"/>
        <v>-3.8715824112900724E+37</v>
      </c>
      <c r="AO316" s="272">
        <f t="shared" si="597"/>
        <v>-3.493808288106177E+37</v>
      </c>
      <c r="AP316" s="272">
        <f t="shared" si="597"/>
        <v>-5.6768512871497212E+37</v>
      </c>
      <c r="AQ316" s="272">
        <f t="shared" si="597"/>
        <v>-7.6556769591362367E+37</v>
      </c>
      <c r="AR316" s="272">
        <f t="shared" si="597"/>
        <v>-8.2324306326288454E+37</v>
      </c>
      <c r="AS316" s="272">
        <f t="shared" si="597"/>
        <v>-6.2373979624289523E+37</v>
      </c>
      <c r="AT316" s="272">
        <f t="shared" si="597"/>
        <v>-5.1164291204604214E+37</v>
      </c>
      <c r="AU316" s="272">
        <f t="shared" si="597"/>
        <v>-5.2412380094344049E+37</v>
      </c>
      <c r="AV316" s="272">
        <f t="shared" si="597"/>
        <v>-4.217006177740831E+37</v>
      </c>
      <c r="AW316" s="272">
        <f t="shared" si="597"/>
        <v>-4.6504593873530213E+37</v>
      </c>
      <c r="AX316" s="272">
        <f t="shared" si="597"/>
        <v>-3.8481505145152976E+37</v>
      </c>
      <c r="AY316" s="272">
        <f t="shared" si="597"/>
        <v>-2.9345776760218418E+37</v>
      </c>
      <c r="AZ316" s="272">
        <f t="shared" si="597"/>
        <v>-2.804229064945329E+37</v>
      </c>
      <c r="BA316" s="272">
        <f t="shared" si="597"/>
        <v>-2.5092529248221729E+37</v>
      </c>
      <c r="BB316" s="272">
        <f t="shared" si="597"/>
        <v>-1.4702526704968238E+37</v>
      </c>
      <c r="BC316" s="272">
        <f>BC289-BB289</f>
        <v>-2.0042718429403538E+37</v>
      </c>
      <c r="BD316" s="272">
        <f t="shared" ref="BD316:BM316" si="598">BD289-BC289</f>
        <v>-2.1989763970829281E+37</v>
      </c>
      <c r="BE316" s="272">
        <f t="shared" si="598"/>
        <v>-2.5154921801322176E+37</v>
      </c>
      <c r="BF316" s="272">
        <f t="shared" si="598"/>
        <v>-2.1539609984636659E+37</v>
      </c>
      <c r="BG316" s="272">
        <f t="shared" si="598"/>
        <v>-1.5901577383432646E+37</v>
      </c>
      <c r="BH316" s="272">
        <f t="shared" si="598"/>
        <v>-8.2117005185051742E+36</v>
      </c>
      <c r="BI316" s="272">
        <f t="shared" si="598"/>
        <v>-1.1698293731945744E+37</v>
      </c>
      <c r="BJ316" s="272">
        <f t="shared" si="598"/>
        <v>-8.8090549619768667E+36</v>
      </c>
      <c r="BK316" s="272">
        <f t="shared" si="598"/>
        <v>-6.8396723285059713E+36</v>
      </c>
      <c r="BL316" s="272">
        <f t="shared" si="598"/>
        <v>-7.1651575801533892E+36</v>
      </c>
      <c r="BM316" s="272">
        <f t="shared" si="598"/>
        <v>-6.0230966056732673E+36</v>
      </c>
      <c r="BN316" s="272">
        <f t="shared" ref="BN316:CL316" si="599">BN289-BM289</f>
        <v>0</v>
      </c>
      <c r="BO316" s="272">
        <f t="shared" si="599"/>
        <v>0</v>
      </c>
      <c r="BP316" s="272">
        <f t="shared" si="599"/>
        <v>0</v>
      </c>
      <c r="BQ316" s="272">
        <f t="shared" si="599"/>
        <v>0</v>
      </c>
      <c r="BR316" s="272">
        <f t="shared" si="599"/>
        <v>0</v>
      </c>
      <c r="BS316" s="272">
        <f t="shared" si="599"/>
        <v>0</v>
      </c>
      <c r="BT316" s="272">
        <f t="shared" si="599"/>
        <v>0</v>
      </c>
      <c r="BU316" s="272">
        <f t="shared" si="599"/>
        <v>0</v>
      </c>
      <c r="BV316" s="272">
        <f t="shared" si="599"/>
        <v>0</v>
      </c>
      <c r="BW316" s="272">
        <f t="shared" si="599"/>
        <v>0</v>
      </c>
      <c r="BX316" s="272">
        <f t="shared" si="599"/>
        <v>0</v>
      </c>
      <c r="BY316" s="272">
        <f t="shared" si="599"/>
        <v>0</v>
      </c>
      <c r="BZ316" s="272">
        <f t="shared" si="599"/>
        <v>0</v>
      </c>
      <c r="CA316" s="272">
        <f t="shared" si="599"/>
        <v>0</v>
      </c>
      <c r="CB316" s="272">
        <f t="shared" si="599"/>
        <v>0</v>
      </c>
      <c r="CC316" s="272">
        <f t="shared" si="599"/>
        <v>0</v>
      </c>
      <c r="CD316" s="272">
        <f t="shared" si="599"/>
        <v>0</v>
      </c>
      <c r="CE316" s="272">
        <f t="shared" si="599"/>
        <v>0</v>
      </c>
      <c r="CF316" s="272">
        <f t="shared" si="599"/>
        <v>0</v>
      </c>
      <c r="CG316" s="272">
        <f t="shared" si="599"/>
        <v>0</v>
      </c>
      <c r="CH316" s="272">
        <f t="shared" si="599"/>
        <v>0</v>
      </c>
      <c r="CI316" s="272">
        <f t="shared" si="599"/>
        <v>0</v>
      </c>
      <c r="CJ316" s="272">
        <f t="shared" si="599"/>
        <v>0</v>
      </c>
      <c r="CK316" s="272">
        <f t="shared" si="599"/>
        <v>0</v>
      </c>
      <c r="CL316" s="272">
        <f t="shared" si="599"/>
        <v>0</v>
      </c>
      <c r="CM316" s="272">
        <f t="shared" ref="CM316" si="600">CM289-CL289</f>
        <v>0</v>
      </c>
      <c r="CN316" s="272">
        <f t="shared" ref="CN316" si="601">CN289-CM289</f>
        <v>0</v>
      </c>
      <c r="CO316" s="272">
        <f t="shared" ref="CO316" si="602">CO289-CN289</f>
        <v>0</v>
      </c>
      <c r="CP316" s="272">
        <f t="shared" ref="CP316" si="603">CP289-CO289</f>
        <v>0</v>
      </c>
      <c r="CQ316" s="272">
        <f t="shared" ref="CQ316" si="604">CQ289-CP289</f>
        <v>0</v>
      </c>
    </row>
    <row r="317" spans="1:95">
      <c r="A317" s="275"/>
      <c r="B317" s="211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461"/>
      <c r="P317" s="459"/>
      <c r="Q317" s="459"/>
      <c r="R317" s="459"/>
      <c r="S317" s="272"/>
      <c r="T317" s="272"/>
      <c r="U317" s="272"/>
      <c r="V317" s="272"/>
      <c r="W317" s="272"/>
      <c r="X317" s="272"/>
      <c r="Y317" s="272"/>
      <c r="Z317" s="272"/>
      <c r="AA317" s="272"/>
      <c r="AB317" s="272"/>
      <c r="AC317" s="272"/>
      <c r="AD317" s="272"/>
      <c r="AE317" s="272"/>
      <c r="AF317" s="272"/>
      <c r="AG317" s="272"/>
      <c r="AH317" s="272"/>
      <c r="AI317" s="272"/>
      <c r="AJ317" s="272"/>
      <c r="AK317" s="272"/>
      <c r="AL317" s="272"/>
      <c r="AM317" s="272"/>
      <c r="AN317" s="272"/>
      <c r="AO317" s="272"/>
      <c r="AP317" s="272"/>
      <c r="AQ317" s="272"/>
      <c r="AR317" s="272"/>
      <c r="AS317" s="272"/>
      <c r="AT317" s="272"/>
      <c r="AU317" s="272"/>
      <c r="AV317" s="272"/>
      <c r="AW317" s="272"/>
      <c r="AX317" s="272"/>
      <c r="AY317" s="272"/>
      <c r="AZ317" s="272"/>
      <c r="BA317" s="272"/>
      <c r="BB317" s="272"/>
      <c r="BC317" s="272"/>
    </row>
    <row r="318" spans="1:95">
      <c r="A318" s="275" t="s">
        <v>254</v>
      </c>
      <c r="B318" s="211"/>
      <c r="C318" s="216">
        <v>2961.3690802788005</v>
      </c>
      <c r="D318" s="216">
        <v>-4546.6556978375011</v>
      </c>
      <c r="E318" s="216">
        <v>4968.0836798324999</v>
      </c>
      <c r="F318" s="216">
        <v>4506.7072535818988</v>
      </c>
      <c r="G318" s="216">
        <v>5115.4881979368001</v>
      </c>
      <c r="H318" s="216">
        <v>-1046.4071759887956</v>
      </c>
      <c r="I318" s="216">
        <v>5003.2245895644955</v>
      </c>
      <c r="J318" s="216">
        <v>6845.240654148598</v>
      </c>
      <c r="K318" s="216">
        <v>9044.4885956558064</v>
      </c>
      <c r="L318" s="216">
        <v>15131.605630691702</v>
      </c>
      <c r="M318" s="216">
        <v>9340.3958627558022</v>
      </c>
      <c r="N318" s="216">
        <v>17766.066976965987</v>
      </c>
      <c r="O318" s="453">
        <v>-1259.5966539250076</v>
      </c>
      <c r="P318" s="454">
        <v>-2783.800454332988</v>
      </c>
      <c r="Q318" s="454">
        <v>11985.630595815994</v>
      </c>
      <c r="R318" s="454">
        <v>13937.158203125</v>
      </c>
      <c r="S318" s="272">
        <v>99</v>
      </c>
      <c r="T318" s="272">
        <f t="shared" ref="T318:BB318" si="605">T291-S291</f>
        <v>-16607</v>
      </c>
      <c r="U318" s="272">
        <f t="shared" si="605"/>
        <v>0</v>
      </c>
      <c r="V318" s="272">
        <f t="shared" si="605"/>
        <v>43859771.556226447</v>
      </c>
      <c r="W318" s="272">
        <f t="shared" si="605"/>
        <v>19462927865.176167</v>
      </c>
      <c r="X318" s="272">
        <f t="shared" si="605"/>
        <v>8778543401742.0781</v>
      </c>
      <c r="Y318" s="272">
        <f t="shared" si="605"/>
        <v>2999220908293927</v>
      </c>
      <c r="Z318" s="272">
        <f t="shared" si="605"/>
        <v>9.8420505495579136E+17</v>
      </c>
      <c r="AA318" s="272">
        <f t="shared" si="605"/>
        <v>2.4100830242774552E+20</v>
      </c>
      <c r="AB318" s="272">
        <f t="shared" si="605"/>
        <v>5.9065479676166916E+22</v>
      </c>
      <c r="AC318" s="272">
        <f t="shared" si="605"/>
        <v>1.5299981634627319E+25</v>
      </c>
      <c r="AD318" s="272">
        <f t="shared" si="605"/>
        <v>1.6092354416498769E+23</v>
      </c>
      <c r="AE318" s="272">
        <f t="shared" si="605"/>
        <v>-3.1274192980299655E+23</v>
      </c>
      <c r="AF318" s="272">
        <f t="shared" si="605"/>
        <v>-3.3786144150720601E+23</v>
      </c>
      <c r="AG318" s="272">
        <f t="shared" si="605"/>
        <v>-7.3670996187430419E+23</v>
      </c>
      <c r="AH318" s="272">
        <f t="shared" si="605"/>
        <v>-6.6123930653906325E+23</v>
      </c>
      <c r="AI318" s="272">
        <f t="shared" si="605"/>
        <v>-4.3376799309857716E+23</v>
      </c>
      <c r="AJ318" s="272">
        <f t="shared" si="605"/>
        <v>-1.8940620572554333E+23</v>
      </c>
      <c r="AK318" s="272">
        <f t="shared" si="605"/>
        <v>-8.3731448068341456E+22</v>
      </c>
      <c r="AL318" s="272">
        <f t="shared" si="605"/>
        <v>-1.1999578393597616E+23</v>
      </c>
      <c r="AM318" s="272">
        <f t="shared" si="605"/>
        <v>8.0598021506599548E+21</v>
      </c>
      <c r="AN318" s="272">
        <f t="shared" si="605"/>
        <v>-3.9981323027761544E+22</v>
      </c>
      <c r="AO318" s="272">
        <f t="shared" si="605"/>
        <v>-1.0533586605450201E+23</v>
      </c>
      <c r="AP318" s="272">
        <f t="shared" si="605"/>
        <v>-1.3455129771312358E+23</v>
      </c>
      <c r="AQ318" s="272">
        <f t="shared" si="605"/>
        <v>-2.329925631813839E+23</v>
      </c>
      <c r="AR318" s="272">
        <f t="shared" si="605"/>
        <v>-2.0660274787821523E+23</v>
      </c>
      <c r="AS318" s="272">
        <f t="shared" si="605"/>
        <v>-1.9126158513213769E+23</v>
      </c>
      <c r="AT318" s="272">
        <f t="shared" si="605"/>
        <v>-1.57647688135178E+23</v>
      </c>
      <c r="AU318" s="272">
        <f t="shared" si="605"/>
        <v>-1.84876399652332E+23</v>
      </c>
      <c r="AV318" s="272">
        <f t="shared" si="605"/>
        <v>-1.7450704047868238E+23</v>
      </c>
      <c r="AW318" s="272">
        <f t="shared" si="605"/>
        <v>-1.3849736065425152E+23</v>
      </c>
      <c r="AX318" s="272">
        <f t="shared" si="605"/>
        <v>-1.8903881298417091E+23</v>
      </c>
      <c r="AY318" s="272">
        <f t="shared" si="605"/>
        <v>-1.6600358361569829E+23</v>
      </c>
      <c r="AZ318" s="272">
        <f t="shared" si="605"/>
        <v>-1.9130181567801646E+23</v>
      </c>
      <c r="BA318" s="272">
        <f t="shared" si="605"/>
        <v>-1.4062946567629916E+23</v>
      </c>
      <c r="BB318" s="272">
        <f t="shared" si="605"/>
        <v>-1.9615993701289986E+23</v>
      </c>
      <c r="BC318" s="272">
        <f>BC291-BB291</f>
        <v>-1.8794847041011566E+23</v>
      </c>
      <c r="BD318" s="272">
        <f t="shared" ref="BD318:BM318" si="606">BD291-BC291</f>
        <v>-1.5359058142608739E+23</v>
      </c>
      <c r="BE318" s="272">
        <f t="shared" si="606"/>
        <v>-1.784739998490481E+23</v>
      </c>
      <c r="BF318" s="272">
        <f t="shared" si="606"/>
        <v>-1.6428593835653288E+23</v>
      </c>
      <c r="BG318" s="272">
        <f t="shared" si="606"/>
        <v>-1.8196047835692237E+23</v>
      </c>
      <c r="BH318" s="272">
        <f t="shared" si="606"/>
        <v>-1.9723190008877096E+23</v>
      </c>
      <c r="BI318" s="272">
        <f t="shared" si="606"/>
        <v>-1.8312141184935318E+23</v>
      </c>
      <c r="BJ318" s="272">
        <f t="shared" si="606"/>
        <v>-1.9114992516160285E+23</v>
      </c>
      <c r="BK318" s="272">
        <f t="shared" si="606"/>
        <v>-2.3493215393336456E+23</v>
      </c>
      <c r="BL318" s="272">
        <f t="shared" si="606"/>
        <v>-2.213262883291385E+23</v>
      </c>
      <c r="BM318" s="272">
        <f t="shared" si="606"/>
        <v>-2.3167760167406552E+23</v>
      </c>
      <c r="BN318" s="272">
        <f t="shared" ref="BN318:CL318" si="607">BN291-BM291</f>
        <v>0</v>
      </c>
      <c r="BO318" s="272">
        <f t="shared" si="607"/>
        <v>0</v>
      </c>
      <c r="BP318" s="272">
        <f t="shared" si="607"/>
        <v>0</v>
      </c>
      <c r="BQ318" s="272">
        <f t="shared" si="607"/>
        <v>0</v>
      </c>
      <c r="BR318" s="272">
        <f t="shared" si="607"/>
        <v>0</v>
      </c>
      <c r="BS318" s="272">
        <f t="shared" si="607"/>
        <v>0</v>
      </c>
      <c r="BT318" s="272">
        <f t="shared" si="607"/>
        <v>0</v>
      </c>
      <c r="BU318" s="272">
        <f t="shared" si="607"/>
        <v>0</v>
      </c>
      <c r="BV318" s="272">
        <f t="shared" si="607"/>
        <v>0</v>
      </c>
      <c r="BW318" s="272">
        <f t="shared" si="607"/>
        <v>0</v>
      </c>
      <c r="BX318" s="272">
        <f t="shared" si="607"/>
        <v>0</v>
      </c>
      <c r="BY318" s="272">
        <f t="shared" si="607"/>
        <v>0</v>
      </c>
      <c r="BZ318" s="272">
        <f t="shared" si="607"/>
        <v>0</v>
      </c>
      <c r="CA318" s="272">
        <f t="shared" si="607"/>
        <v>0</v>
      </c>
      <c r="CB318" s="272">
        <f t="shared" si="607"/>
        <v>0</v>
      </c>
      <c r="CC318" s="272">
        <f t="shared" si="607"/>
        <v>0</v>
      </c>
      <c r="CD318" s="272">
        <f t="shared" si="607"/>
        <v>0</v>
      </c>
      <c r="CE318" s="272">
        <f t="shared" si="607"/>
        <v>0</v>
      </c>
      <c r="CF318" s="272">
        <f t="shared" si="607"/>
        <v>0</v>
      </c>
      <c r="CG318" s="272">
        <f t="shared" si="607"/>
        <v>0</v>
      </c>
      <c r="CH318" s="272">
        <f t="shared" si="607"/>
        <v>0</v>
      </c>
      <c r="CI318" s="272">
        <f t="shared" si="607"/>
        <v>0</v>
      </c>
      <c r="CJ318" s="272">
        <f t="shared" si="607"/>
        <v>0</v>
      </c>
      <c r="CK318" s="272">
        <f t="shared" si="607"/>
        <v>0</v>
      </c>
      <c r="CL318" s="272">
        <f t="shared" si="607"/>
        <v>0</v>
      </c>
      <c r="CM318" s="272">
        <f t="shared" ref="CM318" si="608">CM291-CL291</f>
        <v>0</v>
      </c>
      <c r="CN318" s="272">
        <f t="shared" ref="CN318" si="609">CN291-CM291</f>
        <v>0</v>
      </c>
      <c r="CO318" s="272">
        <f t="shared" ref="CO318" si="610">CO291-CN291</f>
        <v>0</v>
      </c>
      <c r="CP318" s="272">
        <f t="shared" ref="CP318" si="611">CP291-CO291</f>
        <v>0</v>
      </c>
      <c r="CQ318" s="272">
        <f t="shared" ref="CQ318" si="612">CQ291-CP291</f>
        <v>0</v>
      </c>
    </row>
    <row r="319" spans="1:95">
      <c r="A319" s="275"/>
      <c r="B319" s="211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461"/>
      <c r="P319" s="459"/>
      <c r="Q319" s="459"/>
      <c r="R319" s="459"/>
      <c r="S319" s="272"/>
      <c r="T319" s="272"/>
      <c r="U319" s="272"/>
      <c r="V319" s="272"/>
      <c r="W319" s="272"/>
      <c r="X319" s="272"/>
      <c r="Y319" s="272"/>
      <c r="Z319" s="272"/>
      <c r="AA319" s="272"/>
      <c r="AB319" s="272"/>
      <c r="AC319" s="272"/>
      <c r="AD319" s="272"/>
      <c r="AE319" s="272"/>
      <c r="AF319" s="272"/>
      <c r="AG319" s="272"/>
      <c r="AH319" s="272"/>
      <c r="AI319" s="272"/>
      <c r="AJ319" s="272"/>
      <c r="AK319" s="272"/>
      <c r="AL319" s="272"/>
      <c r="AM319" s="272"/>
      <c r="AN319" s="272"/>
      <c r="AO319" s="272"/>
      <c r="AP319" s="272"/>
      <c r="AQ319" s="272"/>
      <c r="AR319" s="272"/>
      <c r="AS319" s="272"/>
      <c r="AT319" s="272"/>
      <c r="AU319" s="272"/>
      <c r="AV319" s="272"/>
      <c r="AW319" s="272"/>
      <c r="AX319" s="272"/>
      <c r="AY319" s="272"/>
      <c r="AZ319" s="272"/>
      <c r="BA319" s="272"/>
      <c r="BB319" s="272"/>
      <c r="BC319" s="272"/>
      <c r="BD319" s="272"/>
      <c r="BE319" s="272"/>
      <c r="BF319" s="272"/>
      <c r="BG319" s="272"/>
      <c r="BH319" s="272"/>
      <c r="BI319" s="272"/>
      <c r="BJ319" s="272"/>
      <c r="BK319" s="272"/>
      <c r="BL319" s="272"/>
      <c r="BM319" s="272"/>
      <c r="BN319" s="272"/>
      <c r="BO319" s="272"/>
      <c r="BP319" s="272"/>
      <c r="BQ319" s="272"/>
      <c r="BR319" s="272"/>
      <c r="BS319" s="272"/>
      <c r="BT319" s="272"/>
      <c r="BU319" s="272"/>
      <c r="BV319" s="272"/>
      <c r="BW319" s="272"/>
      <c r="BX319" s="272"/>
      <c r="BY319" s="272"/>
      <c r="BZ319" s="272"/>
      <c r="CA319" s="272"/>
      <c r="CB319" s="272"/>
      <c r="CC319" s="272"/>
      <c r="CD319" s="272"/>
      <c r="CE319" s="272"/>
      <c r="CF319" s="272"/>
      <c r="CG319" s="272"/>
      <c r="CH319" s="272"/>
      <c r="CI319" s="272"/>
      <c r="CJ319" s="272"/>
      <c r="CK319" s="272"/>
      <c r="CL319" s="272"/>
      <c r="CM319" s="272"/>
      <c r="CN319" s="272"/>
      <c r="CO319" s="272"/>
      <c r="CP319" s="272"/>
      <c r="CQ319" s="272"/>
    </row>
    <row r="320" spans="1:95">
      <c r="A320" s="275" t="s">
        <v>255</v>
      </c>
      <c r="B320" s="273"/>
      <c r="C320" s="216">
        <v>892.05172916005176</v>
      </c>
      <c r="D320" s="216">
        <v>-860.25336629187041</v>
      </c>
      <c r="E320" s="216">
        <v>-2025.9592504818102</v>
      </c>
      <c r="F320" s="216">
        <v>447.6754666352299</v>
      </c>
      <c r="G320" s="216">
        <v>-374.22829846935019</v>
      </c>
      <c r="H320" s="216">
        <v>2003.8218969497193</v>
      </c>
      <c r="I320" s="216">
        <v>-2562.7277581500093</v>
      </c>
      <c r="J320" s="216">
        <v>643.71794382522967</v>
      </c>
      <c r="K320" s="216">
        <v>32.713124446350776</v>
      </c>
      <c r="L320" s="216">
        <v>975.56694405501003</v>
      </c>
      <c r="M320" s="216">
        <v>-930.99736963446048</v>
      </c>
      <c r="N320" s="216">
        <v>1356.4282416934302</v>
      </c>
      <c r="O320" s="453">
        <v>2835.853581149071</v>
      </c>
      <c r="P320" s="454">
        <v>-801.01189997930123</v>
      </c>
      <c r="Q320" s="454">
        <v>1257.1390546863004</v>
      </c>
      <c r="R320" s="454">
        <v>-1003.8456926307008</v>
      </c>
      <c r="S320" s="272">
        <v>731</v>
      </c>
      <c r="T320" s="272" t="e">
        <f t="shared" ref="T320:BB320" si="613">T293-S293</f>
        <v>#REF!</v>
      </c>
      <c r="U320" s="272" t="e">
        <f t="shared" si="613"/>
        <v>#REF!</v>
      </c>
      <c r="V320" s="272" t="e">
        <f t="shared" si="613"/>
        <v>#REF!</v>
      </c>
      <c r="W320" s="272" t="e">
        <f t="shared" si="613"/>
        <v>#REF!</v>
      </c>
      <c r="X320" s="272" t="e">
        <f t="shared" si="613"/>
        <v>#REF!</v>
      </c>
      <c r="Y320" s="272" t="e">
        <f t="shared" si="613"/>
        <v>#REF!</v>
      </c>
      <c r="Z320" s="272" t="e">
        <f t="shared" si="613"/>
        <v>#REF!</v>
      </c>
      <c r="AA320" s="272" t="e">
        <f t="shared" si="613"/>
        <v>#REF!</v>
      </c>
      <c r="AB320" s="272" t="e">
        <f t="shared" si="613"/>
        <v>#REF!</v>
      </c>
      <c r="AC320" s="272" t="e">
        <f t="shared" si="613"/>
        <v>#REF!</v>
      </c>
      <c r="AD320" s="272" t="e">
        <f t="shared" si="613"/>
        <v>#REF!</v>
      </c>
      <c r="AE320" s="272" t="e">
        <f t="shared" si="613"/>
        <v>#REF!</v>
      </c>
      <c r="AF320" s="272" t="e">
        <f t="shared" si="613"/>
        <v>#REF!</v>
      </c>
      <c r="AG320" s="272" t="e">
        <f t="shared" si="613"/>
        <v>#REF!</v>
      </c>
      <c r="AH320" s="272" t="e">
        <f t="shared" si="613"/>
        <v>#REF!</v>
      </c>
      <c r="AI320" s="272" t="e">
        <f t="shared" si="613"/>
        <v>#REF!</v>
      </c>
      <c r="AJ320" s="272" t="e">
        <f t="shared" si="613"/>
        <v>#REF!</v>
      </c>
      <c r="AK320" s="272" t="e">
        <f t="shared" si="613"/>
        <v>#REF!</v>
      </c>
      <c r="AL320" s="272" t="e">
        <f t="shared" si="613"/>
        <v>#REF!</v>
      </c>
      <c r="AM320" s="272" t="e">
        <f t="shared" si="613"/>
        <v>#REF!</v>
      </c>
      <c r="AN320" s="272" t="e">
        <f t="shared" si="613"/>
        <v>#REF!</v>
      </c>
      <c r="AO320" s="272" t="e">
        <f t="shared" si="613"/>
        <v>#REF!</v>
      </c>
      <c r="AP320" s="272" t="e">
        <f t="shared" si="613"/>
        <v>#REF!</v>
      </c>
      <c r="AQ320" s="272" t="e">
        <f t="shared" si="613"/>
        <v>#REF!</v>
      </c>
      <c r="AR320" s="272" t="e">
        <f t="shared" si="613"/>
        <v>#REF!</v>
      </c>
      <c r="AS320" s="272" t="e">
        <f t="shared" si="613"/>
        <v>#REF!</v>
      </c>
      <c r="AT320" s="272" t="e">
        <f t="shared" si="613"/>
        <v>#REF!</v>
      </c>
      <c r="AU320" s="272" t="e">
        <f t="shared" si="613"/>
        <v>#REF!</v>
      </c>
      <c r="AV320" s="272" t="e">
        <f t="shared" si="613"/>
        <v>#REF!</v>
      </c>
      <c r="AW320" s="272" t="e">
        <f t="shared" si="613"/>
        <v>#REF!</v>
      </c>
      <c r="AX320" s="272" t="e">
        <f t="shared" si="613"/>
        <v>#REF!</v>
      </c>
      <c r="AY320" s="272" t="e">
        <f t="shared" si="613"/>
        <v>#REF!</v>
      </c>
      <c r="AZ320" s="272" t="e">
        <f t="shared" si="613"/>
        <v>#REF!</v>
      </c>
      <c r="BA320" s="272" t="e">
        <f t="shared" si="613"/>
        <v>#REF!</v>
      </c>
      <c r="BB320" s="272" t="e">
        <f t="shared" si="613"/>
        <v>#REF!</v>
      </c>
      <c r="BC320" s="272" t="e">
        <f>BC293-BB293</f>
        <v>#REF!</v>
      </c>
      <c r="BD320" s="272" t="e">
        <f t="shared" ref="BD320:BM320" si="614">BD293-BC293</f>
        <v>#REF!</v>
      </c>
      <c r="BE320" s="272" t="e">
        <f t="shared" si="614"/>
        <v>#REF!</v>
      </c>
      <c r="BF320" s="272" t="e">
        <f t="shared" si="614"/>
        <v>#REF!</v>
      </c>
      <c r="BG320" s="272" t="e">
        <f t="shared" si="614"/>
        <v>#REF!</v>
      </c>
      <c r="BH320" s="272" t="e">
        <f t="shared" si="614"/>
        <v>#REF!</v>
      </c>
      <c r="BI320" s="272" t="e">
        <f t="shared" si="614"/>
        <v>#REF!</v>
      </c>
      <c r="BJ320" s="272" t="e">
        <f t="shared" si="614"/>
        <v>#REF!</v>
      </c>
      <c r="BK320" s="272" t="e">
        <f t="shared" si="614"/>
        <v>#REF!</v>
      </c>
      <c r="BL320" s="272" t="e">
        <f t="shared" si="614"/>
        <v>#REF!</v>
      </c>
      <c r="BM320" s="272" t="e">
        <f t="shared" si="614"/>
        <v>#REF!</v>
      </c>
      <c r="BN320" s="272" t="e">
        <f t="shared" ref="BN320:CL320" si="615">BN293-BM293</f>
        <v>#REF!</v>
      </c>
      <c r="BO320" s="272" t="e">
        <f t="shared" si="615"/>
        <v>#REF!</v>
      </c>
      <c r="BP320" s="272" t="e">
        <f t="shared" si="615"/>
        <v>#REF!</v>
      </c>
      <c r="BQ320" s="272" t="e">
        <f t="shared" si="615"/>
        <v>#REF!</v>
      </c>
      <c r="BR320" s="272" t="e">
        <f t="shared" si="615"/>
        <v>#REF!</v>
      </c>
      <c r="BS320" s="272" t="e">
        <f t="shared" si="615"/>
        <v>#REF!</v>
      </c>
      <c r="BT320" s="272" t="e">
        <f t="shared" si="615"/>
        <v>#REF!</v>
      </c>
      <c r="BU320" s="272" t="e">
        <f t="shared" si="615"/>
        <v>#REF!</v>
      </c>
      <c r="BV320" s="272" t="e">
        <f t="shared" si="615"/>
        <v>#REF!</v>
      </c>
      <c r="BW320" s="272" t="e">
        <f t="shared" si="615"/>
        <v>#REF!</v>
      </c>
      <c r="BX320" s="272" t="e">
        <f t="shared" si="615"/>
        <v>#REF!</v>
      </c>
      <c r="BY320" s="272" t="e">
        <f t="shared" si="615"/>
        <v>#REF!</v>
      </c>
      <c r="BZ320" s="272" t="e">
        <f t="shared" si="615"/>
        <v>#REF!</v>
      </c>
      <c r="CA320" s="272" t="e">
        <f t="shared" si="615"/>
        <v>#REF!</v>
      </c>
      <c r="CB320" s="272" t="e">
        <f t="shared" si="615"/>
        <v>#REF!</v>
      </c>
      <c r="CC320" s="272" t="e">
        <f t="shared" si="615"/>
        <v>#REF!</v>
      </c>
      <c r="CD320" s="272" t="e">
        <f t="shared" si="615"/>
        <v>#REF!</v>
      </c>
      <c r="CE320" s="272" t="e">
        <f t="shared" si="615"/>
        <v>#REF!</v>
      </c>
      <c r="CF320" s="272" t="e">
        <f t="shared" si="615"/>
        <v>#REF!</v>
      </c>
      <c r="CG320" s="272" t="e">
        <f t="shared" si="615"/>
        <v>#REF!</v>
      </c>
      <c r="CH320" s="272" t="e">
        <f t="shared" si="615"/>
        <v>#REF!</v>
      </c>
      <c r="CI320" s="272" t="e">
        <f t="shared" si="615"/>
        <v>#REF!</v>
      </c>
      <c r="CJ320" s="272" t="e">
        <f t="shared" si="615"/>
        <v>#REF!</v>
      </c>
      <c r="CK320" s="272" t="e">
        <f t="shared" si="615"/>
        <v>#REF!</v>
      </c>
      <c r="CL320" s="272" t="e">
        <f t="shared" si="615"/>
        <v>#REF!</v>
      </c>
      <c r="CM320" s="272" t="e">
        <f t="shared" ref="CM320" si="616">CM293-CL293</f>
        <v>#REF!</v>
      </c>
      <c r="CN320" s="272" t="e">
        <f t="shared" ref="CN320" si="617">CN293-CM293</f>
        <v>#REF!</v>
      </c>
      <c r="CO320" s="272" t="e">
        <f t="shared" ref="CO320" si="618">CO293-CN293</f>
        <v>#REF!</v>
      </c>
      <c r="CP320" s="272" t="e">
        <f t="shared" ref="CP320" si="619">CP293-CO293</f>
        <v>#REF!</v>
      </c>
      <c r="CQ320" s="272" t="e">
        <f t="shared" ref="CQ320" si="620">CQ293-CP293</f>
        <v>#REF!</v>
      </c>
    </row>
    <row r="321" spans="1:95">
      <c r="A321" s="275"/>
      <c r="B321" s="211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461"/>
      <c r="P321" s="459"/>
      <c r="Q321" s="459"/>
      <c r="R321" s="459"/>
      <c r="S321" s="272"/>
      <c r="T321" s="272"/>
      <c r="U321" s="272"/>
      <c r="V321" s="272"/>
      <c r="W321" s="272"/>
      <c r="X321" s="272"/>
      <c r="Y321" s="272"/>
      <c r="Z321" s="272"/>
      <c r="AA321" s="272"/>
      <c r="AB321" s="272"/>
      <c r="AC321" s="272"/>
      <c r="AD321" s="272"/>
      <c r="AE321" s="272"/>
      <c r="AF321" s="272"/>
      <c r="AG321" s="272"/>
      <c r="AH321" s="272"/>
      <c r="AI321" s="272"/>
      <c r="AJ321" s="272"/>
      <c r="AK321" s="272"/>
      <c r="AL321" s="272"/>
      <c r="AM321" s="272"/>
      <c r="AN321" s="272"/>
      <c r="AO321" s="272"/>
      <c r="AP321" s="272"/>
      <c r="AQ321" s="272"/>
      <c r="AR321" s="272"/>
      <c r="AS321" s="272"/>
      <c r="AT321" s="272"/>
      <c r="AU321" s="272"/>
      <c r="AV321" s="272"/>
      <c r="AW321" s="272"/>
      <c r="AX321" s="272"/>
      <c r="AY321" s="272"/>
      <c r="AZ321" s="272"/>
      <c r="BA321" s="272"/>
      <c r="BB321" s="272"/>
      <c r="BC321" s="272"/>
      <c r="BD321" s="272" t="s">
        <v>232</v>
      </c>
      <c r="BE321" s="272"/>
      <c r="BF321" s="272"/>
      <c r="BG321" s="272"/>
      <c r="BH321" s="272"/>
      <c r="BI321" s="272"/>
      <c r="BJ321" s="272"/>
      <c r="BK321" s="272"/>
      <c r="BL321" s="272"/>
      <c r="BM321" s="272"/>
      <c r="BN321" s="272"/>
      <c r="BO321" s="272"/>
      <c r="BP321" s="272"/>
      <c r="BQ321" s="272"/>
      <c r="BR321" s="272"/>
      <c r="BS321" s="272"/>
      <c r="BT321" s="272"/>
      <c r="BU321" s="272"/>
      <c r="BV321" s="272"/>
      <c r="BW321" s="272"/>
      <c r="BX321" s="272"/>
      <c r="BY321" s="272"/>
      <c r="BZ321" s="272"/>
      <c r="CA321" s="272"/>
      <c r="CB321" s="272"/>
      <c r="CC321" s="272"/>
      <c r="CD321" s="272"/>
      <c r="CE321" s="272"/>
      <c r="CF321" s="272"/>
      <c r="CG321" s="272"/>
      <c r="CH321" s="272"/>
      <c r="CI321" s="272"/>
      <c r="CJ321" s="272"/>
      <c r="CK321" s="272"/>
      <c r="CL321" s="272"/>
      <c r="CM321" s="272"/>
      <c r="CN321" s="272"/>
      <c r="CO321" s="272"/>
      <c r="CP321" s="272"/>
      <c r="CQ321" s="272"/>
    </row>
    <row r="322" spans="1:95">
      <c r="A322" s="275" t="s">
        <v>256</v>
      </c>
      <c r="B322" s="273"/>
      <c r="C322" s="216">
        <v>373.62153619210039</v>
      </c>
      <c r="D322" s="216">
        <v>993.55160336349945</v>
      </c>
      <c r="E322" s="216">
        <v>774.18623002210006</v>
      </c>
      <c r="F322" s="216">
        <v>-234.64858237159933</v>
      </c>
      <c r="G322" s="216">
        <v>-2013.0416626279002</v>
      </c>
      <c r="H322" s="216">
        <v>1105.7958591158003</v>
      </c>
      <c r="I322" s="216">
        <v>-561.90607246630134</v>
      </c>
      <c r="J322" s="216">
        <v>4419.0264616294007</v>
      </c>
      <c r="K322" s="216">
        <v>4060.4535945589996</v>
      </c>
      <c r="L322" s="216">
        <v>-4448.6815907396012</v>
      </c>
      <c r="M322" s="216">
        <v>2644.5840199750019</v>
      </c>
      <c r="N322" s="216">
        <v>-2859.2373244221017</v>
      </c>
      <c r="O322" s="453">
        <v>2393.7203174773022</v>
      </c>
      <c r="P322" s="454">
        <v>1030.3959259049007</v>
      </c>
      <c r="Q322" s="454">
        <v>-510.64536153580048</v>
      </c>
      <c r="R322" s="454">
        <v>1498.6486372381987</v>
      </c>
      <c r="S322" s="272">
        <v>-2511</v>
      </c>
      <c r="T322" s="272" t="e">
        <f t="shared" ref="T322:BA322" si="621">T295-S295</f>
        <v>#REF!</v>
      </c>
      <c r="U322" s="272" t="e">
        <f t="shared" si="621"/>
        <v>#REF!</v>
      </c>
      <c r="V322" s="272" t="e">
        <f t="shared" si="621"/>
        <v>#REF!</v>
      </c>
      <c r="W322" s="272" t="e">
        <f t="shared" si="621"/>
        <v>#REF!</v>
      </c>
      <c r="X322" s="272" t="e">
        <f t="shared" si="621"/>
        <v>#REF!</v>
      </c>
      <c r="Y322" s="272" t="e">
        <f t="shared" si="621"/>
        <v>#REF!</v>
      </c>
      <c r="Z322" s="272" t="e">
        <f t="shared" si="621"/>
        <v>#REF!</v>
      </c>
      <c r="AA322" s="272" t="e">
        <f t="shared" si="621"/>
        <v>#REF!</v>
      </c>
      <c r="AB322" s="272" t="e">
        <f t="shared" si="621"/>
        <v>#REF!</v>
      </c>
      <c r="AC322" s="272" t="e">
        <f t="shared" si="621"/>
        <v>#REF!</v>
      </c>
      <c r="AD322" s="272" t="e">
        <f t="shared" si="621"/>
        <v>#REF!</v>
      </c>
      <c r="AE322" s="272" t="e">
        <f t="shared" si="621"/>
        <v>#REF!</v>
      </c>
      <c r="AF322" s="272" t="e">
        <f t="shared" si="621"/>
        <v>#REF!</v>
      </c>
      <c r="AG322" s="272" t="e">
        <f t="shared" si="621"/>
        <v>#REF!</v>
      </c>
      <c r="AH322" s="272" t="e">
        <f t="shared" si="621"/>
        <v>#REF!</v>
      </c>
      <c r="AI322" s="272" t="e">
        <f t="shared" si="621"/>
        <v>#REF!</v>
      </c>
      <c r="AJ322" s="272" t="e">
        <f t="shared" si="621"/>
        <v>#REF!</v>
      </c>
      <c r="AK322" s="272" t="e">
        <f t="shared" si="621"/>
        <v>#REF!</v>
      </c>
      <c r="AL322" s="272" t="e">
        <f t="shared" si="621"/>
        <v>#REF!</v>
      </c>
      <c r="AM322" s="272" t="e">
        <f t="shared" si="621"/>
        <v>#REF!</v>
      </c>
      <c r="AN322" s="272" t="e">
        <f t="shared" si="621"/>
        <v>#REF!</v>
      </c>
      <c r="AO322" s="272" t="e">
        <f t="shared" si="621"/>
        <v>#REF!</v>
      </c>
      <c r="AP322" s="272" t="e">
        <f t="shared" si="621"/>
        <v>#REF!</v>
      </c>
      <c r="AQ322" s="272" t="e">
        <f t="shared" si="621"/>
        <v>#REF!</v>
      </c>
      <c r="AR322" s="272" t="e">
        <f t="shared" si="621"/>
        <v>#REF!</v>
      </c>
      <c r="AS322" s="272" t="e">
        <f t="shared" si="621"/>
        <v>#REF!</v>
      </c>
      <c r="AT322" s="272" t="e">
        <f t="shared" si="621"/>
        <v>#REF!</v>
      </c>
      <c r="AU322" s="272" t="e">
        <f t="shared" si="621"/>
        <v>#REF!</v>
      </c>
      <c r="AV322" s="272" t="e">
        <f t="shared" si="621"/>
        <v>#REF!</v>
      </c>
      <c r="AW322" s="272" t="e">
        <f t="shared" si="621"/>
        <v>#REF!</v>
      </c>
      <c r="AX322" s="272" t="e">
        <f t="shared" si="621"/>
        <v>#REF!</v>
      </c>
      <c r="AY322" s="272" t="e">
        <f t="shared" si="621"/>
        <v>#REF!</v>
      </c>
      <c r="AZ322" s="272" t="e">
        <f t="shared" si="621"/>
        <v>#REF!</v>
      </c>
      <c r="BA322" s="272" t="e">
        <f t="shared" si="621"/>
        <v>#REF!</v>
      </c>
      <c r="BB322" s="272" t="e">
        <f>BB295-BA295</f>
        <v>#REF!</v>
      </c>
      <c r="BC322" s="272" t="e">
        <f>BC295-BB295</f>
        <v>#REF!</v>
      </c>
      <c r="BD322" s="272" t="e">
        <f>BD295-BC295</f>
        <v>#REF!</v>
      </c>
      <c r="BE322" s="272" t="e">
        <f t="shared" ref="BE322:BM322" si="622">BE295-BD295</f>
        <v>#REF!</v>
      </c>
      <c r="BF322" s="272" t="e">
        <f>BF295-BE295</f>
        <v>#REF!</v>
      </c>
      <c r="BG322" s="272" t="e">
        <f t="shared" si="622"/>
        <v>#REF!</v>
      </c>
      <c r="BH322" s="272" t="e">
        <f t="shared" si="622"/>
        <v>#REF!</v>
      </c>
      <c r="BI322" s="272" t="e">
        <f t="shared" si="622"/>
        <v>#REF!</v>
      </c>
      <c r="BJ322" s="272" t="e">
        <f t="shared" si="622"/>
        <v>#REF!</v>
      </c>
      <c r="BK322" s="272" t="e">
        <f t="shared" si="622"/>
        <v>#REF!</v>
      </c>
      <c r="BL322" s="272" t="e">
        <f t="shared" si="622"/>
        <v>#REF!</v>
      </c>
      <c r="BM322" s="272" t="e">
        <f t="shared" si="622"/>
        <v>#REF!</v>
      </c>
      <c r="BN322" s="272" t="e">
        <f t="shared" ref="BN322:CL322" si="623">BN295-BM295</f>
        <v>#REF!</v>
      </c>
      <c r="BO322" s="272" t="e">
        <f t="shared" si="623"/>
        <v>#REF!</v>
      </c>
      <c r="BP322" s="272" t="e">
        <f t="shared" si="623"/>
        <v>#REF!</v>
      </c>
      <c r="BQ322" s="272" t="e">
        <f t="shared" si="623"/>
        <v>#REF!</v>
      </c>
      <c r="BR322" s="272" t="e">
        <f t="shared" si="623"/>
        <v>#REF!</v>
      </c>
      <c r="BS322" s="272" t="e">
        <f t="shared" si="623"/>
        <v>#REF!</v>
      </c>
      <c r="BT322" s="272" t="e">
        <f t="shared" si="623"/>
        <v>#REF!</v>
      </c>
      <c r="BU322" s="272" t="e">
        <f t="shared" si="623"/>
        <v>#REF!</v>
      </c>
      <c r="BV322" s="272" t="e">
        <f t="shared" si="623"/>
        <v>#REF!</v>
      </c>
      <c r="BW322" s="272" t="e">
        <f t="shared" si="623"/>
        <v>#REF!</v>
      </c>
      <c r="BX322" s="272" t="e">
        <f t="shared" si="623"/>
        <v>#REF!</v>
      </c>
      <c r="BY322" s="272" t="e">
        <f t="shared" si="623"/>
        <v>#REF!</v>
      </c>
      <c r="BZ322" s="272" t="e">
        <f t="shared" si="623"/>
        <v>#REF!</v>
      </c>
      <c r="CA322" s="272" t="e">
        <f t="shared" si="623"/>
        <v>#REF!</v>
      </c>
      <c r="CB322" s="272" t="e">
        <f t="shared" si="623"/>
        <v>#REF!</v>
      </c>
      <c r="CC322" s="272" t="e">
        <f t="shared" si="623"/>
        <v>#REF!</v>
      </c>
      <c r="CD322" s="272" t="e">
        <f t="shared" si="623"/>
        <v>#REF!</v>
      </c>
      <c r="CE322" s="272" t="e">
        <f t="shared" si="623"/>
        <v>#REF!</v>
      </c>
      <c r="CF322" s="272" t="e">
        <f t="shared" si="623"/>
        <v>#REF!</v>
      </c>
      <c r="CG322" s="272" t="e">
        <f t="shared" si="623"/>
        <v>#REF!</v>
      </c>
      <c r="CH322" s="272" t="e">
        <f t="shared" si="623"/>
        <v>#REF!</v>
      </c>
      <c r="CI322" s="272" t="e">
        <f t="shared" si="623"/>
        <v>#REF!</v>
      </c>
      <c r="CJ322" s="272" t="e">
        <f t="shared" si="623"/>
        <v>#REF!</v>
      </c>
      <c r="CK322" s="272" t="e">
        <f t="shared" si="623"/>
        <v>#REF!</v>
      </c>
      <c r="CL322" s="272" t="e">
        <f t="shared" si="623"/>
        <v>#REF!</v>
      </c>
      <c r="CM322" s="272" t="e">
        <f t="shared" ref="CM322" si="624">CM295-CL295</f>
        <v>#REF!</v>
      </c>
      <c r="CN322" s="272" t="e">
        <f t="shared" ref="CN322" si="625">CN295-CM295</f>
        <v>#REF!</v>
      </c>
      <c r="CO322" s="272" t="e">
        <f t="shared" ref="CO322" si="626">CO295-CN295</f>
        <v>#REF!</v>
      </c>
      <c r="CP322" s="272" t="e">
        <f t="shared" ref="CP322" si="627">CP295-CO295</f>
        <v>#REF!</v>
      </c>
      <c r="CQ322" s="272" t="e">
        <f t="shared" ref="CQ322" si="628">CQ295-CP295</f>
        <v>#REF!</v>
      </c>
    </row>
    <row r="323" spans="1:95">
      <c r="A323" s="275"/>
      <c r="B323" s="211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461"/>
      <c r="P323" s="459"/>
      <c r="Q323" s="459"/>
      <c r="R323" s="459"/>
      <c r="S323" s="272"/>
      <c r="T323" s="272"/>
      <c r="U323" s="272"/>
      <c r="V323" s="272"/>
      <c r="W323" s="272"/>
      <c r="X323" s="272"/>
      <c r="Y323" s="272"/>
      <c r="Z323" s="272"/>
      <c r="AA323" s="272"/>
      <c r="AB323" s="272"/>
      <c r="AC323" s="272"/>
      <c r="AD323" s="272"/>
      <c r="AE323" s="272"/>
      <c r="AF323" s="272"/>
      <c r="AG323" s="272"/>
      <c r="AH323" s="272"/>
      <c r="AI323" s="272"/>
      <c r="AJ323" s="272"/>
      <c r="AK323" s="272"/>
      <c r="AL323" s="272"/>
      <c r="AM323" s="272"/>
      <c r="AN323" s="272"/>
      <c r="AO323" s="272"/>
      <c r="AP323" s="272"/>
      <c r="AQ323" s="272"/>
      <c r="AR323" s="272"/>
      <c r="AS323" s="272"/>
      <c r="AT323" s="272"/>
      <c r="AU323" s="272"/>
      <c r="AV323" s="272"/>
      <c r="AW323" s="272"/>
      <c r="AX323" s="272"/>
      <c r="AY323" s="272"/>
      <c r="AZ323" s="272"/>
      <c r="BA323" s="272"/>
      <c r="BB323" s="272"/>
      <c r="BC323" s="272"/>
      <c r="BD323" s="272"/>
      <c r="BE323" s="272"/>
      <c r="BF323" s="272"/>
      <c r="BG323" s="272"/>
      <c r="BH323" s="272"/>
      <c r="BI323" s="272"/>
      <c r="BJ323" s="272"/>
      <c r="BK323" s="272"/>
      <c r="BL323" s="272"/>
      <c r="BM323" s="272"/>
      <c r="BN323" s="272"/>
      <c r="BO323" s="272"/>
      <c r="BP323" s="272"/>
      <c r="BQ323" s="272"/>
      <c r="BR323" s="272"/>
      <c r="BS323" s="272"/>
      <c r="BT323" s="272"/>
      <c r="BU323" s="272"/>
      <c r="BV323" s="272"/>
      <c r="BW323" s="272"/>
      <c r="BX323" s="272"/>
      <c r="BY323" s="272"/>
      <c r="BZ323" s="272"/>
      <c r="CA323" s="272"/>
      <c r="CB323" s="272"/>
      <c r="CC323" s="272"/>
      <c r="CD323" s="272"/>
      <c r="CE323" s="272"/>
      <c r="CF323" s="272"/>
      <c r="CG323" s="272"/>
      <c r="CH323" s="272"/>
      <c r="CI323" s="272"/>
      <c r="CJ323" s="272"/>
      <c r="CK323" s="272"/>
      <c r="CL323" s="272"/>
      <c r="CM323" s="272"/>
      <c r="CN323" s="272"/>
      <c r="CO323" s="272"/>
      <c r="CP323" s="272"/>
      <c r="CQ323" s="272"/>
    </row>
    <row r="324" spans="1:95">
      <c r="A324" s="275" t="s">
        <v>257</v>
      </c>
      <c r="B324" s="273"/>
      <c r="C324" s="216">
        <v>-1313.0628935131008</v>
      </c>
      <c r="D324" s="216">
        <v>2147.8884789024014</v>
      </c>
      <c r="E324" s="216">
        <v>-426.68142224830081</v>
      </c>
      <c r="F324" s="216">
        <v>-1560.6604578848001</v>
      </c>
      <c r="G324" s="216">
        <v>2851.113274237201</v>
      </c>
      <c r="H324" s="216">
        <v>1619.5121818066</v>
      </c>
      <c r="I324" s="216">
        <v>5359.0119421047002</v>
      </c>
      <c r="J324" s="216">
        <v>-3443.2547437848007</v>
      </c>
      <c r="K324" s="216">
        <v>456.77697825049836</v>
      </c>
      <c r="L324" s="216">
        <v>16638.478627598201</v>
      </c>
      <c r="M324" s="216">
        <v>-14924.722125542699</v>
      </c>
      <c r="N324" s="216">
        <v>14327.185531447598</v>
      </c>
      <c r="O324" s="453">
        <v>1062.9111090109</v>
      </c>
      <c r="P324" s="454">
        <v>170.55996368900378</v>
      </c>
      <c r="Q324" s="454">
        <v>-903.52116543710144</v>
      </c>
      <c r="R324" s="454">
        <v>2418.760920824403</v>
      </c>
      <c r="S324" s="272">
        <v>-4053</v>
      </c>
      <c r="T324" s="272" t="e">
        <f t="shared" ref="T324:BB324" si="629">T297-S297</f>
        <v>#REF!</v>
      </c>
      <c r="U324" s="272" t="e">
        <f t="shared" si="629"/>
        <v>#REF!</v>
      </c>
      <c r="V324" s="272" t="e">
        <f t="shared" si="629"/>
        <v>#REF!</v>
      </c>
      <c r="W324" s="272" t="e">
        <f t="shared" si="629"/>
        <v>#REF!</v>
      </c>
      <c r="X324" s="272" t="e">
        <f t="shared" si="629"/>
        <v>#REF!</v>
      </c>
      <c r="Y324" s="272" t="e">
        <f t="shared" si="629"/>
        <v>#REF!</v>
      </c>
      <c r="Z324" s="272" t="e">
        <f t="shared" si="629"/>
        <v>#REF!</v>
      </c>
      <c r="AA324" s="272" t="e">
        <f t="shared" si="629"/>
        <v>#REF!</v>
      </c>
      <c r="AB324" s="272" t="e">
        <f t="shared" si="629"/>
        <v>#REF!</v>
      </c>
      <c r="AC324" s="272" t="e">
        <f t="shared" si="629"/>
        <v>#REF!</v>
      </c>
      <c r="AD324" s="272" t="e">
        <f t="shared" si="629"/>
        <v>#REF!</v>
      </c>
      <c r="AE324" s="272" t="e">
        <f t="shared" si="629"/>
        <v>#REF!</v>
      </c>
      <c r="AF324" s="272" t="e">
        <f t="shared" si="629"/>
        <v>#REF!</v>
      </c>
      <c r="AG324" s="272" t="e">
        <f t="shared" si="629"/>
        <v>#REF!</v>
      </c>
      <c r="AH324" s="272" t="e">
        <f t="shared" si="629"/>
        <v>#REF!</v>
      </c>
      <c r="AI324" s="272" t="e">
        <f t="shared" si="629"/>
        <v>#REF!</v>
      </c>
      <c r="AJ324" s="272" t="e">
        <f t="shared" si="629"/>
        <v>#REF!</v>
      </c>
      <c r="AK324" s="272" t="e">
        <f t="shared" si="629"/>
        <v>#REF!</v>
      </c>
      <c r="AL324" s="272" t="e">
        <f t="shared" si="629"/>
        <v>#REF!</v>
      </c>
      <c r="AM324" s="272" t="e">
        <f t="shared" si="629"/>
        <v>#REF!</v>
      </c>
      <c r="AN324" s="272" t="e">
        <f t="shared" si="629"/>
        <v>#REF!</v>
      </c>
      <c r="AO324" s="272" t="e">
        <f t="shared" si="629"/>
        <v>#REF!</v>
      </c>
      <c r="AP324" s="272" t="e">
        <f t="shared" si="629"/>
        <v>#REF!</v>
      </c>
      <c r="AQ324" s="272" t="e">
        <f t="shared" si="629"/>
        <v>#REF!</v>
      </c>
      <c r="AR324" s="272" t="e">
        <f t="shared" si="629"/>
        <v>#REF!</v>
      </c>
      <c r="AS324" s="272" t="e">
        <f t="shared" si="629"/>
        <v>#REF!</v>
      </c>
      <c r="AT324" s="272" t="e">
        <f t="shared" si="629"/>
        <v>#REF!</v>
      </c>
      <c r="AU324" s="272" t="e">
        <f t="shared" si="629"/>
        <v>#REF!</v>
      </c>
      <c r="AV324" s="272" t="e">
        <f t="shared" si="629"/>
        <v>#REF!</v>
      </c>
      <c r="AW324" s="272" t="e">
        <f t="shared" si="629"/>
        <v>#REF!</v>
      </c>
      <c r="AX324" s="272" t="e">
        <f t="shared" si="629"/>
        <v>#REF!</v>
      </c>
      <c r="AY324" s="272" t="e">
        <f t="shared" si="629"/>
        <v>#REF!</v>
      </c>
      <c r="AZ324" s="272" t="e">
        <f t="shared" si="629"/>
        <v>#REF!</v>
      </c>
      <c r="BA324" s="272" t="e">
        <f t="shared" si="629"/>
        <v>#REF!</v>
      </c>
      <c r="BB324" s="272" t="e">
        <f t="shared" si="629"/>
        <v>#REF!</v>
      </c>
      <c r="BC324" s="272" t="e">
        <f t="shared" ref="BC324:BM324" si="630">BC297-BB297</f>
        <v>#REF!</v>
      </c>
      <c r="BD324" s="272" t="e">
        <f t="shared" si="630"/>
        <v>#REF!</v>
      </c>
      <c r="BE324" s="272" t="e">
        <f t="shared" si="630"/>
        <v>#REF!</v>
      </c>
      <c r="BF324" s="272" t="e">
        <f t="shared" si="630"/>
        <v>#REF!</v>
      </c>
      <c r="BG324" s="272" t="e">
        <f t="shared" si="630"/>
        <v>#REF!</v>
      </c>
      <c r="BH324" s="272" t="e">
        <f t="shared" si="630"/>
        <v>#REF!</v>
      </c>
      <c r="BI324" s="272" t="e">
        <f t="shared" si="630"/>
        <v>#REF!</v>
      </c>
      <c r="BJ324" s="272" t="e">
        <f t="shared" si="630"/>
        <v>#REF!</v>
      </c>
      <c r="BK324" s="272" t="e">
        <f t="shared" si="630"/>
        <v>#REF!</v>
      </c>
      <c r="BL324" s="272" t="e">
        <f t="shared" si="630"/>
        <v>#REF!</v>
      </c>
      <c r="BM324" s="272" t="e">
        <f t="shared" si="630"/>
        <v>#REF!</v>
      </c>
      <c r="BN324" s="272" t="e">
        <f t="shared" ref="BN324:CL324" si="631">BN297-BM297</f>
        <v>#REF!</v>
      </c>
      <c r="BO324" s="272" t="e">
        <f t="shared" si="631"/>
        <v>#REF!</v>
      </c>
      <c r="BP324" s="272" t="e">
        <f t="shared" si="631"/>
        <v>#REF!</v>
      </c>
      <c r="BQ324" s="272" t="e">
        <f t="shared" si="631"/>
        <v>#REF!</v>
      </c>
      <c r="BR324" s="272" t="e">
        <f t="shared" si="631"/>
        <v>#REF!</v>
      </c>
      <c r="BS324" s="272" t="e">
        <f t="shared" si="631"/>
        <v>#REF!</v>
      </c>
      <c r="BT324" s="272" t="e">
        <f t="shared" si="631"/>
        <v>#REF!</v>
      </c>
      <c r="BU324" s="272" t="e">
        <f t="shared" si="631"/>
        <v>#REF!</v>
      </c>
      <c r="BV324" s="272" t="e">
        <f t="shared" si="631"/>
        <v>#REF!</v>
      </c>
      <c r="BW324" s="272" t="e">
        <f t="shared" si="631"/>
        <v>#REF!</v>
      </c>
      <c r="BX324" s="272" t="e">
        <f t="shared" si="631"/>
        <v>#REF!</v>
      </c>
      <c r="BY324" s="272" t="e">
        <f t="shared" si="631"/>
        <v>#REF!</v>
      </c>
      <c r="BZ324" s="272" t="e">
        <f t="shared" si="631"/>
        <v>#REF!</v>
      </c>
      <c r="CA324" s="272" t="e">
        <f t="shared" si="631"/>
        <v>#REF!</v>
      </c>
      <c r="CB324" s="272" t="e">
        <f t="shared" si="631"/>
        <v>#REF!</v>
      </c>
      <c r="CC324" s="272" t="e">
        <f t="shared" si="631"/>
        <v>#REF!</v>
      </c>
      <c r="CD324" s="272" t="e">
        <f t="shared" si="631"/>
        <v>#REF!</v>
      </c>
      <c r="CE324" s="272" t="e">
        <f t="shared" si="631"/>
        <v>#REF!</v>
      </c>
      <c r="CF324" s="272" t="e">
        <f t="shared" si="631"/>
        <v>#REF!</v>
      </c>
      <c r="CG324" s="272" t="e">
        <f t="shared" si="631"/>
        <v>#REF!</v>
      </c>
      <c r="CH324" s="272" t="e">
        <f t="shared" si="631"/>
        <v>#REF!</v>
      </c>
      <c r="CI324" s="272" t="e">
        <f t="shared" si="631"/>
        <v>#REF!</v>
      </c>
      <c r="CJ324" s="272" t="e">
        <f t="shared" si="631"/>
        <v>#REF!</v>
      </c>
      <c r="CK324" s="272" t="e">
        <f t="shared" si="631"/>
        <v>#REF!</v>
      </c>
      <c r="CL324" s="272" t="e">
        <f t="shared" si="631"/>
        <v>#REF!</v>
      </c>
      <c r="CM324" s="272" t="e">
        <f t="shared" ref="CM324" si="632">CM297-CL297</f>
        <v>#REF!</v>
      </c>
      <c r="CN324" s="272" t="e">
        <f t="shared" ref="CN324" si="633">CN297-CM297</f>
        <v>#REF!</v>
      </c>
      <c r="CO324" s="272" t="e">
        <f t="shared" ref="CO324" si="634">CO297-CN297</f>
        <v>#REF!</v>
      </c>
      <c r="CP324" s="272" t="e">
        <f t="shared" ref="CP324" si="635">CP297-CO297</f>
        <v>#REF!</v>
      </c>
      <c r="CQ324" s="272" t="e">
        <f t="shared" ref="CQ324" si="636">CQ297-CP297</f>
        <v>#REF!</v>
      </c>
    </row>
    <row r="325" spans="1:95">
      <c r="A325" s="275"/>
      <c r="B325" s="273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461"/>
      <c r="P325" s="459"/>
      <c r="Q325" s="459"/>
      <c r="R325" s="459"/>
      <c r="S325" s="272"/>
      <c r="T325" s="272"/>
      <c r="U325" s="272"/>
      <c r="V325" s="272"/>
      <c r="W325" s="272"/>
      <c r="X325" s="272"/>
      <c r="Y325" s="272"/>
      <c r="Z325" s="272"/>
      <c r="AA325" s="272"/>
      <c r="AB325" s="272"/>
      <c r="AC325" s="272"/>
      <c r="AD325" s="272"/>
      <c r="AE325" s="272"/>
      <c r="AF325" s="272"/>
      <c r="AG325" s="272"/>
      <c r="AH325" s="272"/>
      <c r="AI325" s="272"/>
      <c r="AJ325" s="272"/>
      <c r="AK325" s="272"/>
      <c r="AL325" s="272"/>
      <c r="AM325" s="272"/>
      <c r="AN325" s="272"/>
      <c r="AO325" s="272"/>
      <c r="AP325" s="272"/>
      <c r="AQ325" s="272"/>
      <c r="AR325" s="272"/>
      <c r="AS325" s="272"/>
      <c r="AT325" s="272"/>
      <c r="AU325" s="272"/>
      <c r="AV325" s="272"/>
      <c r="AW325" s="272"/>
      <c r="AX325" s="272"/>
      <c r="AY325" s="272"/>
      <c r="AZ325" s="272"/>
      <c r="BA325" s="272"/>
      <c r="BB325" s="272"/>
      <c r="BC325" s="272"/>
    </row>
    <row r="326" spans="1:95">
      <c r="A326" s="275" t="s">
        <v>319</v>
      </c>
      <c r="B326" s="273"/>
      <c r="C326" s="216">
        <v>-1436.6441286716981</v>
      </c>
      <c r="D326" s="216">
        <v>2670.1046014624008</v>
      </c>
      <c r="E326" s="216">
        <v>2768.0394800871982</v>
      </c>
      <c r="F326" s="216">
        <v>-4791.4553010702984</v>
      </c>
      <c r="G326" s="216">
        <v>-3750.7932452596015</v>
      </c>
      <c r="H326" s="216">
        <v>-169.38959357259955</v>
      </c>
      <c r="I326" s="216">
        <v>-2558.4749313153989</v>
      </c>
      <c r="J326" s="216">
        <v>9286.6353369033004</v>
      </c>
      <c r="K326" s="216">
        <v>-1392.9524859897028</v>
      </c>
      <c r="L326" s="216">
        <v>-9663.2435213342687</v>
      </c>
      <c r="M326" s="216">
        <v>8637.8134745329698</v>
      </c>
      <c r="N326" s="216">
        <v>-9145.36520594375</v>
      </c>
      <c r="O326" s="453">
        <v>2588.5610460945009</v>
      </c>
      <c r="P326" s="454">
        <v>418.31544518289957</v>
      </c>
      <c r="Q326" s="454">
        <v>-1502.6234018690993</v>
      </c>
      <c r="R326" s="454">
        <v>750.16460380960052</v>
      </c>
      <c r="S326" s="272">
        <v>-1257</v>
      </c>
      <c r="T326" s="272"/>
      <c r="U326" s="272"/>
      <c r="V326" s="272"/>
      <c r="W326" s="272"/>
      <c r="X326" s="272"/>
      <c r="Y326" s="272"/>
      <c r="Z326" s="272"/>
      <c r="AA326" s="272"/>
      <c r="AB326" s="272"/>
      <c r="AC326" s="272"/>
      <c r="AD326" s="272"/>
      <c r="AE326" s="272"/>
      <c r="AF326" s="272"/>
      <c r="AG326" s="272"/>
      <c r="AH326" s="272"/>
      <c r="AI326" s="272"/>
      <c r="AJ326" s="272"/>
      <c r="AK326" s="272"/>
      <c r="AL326" s="272"/>
      <c r="AM326" s="272"/>
      <c r="AN326" s="272"/>
      <c r="AO326" s="272"/>
      <c r="AP326" s="272"/>
      <c r="AQ326" s="272"/>
      <c r="AR326" s="272"/>
      <c r="AS326" s="272"/>
      <c r="AT326" s="272"/>
      <c r="AU326" s="272"/>
      <c r="AV326" s="272"/>
      <c r="AW326" s="272"/>
      <c r="AX326" s="272"/>
      <c r="AY326" s="272"/>
      <c r="AZ326" s="272"/>
      <c r="BA326" s="272"/>
      <c r="BB326" s="272"/>
      <c r="BC326" s="272"/>
    </row>
    <row r="327" spans="1:95">
      <c r="A327" s="275"/>
      <c r="B327" s="273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461"/>
      <c r="P327" s="459"/>
      <c r="Q327" s="459"/>
      <c r="R327" s="459"/>
      <c r="S327" s="272"/>
      <c r="T327" s="272"/>
      <c r="U327" s="272"/>
      <c r="V327" s="272"/>
      <c r="W327" s="272"/>
      <c r="X327" s="272"/>
      <c r="Y327" s="272"/>
      <c r="Z327" s="272"/>
      <c r="AA327" s="272"/>
      <c r="AB327" s="272"/>
      <c r="AC327" s="272"/>
      <c r="AD327" s="272"/>
      <c r="AE327" s="272"/>
      <c r="AF327" s="272"/>
      <c r="AG327" s="272"/>
      <c r="AH327" s="272"/>
      <c r="AI327" s="272"/>
      <c r="AJ327" s="272"/>
      <c r="AK327" s="272"/>
      <c r="AL327" s="272"/>
      <c r="AM327" s="272"/>
      <c r="AN327" s="272"/>
      <c r="AO327" s="272"/>
      <c r="AP327" s="272"/>
      <c r="AQ327" s="272"/>
      <c r="AR327" s="272"/>
      <c r="AS327" s="272"/>
      <c r="AT327" s="272"/>
      <c r="AU327" s="272"/>
      <c r="AV327" s="272"/>
      <c r="AW327" s="272"/>
      <c r="AX327" s="272"/>
      <c r="AY327" s="272"/>
      <c r="AZ327" s="272"/>
      <c r="BA327" s="272"/>
      <c r="BB327" s="272"/>
      <c r="BC327" s="272"/>
    </row>
    <row r="328" spans="1:95">
      <c r="A328" s="275" t="s">
        <v>259</v>
      </c>
      <c r="B328" s="273"/>
      <c r="C328" s="216">
        <v>-25906.780165422999</v>
      </c>
      <c r="D328" s="216">
        <v>-13059.078011912003</v>
      </c>
      <c r="E328" s="216">
        <v>31185.666226426954</v>
      </c>
      <c r="F328" s="216">
        <v>15503.216105458036</v>
      </c>
      <c r="G328" s="216">
        <v>-23416.780131213018</v>
      </c>
      <c r="H328" s="216">
        <v>-3775.1824991729809</v>
      </c>
      <c r="I328" s="216">
        <v>-14671.592762449</v>
      </c>
      <c r="J328" s="216">
        <v>-47957.92926047201</v>
      </c>
      <c r="K328" s="216">
        <v>-42967.405655067996</v>
      </c>
      <c r="L328" s="216">
        <v>-19143.76881282503</v>
      </c>
      <c r="M328" s="216">
        <v>-28419.010806616978</v>
      </c>
      <c r="N328" s="216">
        <v>-12686.976677416009</v>
      </c>
      <c r="O328" s="453">
        <v>-47462.607516791031</v>
      </c>
      <c r="P328" s="454">
        <v>-47174.329376859998</v>
      </c>
      <c r="Q328" s="454">
        <v>-27175.601809494023</v>
      </c>
      <c r="R328" s="454">
        <v>-25307</v>
      </c>
      <c r="S328" s="272">
        <v>5548</v>
      </c>
      <c r="T328" s="272">
        <f t="shared" ref="T328:BB328" si="637">T301-S301</f>
        <v>8060.0051618160214</v>
      </c>
      <c r="U328" s="272">
        <f t="shared" si="637"/>
        <v>21875.994838183979</v>
      </c>
      <c r="V328" s="272">
        <f t="shared" si="637"/>
        <v>2980968633.4447851</v>
      </c>
      <c r="W328" s="272">
        <f t="shared" si="637"/>
        <v>15461994258641.967</v>
      </c>
      <c r="X328" s="272">
        <f t="shared" si="637"/>
        <v>7.62063756885532E+16</v>
      </c>
      <c r="Y328" s="272">
        <f t="shared" si="637"/>
        <v>4.559232265888727E+20</v>
      </c>
      <c r="Z328" s="272">
        <f t="shared" si="637"/>
        <v>2.8529260641411107E+24</v>
      </c>
      <c r="AA328" s="272">
        <f t="shared" si="637"/>
        <v>1.7043793208412405E+28</v>
      </c>
      <c r="AB328" s="272">
        <f t="shared" si="637"/>
        <v>1.0998223900183517E+32</v>
      </c>
      <c r="AC328" s="272">
        <f t="shared" si="637"/>
        <v>7.0348009868404965E+35</v>
      </c>
      <c r="AD328" s="272">
        <f t="shared" si="637"/>
        <v>1.4743418317751539E+34</v>
      </c>
      <c r="AE328" s="272">
        <f t="shared" si="637"/>
        <v>-2.8949733503585986E+34</v>
      </c>
      <c r="AF328" s="272">
        <f t="shared" si="637"/>
        <v>-3.0631812854019664E+34</v>
      </c>
      <c r="AG328" s="272">
        <f t="shared" si="637"/>
        <v>-6.5275304740807834E+34</v>
      </c>
      <c r="AH328" s="272">
        <f t="shared" si="637"/>
        <v>-5.5534266484043114E+34</v>
      </c>
      <c r="AI328" s="272">
        <f t="shared" si="637"/>
        <v>-3.4641936397132385E+34</v>
      </c>
      <c r="AJ328" s="272">
        <f t="shared" si="637"/>
        <v>-1.462325823084223E+34</v>
      </c>
      <c r="AK328" s="272">
        <f t="shared" si="637"/>
        <v>-6.3692563502227865E+33</v>
      </c>
      <c r="AL328" s="272">
        <f t="shared" si="637"/>
        <v>-9.0679254171911048E+33</v>
      </c>
      <c r="AM328" s="272">
        <f t="shared" si="637"/>
        <v>6.0328885275634791E+32</v>
      </c>
      <c r="AN328" s="272">
        <f t="shared" si="637"/>
        <v>-2.9945711557377349E+33</v>
      </c>
      <c r="AO328" s="272">
        <f t="shared" si="637"/>
        <v>-7.8645683858890823E+33</v>
      </c>
      <c r="AP328" s="272">
        <f t="shared" si="637"/>
        <v>-9.9612416794549024E+33</v>
      </c>
      <c r="AQ328" s="272">
        <f t="shared" si="637"/>
        <v>-1.7061569713024604E+34</v>
      </c>
      <c r="AR328" s="272">
        <f t="shared" si="637"/>
        <v>-1.4838736661406253E+34</v>
      </c>
      <c r="AS328" s="272">
        <f t="shared" si="637"/>
        <v>-1.3499067663879189E+34</v>
      </c>
      <c r="AT328" s="272">
        <f t="shared" si="637"/>
        <v>-1.0945392989706096E+34</v>
      </c>
      <c r="AU328" s="272">
        <f t="shared" si="637"/>
        <v>-1.2661189826423901E+34</v>
      </c>
      <c r="AV328" s="272">
        <f t="shared" si="637"/>
        <v>-1.1757228008844363E+34</v>
      </c>
      <c r="AW328" s="272">
        <f t="shared" si="637"/>
        <v>-9.1860504197367092E+33</v>
      </c>
      <c r="AX328" s="272">
        <f t="shared" si="637"/>
        <v>-1.238165712729394E+34</v>
      </c>
      <c r="AY328" s="272">
        <f t="shared" si="637"/>
        <v>-1.0684284960564949E+34</v>
      </c>
      <c r="AZ328" s="272">
        <f t="shared" si="637"/>
        <v>-1.2122064270421775E+34</v>
      </c>
      <c r="BA328" s="272">
        <f t="shared" si="637"/>
        <v>-8.7494165833364513E+33</v>
      </c>
      <c r="BB328" s="272">
        <f t="shared" si="637"/>
        <v>-1.2039271918937643E+34</v>
      </c>
      <c r="BC328" s="272">
        <f>BC301-BB301</f>
        <v>-1.1313530115997066E+34</v>
      </c>
      <c r="BD328" s="272">
        <f>BD301-BC301</f>
        <v>-9.0718655661122666E+33</v>
      </c>
      <c r="BE328" s="272">
        <f>BE301-BD301</f>
        <v>-1.0377434184877753E+34</v>
      </c>
      <c r="BF328" s="272">
        <f t="shared" ref="BF328:BM328" si="638">BF301-BE301</f>
        <v>-9.3764038946227036E+33</v>
      </c>
      <c r="BG328" s="272">
        <f t="shared" si="638"/>
        <v>-1.0205922824706294E+34</v>
      </c>
      <c r="BH328" s="272">
        <f t="shared" si="638"/>
        <v>-1.0846893894117697E+34</v>
      </c>
      <c r="BI328" s="272">
        <f t="shared" si="638"/>
        <v>-9.8535578601657828E+33</v>
      </c>
      <c r="BJ328" s="272">
        <f t="shared" si="638"/>
        <v>-1.0075275664863738E+34</v>
      </c>
      <c r="BK328" s="272">
        <f t="shared" si="638"/>
        <v>-1.2112951220693615E+34</v>
      </c>
      <c r="BL328" s="272">
        <f>BL301-BK301</f>
        <v>-1.1097176189022052E+34</v>
      </c>
      <c r="BM328" s="272">
        <f t="shared" si="638"/>
        <v>-1.1306780938123953E+34</v>
      </c>
      <c r="BN328" s="272">
        <f t="shared" ref="BN328:CL328" si="639">BN301-BM301</f>
        <v>0</v>
      </c>
      <c r="BO328" s="272">
        <f t="shared" si="639"/>
        <v>0</v>
      </c>
      <c r="BP328" s="272">
        <f t="shared" si="639"/>
        <v>0</v>
      </c>
      <c r="BQ328" s="272">
        <f t="shared" si="639"/>
        <v>0</v>
      </c>
      <c r="BR328" s="272">
        <f t="shared" si="639"/>
        <v>0</v>
      </c>
      <c r="BS328" s="272">
        <f t="shared" si="639"/>
        <v>0</v>
      </c>
      <c r="BT328" s="272">
        <f t="shared" si="639"/>
        <v>0</v>
      </c>
      <c r="BU328" s="272">
        <f t="shared" si="639"/>
        <v>0</v>
      </c>
      <c r="BV328" s="272">
        <f t="shared" si="639"/>
        <v>0</v>
      </c>
      <c r="BW328" s="272">
        <f t="shared" si="639"/>
        <v>0</v>
      </c>
      <c r="BX328" s="272">
        <f t="shared" si="639"/>
        <v>0</v>
      </c>
      <c r="BY328" s="272">
        <f t="shared" si="639"/>
        <v>0</v>
      </c>
      <c r="BZ328" s="272">
        <f t="shared" si="639"/>
        <v>0</v>
      </c>
      <c r="CA328" s="272">
        <f t="shared" si="639"/>
        <v>0</v>
      </c>
      <c r="CB328" s="272">
        <f t="shared" si="639"/>
        <v>0</v>
      </c>
      <c r="CC328" s="272">
        <f t="shared" si="639"/>
        <v>0</v>
      </c>
      <c r="CD328" s="272">
        <f t="shared" si="639"/>
        <v>0</v>
      </c>
      <c r="CE328" s="272">
        <f t="shared" si="639"/>
        <v>0</v>
      </c>
      <c r="CF328" s="272">
        <f t="shared" si="639"/>
        <v>0</v>
      </c>
      <c r="CG328" s="272">
        <f t="shared" si="639"/>
        <v>0</v>
      </c>
      <c r="CH328" s="272">
        <f t="shared" si="639"/>
        <v>0</v>
      </c>
      <c r="CI328" s="272">
        <f t="shared" si="639"/>
        <v>0</v>
      </c>
      <c r="CJ328" s="272">
        <f t="shared" si="639"/>
        <v>0</v>
      </c>
      <c r="CK328" s="272">
        <f t="shared" si="639"/>
        <v>0</v>
      </c>
      <c r="CL328" s="272">
        <f t="shared" si="639"/>
        <v>0</v>
      </c>
      <c r="CM328" s="272">
        <f t="shared" ref="CM328" si="640">CM301-CL301</f>
        <v>0</v>
      </c>
      <c r="CN328" s="272">
        <f t="shared" ref="CN328" si="641">CN301-CM301</f>
        <v>0</v>
      </c>
      <c r="CO328" s="272">
        <f t="shared" ref="CO328" si="642">CO301-CN301</f>
        <v>0</v>
      </c>
      <c r="CP328" s="272">
        <f t="shared" ref="CP328" si="643">CP301-CO301</f>
        <v>0</v>
      </c>
      <c r="CQ328" s="272">
        <f t="shared" ref="CQ328" si="644">CQ301-CP301</f>
        <v>0</v>
      </c>
    </row>
    <row r="329" spans="1:95">
      <c r="A329" s="275"/>
      <c r="B329" s="211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461"/>
      <c r="P329" s="459"/>
      <c r="Q329" s="459"/>
      <c r="R329" s="459"/>
      <c r="S329" s="272"/>
      <c r="T329" s="272"/>
      <c r="U329" s="272"/>
      <c r="V329" s="272"/>
      <c r="W329" s="272"/>
      <c r="X329" s="272"/>
      <c r="Y329" s="272"/>
      <c r="Z329" s="272"/>
      <c r="AA329" s="272"/>
      <c r="AB329" s="272"/>
      <c r="AC329" s="272"/>
      <c r="AD329" s="272"/>
      <c r="AE329" s="272"/>
      <c r="AF329" s="272"/>
      <c r="AG329" s="272"/>
      <c r="AH329" s="272"/>
      <c r="AI329" s="272"/>
      <c r="AJ329" s="272"/>
      <c r="AK329" s="272"/>
      <c r="AL329" s="272"/>
      <c r="AM329" s="272"/>
      <c r="AN329" s="272"/>
      <c r="AO329" s="272"/>
      <c r="AP329" s="272"/>
      <c r="AQ329" s="272"/>
      <c r="AR329" s="272"/>
      <c r="AS329" s="272"/>
      <c r="AT329" s="272"/>
      <c r="AU329" s="272"/>
      <c r="AV329" s="272"/>
      <c r="AW329" s="272"/>
      <c r="AX329" s="272"/>
      <c r="AY329" s="272"/>
      <c r="AZ329" s="272"/>
      <c r="BA329" s="272"/>
      <c r="BB329" s="272"/>
      <c r="BC329" s="272"/>
    </row>
    <row r="330" spans="1:95">
      <c r="A330" s="275" t="s">
        <v>261</v>
      </c>
      <c r="B330" s="273"/>
      <c r="C330" s="216">
        <v>-296.17038137229974</v>
      </c>
      <c r="D330" s="216">
        <v>4354.524246009707</v>
      </c>
      <c r="E330" s="216">
        <v>-5308.7741862742987</v>
      </c>
      <c r="F330" s="216">
        <v>8080.6835566539958</v>
      </c>
      <c r="G330" s="216">
        <v>21980.377750248896</v>
      </c>
      <c r="H330" s="216">
        <v>10396.281718897008</v>
      </c>
      <c r="I330" s="216">
        <v>8498.77009691899</v>
      </c>
      <c r="J330" s="216">
        <v>10092.110939182006</v>
      </c>
      <c r="K330" s="216">
        <v>3392.4961365470081</v>
      </c>
      <c r="L330" s="216">
        <v>2076.2446254839888</v>
      </c>
      <c r="M330" s="216">
        <v>20602.074050828</v>
      </c>
      <c r="N330" s="216">
        <v>209.74128904900863</v>
      </c>
      <c r="O330" s="453">
        <v>-129.9438536670059</v>
      </c>
      <c r="P330" s="454">
        <v>-1004.7161612019991</v>
      </c>
      <c r="Q330" s="454">
        <v>30331.406572486012</v>
      </c>
      <c r="R330" s="454">
        <v>-15900.000011959986</v>
      </c>
      <c r="S330" s="272">
        <v>2042</v>
      </c>
      <c r="T330" s="272">
        <f t="shared" ref="T330:BB330" si="645">T303-S303</f>
        <v>15300</v>
      </c>
      <c r="U330" s="272">
        <f t="shared" si="645"/>
        <v>967</v>
      </c>
      <c r="V330" s="272">
        <f t="shared" si="645"/>
        <v>16381.83317116322</v>
      </c>
      <c r="W330" s="272">
        <f t="shared" si="645"/>
        <v>-5262.5578062803834</v>
      </c>
      <c r="X330" s="272">
        <f t="shared" si="645"/>
        <v>-14365.93401149931</v>
      </c>
      <c r="Y330" s="272">
        <f t="shared" si="645"/>
        <v>-6387.217337461334</v>
      </c>
      <c r="Z330" s="272">
        <f t="shared" si="645"/>
        <v>6302.3373728439037</v>
      </c>
      <c r="AA330" s="272">
        <f t="shared" si="645"/>
        <v>20731.931357806287</v>
      </c>
      <c r="AB330" s="272">
        <f t="shared" si="645"/>
        <v>-14493.253958425485</v>
      </c>
      <c r="AC330" s="272">
        <f t="shared" si="645"/>
        <v>17440.184370261675</v>
      </c>
      <c r="AD330" s="272">
        <f t="shared" si="645"/>
        <v>-12279.323517338024</v>
      </c>
      <c r="AE330" s="272">
        <f t="shared" si="645"/>
        <v>3467.445199742273</v>
      </c>
      <c r="AF330" s="272">
        <f t="shared" si="645"/>
        <v>18.081793276651297</v>
      </c>
      <c r="AG330" s="272">
        <f t="shared" si="645"/>
        <v>-8336.3796689210285</v>
      </c>
      <c r="AH330" s="272">
        <f t="shared" si="645"/>
        <v>-11734.276412220905</v>
      </c>
      <c r="AI330" s="272">
        <f t="shared" si="645"/>
        <v>-12084.136906883039</v>
      </c>
      <c r="AJ330" s="272">
        <f t="shared" si="645"/>
        <v>-10209.215279475087</v>
      </c>
      <c r="AK330" s="272">
        <f t="shared" si="645"/>
        <v>-14087.339489382284</v>
      </c>
      <c r="AL330" s="272">
        <f t="shared" si="645"/>
        <v>-8820.4065730449511</v>
      </c>
      <c r="AM330" s="272">
        <f t="shared" si="645"/>
        <v>-5516.1618213940237</v>
      </c>
      <c r="AN330" s="272">
        <f t="shared" si="645"/>
        <v>-5096.2588442632987</v>
      </c>
      <c r="AO330" s="272">
        <f t="shared" si="645"/>
        <v>-4626.3219663590426</v>
      </c>
      <c r="AP330" s="272">
        <f t="shared" si="645"/>
        <v>-7030.8216104929452</v>
      </c>
      <c r="AQ330" s="272">
        <f t="shared" si="645"/>
        <v>-10519.499336132314</v>
      </c>
      <c r="AR330" s="272">
        <f t="shared" si="645"/>
        <v>-11338.75287620991</v>
      </c>
      <c r="AS330" s="272">
        <f t="shared" si="645"/>
        <v>-8164.3934155551833</v>
      </c>
      <c r="AT330" s="272">
        <f t="shared" si="645"/>
        <v>-7348.6697113785485</v>
      </c>
      <c r="AU330" s="272">
        <f t="shared" si="645"/>
        <v>-5563.3970889087359</v>
      </c>
      <c r="AV330" s="272">
        <f t="shared" si="645"/>
        <v>-5824.8573443658825</v>
      </c>
      <c r="AW330" s="272">
        <f t="shared" si="645"/>
        <v>-6525.2790700548212</v>
      </c>
      <c r="AX330" s="272">
        <f t="shared" si="645"/>
        <v>-5314.3094703165552</v>
      </c>
      <c r="AY330" s="272">
        <f t="shared" si="645"/>
        <v>-4122.8783124545444</v>
      </c>
      <c r="AZ330" s="272">
        <f t="shared" si="645"/>
        <v>-4017.9958531133452</v>
      </c>
      <c r="BA330" s="272">
        <f t="shared" si="645"/>
        <v>-3707.3263750544284</v>
      </c>
      <c r="BB330" s="272">
        <f t="shared" si="645"/>
        <v>-2983.2609717417217</v>
      </c>
      <c r="BC330" s="272">
        <f>BC303-BB303</f>
        <v>-3490.1002351241914</v>
      </c>
      <c r="BD330" s="272">
        <f t="shared" ref="BD330:BM330" si="646">BD303-BC303</f>
        <v>148.3362870644487</v>
      </c>
      <c r="BE330" s="272">
        <f t="shared" si="646"/>
        <v>-3710.8047378840711</v>
      </c>
      <c r="BF330" s="272">
        <f t="shared" si="646"/>
        <v>-3111.7800757605437</v>
      </c>
      <c r="BG330" s="272">
        <f t="shared" si="646"/>
        <v>-2314.6236596303934</v>
      </c>
      <c r="BH330" s="272">
        <f t="shared" si="646"/>
        <v>-1280.8549404533696</v>
      </c>
      <c r="BI330" s="272">
        <f t="shared" si="646"/>
        <v>-1682.695880757281</v>
      </c>
      <c r="BJ330" s="272">
        <f t="shared" si="646"/>
        <v>-1113.0798968927847</v>
      </c>
      <c r="BK330" s="272">
        <f t="shared" si="646"/>
        <v>-902.59308573497401</v>
      </c>
      <c r="BL330" s="272">
        <f t="shared" si="646"/>
        <v>-998.87168342244695</v>
      </c>
      <c r="BM330" s="272">
        <f t="shared" si="646"/>
        <v>-834.30433614934736</v>
      </c>
      <c r="BN330" s="272">
        <f t="shared" ref="BN330:CL330" si="647">BN303-BM303</f>
        <v>-2935.8136114800727</v>
      </c>
      <c r="BO330" s="272">
        <f t="shared" si="647"/>
        <v>0</v>
      </c>
      <c r="BP330" s="272">
        <f t="shared" si="647"/>
        <v>0</v>
      </c>
      <c r="BQ330" s="272">
        <f t="shared" si="647"/>
        <v>0</v>
      </c>
      <c r="BR330" s="272">
        <f t="shared" si="647"/>
        <v>0</v>
      </c>
      <c r="BS330" s="272">
        <f t="shared" si="647"/>
        <v>0</v>
      </c>
      <c r="BT330" s="272">
        <f t="shared" si="647"/>
        <v>0</v>
      </c>
      <c r="BU330" s="272">
        <f t="shared" si="647"/>
        <v>0</v>
      </c>
      <c r="BV330" s="272">
        <f t="shared" si="647"/>
        <v>0</v>
      </c>
      <c r="BW330" s="272">
        <f t="shared" si="647"/>
        <v>0</v>
      </c>
      <c r="BX330" s="272">
        <f t="shared" si="647"/>
        <v>0</v>
      </c>
      <c r="BY330" s="272">
        <f t="shared" si="647"/>
        <v>0</v>
      </c>
      <c r="BZ330" s="272">
        <f t="shared" si="647"/>
        <v>0</v>
      </c>
      <c r="CA330" s="272">
        <f t="shared" si="647"/>
        <v>0</v>
      </c>
      <c r="CB330" s="272">
        <f t="shared" si="647"/>
        <v>0</v>
      </c>
      <c r="CC330" s="272">
        <f t="shared" si="647"/>
        <v>0</v>
      </c>
      <c r="CD330" s="272">
        <f t="shared" si="647"/>
        <v>0</v>
      </c>
      <c r="CE330" s="272">
        <f t="shared" si="647"/>
        <v>0</v>
      </c>
      <c r="CF330" s="272">
        <f t="shared" si="647"/>
        <v>0</v>
      </c>
      <c r="CG330" s="272">
        <f t="shared" si="647"/>
        <v>0</v>
      </c>
      <c r="CH330" s="272">
        <f t="shared" si="647"/>
        <v>0</v>
      </c>
      <c r="CI330" s="272">
        <f t="shared" si="647"/>
        <v>0</v>
      </c>
      <c r="CJ330" s="272">
        <f t="shared" si="647"/>
        <v>0</v>
      </c>
      <c r="CK330" s="272">
        <f t="shared" si="647"/>
        <v>0</v>
      </c>
      <c r="CL330" s="272">
        <f t="shared" si="647"/>
        <v>0</v>
      </c>
      <c r="CM330" s="272">
        <f t="shared" ref="CM330" si="648">CM303-CL303</f>
        <v>0</v>
      </c>
      <c r="CN330" s="272">
        <f t="shared" ref="CN330" si="649">CN303-CM303</f>
        <v>0</v>
      </c>
      <c r="CO330" s="272">
        <f t="shared" ref="CO330" si="650">CO303-CN303</f>
        <v>0</v>
      </c>
      <c r="CP330" s="272">
        <f t="shared" ref="CP330" si="651">CP303-CO303</f>
        <v>0</v>
      </c>
      <c r="CQ330" s="272">
        <f t="shared" ref="CQ330" si="652">CQ303-CP303</f>
        <v>0</v>
      </c>
    </row>
    <row r="331" spans="1:95">
      <c r="A331" s="275"/>
      <c r="B331" s="211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461"/>
      <c r="P331" s="459"/>
      <c r="Q331" s="459"/>
      <c r="R331" s="459"/>
      <c r="S331" s="272"/>
      <c r="T331" s="272"/>
      <c r="U331" s="272"/>
      <c r="V331" s="272"/>
      <c r="W331" s="272"/>
      <c r="X331" s="272"/>
      <c r="Y331" s="272"/>
      <c r="Z331" s="272"/>
      <c r="AA331" s="272"/>
      <c r="AB331" s="272"/>
      <c r="AC331" s="272"/>
      <c r="AD331" s="272"/>
      <c r="AE331" s="272"/>
      <c r="AF331" s="272"/>
      <c r="AG331" s="272"/>
      <c r="AH331" s="272"/>
      <c r="AI331" s="272"/>
      <c r="AJ331" s="272"/>
      <c r="AK331" s="272"/>
      <c r="AL331" s="272"/>
      <c r="AM331" s="272"/>
      <c r="AN331" s="272"/>
      <c r="AO331" s="272"/>
      <c r="AP331" s="272"/>
      <c r="AQ331" s="272"/>
      <c r="AR331" s="272"/>
      <c r="AS331" s="272"/>
      <c r="AT331" s="272"/>
      <c r="AU331" s="272"/>
      <c r="AV331" s="272"/>
      <c r="AW331" s="272"/>
      <c r="AX331" s="272"/>
      <c r="AY331" s="272"/>
      <c r="AZ331" s="272"/>
      <c r="BA331" s="272"/>
      <c r="BB331" s="272"/>
      <c r="BC331" s="272"/>
      <c r="BD331" s="272"/>
      <c r="BE331" s="272"/>
      <c r="BF331" s="272"/>
      <c r="BG331" s="272"/>
      <c r="BH331" s="272"/>
      <c r="BI331" s="272"/>
      <c r="BJ331" s="272"/>
      <c r="BK331" s="272"/>
      <c r="BL331" s="272"/>
      <c r="BM331" s="272"/>
      <c r="BN331" s="272"/>
      <c r="BO331" s="272"/>
      <c r="BP331" s="272"/>
      <c r="BQ331" s="272"/>
      <c r="BR331" s="272"/>
      <c r="BS331" s="272"/>
      <c r="BT331" s="272"/>
      <c r="BU331" s="272"/>
      <c r="BV331" s="272"/>
      <c r="BW331" s="272"/>
      <c r="BX331" s="272"/>
      <c r="BY331" s="272"/>
      <c r="BZ331" s="272"/>
      <c r="CA331" s="272"/>
      <c r="CB331" s="272"/>
      <c r="CC331" s="272"/>
      <c r="CD331" s="272"/>
      <c r="CE331" s="272"/>
      <c r="CF331" s="272"/>
      <c r="CG331" s="272"/>
      <c r="CH331" s="272"/>
      <c r="CI331" s="272"/>
      <c r="CJ331" s="272"/>
      <c r="CK331" s="272"/>
      <c r="CL331" s="272"/>
      <c r="CM331" s="272"/>
      <c r="CN331" s="272"/>
      <c r="CO331" s="272"/>
      <c r="CP331" s="272"/>
      <c r="CQ331" s="272"/>
    </row>
    <row r="332" spans="1:95">
      <c r="A332" s="275" t="s">
        <v>263</v>
      </c>
      <c r="B332" s="273"/>
      <c r="C332" s="216">
        <v>616.81610100807029</v>
      </c>
      <c r="D332" s="216">
        <v>384.09540790693973</v>
      </c>
      <c r="E332" s="216">
        <v>131.87437391120966</v>
      </c>
      <c r="F332" s="216">
        <v>1029.2798357458205</v>
      </c>
      <c r="G332" s="216">
        <v>2035.4081653784806</v>
      </c>
      <c r="H332" s="216">
        <v>459.83957495690993</v>
      </c>
      <c r="I332" s="216">
        <v>933.29432668416848</v>
      </c>
      <c r="J332" s="216">
        <v>676.78936792400054</v>
      </c>
      <c r="K332" s="216">
        <v>290.99763391089982</v>
      </c>
      <c r="L332" s="216">
        <v>201.41812483710055</v>
      </c>
      <c r="M332" s="216">
        <v>650.27624605550045</v>
      </c>
      <c r="N332" s="216">
        <v>436.94993246082959</v>
      </c>
      <c r="O332" s="453">
        <v>-41.103590919799899</v>
      </c>
      <c r="P332" s="454">
        <v>-364.27897765580019</v>
      </c>
      <c r="Q332" s="454">
        <v>1148.8317966162394</v>
      </c>
      <c r="R332" s="454">
        <v>-512.20849659409032</v>
      </c>
      <c r="S332" s="272">
        <v>-70</v>
      </c>
      <c r="T332" s="272">
        <f t="shared" ref="T332:BB332" si="653">T305-S305</f>
        <v>787</v>
      </c>
      <c r="U332" s="272">
        <f t="shared" si="653"/>
        <v>109.99492310416645</v>
      </c>
      <c r="V332" s="272">
        <f t="shared" si="653"/>
        <v>177947604.5485501</v>
      </c>
      <c r="W332" s="272">
        <f t="shared" si="653"/>
        <v>2548771676793.7861</v>
      </c>
      <c r="X332" s="272">
        <f t="shared" si="653"/>
        <v>3.4680600923764684E+16</v>
      </c>
      <c r="Y332" s="272">
        <f t="shared" si="653"/>
        <v>4.7386416031871533E+20</v>
      </c>
      <c r="Z332" s="272">
        <f t="shared" si="653"/>
        <v>6.3425411286851189E+24</v>
      </c>
      <c r="AA332" s="272">
        <f t="shared" si="653"/>
        <v>8.936261576308237E+28</v>
      </c>
      <c r="AB332" s="272">
        <f t="shared" si="653"/>
        <v>1.2035984035946948E+33</v>
      </c>
      <c r="AC332" s="272">
        <f t="shared" si="653"/>
        <v>1.7456404810208813E+37</v>
      </c>
      <c r="AD332" s="272">
        <f t="shared" si="653"/>
        <v>-8.0253286913166982E+35</v>
      </c>
      <c r="AE332" s="272">
        <f t="shared" si="653"/>
        <v>1.4194891525106914E+35</v>
      </c>
      <c r="AF332" s="272">
        <f t="shared" si="653"/>
        <v>-9.9224337435428255E+34</v>
      </c>
      <c r="AG332" s="272">
        <f t="shared" si="653"/>
        <v>-5.6176066353772195E+35</v>
      </c>
      <c r="AH332" s="272">
        <f t="shared" si="653"/>
        <v>-6.340453915592684E+35</v>
      </c>
      <c r="AI332" s="272">
        <f>AI305-AH305</f>
        <v>-8.4286366636053117E+35</v>
      </c>
      <c r="AJ332" s="272">
        <f t="shared" si="653"/>
        <v>-6.7103929481225301E+35</v>
      </c>
      <c r="AK332" s="272">
        <f t="shared" si="653"/>
        <v>-9.7625732598339345E+35</v>
      </c>
      <c r="AL332" s="272">
        <f t="shared" si="653"/>
        <v>-5.4073233219899011E+35</v>
      </c>
      <c r="AM332" s="272">
        <f t="shared" si="653"/>
        <v>-3.5034589181547022E+35</v>
      </c>
      <c r="AN332" s="272">
        <f t="shared" si="653"/>
        <v>-3.561018474364223E+35</v>
      </c>
      <c r="AO332" s="272">
        <f t="shared" si="653"/>
        <v>-3.2135479858447037E+35</v>
      </c>
      <c r="AP332" s="272">
        <f t="shared" si="653"/>
        <v>-5.2214753974518739E+35</v>
      </c>
      <c r="AQ332" s="272">
        <f t="shared" si="653"/>
        <v>-7.0415670361940208E+35</v>
      </c>
      <c r="AR332" s="272">
        <f t="shared" si="653"/>
        <v>-7.5720556757940299E+35</v>
      </c>
      <c r="AS332" s="272">
        <f t="shared" si="653"/>
        <v>-5.7370571039375218E+35</v>
      </c>
      <c r="AT332" s="272">
        <f t="shared" si="653"/>
        <v>-4.7060082119402972E+35</v>
      </c>
      <c r="AU332" s="272">
        <f t="shared" si="653"/>
        <v>-4.8208053961885706E+35</v>
      </c>
      <c r="AV332" s="272">
        <f t="shared" si="653"/>
        <v>-3.8787336314092239E+35</v>
      </c>
      <c r="AW332" s="272">
        <f t="shared" si="653"/>
        <v>-4.2774168371961586E+35</v>
      </c>
      <c r="AX332" s="272">
        <f t="shared" si="653"/>
        <v>-3.5394661971710441E+35</v>
      </c>
      <c r="AY332" s="272">
        <f t="shared" si="653"/>
        <v>-2.6991767728608182E+35</v>
      </c>
      <c r="AZ332" s="272">
        <f t="shared" si="653"/>
        <v>-2.5792842424067091E+35</v>
      </c>
      <c r="BA332" s="272">
        <f t="shared" si="653"/>
        <v>-2.3079699907942217E+35</v>
      </c>
      <c r="BB332" s="272">
        <f t="shared" si="653"/>
        <v>-1.3523144713011452E+35</v>
      </c>
      <c r="BC332" s="272">
        <f>BC305-BB305</f>
        <v>-1.8434966125337958E+35</v>
      </c>
      <c r="BD332" s="272">
        <f t="shared" ref="BD332:BM332" si="654">BD305-BC305</f>
        <v>-2.0225826917355749E+35</v>
      </c>
      <c r="BE332" s="272">
        <f t="shared" si="654"/>
        <v>-2.3137087562562641E+35</v>
      </c>
      <c r="BF332" s="272">
        <f t="shared" si="654"/>
        <v>-1.9811782609150984E+35</v>
      </c>
      <c r="BG332" s="272">
        <f t="shared" si="654"/>
        <v>-1.4626012007081999E+35</v>
      </c>
      <c r="BH332" s="272">
        <f t="shared" si="654"/>
        <v>-7.5529884542996088E+34</v>
      </c>
      <c r="BI332" s="272">
        <f t="shared" si="654"/>
        <v>-1.075990013192492E+35</v>
      </c>
      <c r="BJ332" s="272">
        <f t="shared" si="654"/>
        <v>-8.1024253467554911E+34</v>
      </c>
      <c r="BK332" s="272">
        <f t="shared" si="654"/>
        <v>-6.2910192611118605E+34</v>
      </c>
      <c r="BL332" s="272">
        <f t="shared" si="654"/>
        <v>-6.5903952968303608E+34</v>
      </c>
      <c r="BM332" s="272">
        <f t="shared" si="654"/>
        <v>-5.5399462047189291E+34</v>
      </c>
      <c r="BN332" s="272">
        <f t="shared" ref="BN332:CL332" si="655">BN305-BM305</f>
        <v>0</v>
      </c>
      <c r="BO332" s="272">
        <f t="shared" si="655"/>
        <v>0</v>
      </c>
      <c r="BP332" s="272">
        <f t="shared" si="655"/>
        <v>0</v>
      </c>
      <c r="BQ332" s="272">
        <f t="shared" si="655"/>
        <v>0</v>
      </c>
      <c r="BR332" s="272">
        <f t="shared" si="655"/>
        <v>0</v>
      </c>
      <c r="BS332" s="272">
        <f t="shared" si="655"/>
        <v>0</v>
      </c>
      <c r="BT332" s="272">
        <f t="shared" si="655"/>
        <v>0</v>
      </c>
      <c r="BU332" s="272">
        <f t="shared" si="655"/>
        <v>0</v>
      </c>
      <c r="BV332" s="272">
        <f t="shared" si="655"/>
        <v>0</v>
      </c>
      <c r="BW332" s="272">
        <f t="shared" si="655"/>
        <v>0</v>
      </c>
      <c r="BX332" s="272">
        <f t="shared" si="655"/>
        <v>0</v>
      </c>
      <c r="BY332" s="272">
        <f t="shared" si="655"/>
        <v>0</v>
      </c>
      <c r="BZ332" s="272">
        <f t="shared" si="655"/>
        <v>0</v>
      </c>
      <c r="CA332" s="272">
        <f t="shared" si="655"/>
        <v>0</v>
      </c>
      <c r="CB332" s="272">
        <f t="shared" si="655"/>
        <v>0</v>
      </c>
      <c r="CC332" s="272">
        <f t="shared" si="655"/>
        <v>0</v>
      </c>
      <c r="CD332" s="272">
        <f t="shared" si="655"/>
        <v>0</v>
      </c>
      <c r="CE332" s="272">
        <f t="shared" si="655"/>
        <v>0</v>
      </c>
      <c r="CF332" s="272">
        <f t="shared" si="655"/>
        <v>0</v>
      </c>
      <c r="CG332" s="272">
        <f t="shared" si="655"/>
        <v>0</v>
      </c>
      <c r="CH332" s="272">
        <f t="shared" si="655"/>
        <v>0</v>
      </c>
      <c r="CI332" s="272">
        <f t="shared" si="655"/>
        <v>0</v>
      </c>
      <c r="CJ332" s="272">
        <f t="shared" si="655"/>
        <v>0</v>
      </c>
      <c r="CK332" s="272">
        <f t="shared" si="655"/>
        <v>0</v>
      </c>
      <c r="CL332" s="272">
        <f t="shared" si="655"/>
        <v>0</v>
      </c>
      <c r="CM332" s="272">
        <f t="shared" ref="CM332" si="656">CM305-CL305</f>
        <v>0</v>
      </c>
      <c r="CN332" s="272">
        <f t="shared" ref="CN332" si="657">CN305-CM305</f>
        <v>0</v>
      </c>
      <c r="CO332" s="272">
        <f t="shared" ref="CO332" si="658">CO305-CN305</f>
        <v>0</v>
      </c>
      <c r="CP332" s="272">
        <f t="shared" ref="CP332" si="659">CP305-CO305</f>
        <v>0</v>
      </c>
      <c r="CQ332" s="272">
        <f t="shared" ref="CQ332" si="660">CQ305-CP305</f>
        <v>0</v>
      </c>
    </row>
    <row r="333" spans="1:95">
      <c r="A333" s="275"/>
      <c r="B333" s="211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461"/>
      <c r="P333" s="459"/>
      <c r="Q333" s="459"/>
      <c r="R333" s="459"/>
      <c r="S333" s="272"/>
      <c r="T333" s="272"/>
      <c r="U333" s="272"/>
      <c r="V333" s="272"/>
      <c r="W333" s="272"/>
      <c r="X333" s="272"/>
      <c r="Y333" s="272"/>
      <c r="Z333" s="272"/>
      <c r="AA333" s="272"/>
      <c r="AB333" s="272"/>
      <c r="AC333" s="272"/>
      <c r="AD333" s="272"/>
      <c r="AE333" s="272"/>
      <c r="AF333" s="272"/>
      <c r="AG333" s="272"/>
      <c r="AH333" s="272"/>
      <c r="AI333" s="272"/>
      <c r="AJ333" s="272"/>
      <c r="AK333" s="272"/>
      <c r="AL333" s="272"/>
      <c r="AM333" s="272"/>
      <c r="AN333" s="272"/>
      <c r="AO333" s="272"/>
      <c r="AP333" s="272"/>
      <c r="AQ333" s="272"/>
      <c r="AR333" s="272"/>
      <c r="AS333" s="272"/>
      <c r="AT333" s="272"/>
      <c r="AU333" s="272"/>
      <c r="AV333" s="272"/>
      <c r="AW333" s="272"/>
      <c r="AX333" s="272"/>
      <c r="AY333" s="272"/>
      <c r="AZ333" s="272"/>
      <c r="BA333" s="272"/>
      <c r="BB333" s="272"/>
      <c r="BC333" s="272"/>
    </row>
    <row r="334" spans="1:95">
      <c r="A334" s="275" t="s">
        <v>266</v>
      </c>
      <c r="B334" s="273"/>
      <c r="C334" s="216">
        <v>-1490.567247819472</v>
      </c>
      <c r="D334" s="216">
        <v>2335.4783062164497</v>
      </c>
      <c r="E334" s="216">
        <v>883.30411588239031</v>
      </c>
      <c r="F334" s="216">
        <v>2463.7258834976897</v>
      </c>
      <c r="G334" s="216">
        <v>-7115.8004175926999</v>
      </c>
      <c r="H334" s="216">
        <v>1379.84397662368</v>
      </c>
      <c r="I334" s="216">
        <v>23511.836243725949</v>
      </c>
      <c r="J334" s="216">
        <v>19621.225296683398</v>
      </c>
      <c r="K334" s="216">
        <v>-1064.76069587436</v>
      </c>
      <c r="L334" s="216">
        <v>6409.83189780472</v>
      </c>
      <c r="M334" s="216">
        <v>6256.4954636313296</v>
      </c>
      <c r="N334" s="216">
        <v>-3359.32873406199</v>
      </c>
      <c r="O334" s="453">
        <v>5083.7687351193726</v>
      </c>
      <c r="P334" s="454">
        <v>3108.2311912463197</v>
      </c>
      <c r="Q334" s="454">
        <v>-5100.4689733422701</v>
      </c>
      <c r="R334" s="454">
        <v>6839.8118684986903</v>
      </c>
      <c r="S334" s="272">
        <v>4137</v>
      </c>
      <c r="T334" s="272">
        <f t="shared" ref="T334:AY334" si="661">T254</f>
        <v>0</v>
      </c>
      <c r="U334" s="272">
        <f t="shared" si="661"/>
        <v>0</v>
      </c>
      <c r="V334" s="272">
        <f t="shared" si="661"/>
        <v>0</v>
      </c>
      <c r="W334" s="272">
        <f t="shared" si="661"/>
        <v>0</v>
      </c>
      <c r="X334" s="272">
        <f t="shared" si="661"/>
        <v>0</v>
      </c>
      <c r="Y334" s="272">
        <f t="shared" si="661"/>
        <v>0</v>
      </c>
      <c r="Z334" s="272">
        <f t="shared" si="661"/>
        <v>0</v>
      </c>
      <c r="AA334" s="272">
        <f t="shared" si="661"/>
        <v>0</v>
      </c>
      <c r="AB334" s="272">
        <f t="shared" si="661"/>
        <v>0</v>
      </c>
      <c r="AC334" s="272">
        <f t="shared" si="661"/>
        <v>0</v>
      </c>
      <c r="AD334" s="272">
        <f t="shared" si="661"/>
        <v>0</v>
      </c>
      <c r="AE334" s="272">
        <f t="shared" si="661"/>
        <v>0</v>
      </c>
      <c r="AF334" s="272">
        <f t="shared" si="661"/>
        <v>0</v>
      </c>
      <c r="AG334" s="272">
        <f t="shared" si="661"/>
        <v>0</v>
      </c>
      <c r="AH334" s="272">
        <f t="shared" si="661"/>
        <v>0</v>
      </c>
      <c r="AI334" s="272">
        <f t="shared" si="661"/>
        <v>0</v>
      </c>
      <c r="AJ334" s="272">
        <f t="shared" si="661"/>
        <v>0</v>
      </c>
      <c r="AK334" s="272">
        <f t="shared" si="661"/>
        <v>0</v>
      </c>
      <c r="AL334" s="272">
        <f t="shared" si="661"/>
        <v>0</v>
      </c>
      <c r="AM334" s="272">
        <f t="shared" si="661"/>
        <v>0</v>
      </c>
      <c r="AN334" s="272">
        <f t="shared" si="661"/>
        <v>0</v>
      </c>
      <c r="AO334" s="272">
        <f t="shared" si="661"/>
        <v>0</v>
      </c>
      <c r="AP334" s="272">
        <f t="shared" si="661"/>
        <v>0</v>
      </c>
      <c r="AQ334" s="272">
        <f t="shared" si="661"/>
        <v>0</v>
      </c>
      <c r="AR334" s="272">
        <f t="shared" si="661"/>
        <v>0</v>
      </c>
      <c r="AS334" s="272">
        <f t="shared" si="661"/>
        <v>0</v>
      </c>
      <c r="AT334" s="272">
        <f t="shared" si="661"/>
        <v>0</v>
      </c>
      <c r="AU334" s="272">
        <f t="shared" si="661"/>
        <v>0</v>
      </c>
      <c r="AV334" s="272">
        <f t="shared" si="661"/>
        <v>0</v>
      </c>
      <c r="AW334" s="272">
        <f t="shared" si="661"/>
        <v>0</v>
      </c>
      <c r="AX334" s="272">
        <f t="shared" si="661"/>
        <v>0</v>
      </c>
      <c r="AY334" s="272">
        <f t="shared" si="661"/>
        <v>0</v>
      </c>
      <c r="AZ334" s="272">
        <f t="shared" ref="AZ334:CE334" si="662">AZ254</f>
        <v>0</v>
      </c>
      <c r="BA334" s="272">
        <f t="shared" si="662"/>
        <v>0</v>
      </c>
      <c r="BB334" s="272">
        <f t="shared" si="662"/>
        <v>0</v>
      </c>
      <c r="BC334" s="272">
        <f t="shared" si="662"/>
        <v>0</v>
      </c>
      <c r="BD334" s="272">
        <f t="shared" si="662"/>
        <v>0</v>
      </c>
      <c r="BE334" s="272">
        <f t="shared" si="662"/>
        <v>0</v>
      </c>
      <c r="BF334" s="272">
        <f t="shared" si="662"/>
        <v>0</v>
      </c>
      <c r="BG334" s="272">
        <f t="shared" si="662"/>
        <v>0</v>
      </c>
      <c r="BH334" s="272">
        <f t="shared" si="662"/>
        <v>0</v>
      </c>
      <c r="BI334" s="272">
        <f t="shared" si="662"/>
        <v>0</v>
      </c>
      <c r="BJ334" s="272">
        <f t="shared" si="662"/>
        <v>0</v>
      </c>
      <c r="BK334" s="272">
        <f t="shared" si="662"/>
        <v>0</v>
      </c>
      <c r="BL334" s="272">
        <f t="shared" si="662"/>
        <v>0</v>
      </c>
      <c r="BM334" s="272">
        <f t="shared" si="662"/>
        <v>0</v>
      </c>
      <c r="BN334" s="272">
        <f t="shared" si="662"/>
        <v>0</v>
      </c>
      <c r="BO334" s="272">
        <f t="shared" si="662"/>
        <v>0</v>
      </c>
      <c r="BP334" s="272">
        <f t="shared" si="662"/>
        <v>0</v>
      </c>
      <c r="BQ334" s="272">
        <f t="shared" si="662"/>
        <v>0</v>
      </c>
      <c r="BR334" s="272">
        <f t="shared" si="662"/>
        <v>0</v>
      </c>
      <c r="BS334" s="272">
        <f t="shared" si="662"/>
        <v>0</v>
      </c>
      <c r="BT334" s="272">
        <f t="shared" si="662"/>
        <v>0</v>
      </c>
      <c r="BU334" s="272">
        <f t="shared" si="662"/>
        <v>0</v>
      </c>
      <c r="BV334" s="272">
        <f t="shared" si="662"/>
        <v>0</v>
      </c>
      <c r="BW334" s="272">
        <f t="shared" si="662"/>
        <v>0</v>
      </c>
      <c r="BX334" s="272">
        <f t="shared" si="662"/>
        <v>0</v>
      </c>
      <c r="BY334" s="272">
        <f t="shared" si="662"/>
        <v>0</v>
      </c>
      <c r="BZ334" s="272">
        <f t="shared" si="662"/>
        <v>0</v>
      </c>
      <c r="CA334" s="272">
        <f t="shared" si="662"/>
        <v>0</v>
      </c>
      <c r="CB334" s="272">
        <f t="shared" si="662"/>
        <v>0</v>
      </c>
      <c r="CC334" s="272">
        <f t="shared" si="662"/>
        <v>0</v>
      </c>
      <c r="CD334" s="272">
        <f t="shared" si="662"/>
        <v>0</v>
      </c>
      <c r="CE334" s="272">
        <f t="shared" si="662"/>
        <v>0</v>
      </c>
      <c r="CF334" s="272">
        <f t="shared" ref="CF334:CL334" si="663">CF254</f>
        <v>0</v>
      </c>
      <c r="CG334" s="272">
        <f t="shared" si="663"/>
        <v>0</v>
      </c>
      <c r="CH334" s="272">
        <f t="shared" si="663"/>
        <v>0</v>
      </c>
      <c r="CI334" s="272">
        <f t="shared" si="663"/>
        <v>0</v>
      </c>
      <c r="CJ334" s="272">
        <f t="shared" si="663"/>
        <v>0</v>
      </c>
      <c r="CK334" s="272">
        <f t="shared" si="663"/>
        <v>0</v>
      </c>
      <c r="CL334" s="272">
        <f t="shared" si="663"/>
        <v>0</v>
      </c>
      <c r="CM334" s="272">
        <f t="shared" ref="CM334:CQ334" si="664">CM254</f>
        <v>0</v>
      </c>
      <c r="CN334" s="272">
        <f t="shared" si="664"/>
        <v>0</v>
      </c>
      <c r="CO334" s="272">
        <f t="shared" si="664"/>
        <v>0</v>
      </c>
      <c r="CP334" s="272">
        <f t="shared" si="664"/>
        <v>0</v>
      </c>
      <c r="CQ334" s="272">
        <f t="shared" si="664"/>
        <v>0</v>
      </c>
    </row>
    <row r="335" spans="1:95">
      <c r="A335" s="275"/>
      <c r="B335" s="211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37"/>
      <c r="Q335" s="218"/>
      <c r="R335" s="272"/>
      <c r="S335" s="272"/>
      <c r="T335" s="272"/>
      <c r="U335" s="272"/>
      <c r="V335" s="272"/>
      <c r="W335" s="272"/>
      <c r="X335" s="272"/>
      <c r="Y335" s="272"/>
      <c r="Z335" s="272"/>
      <c r="AA335" s="272"/>
      <c r="AB335" s="272"/>
      <c r="AC335" s="272"/>
      <c r="AD335" s="272"/>
      <c r="AE335" s="272"/>
      <c r="AF335" s="272"/>
      <c r="AG335" s="272"/>
      <c r="AH335" s="272"/>
      <c r="AI335" s="272"/>
      <c r="AJ335" s="272"/>
      <c r="AK335" s="272"/>
      <c r="AL335" s="272"/>
      <c r="AM335" s="272"/>
      <c r="AN335" s="272"/>
      <c r="AO335" s="272"/>
      <c r="AP335" s="272"/>
      <c r="AQ335" s="272"/>
      <c r="AR335" s="272"/>
      <c r="AS335" s="272"/>
      <c r="AT335" s="272"/>
      <c r="AU335" s="272"/>
      <c r="AV335" s="272"/>
      <c r="AW335" s="272"/>
      <c r="AX335" s="272"/>
      <c r="AY335" s="272"/>
      <c r="AZ335" s="272"/>
      <c r="BA335" s="272"/>
      <c r="BB335" s="272"/>
      <c r="BC335" s="272"/>
      <c r="BG335" s="90"/>
    </row>
    <row r="336" spans="1:95">
      <c r="A336" s="275" t="s">
        <v>291</v>
      </c>
      <c r="B336" s="211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37"/>
      <c r="Q336" s="218"/>
      <c r="R336" s="272"/>
      <c r="S336" s="272"/>
      <c r="T336" s="272"/>
      <c r="U336" s="272"/>
      <c r="V336" s="272"/>
      <c r="W336" s="272"/>
      <c r="X336" s="272"/>
      <c r="Y336" s="272"/>
      <c r="Z336" s="272"/>
      <c r="AA336" s="272"/>
      <c r="AB336" s="272"/>
      <c r="AC336" s="272"/>
      <c r="AD336" s="272"/>
      <c r="AE336" s="272"/>
      <c r="AF336" s="272"/>
      <c r="AG336" s="272"/>
      <c r="AH336" s="272"/>
      <c r="AI336" s="272"/>
      <c r="AJ336" s="272"/>
      <c r="AK336" s="272"/>
      <c r="AL336" s="272"/>
      <c r="AM336" s="272"/>
      <c r="AN336" s="272"/>
      <c r="AO336" s="272"/>
      <c r="AP336" s="272"/>
      <c r="AQ336" s="272"/>
      <c r="AR336" s="272"/>
      <c r="AS336" s="272"/>
      <c r="AT336" s="272"/>
      <c r="AU336" s="272"/>
      <c r="AV336" s="272"/>
      <c r="AW336" s="272"/>
      <c r="AX336" s="272"/>
      <c r="AY336" s="272"/>
      <c r="AZ336" s="272"/>
      <c r="BA336" s="272"/>
      <c r="BB336" s="272"/>
      <c r="BC336" s="272"/>
      <c r="BE336" s="146"/>
    </row>
    <row r="337" spans="1:95">
      <c r="A337" s="275" t="s">
        <v>292</v>
      </c>
      <c r="B337" s="21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18">
        <v>-8522.4543822663309</v>
      </c>
      <c r="R337" s="272">
        <f>R314+0.167129580173058*R320</f>
        <v>-17835.295821316897</v>
      </c>
      <c r="S337" s="272">
        <f>S314+0.167129580173058*S320</f>
        <v>7129.1717231065059</v>
      </c>
      <c r="T337" s="272" t="e">
        <f t="shared" ref="T337:BM337" si="665">T314+0.167129580173058*T320</f>
        <v>#REF!</v>
      </c>
      <c r="U337" s="272" t="e">
        <f t="shared" si="665"/>
        <v>#REF!</v>
      </c>
      <c r="V337" s="272" t="e">
        <f t="shared" si="665"/>
        <v>#REF!</v>
      </c>
      <c r="W337" s="272" t="e">
        <f t="shared" si="665"/>
        <v>#REF!</v>
      </c>
      <c r="X337" s="272" t="e">
        <f t="shared" si="665"/>
        <v>#REF!</v>
      </c>
      <c r="Y337" s="272" t="e">
        <f t="shared" si="665"/>
        <v>#REF!</v>
      </c>
      <c r="Z337" s="272" t="e">
        <f t="shared" si="665"/>
        <v>#REF!</v>
      </c>
      <c r="AA337" s="272" t="e">
        <f t="shared" si="665"/>
        <v>#REF!</v>
      </c>
      <c r="AB337" s="272" t="e">
        <f t="shared" si="665"/>
        <v>#REF!</v>
      </c>
      <c r="AC337" s="272" t="e">
        <f t="shared" si="665"/>
        <v>#REF!</v>
      </c>
      <c r="AD337" s="272" t="e">
        <f t="shared" si="665"/>
        <v>#REF!</v>
      </c>
      <c r="AE337" s="272" t="e">
        <f t="shared" si="665"/>
        <v>#REF!</v>
      </c>
      <c r="AF337" s="272" t="e">
        <f t="shared" si="665"/>
        <v>#REF!</v>
      </c>
      <c r="AG337" s="272" t="e">
        <f t="shared" si="665"/>
        <v>#REF!</v>
      </c>
      <c r="AH337" s="272" t="e">
        <f t="shared" si="665"/>
        <v>#REF!</v>
      </c>
      <c r="AI337" s="272" t="e">
        <f t="shared" si="665"/>
        <v>#REF!</v>
      </c>
      <c r="AJ337" s="272" t="e">
        <f t="shared" si="665"/>
        <v>#REF!</v>
      </c>
      <c r="AK337" s="272" t="e">
        <f t="shared" si="665"/>
        <v>#REF!</v>
      </c>
      <c r="AL337" s="272" t="e">
        <f t="shared" si="665"/>
        <v>#REF!</v>
      </c>
      <c r="AM337" s="272" t="e">
        <f t="shared" si="665"/>
        <v>#REF!</v>
      </c>
      <c r="AN337" s="272" t="e">
        <f t="shared" si="665"/>
        <v>#REF!</v>
      </c>
      <c r="AO337" s="272" t="e">
        <f t="shared" si="665"/>
        <v>#REF!</v>
      </c>
      <c r="AP337" s="272" t="e">
        <f t="shared" si="665"/>
        <v>#REF!</v>
      </c>
      <c r="AQ337" s="272" t="e">
        <f t="shared" si="665"/>
        <v>#REF!</v>
      </c>
      <c r="AR337" s="272" t="e">
        <f t="shared" si="665"/>
        <v>#REF!</v>
      </c>
      <c r="AS337" s="272" t="e">
        <f t="shared" si="665"/>
        <v>#REF!</v>
      </c>
      <c r="AT337" s="272" t="e">
        <f t="shared" si="665"/>
        <v>#REF!</v>
      </c>
      <c r="AU337" s="272" t="e">
        <f t="shared" si="665"/>
        <v>#REF!</v>
      </c>
      <c r="AV337" s="272" t="e">
        <f t="shared" si="665"/>
        <v>#REF!</v>
      </c>
      <c r="AW337" s="272" t="e">
        <f t="shared" si="665"/>
        <v>#REF!</v>
      </c>
      <c r="AX337" s="272" t="e">
        <f t="shared" si="665"/>
        <v>#REF!</v>
      </c>
      <c r="AY337" s="272" t="e">
        <f t="shared" si="665"/>
        <v>#REF!</v>
      </c>
      <c r="AZ337" s="272" t="e">
        <f t="shared" si="665"/>
        <v>#REF!</v>
      </c>
      <c r="BA337" s="272" t="e">
        <f t="shared" si="665"/>
        <v>#REF!</v>
      </c>
      <c r="BB337" s="272" t="e">
        <f t="shared" si="665"/>
        <v>#REF!</v>
      </c>
      <c r="BC337" s="272" t="e">
        <f t="shared" si="665"/>
        <v>#REF!</v>
      </c>
      <c r="BD337" s="272" t="e">
        <f t="shared" si="665"/>
        <v>#REF!</v>
      </c>
      <c r="BE337" s="272" t="e">
        <f t="shared" si="665"/>
        <v>#REF!</v>
      </c>
      <c r="BF337" s="272" t="e">
        <f t="shared" si="665"/>
        <v>#REF!</v>
      </c>
      <c r="BG337" s="272" t="e">
        <f>BG314+0.167129580173058*BG320</f>
        <v>#REF!</v>
      </c>
      <c r="BH337" s="272" t="e">
        <f t="shared" si="665"/>
        <v>#REF!</v>
      </c>
      <c r="BI337" s="272" t="e">
        <f t="shared" si="665"/>
        <v>#REF!</v>
      </c>
      <c r="BJ337" s="272" t="e">
        <f t="shared" si="665"/>
        <v>#REF!</v>
      </c>
      <c r="BK337" s="272" t="e">
        <f t="shared" si="665"/>
        <v>#REF!</v>
      </c>
      <c r="BL337" s="272" t="e">
        <f>BL314+0.167129580173058*BL320</f>
        <v>#REF!</v>
      </c>
      <c r="BM337" s="272" t="e">
        <f t="shared" si="665"/>
        <v>#REF!</v>
      </c>
      <c r="BN337" s="272" t="e">
        <f t="shared" ref="BN337:CL337" si="666">BN314+0.167129580173058*BN320</f>
        <v>#REF!</v>
      </c>
      <c r="BO337" s="272" t="e">
        <f t="shared" si="666"/>
        <v>#REF!</v>
      </c>
      <c r="BP337" s="272" t="e">
        <f t="shared" si="666"/>
        <v>#REF!</v>
      </c>
      <c r="BQ337" s="272" t="e">
        <f t="shared" si="666"/>
        <v>#REF!</v>
      </c>
      <c r="BR337" s="272" t="e">
        <f t="shared" si="666"/>
        <v>#REF!</v>
      </c>
      <c r="BS337" s="272" t="e">
        <f t="shared" si="666"/>
        <v>#REF!</v>
      </c>
      <c r="BT337" s="272" t="e">
        <f t="shared" si="666"/>
        <v>#REF!</v>
      </c>
      <c r="BU337" s="272" t="e">
        <f t="shared" si="666"/>
        <v>#REF!</v>
      </c>
      <c r="BV337" s="272" t="e">
        <f t="shared" si="666"/>
        <v>#REF!</v>
      </c>
      <c r="BW337" s="272" t="e">
        <f t="shared" si="666"/>
        <v>#REF!</v>
      </c>
      <c r="BX337" s="272" t="e">
        <f t="shared" si="666"/>
        <v>#REF!</v>
      </c>
      <c r="BY337" s="272" t="e">
        <f t="shared" si="666"/>
        <v>#REF!</v>
      </c>
      <c r="BZ337" s="272" t="e">
        <f t="shared" si="666"/>
        <v>#REF!</v>
      </c>
      <c r="CA337" s="272" t="e">
        <f t="shared" si="666"/>
        <v>#REF!</v>
      </c>
      <c r="CB337" s="272" t="e">
        <f t="shared" si="666"/>
        <v>#REF!</v>
      </c>
      <c r="CC337" s="272" t="e">
        <f t="shared" si="666"/>
        <v>#REF!</v>
      </c>
      <c r="CD337" s="272" t="e">
        <f t="shared" si="666"/>
        <v>#REF!</v>
      </c>
      <c r="CE337" s="272" t="e">
        <f t="shared" si="666"/>
        <v>#REF!</v>
      </c>
      <c r="CF337" s="272" t="e">
        <f t="shared" si="666"/>
        <v>#REF!</v>
      </c>
      <c r="CG337" s="272" t="e">
        <f t="shared" si="666"/>
        <v>#REF!</v>
      </c>
      <c r="CH337" s="272" t="e">
        <f t="shared" si="666"/>
        <v>#REF!</v>
      </c>
      <c r="CI337" s="272" t="e">
        <f t="shared" si="666"/>
        <v>#REF!</v>
      </c>
      <c r="CJ337" s="272" t="e">
        <f t="shared" si="666"/>
        <v>#REF!</v>
      </c>
      <c r="CK337" s="272" t="e">
        <f t="shared" si="666"/>
        <v>#REF!</v>
      </c>
      <c r="CL337" s="272" t="e">
        <f t="shared" si="666"/>
        <v>#REF!</v>
      </c>
      <c r="CM337" s="272" t="e">
        <f t="shared" ref="CM337:CQ337" si="667">CM314+0.167129580173058*CM320</f>
        <v>#REF!</v>
      </c>
      <c r="CN337" s="272" t="e">
        <f t="shared" si="667"/>
        <v>#REF!</v>
      </c>
      <c r="CO337" s="272" t="e">
        <f t="shared" si="667"/>
        <v>#REF!</v>
      </c>
      <c r="CP337" s="272" t="e">
        <f t="shared" si="667"/>
        <v>#REF!</v>
      </c>
      <c r="CQ337" s="272" t="e">
        <f t="shared" si="667"/>
        <v>#REF!</v>
      </c>
    </row>
    <row r="338" spans="1:95">
      <c r="A338" s="275"/>
      <c r="B338" s="21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18"/>
      <c r="R338" s="272"/>
      <c r="S338" s="272"/>
      <c r="T338" s="272"/>
      <c r="U338" s="272"/>
      <c r="V338" s="272"/>
      <c r="W338" s="272"/>
      <c r="X338" s="272"/>
      <c r="Y338" s="272"/>
      <c r="Z338" s="272"/>
      <c r="AA338" s="272"/>
      <c r="AB338" s="272"/>
      <c r="AC338" s="272"/>
      <c r="AD338" s="272"/>
      <c r="AE338" s="272"/>
      <c r="AF338" s="272"/>
      <c r="AG338" s="272"/>
      <c r="AH338" s="272"/>
      <c r="AI338" s="272"/>
      <c r="AJ338" s="272"/>
      <c r="AK338" s="272"/>
      <c r="AL338" s="272"/>
      <c r="AM338" s="272"/>
      <c r="AN338" s="272"/>
      <c r="AO338" s="272"/>
      <c r="AP338" s="272"/>
      <c r="AQ338" s="272"/>
      <c r="AR338" s="272"/>
      <c r="AS338" s="272"/>
      <c r="AT338" s="272"/>
      <c r="AU338" s="272"/>
      <c r="AV338" s="272"/>
      <c r="AW338" s="272"/>
      <c r="AX338" s="272"/>
      <c r="AY338" s="272"/>
      <c r="AZ338" s="272"/>
      <c r="BA338" s="272"/>
      <c r="BB338" s="272"/>
      <c r="BC338" s="272"/>
      <c r="BD338" s="272"/>
      <c r="BE338" s="272"/>
      <c r="BF338" s="272"/>
      <c r="BG338" s="272"/>
      <c r="BH338" s="272"/>
      <c r="BI338" s="272"/>
      <c r="BJ338" s="272"/>
      <c r="BK338" s="272"/>
      <c r="BL338" s="272"/>
      <c r="BM338" s="272"/>
      <c r="BN338" s="272"/>
      <c r="BO338" s="272"/>
      <c r="BP338" s="272"/>
      <c r="BQ338" s="272"/>
      <c r="BR338" s="272"/>
      <c r="BS338" s="272"/>
      <c r="BT338" s="272"/>
      <c r="BU338" s="272"/>
      <c r="BV338" s="272"/>
      <c r="BW338" s="272"/>
      <c r="BX338" s="272"/>
      <c r="BY338" s="272"/>
      <c r="BZ338" s="272"/>
      <c r="CA338" s="272"/>
      <c r="CB338" s="272"/>
      <c r="CC338" s="272"/>
      <c r="CD338" s="272"/>
      <c r="CE338" s="272"/>
      <c r="CF338" s="272"/>
      <c r="CG338" s="272"/>
      <c r="CH338" s="272"/>
      <c r="CI338" s="272"/>
      <c r="CJ338" s="272"/>
      <c r="CK338" s="272"/>
      <c r="CL338" s="272"/>
      <c r="CM338" s="272"/>
      <c r="CN338" s="272"/>
      <c r="CO338" s="272"/>
      <c r="CP338" s="272"/>
      <c r="CQ338" s="272"/>
    </row>
    <row r="339" spans="1:95">
      <c r="A339" s="275" t="s">
        <v>293</v>
      </c>
      <c r="B339" s="21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18">
        <v>-8522.4543822663254</v>
      </c>
      <c r="R339" s="272">
        <f t="shared" ref="R339:BB339" si="668">R328+0.896634*0.828454*(R322+R324)+R334</f>
        <v>-15557.257870205871</v>
      </c>
      <c r="S339" s="272">
        <f>S328+0.896634*0.828454*(S322+S324)+S334</f>
        <v>4809.1293635404954</v>
      </c>
      <c r="T339" s="272" t="e">
        <f t="shared" si="668"/>
        <v>#REF!</v>
      </c>
      <c r="U339" s="272" t="e">
        <f t="shared" si="668"/>
        <v>#REF!</v>
      </c>
      <c r="V339" s="272" t="e">
        <f t="shared" si="668"/>
        <v>#REF!</v>
      </c>
      <c r="W339" s="272" t="e">
        <f t="shared" si="668"/>
        <v>#REF!</v>
      </c>
      <c r="X339" s="272" t="e">
        <f t="shared" si="668"/>
        <v>#REF!</v>
      </c>
      <c r="Y339" s="272" t="e">
        <f t="shared" si="668"/>
        <v>#REF!</v>
      </c>
      <c r="Z339" s="272" t="e">
        <f t="shared" si="668"/>
        <v>#REF!</v>
      </c>
      <c r="AA339" s="272" t="e">
        <f t="shared" si="668"/>
        <v>#REF!</v>
      </c>
      <c r="AB339" s="272" t="e">
        <f t="shared" si="668"/>
        <v>#REF!</v>
      </c>
      <c r="AC339" s="272" t="e">
        <f t="shared" si="668"/>
        <v>#REF!</v>
      </c>
      <c r="AD339" s="272" t="e">
        <f t="shared" si="668"/>
        <v>#REF!</v>
      </c>
      <c r="AE339" s="272" t="e">
        <f t="shared" si="668"/>
        <v>#REF!</v>
      </c>
      <c r="AF339" s="272" t="e">
        <f t="shared" si="668"/>
        <v>#REF!</v>
      </c>
      <c r="AG339" s="272" t="e">
        <f t="shared" si="668"/>
        <v>#REF!</v>
      </c>
      <c r="AH339" s="272" t="e">
        <f t="shared" si="668"/>
        <v>#REF!</v>
      </c>
      <c r="AI339" s="272" t="e">
        <f t="shared" si="668"/>
        <v>#REF!</v>
      </c>
      <c r="AJ339" s="272" t="e">
        <f t="shared" si="668"/>
        <v>#REF!</v>
      </c>
      <c r="AK339" s="272" t="e">
        <f t="shared" si="668"/>
        <v>#REF!</v>
      </c>
      <c r="AL339" s="272" t="e">
        <f t="shared" si="668"/>
        <v>#REF!</v>
      </c>
      <c r="AM339" s="272" t="e">
        <f t="shared" si="668"/>
        <v>#REF!</v>
      </c>
      <c r="AN339" s="272" t="e">
        <f t="shared" si="668"/>
        <v>#REF!</v>
      </c>
      <c r="AO339" s="272" t="e">
        <f t="shared" si="668"/>
        <v>#REF!</v>
      </c>
      <c r="AP339" s="272" t="e">
        <f t="shared" si="668"/>
        <v>#REF!</v>
      </c>
      <c r="AQ339" s="272" t="e">
        <f t="shared" si="668"/>
        <v>#REF!</v>
      </c>
      <c r="AR339" s="272" t="e">
        <f t="shared" si="668"/>
        <v>#REF!</v>
      </c>
      <c r="AS339" s="272" t="e">
        <f t="shared" si="668"/>
        <v>#REF!</v>
      </c>
      <c r="AT339" s="272" t="e">
        <f t="shared" si="668"/>
        <v>#REF!</v>
      </c>
      <c r="AU339" s="272" t="e">
        <f t="shared" si="668"/>
        <v>#REF!</v>
      </c>
      <c r="AV339" s="272" t="e">
        <f t="shared" si="668"/>
        <v>#REF!</v>
      </c>
      <c r="AW339" s="272" t="e">
        <f t="shared" si="668"/>
        <v>#REF!</v>
      </c>
      <c r="AX339" s="272" t="e">
        <f t="shared" si="668"/>
        <v>#REF!</v>
      </c>
      <c r="AY339" s="272" t="e">
        <f t="shared" si="668"/>
        <v>#REF!</v>
      </c>
      <c r="AZ339" s="272" t="e">
        <f t="shared" si="668"/>
        <v>#REF!</v>
      </c>
      <c r="BA339" s="272" t="e">
        <f t="shared" si="668"/>
        <v>#REF!</v>
      </c>
      <c r="BB339" s="272" t="e">
        <f t="shared" si="668"/>
        <v>#REF!</v>
      </c>
      <c r="BC339" s="272" t="e">
        <f t="shared" ref="BC339:BH339" si="669">BC328+0.896634*0.828454*(BC322+BC324)+BC334</f>
        <v>#REF!</v>
      </c>
      <c r="BD339" s="272" t="e">
        <f t="shared" si="669"/>
        <v>#REF!</v>
      </c>
      <c r="BE339" s="272" t="e">
        <f t="shared" si="669"/>
        <v>#REF!</v>
      </c>
      <c r="BF339" s="272" t="e">
        <f t="shared" si="669"/>
        <v>#REF!</v>
      </c>
      <c r="BG339" s="272" t="e">
        <f t="shared" si="669"/>
        <v>#REF!</v>
      </c>
      <c r="BH339" s="272" t="e">
        <f t="shared" si="669"/>
        <v>#REF!</v>
      </c>
      <c r="BI339" s="272" t="e">
        <f>BI328+0.896634*0.828454*(BI322+BI324)+BI334</f>
        <v>#REF!</v>
      </c>
      <c r="BJ339" s="272" t="e">
        <f>BJ328+0.896634*0.828454*(BJ322+BJ324)+BJ334</f>
        <v>#REF!</v>
      </c>
      <c r="BK339" s="272" t="e">
        <f>BK328+0.896634*0.828454*(BK322+BK324)+BK334</f>
        <v>#REF!</v>
      </c>
      <c r="BL339" s="272" t="e">
        <f>BL328+0.896634*0.828454*(BL322+BL324)+BL334</f>
        <v>#REF!</v>
      </c>
      <c r="BM339" s="272" t="e">
        <f>BM328+0.896634*0.828454*(BM322+BM324)+BM334</f>
        <v>#REF!</v>
      </c>
      <c r="BN339" s="272" t="e">
        <f t="shared" ref="BN339:CL339" si="670">BN328+0.896634*0.828454*(BN322+BN324)+BN334</f>
        <v>#REF!</v>
      </c>
      <c r="BO339" s="272" t="e">
        <f t="shared" si="670"/>
        <v>#REF!</v>
      </c>
      <c r="BP339" s="272" t="e">
        <f t="shared" si="670"/>
        <v>#REF!</v>
      </c>
      <c r="BQ339" s="272" t="e">
        <f t="shared" si="670"/>
        <v>#REF!</v>
      </c>
      <c r="BR339" s="272" t="e">
        <f t="shared" si="670"/>
        <v>#REF!</v>
      </c>
      <c r="BS339" s="272" t="e">
        <f t="shared" si="670"/>
        <v>#REF!</v>
      </c>
      <c r="BT339" s="272" t="e">
        <f t="shared" si="670"/>
        <v>#REF!</v>
      </c>
      <c r="BU339" s="272" t="e">
        <f t="shared" si="670"/>
        <v>#REF!</v>
      </c>
      <c r="BV339" s="272" t="e">
        <f t="shared" si="670"/>
        <v>#REF!</v>
      </c>
      <c r="BW339" s="272" t="e">
        <f t="shared" si="670"/>
        <v>#REF!</v>
      </c>
      <c r="BX339" s="272" t="e">
        <f t="shared" si="670"/>
        <v>#REF!</v>
      </c>
      <c r="BY339" s="272" t="e">
        <f t="shared" si="670"/>
        <v>#REF!</v>
      </c>
      <c r="BZ339" s="272" t="e">
        <f t="shared" si="670"/>
        <v>#REF!</v>
      </c>
      <c r="CA339" s="272" t="e">
        <f t="shared" si="670"/>
        <v>#REF!</v>
      </c>
      <c r="CB339" s="272" t="e">
        <f t="shared" si="670"/>
        <v>#REF!</v>
      </c>
      <c r="CC339" s="272" t="e">
        <f t="shared" si="670"/>
        <v>#REF!</v>
      </c>
      <c r="CD339" s="272" t="e">
        <f t="shared" si="670"/>
        <v>#REF!</v>
      </c>
      <c r="CE339" s="272" t="e">
        <f t="shared" si="670"/>
        <v>#REF!</v>
      </c>
      <c r="CF339" s="272" t="e">
        <f t="shared" si="670"/>
        <v>#REF!</v>
      </c>
      <c r="CG339" s="272" t="e">
        <f t="shared" si="670"/>
        <v>#REF!</v>
      </c>
      <c r="CH339" s="272" t="e">
        <f t="shared" si="670"/>
        <v>#REF!</v>
      </c>
      <c r="CI339" s="272" t="e">
        <f t="shared" si="670"/>
        <v>#REF!</v>
      </c>
      <c r="CJ339" s="272" t="e">
        <f t="shared" si="670"/>
        <v>#REF!</v>
      </c>
      <c r="CK339" s="272" t="e">
        <f t="shared" si="670"/>
        <v>#REF!</v>
      </c>
      <c r="CL339" s="272" t="e">
        <f t="shared" si="670"/>
        <v>#REF!</v>
      </c>
      <c r="CM339" s="272" t="e">
        <f t="shared" ref="CM339:CQ339" si="671">CM328+0.896634*0.828454*(CM322+CM324)+CM334</f>
        <v>#REF!</v>
      </c>
      <c r="CN339" s="272" t="e">
        <f t="shared" si="671"/>
        <v>#REF!</v>
      </c>
      <c r="CO339" s="272" t="e">
        <f t="shared" si="671"/>
        <v>#REF!</v>
      </c>
      <c r="CP339" s="272" t="e">
        <f t="shared" si="671"/>
        <v>#REF!</v>
      </c>
      <c r="CQ339" s="272" t="e">
        <f t="shared" si="671"/>
        <v>#REF!</v>
      </c>
    </row>
    <row r="340" spans="1:95">
      <c r="A340" s="275"/>
      <c r="B340" s="21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18"/>
      <c r="R340" s="272"/>
      <c r="S340" s="272"/>
      <c r="T340" s="272"/>
      <c r="U340" s="272"/>
      <c r="V340" s="272"/>
      <c r="W340" s="272"/>
      <c r="X340" s="272"/>
      <c r="Y340" s="272"/>
      <c r="Z340" s="272"/>
      <c r="AA340" s="272"/>
      <c r="AB340" s="272"/>
      <c r="AC340" s="272"/>
      <c r="AD340" s="272"/>
      <c r="AE340" s="272"/>
      <c r="AF340" s="272"/>
      <c r="AG340" s="272"/>
      <c r="AH340" s="272"/>
      <c r="AI340" s="272"/>
      <c r="AJ340" s="272"/>
      <c r="AK340" s="272"/>
      <c r="AL340" s="272"/>
      <c r="AM340" s="272"/>
      <c r="AN340" s="272"/>
      <c r="AO340" s="272"/>
      <c r="AP340" s="272"/>
      <c r="AQ340" s="272"/>
      <c r="AR340" s="272"/>
      <c r="AS340" s="272"/>
      <c r="AT340" s="272"/>
      <c r="AU340" s="272"/>
      <c r="AV340" s="272"/>
      <c r="AW340" s="272"/>
      <c r="AX340" s="272"/>
      <c r="AY340" s="272"/>
      <c r="AZ340" s="272"/>
      <c r="BA340" s="272"/>
      <c r="BB340" s="272"/>
      <c r="BC340" s="272"/>
      <c r="BE340" s="90"/>
    </row>
    <row r="341" spans="1:95">
      <c r="A341" s="275" t="s">
        <v>294</v>
      </c>
      <c r="B341" s="21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18">
        <v>0</v>
      </c>
      <c r="R341" s="272">
        <f t="shared" ref="R341:BB341" si="672">R339-R337</f>
        <v>2278.0379511110259</v>
      </c>
      <c r="S341" s="272">
        <f>S339-S337</f>
        <v>-2320.0423595660104</v>
      </c>
      <c r="T341" s="272" t="e">
        <f t="shared" si="672"/>
        <v>#REF!</v>
      </c>
      <c r="U341" s="272" t="e">
        <f t="shared" si="672"/>
        <v>#REF!</v>
      </c>
      <c r="V341" s="272" t="e">
        <f t="shared" si="672"/>
        <v>#REF!</v>
      </c>
      <c r="W341" s="272" t="e">
        <f t="shared" si="672"/>
        <v>#REF!</v>
      </c>
      <c r="X341" s="272" t="e">
        <f t="shared" si="672"/>
        <v>#REF!</v>
      </c>
      <c r="Y341" s="272" t="e">
        <f t="shared" si="672"/>
        <v>#REF!</v>
      </c>
      <c r="Z341" s="272" t="e">
        <f t="shared" si="672"/>
        <v>#REF!</v>
      </c>
      <c r="AA341" s="272" t="e">
        <f t="shared" si="672"/>
        <v>#REF!</v>
      </c>
      <c r="AB341" s="272" t="e">
        <f t="shared" si="672"/>
        <v>#REF!</v>
      </c>
      <c r="AC341" s="272" t="e">
        <f t="shared" si="672"/>
        <v>#REF!</v>
      </c>
      <c r="AD341" s="272" t="e">
        <f t="shared" si="672"/>
        <v>#REF!</v>
      </c>
      <c r="AE341" s="272" t="e">
        <f t="shared" si="672"/>
        <v>#REF!</v>
      </c>
      <c r="AF341" s="272" t="e">
        <f t="shared" si="672"/>
        <v>#REF!</v>
      </c>
      <c r="AG341" s="272" t="e">
        <f t="shared" si="672"/>
        <v>#REF!</v>
      </c>
      <c r="AH341" s="272" t="e">
        <f t="shared" si="672"/>
        <v>#REF!</v>
      </c>
      <c r="AI341" s="272" t="e">
        <f t="shared" si="672"/>
        <v>#REF!</v>
      </c>
      <c r="AJ341" s="272" t="e">
        <f t="shared" si="672"/>
        <v>#REF!</v>
      </c>
      <c r="AK341" s="272" t="e">
        <f t="shared" si="672"/>
        <v>#REF!</v>
      </c>
      <c r="AL341" s="272" t="e">
        <f t="shared" si="672"/>
        <v>#REF!</v>
      </c>
      <c r="AM341" s="272" t="e">
        <f t="shared" si="672"/>
        <v>#REF!</v>
      </c>
      <c r="AN341" s="272" t="e">
        <f t="shared" si="672"/>
        <v>#REF!</v>
      </c>
      <c r="AO341" s="272" t="e">
        <f t="shared" si="672"/>
        <v>#REF!</v>
      </c>
      <c r="AP341" s="272" t="e">
        <f t="shared" si="672"/>
        <v>#REF!</v>
      </c>
      <c r="AQ341" s="272" t="e">
        <f t="shared" si="672"/>
        <v>#REF!</v>
      </c>
      <c r="AR341" s="272" t="e">
        <f t="shared" si="672"/>
        <v>#REF!</v>
      </c>
      <c r="AS341" s="272" t="e">
        <f t="shared" si="672"/>
        <v>#REF!</v>
      </c>
      <c r="AT341" s="272" t="e">
        <f t="shared" si="672"/>
        <v>#REF!</v>
      </c>
      <c r="AU341" s="272" t="e">
        <f t="shared" si="672"/>
        <v>#REF!</v>
      </c>
      <c r="AV341" s="272" t="e">
        <f t="shared" si="672"/>
        <v>#REF!</v>
      </c>
      <c r="AW341" s="272" t="e">
        <f t="shared" si="672"/>
        <v>#REF!</v>
      </c>
      <c r="AX341" s="272" t="e">
        <f t="shared" si="672"/>
        <v>#REF!</v>
      </c>
      <c r="AY341" s="272" t="e">
        <f t="shared" si="672"/>
        <v>#REF!</v>
      </c>
      <c r="AZ341" s="272" t="e">
        <f t="shared" si="672"/>
        <v>#REF!</v>
      </c>
      <c r="BA341" s="272" t="e">
        <f t="shared" si="672"/>
        <v>#REF!</v>
      </c>
      <c r="BB341" s="272" t="e">
        <f t="shared" si="672"/>
        <v>#REF!</v>
      </c>
      <c r="BC341" s="272" t="e">
        <f>BC339-BC337</f>
        <v>#REF!</v>
      </c>
      <c r="BD341" s="272" t="e">
        <f t="shared" ref="BD341:BL341" si="673">BD339-BD337</f>
        <v>#REF!</v>
      </c>
      <c r="BE341" s="272" t="e">
        <f t="shared" si="673"/>
        <v>#REF!</v>
      </c>
      <c r="BF341" s="272" t="e">
        <f t="shared" si="673"/>
        <v>#REF!</v>
      </c>
      <c r="BG341" s="272" t="e">
        <f t="shared" si="673"/>
        <v>#REF!</v>
      </c>
      <c r="BH341" s="272" t="e">
        <f>BH339-BH337</f>
        <v>#REF!</v>
      </c>
      <c r="BI341" s="272" t="e">
        <f t="shared" si="673"/>
        <v>#REF!</v>
      </c>
      <c r="BJ341" s="272" t="e">
        <f t="shared" si="673"/>
        <v>#REF!</v>
      </c>
      <c r="BK341" s="272" t="e">
        <f t="shared" si="673"/>
        <v>#REF!</v>
      </c>
      <c r="BL341" s="272" t="e">
        <f t="shared" si="673"/>
        <v>#REF!</v>
      </c>
      <c r="BM341" s="272" t="e">
        <f>BM339-BM337</f>
        <v>#REF!</v>
      </c>
      <c r="BN341" s="272" t="e">
        <f t="shared" ref="BN341:CL341" si="674">BN339-BN337</f>
        <v>#REF!</v>
      </c>
      <c r="BO341" s="272" t="e">
        <f t="shared" si="674"/>
        <v>#REF!</v>
      </c>
      <c r="BP341" s="272" t="e">
        <f t="shared" si="674"/>
        <v>#REF!</v>
      </c>
      <c r="BQ341" s="272" t="e">
        <f t="shared" si="674"/>
        <v>#REF!</v>
      </c>
      <c r="BR341" s="272" t="e">
        <f t="shared" si="674"/>
        <v>#REF!</v>
      </c>
      <c r="BS341" s="272" t="e">
        <f t="shared" si="674"/>
        <v>#REF!</v>
      </c>
      <c r="BT341" s="272" t="e">
        <f t="shared" si="674"/>
        <v>#REF!</v>
      </c>
      <c r="BU341" s="272" t="e">
        <f t="shared" si="674"/>
        <v>#REF!</v>
      </c>
      <c r="BV341" s="272" t="e">
        <f t="shared" si="674"/>
        <v>#REF!</v>
      </c>
      <c r="BW341" s="272" t="e">
        <f t="shared" si="674"/>
        <v>#REF!</v>
      </c>
      <c r="BX341" s="272" t="e">
        <f t="shared" si="674"/>
        <v>#REF!</v>
      </c>
      <c r="BY341" s="272" t="e">
        <f t="shared" si="674"/>
        <v>#REF!</v>
      </c>
      <c r="BZ341" s="272" t="e">
        <f t="shared" si="674"/>
        <v>#REF!</v>
      </c>
      <c r="CA341" s="272" t="e">
        <f t="shared" si="674"/>
        <v>#REF!</v>
      </c>
      <c r="CB341" s="272" t="e">
        <f t="shared" si="674"/>
        <v>#REF!</v>
      </c>
      <c r="CC341" s="272" t="e">
        <f t="shared" si="674"/>
        <v>#REF!</v>
      </c>
      <c r="CD341" s="272" t="e">
        <f t="shared" si="674"/>
        <v>#REF!</v>
      </c>
      <c r="CE341" s="272" t="e">
        <f t="shared" si="674"/>
        <v>#REF!</v>
      </c>
      <c r="CF341" s="272" t="e">
        <f t="shared" si="674"/>
        <v>#REF!</v>
      </c>
      <c r="CG341" s="272" t="e">
        <f t="shared" si="674"/>
        <v>#REF!</v>
      </c>
      <c r="CH341" s="272" t="e">
        <f t="shared" si="674"/>
        <v>#REF!</v>
      </c>
      <c r="CI341" s="272" t="e">
        <f t="shared" si="674"/>
        <v>#REF!</v>
      </c>
      <c r="CJ341" s="272" t="e">
        <f t="shared" si="674"/>
        <v>#REF!</v>
      </c>
      <c r="CK341" s="272" t="e">
        <f t="shared" si="674"/>
        <v>#REF!</v>
      </c>
      <c r="CL341" s="272" t="e">
        <f t="shared" si="674"/>
        <v>#REF!</v>
      </c>
      <c r="CM341" s="272" t="e">
        <f t="shared" ref="CM341:CQ341" si="675">CM339-CM337</f>
        <v>#REF!</v>
      </c>
      <c r="CN341" s="272" t="e">
        <f t="shared" si="675"/>
        <v>#REF!</v>
      </c>
      <c r="CO341" s="272" t="e">
        <f t="shared" si="675"/>
        <v>#REF!</v>
      </c>
      <c r="CP341" s="272" t="e">
        <f t="shared" si="675"/>
        <v>#REF!</v>
      </c>
      <c r="CQ341" s="272" t="e">
        <f t="shared" si="675"/>
        <v>#REF!</v>
      </c>
    </row>
    <row r="342" spans="1:95">
      <c r="A342" s="275"/>
      <c r="B342" s="21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18"/>
      <c r="R342" s="272"/>
      <c r="S342" s="272"/>
      <c r="T342" s="272"/>
      <c r="U342" s="272"/>
      <c r="V342" s="272"/>
      <c r="W342" s="272"/>
      <c r="X342" s="272"/>
      <c r="Y342" s="272"/>
      <c r="Z342" s="272"/>
      <c r="AA342" s="272"/>
      <c r="AB342" s="272"/>
      <c r="AC342" s="272"/>
      <c r="AD342" s="272"/>
      <c r="AE342" s="272"/>
      <c r="AF342" s="272"/>
      <c r="AG342" s="272"/>
      <c r="AH342" s="272"/>
      <c r="AI342" s="272"/>
      <c r="AJ342" s="272"/>
      <c r="AK342" s="272"/>
      <c r="AL342" s="272"/>
      <c r="AM342" s="272"/>
      <c r="AN342" s="272"/>
      <c r="AO342" s="272"/>
      <c r="AP342" s="272"/>
      <c r="AQ342" s="272"/>
      <c r="AR342" s="272"/>
      <c r="AS342" s="272"/>
      <c r="AT342" s="272"/>
      <c r="AU342" s="272"/>
      <c r="AV342" s="272"/>
      <c r="AW342" s="272"/>
      <c r="AX342" s="272"/>
      <c r="AY342" s="272"/>
      <c r="AZ342" s="272"/>
      <c r="BA342" s="272"/>
      <c r="BB342" s="272"/>
      <c r="BC342" s="272"/>
    </row>
    <row r="343" spans="1:95">
      <c r="A343" s="275" t="s">
        <v>295</v>
      </c>
      <c r="B343" s="21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6"/>
      <c r="N343" s="224">
        <v>0</v>
      </c>
      <c r="O343" s="224">
        <v>0</v>
      </c>
      <c r="P343" s="224">
        <v>0</v>
      </c>
      <c r="Q343" s="223">
        <v>0</v>
      </c>
      <c r="R343" s="271">
        <v>0</v>
      </c>
      <c r="S343" s="271">
        <v>0</v>
      </c>
      <c r="T343" s="271">
        <v>0</v>
      </c>
      <c r="U343" s="271">
        <v>0</v>
      </c>
      <c r="V343" s="271">
        <v>0</v>
      </c>
      <c r="W343" s="271">
        <v>0</v>
      </c>
      <c r="X343" s="271">
        <v>0</v>
      </c>
      <c r="Y343" s="271">
        <v>0</v>
      </c>
      <c r="Z343" s="271">
        <v>0</v>
      </c>
      <c r="AA343" s="271">
        <v>0</v>
      </c>
      <c r="AB343" s="271">
        <v>0</v>
      </c>
      <c r="AC343" s="271">
        <v>0</v>
      </c>
      <c r="AD343" s="271">
        <v>0</v>
      </c>
      <c r="AE343" s="271">
        <v>0</v>
      </c>
      <c r="AF343" s="271">
        <v>0</v>
      </c>
      <c r="AG343" s="271">
        <v>0</v>
      </c>
      <c r="AH343" s="271">
        <v>0</v>
      </c>
      <c r="AI343" s="271">
        <v>0</v>
      </c>
      <c r="AJ343" s="271">
        <v>0</v>
      </c>
      <c r="AK343" s="271">
        <v>0</v>
      </c>
      <c r="AL343" s="271">
        <v>0</v>
      </c>
      <c r="AM343" s="271">
        <v>0</v>
      </c>
      <c r="AN343" s="271">
        <v>0</v>
      </c>
      <c r="AO343" s="271">
        <v>0</v>
      </c>
      <c r="AP343" s="271">
        <v>0</v>
      </c>
      <c r="AQ343" s="271">
        <v>0</v>
      </c>
      <c r="AR343" s="271">
        <v>0</v>
      </c>
      <c r="AS343" s="271">
        <v>0</v>
      </c>
      <c r="AT343" s="271">
        <v>0</v>
      </c>
      <c r="AU343" s="271">
        <v>0</v>
      </c>
      <c r="AV343" s="271">
        <v>0</v>
      </c>
      <c r="AW343" s="271">
        <v>0</v>
      </c>
      <c r="AX343" s="271">
        <v>0</v>
      </c>
      <c r="AY343" s="271">
        <v>0</v>
      </c>
      <c r="AZ343" s="271">
        <v>0</v>
      </c>
      <c r="BA343" s="271">
        <v>0</v>
      </c>
      <c r="BB343" s="271">
        <v>0</v>
      </c>
      <c r="BC343" s="271">
        <v>0</v>
      </c>
      <c r="BD343" s="271">
        <v>0</v>
      </c>
      <c r="BE343" s="271" t="e">
        <f t="shared" ref="BE343:BM343" si="676">BE341</f>
        <v>#REF!</v>
      </c>
      <c r="BF343" s="271" t="e">
        <f>BF341</f>
        <v>#REF!</v>
      </c>
      <c r="BG343" s="271" t="e">
        <f t="shared" si="676"/>
        <v>#REF!</v>
      </c>
      <c r="BH343" s="271" t="e">
        <f t="shared" si="676"/>
        <v>#REF!</v>
      </c>
      <c r="BI343" s="271" t="e">
        <f t="shared" si="676"/>
        <v>#REF!</v>
      </c>
      <c r="BJ343" s="271" t="e">
        <f t="shared" si="676"/>
        <v>#REF!</v>
      </c>
      <c r="BK343" s="271" t="e">
        <f t="shared" si="676"/>
        <v>#REF!</v>
      </c>
      <c r="BL343" s="271" t="e">
        <f t="shared" si="676"/>
        <v>#REF!</v>
      </c>
      <c r="BM343" s="271" t="e">
        <f t="shared" si="676"/>
        <v>#REF!</v>
      </c>
      <c r="BN343" s="271" t="e">
        <f t="shared" ref="BN343:CL343" si="677">BN341</f>
        <v>#REF!</v>
      </c>
      <c r="BO343" s="271" t="e">
        <f t="shared" si="677"/>
        <v>#REF!</v>
      </c>
      <c r="BP343" s="271" t="e">
        <f t="shared" si="677"/>
        <v>#REF!</v>
      </c>
      <c r="BQ343" s="271" t="e">
        <f t="shared" si="677"/>
        <v>#REF!</v>
      </c>
      <c r="BR343" s="271" t="e">
        <f t="shared" si="677"/>
        <v>#REF!</v>
      </c>
      <c r="BS343" s="271" t="e">
        <f t="shared" si="677"/>
        <v>#REF!</v>
      </c>
      <c r="BT343" s="271" t="e">
        <f t="shared" si="677"/>
        <v>#REF!</v>
      </c>
      <c r="BU343" s="271" t="e">
        <f t="shared" si="677"/>
        <v>#REF!</v>
      </c>
      <c r="BV343" s="271" t="e">
        <f t="shared" si="677"/>
        <v>#REF!</v>
      </c>
      <c r="BW343" s="271" t="e">
        <f t="shared" si="677"/>
        <v>#REF!</v>
      </c>
      <c r="BX343" s="271" t="e">
        <f t="shared" si="677"/>
        <v>#REF!</v>
      </c>
      <c r="BY343" s="271" t="e">
        <f t="shared" si="677"/>
        <v>#REF!</v>
      </c>
      <c r="BZ343" s="271" t="e">
        <f t="shared" si="677"/>
        <v>#REF!</v>
      </c>
      <c r="CA343" s="271" t="e">
        <f t="shared" si="677"/>
        <v>#REF!</v>
      </c>
      <c r="CB343" s="271" t="e">
        <f t="shared" si="677"/>
        <v>#REF!</v>
      </c>
      <c r="CC343" s="271" t="e">
        <f t="shared" si="677"/>
        <v>#REF!</v>
      </c>
      <c r="CD343" s="271" t="e">
        <f t="shared" si="677"/>
        <v>#REF!</v>
      </c>
      <c r="CE343" s="271" t="e">
        <f t="shared" si="677"/>
        <v>#REF!</v>
      </c>
      <c r="CF343" s="271" t="e">
        <f t="shared" si="677"/>
        <v>#REF!</v>
      </c>
      <c r="CG343" s="271" t="e">
        <f t="shared" si="677"/>
        <v>#REF!</v>
      </c>
      <c r="CH343" s="271" t="e">
        <f t="shared" si="677"/>
        <v>#REF!</v>
      </c>
      <c r="CI343" s="271" t="e">
        <f t="shared" si="677"/>
        <v>#REF!</v>
      </c>
      <c r="CJ343" s="271" t="e">
        <f t="shared" si="677"/>
        <v>#REF!</v>
      </c>
      <c r="CK343" s="271" t="e">
        <f t="shared" si="677"/>
        <v>#REF!</v>
      </c>
      <c r="CL343" s="271" t="e">
        <f t="shared" si="677"/>
        <v>#REF!</v>
      </c>
      <c r="CM343" s="271" t="e">
        <f t="shared" ref="CM343:CQ343" si="678">CM341</f>
        <v>#REF!</v>
      </c>
      <c r="CN343" s="271" t="e">
        <f t="shared" si="678"/>
        <v>#REF!</v>
      </c>
      <c r="CO343" s="271" t="e">
        <f t="shared" si="678"/>
        <v>#REF!</v>
      </c>
      <c r="CP343" s="271" t="e">
        <f t="shared" si="678"/>
        <v>#REF!</v>
      </c>
      <c r="CQ343" s="271" t="e">
        <f t="shared" si="678"/>
        <v>#REF!</v>
      </c>
    </row>
    <row r="344" spans="1:95">
      <c r="A344" s="275"/>
      <c r="B344" s="211"/>
      <c r="C344" s="221"/>
      <c r="D344" s="221"/>
      <c r="E344" s="221"/>
      <c r="F344" s="221"/>
      <c r="G344" s="221"/>
      <c r="H344" s="221"/>
      <c r="I344" s="221"/>
      <c r="J344" s="221"/>
      <c r="K344" s="225"/>
      <c r="L344" s="225"/>
      <c r="M344" s="221"/>
      <c r="N344" s="221"/>
      <c r="O344" s="221"/>
      <c r="P344" s="221"/>
      <c r="Q344" s="218"/>
      <c r="R344" s="272"/>
      <c r="S344" s="272"/>
      <c r="T344" s="272"/>
      <c r="U344" s="272"/>
      <c r="V344" s="272"/>
      <c r="W344" s="272"/>
      <c r="X344" s="272"/>
      <c r="Y344" s="272"/>
      <c r="Z344" s="272"/>
      <c r="AA344" s="272"/>
      <c r="AB344" s="272"/>
      <c r="AC344" s="272"/>
      <c r="AD344" s="272"/>
      <c r="AE344" s="272"/>
      <c r="AF344" s="272"/>
      <c r="AG344" s="272"/>
      <c r="AH344" s="272"/>
      <c r="AI344" s="272"/>
      <c r="AJ344" s="272"/>
      <c r="AK344" s="272"/>
      <c r="AL344" s="272"/>
      <c r="AM344" s="272"/>
      <c r="AN344" s="272"/>
      <c r="AO344" s="272"/>
      <c r="AP344" s="272"/>
      <c r="AQ344" s="272"/>
      <c r="AR344" s="272"/>
      <c r="AS344" s="272"/>
      <c r="AT344" s="272"/>
      <c r="AU344" s="272"/>
      <c r="AV344" s="272"/>
      <c r="AW344" s="272"/>
      <c r="AX344" s="272"/>
      <c r="AY344" s="272"/>
      <c r="AZ344" s="272"/>
      <c r="BA344" s="272"/>
      <c r="BB344" s="272"/>
      <c r="BC344" s="272"/>
    </row>
    <row r="345" spans="1:95">
      <c r="A345" s="275" t="s">
        <v>296</v>
      </c>
      <c r="B345" s="285" t="s">
        <v>297</v>
      </c>
      <c r="C345" s="232">
        <v>0</v>
      </c>
      <c r="D345" s="232">
        <v>0</v>
      </c>
      <c r="E345" s="232">
        <v>0</v>
      </c>
      <c r="F345" s="232">
        <v>0</v>
      </c>
      <c r="G345" s="232">
        <v>0</v>
      </c>
      <c r="H345" s="232">
        <v>0</v>
      </c>
      <c r="I345" s="232">
        <v>882.35827668061904</v>
      </c>
      <c r="J345" s="232">
        <v>1622.76515949792</v>
      </c>
      <c r="K345" s="232">
        <v>-48.082866667090002</v>
      </c>
      <c r="L345" s="232">
        <v>827.87821015445297</v>
      </c>
      <c r="M345" s="232">
        <v>471.44040292875798</v>
      </c>
      <c r="N345" s="453">
        <v>-550.57253903164201</v>
      </c>
      <c r="O345" s="453">
        <v>104.62023875832099</v>
      </c>
      <c r="P345" s="453">
        <v>321</v>
      </c>
      <c r="Q345" s="453">
        <v>-109</v>
      </c>
      <c r="R345" s="218">
        <v>124</v>
      </c>
      <c r="S345" s="218">
        <v>317</v>
      </c>
      <c r="T345" s="218">
        <v>-564.912660882669</v>
      </c>
      <c r="U345" s="272" t="e">
        <f t="shared" ref="U345:BB345" si="679">T345+(U343-U341)</f>
        <v>#REF!</v>
      </c>
      <c r="V345" s="272" t="e">
        <f t="shared" si="679"/>
        <v>#REF!</v>
      </c>
      <c r="W345" s="272" t="e">
        <f t="shared" si="679"/>
        <v>#REF!</v>
      </c>
      <c r="X345" s="272" t="e">
        <f t="shared" si="679"/>
        <v>#REF!</v>
      </c>
      <c r="Y345" s="272" t="e">
        <f t="shared" si="679"/>
        <v>#REF!</v>
      </c>
      <c r="Z345" s="272" t="e">
        <f t="shared" si="679"/>
        <v>#REF!</v>
      </c>
      <c r="AA345" s="272" t="e">
        <f t="shared" si="679"/>
        <v>#REF!</v>
      </c>
      <c r="AB345" s="272" t="e">
        <f t="shared" si="679"/>
        <v>#REF!</v>
      </c>
      <c r="AC345" s="272" t="e">
        <f t="shared" si="679"/>
        <v>#REF!</v>
      </c>
      <c r="AD345" s="272" t="e">
        <f t="shared" si="679"/>
        <v>#REF!</v>
      </c>
      <c r="AE345" s="272" t="e">
        <f t="shared" si="679"/>
        <v>#REF!</v>
      </c>
      <c r="AF345" s="272" t="e">
        <f t="shared" si="679"/>
        <v>#REF!</v>
      </c>
      <c r="AG345" s="272" t="e">
        <f t="shared" si="679"/>
        <v>#REF!</v>
      </c>
      <c r="AH345" s="272" t="e">
        <f t="shared" si="679"/>
        <v>#REF!</v>
      </c>
      <c r="AI345" s="272" t="e">
        <f t="shared" si="679"/>
        <v>#REF!</v>
      </c>
      <c r="AJ345" s="272" t="e">
        <f t="shared" si="679"/>
        <v>#REF!</v>
      </c>
      <c r="AK345" s="272" t="e">
        <f t="shared" si="679"/>
        <v>#REF!</v>
      </c>
      <c r="AL345" s="272" t="e">
        <f t="shared" si="679"/>
        <v>#REF!</v>
      </c>
      <c r="AM345" s="272" t="e">
        <f t="shared" si="679"/>
        <v>#REF!</v>
      </c>
      <c r="AN345" s="272" t="e">
        <f t="shared" si="679"/>
        <v>#REF!</v>
      </c>
      <c r="AO345" s="272" t="e">
        <f t="shared" si="679"/>
        <v>#REF!</v>
      </c>
      <c r="AP345" s="272" t="e">
        <f t="shared" si="679"/>
        <v>#REF!</v>
      </c>
      <c r="AQ345" s="272" t="e">
        <f t="shared" si="679"/>
        <v>#REF!</v>
      </c>
      <c r="AR345" s="272" t="e">
        <f t="shared" si="679"/>
        <v>#REF!</v>
      </c>
      <c r="AS345" s="272" t="e">
        <f t="shared" si="679"/>
        <v>#REF!</v>
      </c>
      <c r="AT345" s="272" t="e">
        <f t="shared" si="679"/>
        <v>#REF!</v>
      </c>
      <c r="AU345" s="272" t="e">
        <f t="shared" si="679"/>
        <v>#REF!</v>
      </c>
      <c r="AV345" s="272" t="e">
        <f t="shared" si="679"/>
        <v>#REF!</v>
      </c>
      <c r="AW345" s="272" t="e">
        <f t="shared" si="679"/>
        <v>#REF!</v>
      </c>
      <c r="AX345" s="272" t="e">
        <f t="shared" si="679"/>
        <v>#REF!</v>
      </c>
      <c r="AY345" s="272" t="e">
        <f t="shared" si="679"/>
        <v>#REF!</v>
      </c>
      <c r="AZ345" s="272" t="e">
        <f t="shared" si="679"/>
        <v>#REF!</v>
      </c>
      <c r="BA345" s="272" t="e">
        <f t="shared" si="679"/>
        <v>#REF!</v>
      </c>
      <c r="BB345" s="272" t="e">
        <f t="shared" si="679"/>
        <v>#REF!</v>
      </c>
      <c r="BC345" s="272" t="e">
        <f>BB345+(BC343-BC341)</f>
        <v>#REF!</v>
      </c>
      <c r="BD345" s="272" t="e">
        <f t="shared" ref="BD345:BM345" si="680">BC345+(BD343-BD341)</f>
        <v>#REF!</v>
      </c>
      <c r="BE345" s="272" t="e">
        <f>BD345+(BE343-BE341)</f>
        <v>#REF!</v>
      </c>
      <c r="BF345" s="272" t="e">
        <f>BE345+(BF343-BF341)</f>
        <v>#REF!</v>
      </c>
      <c r="BG345" s="272" t="e">
        <f t="shared" si="680"/>
        <v>#REF!</v>
      </c>
      <c r="BH345" s="272" t="e">
        <f t="shared" si="680"/>
        <v>#REF!</v>
      </c>
      <c r="BI345" s="272" t="e">
        <f t="shared" si="680"/>
        <v>#REF!</v>
      </c>
      <c r="BJ345" s="272" t="e">
        <f t="shared" si="680"/>
        <v>#REF!</v>
      </c>
      <c r="BK345" s="272" t="e">
        <f t="shared" si="680"/>
        <v>#REF!</v>
      </c>
      <c r="BL345" s="272" t="e">
        <f t="shared" si="680"/>
        <v>#REF!</v>
      </c>
      <c r="BM345" s="272" t="e">
        <f t="shared" si="680"/>
        <v>#REF!</v>
      </c>
      <c r="BN345" s="272" t="e">
        <f t="shared" ref="BN345:CL345" si="681">BM345+(BN343-BN341)</f>
        <v>#REF!</v>
      </c>
      <c r="BO345" s="272" t="e">
        <f t="shared" si="681"/>
        <v>#REF!</v>
      </c>
      <c r="BP345" s="272" t="e">
        <f t="shared" si="681"/>
        <v>#REF!</v>
      </c>
      <c r="BQ345" s="272" t="e">
        <f t="shared" si="681"/>
        <v>#REF!</v>
      </c>
      <c r="BR345" s="272" t="e">
        <f t="shared" si="681"/>
        <v>#REF!</v>
      </c>
      <c r="BS345" s="272" t="e">
        <f t="shared" si="681"/>
        <v>#REF!</v>
      </c>
      <c r="BT345" s="272" t="e">
        <f t="shared" si="681"/>
        <v>#REF!</v>
      </c>
      <c r="BU345" s="272" t="e">
        <f t="shared" si="681"/>
        <v>#REF!</v>
      </c>
      <c r="BV345" s="272" t="e">
        <f t="shared" si="681"/>
        <v>#REF!</v>
      </c>
      <c r="BW345" s="272" t="e">
        <f t="shared" si="681"/>
        <v>#REF!</v>
      </c>
      <c r="BX345" s="272" t="e">
        <f t="shared" si="681"/>
        <v>#REF!</v>
      </c>
      <c r="BY345" s="272" t="e">
        <f t="shared" si="681"/>
        <v>#REF!</v>
      </c>
      <c r="BZ345" s="272" t="e">
        <f t="shared" si="681"/>
        <v>#REF!</v>
      </c>
      <c r="CA345" s="272" t="e">
        <f t="shared" si="681"/>
        <v>#REF!</v>
      </c>
      <c r="CB345" s="272" t="e">
        <f t="shared" si="681"/>
        <v>#REF!</v>
      </c>
      <c r="CC345" s="272" t="e">
        <f t="shared" si="681"/>
        <v>#REF!</v>
      </c>
      <c r="CD345" s="272" t="e">
        <f t="shared" si="681"/>
        <v>#REF!</v>
      </c>
      <c r="CE345" s="272" t="e">
        <f t="shared" si="681"/>
        <v>#REF!</v>
      </c>
      <c r="CF345" s="272" t="e">
        <f t="shared" si="681"/>
        <v>#REF!</v>
      </c>
      <c r="CG345" s="272" t="e">
        <f t="shared" si="681"/>
        <v>#REF!</v>
      </c>
      <c r="CH345" s="272" t="e">
        <f t="shared" si="681"/>
        <v>#REF!</v>
      </c>
      <c r="CI345" s="272" t="e">
        <f t="shared" si="681"/>
        <v>#REF!</v>
      </c>
      <c r="CJ345" s="272" t="e">
        <f t="shared" si="681"/>
        <v>#REF!</v>
      </c>
      <c r="CK345" s="272" t="e">
        <f t="shared" si="681"/>
        <v>#REF!</v>
      </c>
      <c r="CL345" s="272" t="e">
        <f t="shared" si="681"/>
        <v>#REF!</v>
      </c>
      <c r="CM345" s="272" t="e">
        <f t="shared" ref="CM345" si="682">CL345+(CM343-CM341)</f>
        <v>#REF!</v>
      </c>
      <c r="CN345" s="272" t="e">
        <f t="shared" ref="CN345" si="683">CM345+(CN343-CN341)</f>
        <v>#REF!</v>
      </c>
      <c r="CO345" s="272" t="e">
        <f t="shared" ref="CO345" si="684">CN345+(CO343-CO341)</f>
        <v>#REF!</v>
      </c>
      <c r="CP345" s="272" t="e">
        <f t="shared" ref="CP345" si="685">CO345+(CP343-CP341)</f>
        <v>#REF!</v>
      </c>
      <c r="CQ345" s="272" t="e">
        <f t="shared" ref="CQ345" si="686">CP345+(CQ343-CQ341)</f>
        <v>#REF!</v>
      </c>
    </row>
    <row r="346" spans="1:95">
      <c r="A346" s="273"/>
      <c r="B346" s="211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37"/>
      <c r="R346" s="218"/>
      <c r="S346" s="272"/>
      <c r="T346" s="272"/>
      <c r="U346" s="272"/>
      <c r="V346" s="272"/>
      <c r="W346" s="272"/>
      <c r="X346" s="272"/>
      <c r="Y346" s="272"/>
      <c r="Z346" s="272"/>
      <c r="AA346" s="272"/>
      <c r="AB346" s="272"/>
      <c r="AC346" s="272"/>
      <c r="AD346" s="272"/>
      <c r="AE346" s="272"/>
      <c r="AF346" s="272"/>
      <c r="AG346" s="272"/>
      <c r="AH346" s="272"/>
      <c r="AI346" s="272"/>
      <c r="AJ346" s="272"/>
      <c r="AK346" s="272"/>
      <c r="AL346" s="272"/>
      <c r="AM346" s="272"/>
      <c r="AN346" s="272"/>
      <c r="AO346" s="272"/>
      <c r="AP346" s="272"/>
      <c r="AQ346" s="272"/>
      <c r="AR346" s="272"/>
      <c r="AS346" s="272"/>
      <c r="AT346" s="272"/>
      <c r="AU346" s="272"/>
      <c r="AV346" s="272"/>
      <c r="AW346" s="272"/>
      <c r="AX346" s="272"/>
      <c r="AY346" s="272"/>
      <c r="AZ346" s="272"/>
      <c r="BA346" s="272"/>
      <c r="BB346" s="272"/>
      <c r="BC346" s="272"/>
    </row>
    <row r="347" spans="1:95">
      <c r="A347" s="139" t="s">
        <v>448</v>
      </c>
      <c r="B347" s="211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37"/>
      <c r="Q347" s="218"/>
      <c r="R347" s="272"/>
      <c r="S347" s="272"/>
      <c r="T347" s="272"/>
      <c r="U347" s="272"/>
      <c r="V347" s="272"/>
      <c r="W347" s="272"/>
      <c r="X347" s="272"/>
      <c r="Y347" s="272"/>
      <c r="Z347" s="272"/>
      <c r="AA347" s="272"/>
      <c r="AB347" s="272"/>
      <c r="AC347" s="272"/>
      <c r="AD347" s="272"/>
      <c r="AE347" s="272"/>
      <c r="AF347" s="272"/>
      <c r="AG347" s="272"/>
      <c r="AH347" s="272"/>
      <c r="AI347" s="272"/>
      <c r="AJ347" s="272"/>
      <c r="AK347" s="272"/>
      <c r="AL347" s="272"/>
      <c r="AM347" s="272"/>
      <c r="AN347" s="272"/>
      <c r="AO347" s="272"/>
      <c r="AP347" s="272"/>
      <c r="AQ347" s="272"/>
      <c r="AR347" s="272"/>
      <c r="AS347" s="272"/>
      <c r="AT347" s="272"/>
      <c r="AU347" s="272"/>
      <c r="AV347" s="272"/>
      <c r="AW347" s="272"/>
      <c r="AX347" s="272"/>
      <c r="AY347" s="272"/>
      <c r="AZ347" s="272"/>
      <c r="BA347" s="272"/>
      <c r="BB347" s="272"/>
      <c r="BC347" s="272"/>
      <c r="BD347" s="272"/>
      <c r="BE347" s="272"/>
      <c r="BF347" s="272"/>
      <c r="BG347" s="272"/>
      <c r="BH347" s="272"/>
      <c r="BI347" s="272"/>
      <c r="BJ347" s="272"/>
      <c r="BK347" s="272"/>
      <c r="BL347" s="272"/>
      <c r="BM347" s="272"/>
      <c r="BN347" s="272"/>
      <c r="BO347" s="272"/>
      <c r="BP347" s="272"/>
      <c r="BQ347" s="272"/>
      <c r="BR347" s="272"/>
      <c r="BS347" s="272"/>
      <c r="BT347" s="272"/>
      <c r="BU347" s="272"/>
      <c r="BV347" s="272"/>
      <c r="BW347" s="272"/>
      <c r="BX347" s="272"/>
      <c r="BY347" s="272"/>
      <c r="BZ347" s="272"/>
      <c r="CA347" s="272"/>
      <c r="CB347" s="272"/>
      <c r="CC347" s="272"/>
      <c r="CD347" s="272"/>
      <c r="CE347" s="272"/>
      <c r="CF347" s="272"/>
      <c r="CG347" s="272"/>
      <c r="CH347" s="272"/>
      <c r="CI347" s="272"/>
      <c r="CJ347" s="272"/>
      <c r="CK347" s="272"/>
      <c r="CL347" s="272"/>
      <c r="CM347" s="272"/>
      <c r="CN347" s="272"/>
      <c r="CO347" s="272"/>
      <c r="CP347" s="272"/>
      <c r="CQ347" s="272"/>
    </row>
    <row r="348" spans="1:95">
      <c r="A348" s="147" t="s">
        <v>495</v>
      </c>
      <c r="B348" s="273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70"/>
      <c r="N348" s="270"/>
      <c r="O348" s="269"/>
      <c r="P348" s="269"/>
      <c r="Q348" s="268"/>
      <c r="R348" s="268"/>
      <c r="S348" s="268"/>
      <c r="T348" s="268">
        <f t="shared" ref="T348:AY348" si="687">T57-S57</f>
        <v>2331.7106117055082</v>
      </c>
      <c r="U348" s="268">
        <f t="shared" si="687"/>
        <v>-6351.1814257897931</v>
      </c>
      <c r="V348" s="268">
        <f t="shared" si="687"/>
        <v>-14517.302130920543</v>
      </c>
      <c r="W348" s="268">
        <f t="shared" si="687"/>
        <v>4594.9895769318391</v>
      </c>
      <c r="X348" s="268">
        <f t="shared" si="687"/>
        <v>1669.0436968707145</v>
      </c>
      <c r="Y348" s="268">
        <f t="shared" si="687"/>
        <v>-4744.8029701778578</v>
      </c>
      <c r="Z348" s="268">
        <f t="shared" si="687"/>
        <v>5195.035214053627</v>
      </c>
      <c r="AA348" s="268">
        <f t="shared" si="687"/>
        <v>8158.0377056851721</v>
      </c>
      <c r="AB348" s="268">
        <f t="shared" si="687"/>
        <v>-3901.7165829961159</v>
      </c>
      <c r="AC348" s="268">
        <f t="shared" si="687"/>
        <v>-8930.2877029755473</v>
      </c>
      <c r="AD348" s="268">
        <f t="shared" si="687"/>
        <v>2127.722410254486</v>
      </c>
      <c r="AE348" s="268">
        <f t="shared" si="687"/>
        <v>5000.7109898609488</v>
      </c>
      <c r="AF348" s="268">
        <f t="shared" si="687"/>
        <v>-2890.9804294989299</v>
      </c>
      <c r="AG348" s="268">
        <f t="shared" si="687"/>
        <v>-2015.6047956905531</v>
      </c>
      <c r="AH348" s="268">
        <f t="shared" si="687"/>
        <v>-1710.966175933856</v>
      </c>
      <c r="AI348" s="268">
        <f t="shared" si="687"/>
        <v>-2369.9101811976725</v>
      </c>
      <c r="AJ348" s="268">
        <f t="shared" si="687"/>
        <v>-1503.1130131992686</v>
      </c>
      <c r="AK348" s="268">
        <f t="shared" si="687"/>
        <v>-1803.0354829928765</v>
      </c>
      <c r="AL348" s="268">
        <f t="shared" si="687"/>
        <v>1618.1138172955252</v>
      </c>
      <c r="AM348" s="268">
        <f t="shared" si="687"/>
        <v>-749.85137391731405</v>
      </c>
      <c r="AN348" s="268">
        <f t="shared" si="687"/>
        <v>67.077529690992378</v>
      </c>
      <c r="AO348" s="268">
        <f t="shared" si="687"/>
        <v>-1709.1805981880752</v>
      </c>
      <c r="AP348" s="268">
        <f t="shared" si="687"/>
        <v>-631.01504689176363</v>
      </c>
      <c r="AQ348" s="268">
        <f t="shared" si="687"/>
        <v>207.48196020353498</v>
      </c>
      <c r="AR348" s="268">
        <f t="shared" si="687"/>
        <v>-339.96207879711437</v>
      </c>
      <c r="AS348" s="268">
        <f t="shared" si="687"/>
        <v>-1233.4640596596437</v>
      </c>
      <c r="AT348" s="268">
        <f t="shared" si="687"/>
        <v>663.10699474386638</v>
      </c>
      <c r="AU348" s="268">
        <f t="shared" si="687"/>
        <v>-1346.9720938682076</v>
      </c>
      <c r="AV348" s="268">
        <f t="shared" si="687"/>
        <v>-1104.8283742682033</v>
      </c>
      <c r="AW348" s="268">
        <f t="shared" si="687"/>
        <v>-947.41793419118039</v>
      </c>
      <c r="AX348" s="268">
        <f t="shared" si="687"/>
        <v>-458.23275081345491</v>
      </c>
      <c r="AY348" s="268">
        <f t="shared" si="687"/>
        <v>-1501.7041556346812</v>
      </c>
      <c r="AZ348" s="268">
        <f t="shared" ref="AZ348:CE348" si="688">AZ57-AY57</f>
        <v>-130.40427658303088</v>
      </c>
      <c r="BA348" s="268">
        <f t="shared" si="688"/>
        <v>-1834.6751404761817</v>
      </c>
      <c r="BB348" s="268">
        <f t="shared" si="688"/>
        <v>-1494.6763202093498</v>
      </c>
      <c r="BC348" s="268">
        <f t="shared" si="688"/>
        <v>-2245.280241256718</v>
      </c>
      <c r="BD348" s="268">
        <f t="shared" si="688"/>
        <v>-1338.0259040542442</v>
      </c>
      <c r="BE348" s="268">
        <f t="shared" si="688"/>
        <v>-619.90634092928667</v>
      </c>
      <c r="BF348" s="268">
        <f t="shared" si="688"/>
        <v>-440.77484028711478</v>
      </c>
      <c r="BG348" s="268">
        <f t="shared" si="688"/>
        <v>-246.31480856364215</v>
      </c>
      <c r="BH348" s="268">
        <f t="shared" si="688"/>
        <v>-1785.8117421210627</v>
      </c>
      <c r="BI348" s="268">
        <f t="shared" si="688"/>
        <v>-2922.526172156744</v>
      </c>
      <c r="BJ348" s="268">
        <f t="shared" si="688"/>
        <v>-99.996740976137517</v>
      </c>
      <c r="BK348" s="268">
        <f t="shared" si="688"/>
        <v>-390.95947015965066</v>
      </c>
      <c r="BL348" s="268">
        <f t="shared" si="688"/>
        <v>-1576.2523220171279</v>
      </c>
      <c r="BM348" s="268">
        <f t="shared" si="688"/>
        <v>-1461.915904125115</v>
      </c>
      <c r="BN348" s="268">
        <f t="shared" si="688"/>
        <v>520.63089891745403</v>
      </c>
      <c r="BO348" s="268">
        <f t="shared" si="688"/>
        <v>528.96099330013385</v>
      </c>
      <c r="BP348" s="268">
        <f t="shared" si="688"/>
        <v>537.42436919293687</v>
      </c>
      <c r="BQ348" s="268">
        <f t="shared" si="688"/>
        <v>546.02315910002653</v>
      </c>
      <c r="BR348" s="268">
        <f t="shared" si="688"/>
        <v>554.75952964562748</v>
      </c>
      <c r="BS348" s="268">
        <f t="shared" si="688"/>
        <v>563.63568211995153</v>
      </c>
      <c r="BT348" s="268">
        <f t="shared" si="688"/>
        <v>572.6538530338803</v>
      </c>
      <c r="BU348" s="268">
        <f t="shared" si="688"/>
        <v>581.8163146824154</v>
      </c>
      <c r="BV348" s="268">
        <f t="shared" si="688"/>
        <v>591.12537571733264</v>
      </c>
      <c r="BW348" s="268">
        <f t="shared" si="688"/>
        <v>600.58338172881486</v>
      </c>
      <c r="BX348" s="268">
        <f t="shared" si="688"/>
        <v>610.19271583647787</v>
      </c>
      <c r="BY348" s="268">
        <f t="shared" si="688"/>
        <v>619.95579928986263</v>
      </c>
      <c r="BZ348" s="268">
        <f t="shared" si="688"/>
        <v>629.87509207849507</v>
      </c>
      <c r="CA348" s="268">
        <f t="shared" si="688"/>
        <v>639.95309355174686</v>
      </c>
      <c r="CB348" s="268">
        <f t="shared" si="688"/>
        <v>650.19234304858401</v>
      </c>
      <c r="CC348" s="268">
        <f t="shared" si="688"/>
        <v>660.5954205373564</v>
      </c>
      <c r="CD348" s="268">
        <f t="shared" si="688"/>
        <v>671.16494726595556</v>
      </c>
      <c r="CE348" s="268">
        <f t="shared" si="688"/>
        <v>681.90358642220963</v>
      </c>
      <c r="CF348" s="268">
        <f t="shared" ref="CF348:CL348" si="689">CF57-CE57</f>
        <v>692.81404380495951</v>
      </c>
      <c r="CG348" s="268">
        <f t="shared" si="689"/>
        <v>703.89906850584521</v>
      </c>
      <c r="CH348" s="268">
        <f t="shared" si="689"/>
        <v>715.16145360193332</v>
      </c>
      <c r="CI348" s="268">
        <f t="shared" si="689"/>
        <v>726.60403685957135</v>
      </c>
      <c r="CJ348" s="268">
        <f t="shared" si="689"/>
        <v>738.22970144932333</v>
      </c>
      <c r="CK348" s="268">
        <f t="shared" si="689"/>
        <v>750.04137667251052</v>
      </c>
      <c r="CL348" s="268">
        <f t="shared" si="689"/>
        <v>762.04203869927733</v>
      </c>
      <c r="CM348" s="268">
        <f t="shared" ref="CM348" si="690">CM57-CL57</f>
        <v>774.234711318466</v>
      </c>
      <c r="CN348" s="268">
        <f t="shared" ref="CN348" si="691">CN57-CM57</f>
        <v>786.62246669955493</v>
      </c>
      <c r="CO348" s="268">
        <f t="shared" ref="CO348" si="692">CO57-CN57</f>
        <v>799.20842616674781</v>
      </c>
      <c r="CP348" s="268">
        <f t="shared" ref="CP348" si="693">CP57-CO57</f>
        <v>811.99576098541729</v>
      </c>
      <c r="CQ348" s="268">
        <f t="shared" ref="CQ348" si="694">CQ57-CP57</f>
        <v>824.98769316117978</v>
      </c>
    </row>
    <row r="349" spans="1:95">
      <c r="A349" s="267"/>
      <c r="B349" s="211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72"/>
      <c r="S349" s="272"/>
      <c r="T349" s="272"/>
      <c r="U349" s="272"/>
      <c r="V349" s="272"/>
      <c r="W349" s="272"/>
      <c r="X349" s="272"/>
      <c r="Y349" s="272"/>
      <c r="Z349" s="272"/>
      <c r="AA349" s="272"/>
      <c r="AB349" s="272"/>
      <c r="AC349" s="272"/>
      <c r="AD349" s="272"/>
      <c r="AE349" s="272"/>
      <c r="AF349" s="272"/>
      <c r="AG349" s="272"/>
      <c r="AH349" s="272"/>
      <c r="AI349" s="272"/>
      <c r="AJ349" s="272"/>
      <c r="AK349" s="272"/>
      <c r="AL349" s="272"/>
      <c r="AM349" s="272"/>
      <c r="AN349" s="272"/>
      <c r="AO349" s="272"/>
      <c r="AP349" s="272"/>
      <c r="AQ349" s="272"/>
      <c r="AR349" s="272"/>
      <c r="AS349" s="272"/>
      <c r="AT349" s="272"/>
      <c r="AU349" s="272"/>
      <c r="AV349" s="272"/>
      <c r="AW349" s="272"/>
      <c r="AX349" s="272"/>
      <c r="AY349" s="272"/>
      <c r="AZ349" s="272"/>
      <c r="BA349" s="272"/>
      <c r="BB349" s="272"/>
      <c r="BC349" s="272"/>
    </row>
    <row r="350" spans="1:95">
      <c r="A350" s="277" t="s">
        <v>298</v>
      </c>
      <c r="B350" s="273" t="s">
        <v>299</v>
      </c>
      <c r="C350" s="222">
        <v>59018.6011894392</v>
      </c>
      <c r="D350" s="222">
        <v>60527.617017067998</v>
      </c>
      <c r="E350" s="222">
        <v>59113.803022127198</v>
      </c>
      <c r="F350" s="222">
        <v>67873.502131586894</v>
      </c>
      <c r="G350" s="222">
        <v>67614.408258628202</v>
      </c>
      <c r="H350" s="222">
        <v>77668.252758474497</v>
      </c>
      <c r="I350" s="222">
        <v>79541.249002216995</v>
      </c>
      <c r="J350" s="222">
        <v>86733.347852226696</v>
      </c>
      <c r="K350" s="222">
        <v>100452.22575629711</v>
      </c>
      <c r="L350" s="222">
        <v>120231.15657075579</v>
      </c>
      <c r="M350" s="222">
        <v>131977.60826753179</v>
      </c>
      <c r="N350" s="222">
        <v>146917.1764122798</v>
      </c>
      <c r="O350" s="222">
        <v>141678.99999999988</v>
      </c>
      <c r="P350" s="222">
        <v>147270.9910828982</v>
      </c>
      <c r="Q350" s="222">
        <v>155089.25199134799</v>
      </c>
      <c r="R350" s="272">
        <f>Q350+(R348-R312-R320)</f>
        <v>156121.10319921529</v>
      </c>
      <c r="S350" s="272">
        <f>R350+(S348-S312-S320)</f>
        <v>155380.10319921529</v>
      </c>
      <c r="T350" s="272" t="e">
        <f t="shared" ref="T350:AI350" si="695">S350+(T348-T312-T320)</f>
        <v>#REF!</v>
      </c>
      <c r="U350" s="272" t="e">
        <f t="shared" si="695"/>
        <v>#REF!</v>
      </c>
      <c r="V350" s="272" t="e">
        <f t="shared" si="695"/>
        <v>#REF!</v>
      </c>
      <c r="W350" s="272" t="e">
        <f t="shared" si="695"/>
        <v>#REF!</v>
      </c>
      <c r="X350" s="272" t="e">
        <f t="shared" si="695"/>
        <v>#REF!</v>
      </c>
      <c r="Y350" s="272" t="e">
        <f t="shared" si="695"/>
        <v>#REF!</v>
      </c>
      <c r="Z350" s="272" t="e">
        <f t="shared" si="695"/>
        <v>#REF!</v>
      </c>
      <c r="AA350" s="272" t="e">
        <f t="shared" si="695"/>
        <v>#REF!</v>
      </c>
      <c r="AB350" s="272" t="e">
        <f t="shared" si="695"/>
        <v>#REF!</v>
      </c>
      <c r="AC350" s="272" t="e">
        <f t="shared" si="695"/>
        <v>#REF!</v>
      </c>
      <c r="AD350" s="272" t="e">
        <f t="shared" si="695"/>
        <v>#REF!</v>
      </c>
      <c r="AE350" s="272" t="e">
        <f t="shared" si="695"/>
        <v>#REF!</v>
      </c>
      <c r="AF350" s="272" t="e">
        <f t="shared" si="695"/>
        <v>#REF!</v>
      </c>
      <c r="AG350" s="272" t="e">
        <f>AF350+(AG348-AG312-AG320)</f>
        <v>#REF!</v>
      </c>
      <c r="AH350" s="272" t="e">
        <f>AG350+(AH348-AH312-AH320)</f>
        <v>#REF!</v>
      </c>
      <c r="AI350" s="272" t="e">
        <f t="shared" si="695"/>
        <v>#REF!</v>
      </c>
      <c r="AJ350" s="272" t="e">
        <f>AI350+(AJ348-AJ312-AJ320)</f>
        <v>#REF!</v>
      </c>
      <c r="AK350" s="272" t="e">
        <f>AJ350+(AK348-AK312-AK320)</f>
        <v>#REF!</v>
      </c>
      <c r="AL350" s="272" t="e">
        <f t="shared" ref="AL350:BB350" si="696">AK350+(AL348-AL312-AL320)</f>
        <v>#REF!</v>
      </c>
      <c r="AM350" s="272" t="e">
        <f t="shared" si="696"/>
        <v>#REF!</v>
      </c>
      <c r="AN350" s="272" t="e">
        <f t="shared" si="696"/>
        <v>#REF!</v>
      </c>
      <c r="AO350" s="272" t="e">
        <f t="shared" si="696"/>
        <v>#REF!</v>
      </c>
      <c r="AP350" s="272" t="e">
        <f t="shared" si="696"/>
        <v>#REF!</v>
      </c>
      <c r="AQ350" s="272" t="e">
        <f t="shared" si="696"/>
        <v>#REF!</v>
      </c>
      <c r="AR350" s="272" t="e">
        <f t="shared" si="696"/>
        <v>#REF!</v>
      </c>
      <c r="AS350" s="272" t="e">
        <f t="shared" si="696"/>
        <v>#REF!</v>
      </c>
      <c r="AT350" s="272" t="e">
        <f t="shared" si="696"/>
        <v>#REF!</v>
      </c>
      <c r="AU350" s="272" t="e">
        <f t="shared" si="696"/>
        <v>#REF!</v>
      </c>
      <c r="AV350" s="272" t="e">
        <f t="shared" si="696"/>
        <v>#REF!</v>
      </c>
      <c r="AW350" s="272" t="e">
        <f t="shared" si="696"/>
        <v>#REF!</v>
      </c>
      <c r="AX350" s="272" t="e">
        <f t="shared" si="696"/>
        <v>#REF!</v>
      </c>
      <c r="AY350" s="272" t="e">
        <f t="shared" si="696"/>
        <v>#REF!</v>
      </c>
      <c r="AZ350" s="272" t="e">
        <f t="shared" si="696"/>
        <v>#REF!</v>
      </c>
      <c r="BA350" s="272" t="e">
        <f t="shared" si="696"/>
        <v>#REF!</v>
      </c>
      <c r="BB350" s="272" t="e">
        <f t="shared" si="696"/>
        <v>#REF!</v>
      </c>
      <c r="BC350" s="272" t="e">
        <f>BB350+(BC348-BC312-BC320)</f>
        <v>#REF!</v>
      </c>
      <c r="BD350" s="272" t="e">
        <f t="shared" ref="BD350:BM350" si="697">BC350+(BD348-BD312-BD320)</f>
        <v>#REF!</v>
      </c>
      <c r="BE350" s="272" t="e">
        <f t="shared" si="697"/>
        <v>#REF!</v>
      </c>
      <c r="BF350" s="272" t="e">
        <f t="shared" si="697"/>
        <v>#REF!</v>
      </c>
      <c r="BG350" s="272" t="e">
        <f t="shared" si="697"/>
        <v>#REF!</v>
      </c>
      <c r="BH350" s="272" t="e">
        <f t="shared" si="697"/>
        <v>#REF!</v>
      </c>
      <c r="BI350" s="272" t="e">
        <f t="shared" si="697"/>
        <v>#REF!</v>
      </c>
      <c r="BJ350" s="272" t="e">
        <f t="shared" si="697"/>
        <v>#REF!</v>
      </c>
      <c r="BK350" s="272" t="e">
        <f t="shared" si="697"/>
        <v>#REF!</v>
      </c>
      <c r="BL350" s="272" t="e">
        <f t="shared" si="697"/>
        <v>#REF!</v>
      </c>
      <c r="BM350" s="272" t="e">
        <f t="shared" si="697"/>
        <v>#REF!</v>
      </c>
      <c r="BN350" s="272" t="e">
        <f t="shared" ref="BN350:CL350" si="698">BM350+(BN348-BN312-BN320)</f>
        <v>#REF!</v>
      </c>
      <c r="BO350" s="272" t="e">
        <f t="shared" si="698"/>
        <v>#REF!</v>
      </c>
      <c r="BP350" s="272" t="e">
        <f t="shared" si="698"/>
        <v>#REF!</v>
      </c>
      <c r="BQ350" s="272" t="e">
        <f t="shared" si="698"/>
        <v>#REF!</v>
      </c>
      <c r="BR350" s="272" t="e">
        <f t="shared" si="698"/>
        <v>#REF!</v>
      </c>
      <c r="BS350" s="272" t="e">
        <f t="shared" si="698"/>
        <v>#REF!</v>
      </c>
      <c r="BT350" s="272" t="e">
        <f t="shared" si="698"/>
        <v>#REF!</v>
      </c>
      <c r="BU350" s="272" t="e">
        <f t="shared" si="698"/>
        <v>#REF!</v>
      </c>
      <c r="BV350" s="272" t="e">
        <f t="shared" si="698"/>
        <v>#REF!</v>
      </c>
      <c r="BW350" s="272" t="e">
        <f t="shared" si="698"/>
        <v>#REF!</v>
      </c>
      <c r="BX350" s="272" t="e">
        <f t="shared" si="698"/>
        <v>#REF!</v>
      </c>
      <c r="BY350" s="272" t="e">
        <f t="shared" si="698"/>
        <v>#REF!</v>
      </c>
      <c r="BZ350" s="272" t="e">
        <f t="shared" si="698"/>
        <v>#REF!</v>
      </c>
      <c r="CA350" s="272" t="e">
        <f t="shared" si="698"/>
        <v>#REF!</v>
      </c>
      <c r="CB350" s="272" t="e">
        <f t="shared" si="698"/>
        <v>#REF!</v>
      </c>
      <c r="CC350" s="272" t="e">
        <f t="shared" si="698"/>
        <v>#REF!</v>
      </c>
      <c r="CD350" s="272" t="e">
        <f t="shared" si="698"/>
        <v>#REF!</v>
      </c>
      <c r="CE350" s="272" t="e">
        <f t="shared" si="698"/>
        <v>#REF!</v>
      </c>
      <c r="CF350" s="272" t="e">
        <f t="shared" si="698"/>
        <v>#REF!</v>
      </c>
      <c r="CG350" s="272" t="e">
        <f t="shared" si="698"/>
        <v>#REF!</v>
      </c>
      <c r="CH350" s="272" t="e">
        <f t="shared" si="698"/>
        <v>#REF!</v>
      </c>
      <c r="CI350" s="272" t="e">
        <f t="shared" si="698"/>
        <v>#REF!</v>
      </c>
      <c r="CJ350" s="272" t="e">
        <f t="shared" si="698"/>
        <v>#REF!</v>
      </c>
      <c r="CK350" s="272" t="e">
        <f t="shared" si="698"/>
        <v>#REF!</v>
      </c>
      <c r="CL350" s="272" t="e">
        <f t="shared" si="698"/>
        <v>#REF!</v>
      </c>
      <c r="CM350" s="272" t="e">
        <f t="shared" ref="CM350" si="699">CL350+(CM348-CM312-CM320)</f>
        <v>#REF!</v>
      </c>
      <c r="CN350" s="272" t="e">
        <f t="shared" ref="CN350" si="700">CM350+(CN348-CN312-CN320)</f>
        <v>#REF!</v>
      </c>
      <c r="CO350" s="272" t="e">
        <f t="shared" ref="CO350" si="701">CN350+(CO348-CO312-CO320)</f>
        <v>#REF!</v>
      </c>
      <c r="CP350" s="272" t="e">
        <f t="shared" ref="CP350" si="702">CO350+(CP348-CP312-CP320)</f>
        <v>#REF!</v>
      </c>
      <c r="CQ350" s="272" t="e">
        <f t="shared" ref="CQ350" si="703">CP350+(CQ348-CQ312-CQ320)</f>
        <v>#REF!</v>
      </c>
    </row>
    <row r="351" spans="1:95">
      <c r="A351" s="100"/>
      <c r="B351" s="100"/>
      <c r="C351" s="100"/>
      <c r="D351" s="100"/>
      <c r="G351" s="88"/>
      <c r="H351" s="88"/>
      <c r="I351" s="88"/>
      <c r="J351" s="79">
        <f t="shared" ref="J351:O351" si="704">J350/I350</f>
        <v>1.0904197374347144</v>
      </c>
      <c r="K351" s="79">
        <f t="shared" si="704"/>
        <v>1.1581730469743214</v>
      </c>
      <c r="L351" s="79">
        <f t="shared" si="704"/>
        <v>1.1968988806922358</v>
      </c>
      <c r="M351" s="79">
        <f t="shared" si="704"/>
        <v>1.0976988996181138</v>
      </c>
      <c r="N351" s="79">
        <f t="shared" si="704"/>
        <v>1.1131977487761713</v>
      </c>
      <c r="O351" s="79">
        <f t="shared" si="704"/>
        <v>0.96434605850591271</v>
      </c>
      <c r="BF351" s="90"/>
    </row>
    <row r="352" spans="1:95">
      <c r="A352" s="78" t="s">
        <v>112</v>
      </c>
      <c r="B352" s="100"/>
    </row>
    <row r="353" spans="1:95">
      <c r="A353" s="78" t="s">
        <v>25</v>
      </c>
      <c r="B353" s="148"/>
      <c r="C353" s="148"/>
      <c r="D353" s="148"/>
      <c r="E353" s="78"/>
      <c r="F353" s="78"/>
      <c r="G353" s="149"/>
      <c r="H353" s="149"/>
      <c r="I353" s="149"/>
      <c r="J353" s="149"/>
      <c r="K353" s="78"/>
      <c r="L353" s="78"/>
      <c r="M353" s="78"/>
      <c r="N353" s="78"/>
      <c r="O353" s="78"/>
      <c r="P353" s="78"/>
      <c r="Q353" s="299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</row>
    <row r="354" spans="1:95">
      <c r="A354" s="78" t="s">
        <v>396</v>
      </c>
      <c r="B354" s="148"/>
      <c r="C354" s="150">
        <f t="shared" ref="C354:S354" si="705">C257</f>
        <v>0.189982784233</v>
      </c>
      <c r="D354" s="150">
        <f t="shared" si="705"/>
        <v>0.28663809634800003</v>
      </c>
      <c r="E354" s="150">
        <f t="shared" si="705"/>
        <v>0.52021464096799996</v>
      </c>
      <c r="F354" s="150">
        <f t="shared" si="705"/>
        <v>0.45744974075099998</v>
      </c>
      <c r="G354" s="150">
        <f t="shared" si="705"/>
        <v>0.40421886898999998</v>
      </c>
      <c r="H354" s="150">
        <f t="shared" si="705"/>
        <v>0.42456194777400003</v>
      </c>
      <c r="I354" s="150">
        <f t="shared" si="705"/>
        <v>0.52794189388299995</v>
      </c>
      <c r="J354" s="150">
        <f t="shared" si="705"/>
        <v>0.71884721754500003</v>
      </c>
      <c r="K354" s="150">
        <f t="shared" si="705"/>
        <v>0.85928743503500005</v>
      </c>
      <c r="L354" s="150">
        <f t="shared" si="705"/>
        <v>0.87775750429300003</v>
      </c>
      <c r="M354" s="150">
        <f t="shared" si="705"/>
        <v>1.1127158470380001</v>
      </c>
      <c r="N354" s="150" t="str">
        <f t="shared" si="705"/>
        <v>0,5801</v>
      </c>
      <c r="O354" s="150">
        <f t="shared" si="705"/>
        <v>0.74250000000000005</v>
      </c>
      <c r="P354" s="150">
        <f t="shared" si="705"/>
        <v>0.96079999999999999</v>
      </c>
      <c r="Q354" s="150">
        <f t="shared" si="705"/>
        <v>0.99890000000000001</v>
      </c>
      <c r="R354" s="150">
        <f t="shared" si="705"/>
        <v>1.0643109558940971</v>
      </c>
      <c r="S354" s="150">
        <f t="shared" si="705"/>
        <v>1.0034354535768477</v>
      </c>
      <c r="T354" s="98">
        <f t="shared" ref="T354:AY354" si="706">S354*(1+T257/100)</f>
        <v>1.0102428453248542</v>
      </c>
      <c r="U354" s="98">
        <f t="shared" si="706"/>
        <v>1.0162497451434371</v>
      </c>
      <c r="V354" s="98">
        <f t="shared" si="706"/>
        <v>1.2119917804876874</v>
      </c>
      <c r="W354" s="98">
        <f t="shared" si="706"/>
        <v>1.5632548850095616</v>
      </c>
      <c r="X354" s="98">
        <f t="shared" si="706"/>
        <v>1.5123083278651677</v>
      </c>
      <c r="Y354" s="98">
        <f t="shared" si="706"/>
        <v>1.0913288819878071</v>
      </c>
      <c r="Z354" s="98">
        <f t="shared" si="706"/>
        <v>1.632971226365048</v>
      </c>
      <c r="AA354" s="98">
        <f t="shared" si="706"/>
        <v>2.5500092549641389</v>
      </c>
      <c r="AB354" s="98">
        <f t="shared" si="706"/>
        <v>2.3247718444310288</v>
      </c>
      <c r="AC354" s="98">
        <f t="shared" si="706"/>
        <v>2.2952764692421694</v>
      </c>
      <c r="AD354" s="98">
        <f t="shared" si="706"/>
        <v>1.9413684887721478</v>
      </c>
      <c r="AE354" s="98">
        <f t="shared" si="706"/>
        <v>1.8085900840176086</v>
      </c>
      <c r="AF354" s="98">
        <f t="shared" si="706"/>
        <v>1.8071663710152339</v>
      </c>
      <c r="AG354" s="98">
        <f t="shared" si="706"/>
        <v>1.8173131509845442</v>
      </c>
      <c r="AH354" s="98">
        <f t="shared" si="706"/>
        <v>1.8256520414270294</v>
      </c>
      <c r="AI354" s="98">
        <f t="shared" si="706"/>
        <v>1.8268497682385518</v>
      </c>
      <c r="AJ354" s="98">
        <f t="shared" si="706"/>
        <v>1.9136853209746083</v>
      </c>
      <c r="AK354" s="98">
        <f t="shared" si="706"/>
        <v>2.0032635559128127</v>
      </c>
      <c r="AL354" s="98">
        <f t="shared" si="706"/>
        <v>2.095659446120155</v>
      </c>
      <c r="AM354" s="98">
        <f t="shared" si="706"/>
        <v>2.1909498665134257</v>
      </c>
      <c r="AN354" s="98">
        <f t="shared" si="706"/>
        <v>2.2892179529352865</v>
      </c>
      <c r="AO354" s="98">
        <f t="shared" si="706"/>
        <v>2.3350023119939922</v>
      </c>
      <c r="AP354" s="98">
        <f t="shared" si="706"/>
        <v>2.3817023582338717</v>
      </c>
      <c r="AQ354" s="98">
        <f t="shared" si="706"/>
        <v>2.4293364053985491</v>
      </c>
      <c r="AR354" s="98">
        <f t="shared" si="706"/>
        <v>2.4779231335065202</v>
      </c>
      <c r="AS354" s="98">
        <f t="shared" si="706"/>
        <v>2.5274815961766501</v>
      </c>
      <c r="AT354" s="98">
        <f t="shared" si="706"/>
        <v>2.5780312281001834</v>
      </c>
      <c r="AU354" s="98">
        <f t="shared" si="706"/>
        <v>2.6295918526621871</v>
      </c>
      <c r="AV354" s="98">
        <f t="shared" si="706"/>
        <v>2.6821836897154316</v>
      </c>
      <c r="AW354" s="98">
        <f t="shared" si="706"/>
        <v>2.7358273635097397</v>
      </c>
      <c r="AX354" s="98">
        <f t="shared" si="706"/>
        <v>2.7905439107799337</v>
      </c>
      <c r="AY354" s="98">
        <f t="shared" si="706"/>
        <v>2.8463547889955332</v>
      </c>
      <c r="AZ354" s="98">
        <f t="shared" ref="AZ354:CE354" si="707">AY354*(1+AZ257/100)</f>
        <v>2.9032818847754438</v>
      </c>
      <c r="BA354" s="98">
        <f t="shared" si="707"/>
        <v>2.9613475224709522</v>
      </c>
      <c r="BB354" s="98">
        <f t="shared" si="707"/>
        <v>3.0205744729203721</v>
      </c>
      <c r="BC354" s="98">
        <f t="shared" si="707"/>
        <v>3.0809859623787794</v>
      </c>
      <c r="BD354" s="98">
        <f t="shared" si="707"/>
        <v>3.1426056816263546</v>
      </c>
      <c r="BE354" s="98">
        <f t="shared" si="707"/>
        <v>3.2054577952588819</v>
      </c>
      <c r="BF354" s="98">
        <f t="shared" si="707"/>
        <v>3.2695669511640602</v>
      </c>
      <c r="BG354" s="98">
        <f t="shared" si="707"/>
        <v>3.3349582901873416</v>
      </c>
      <c r="BH354" s="98">
        <f t="shared" si="707"/>
        <v>3.4016574559910886</v>
      </c>
      <c r="BI354" s="98">
        <f t="shared" si="707"/>
        <v>3.4696906051109102</v>
      </c>
      <c r="BJ354" s="98">
        <f t="shared" si="707"/>
        <v>3.5390844172131284</v>
      </c>
      <c r="BK354" s="98">
        <f t="shared" si="707"/>
        <v>3.6098661055573911</v>
      </c>
      <c r="BL354" s="98">
        <f t="shared" si="707"/>
        <v>3.6820634276685396</v>
      </c>
      <c r="BM354" s="98">
        <f t="shared" si="707"/>
        <v>3.7557046962219087</v>
      </c>
      <c r="BN354" s="98">
        <f t="shared" si="707"/>
        <v>3.8308187901463469</v>
      </c>
      <c r="BO354" s="98">
        <f t="shared" si="707"/>
        <v>3.9074351659492739</v>
      </c>
      <c r="BP354" s="98">
        <f t="shared" si="707"/>
        <v>3.9855838692682601</v>
      </c>
      <c r="BQ354" s="98">
        <f t="shared" si="707"/>
        <v>4.0652955466536245</v>
      </c>
      <c r="BR354" s="98">
        <f t="shared" si="707"/>
        <v>4.146601457586697</v>
      </c>
      <c r="BS354" s="98">
        <f t="shared" si="707"/>
        <v>4.2295334867384309</v>
      </c>
      <c r="BT354" s="98">
        <f t="shared" si="707"/>
        <v>4.3141241564731985</v>
      </c>
      <c r="BU354" s="98">
        <f t="shared" si="707"/>
        <v>4.4004066396026635</v>
      </c>
      <c r="BV354" s="98">
        <f t="shared" si="707"/>
        <v>4.4884147723947168</v>
      </c>
      <c r="BW354" s="98">
        <f t="shared" si="707"/>
        <v>4.5781830678426099</v>
      </c>
      <c r="BX354" s="98">
        <f t="shared" si="707"/>
        <v>4.6697467291994625</v>
      </c>
      <c r="BY354" s="98">
        <f t="shared" si="707"/>
        <v>4.7631416637834523</v>
      </c>
      <c r="BZ354" s="98">
        <f t="shared" si="707"/>
        <v>4.8584044970591211</v>
      </c>
      <c r="CA354" s="98">
        <f t="shared" si="707"/>
        <v>4.9555725870003036</v>
      </c>
      <c r="CB354" s="98">
        <f t="shared" si="707"/>
        <v>5.0546840387403096</v>
      </c>
      <c r="CC354" s="98">
        <f t="shared" si="707"/>
        <v>5.1557777195151155</v>
      </c>
      <c r="CD354" s="98">
        <f t="shared" si="707"/>
        <v>5.2588932739054179</v>
      </c>
      <c r="CE354" s="98">
        <f t="shared" si="707"/>
        <v>5.3640711393835261</v>
      </c>
      <c r="CF354" s="98">
        <f t="shared" ref="CF354:CL354" si="708">CE354*(1+CF257/100)</f>
        <v>5.4713525621711971</v>
      </c>
      <c r="CG354" s="98">
        <f t="shared" si="708"/>
        <v>5.580779613414621</v>
      </c>
      <c r="CH354" s="98">
        <f t="shared" si="708"/>
        <v>5.6923952056829137</v>
      </c>
      <c r="CI354" s="98">
        <f t="shared" si="708"/>
        <v>5.8062431097965721</v>
      </c>
      <c r="CJ354" s="98">
        <f t="shared" si="708"/>
        <v>5.9223679719925038</v>
      </c>
      <c r="CK354" s="98">
        <f t="shared" si="708"/>
        <v>6.0408153314323538</v>
      </c>
      <c r="CL354" s="98">
        <f t="shared" si="708"/>
        <v>6.1616316380610012</v>
      </c>
      <c r="CM354" s="98">
        <f t="shared" ref="CM354" si="709">CL354*(1+CM257/100)</f>
        <v>6.2848642708222213</v>
      </c>
      <c r="CN354" s="98">
        <f t="shared" ref="CN354" si="710">CM354*(1+CN257/100)</f>
        <v>6.4105615562386671</v>
      </c>
      <c r="CO354" s="98">
        <f t="shared" ref="CO354" si="711">CN354*(1+CO257/100)</f>
        <v>6.5387727873634391</v>
      </c>
      <c r="CP354" s="98">
        <f t="shared" ref="CP354" si="712">CO354*(1+CP257/100)</f>
        <v>6.6695482431107083</v>
      </c>
      <c r="CQ354" s="98">
        <f t="shared" ref="CQ354" si="713">CP354*(1+CQ257/100)</f>
        <v>6.8029392079729227</v>
      </c>
    </row>
    <row r="355" spans="1:95">
      <c r="A355" s="78" t="s">
        <v>306</v>
      </c>
      <c r="B355" s="148"/>
      <c r="C355" s="150">
        <f t="shared" ref="C355:S355" si="714">C263</f>
        <v>0.36490783162500001</v>
      </c>
      <c r="D355" s="150">
        <f t="shared" si="714"/>
        <v>0.32361519631000002</v>
      </c>
      <c r="E355" s="150">
        <f t="shared" si="714"/>
        <v>0.64895500035599996</v>
      </c>
      <c r="F355" s="150">
        <f t="shared" si="714"/>
        <v>0.74666596667100005</v>
      </c>
      <c r="G355" s="150">
        <f t="shared" si="714"/>
        <v>0.57289713394399999</v>
      </c>
      <c r="H355" s="150">
        <f t="shared" si="714"/>
        <v>0.54549069423800001</v>
      </c>
      <c r="I355" s="150">
        <f t="shared" si="714"/>
        <v>0.60373890428300003</v>
      </c>
      <c r="J355" s="150">
        <f t="shared" si="714"/>
        <v>0.77730375921399997</v>
      </c>
      <c r="K355" s="150">
        <f t="shared" si="714"/>
        <v>1.079352583256</v>
      </c>
      <c r="L355" s="150">
        <f t="shared" si="714"/>
        <v>0.97562992689200001</v>
      </c>
      <c r="M355" s="150">
        <f t="shared" si="714"/>
        <v>1.3826557532320001</v>
      </c>
      <c r="N355" s="150">
        <f t="shared" si="714"/>
        <v>0.7147</v>
      </c>
      <c r="O355" s="150">
        <f t="shared" si="714"/>
        <v>0.67969999999999997</v>
      </c>
      <c r="P355" s="150">
        <f t="shared" si="714"/>
        <v>0.8599</v>
      </c>
      <c r="Q355" s="150">
        <f t="shared" si="714"/>
        <v>0.95379999999999998</v>
      </c>
      <c r="R355" s="150">
        <f t="shared" si="714"/>
        <v>1.1163012286072984</v>
      </c>
      <c r="S355" s="150">
        <f t="shared" si="714"/>
        <v>0.98753973566834341</v>
      </c>
      <c r="T355" s="98">
        <f t="shared" ref="T355:AY355" si="715">S355*(1+T263/100)</f>
        <v>0.99665490688937064</v>
      </c>
      <c r="U355" s="98">
        <f t="shared" si="715"/>
        <v>1.003255763091879</v>
      </c>
      <c r="V355" s="98">
        <f t="shared" si="715"/>
        <v>1.1824085779297147</v>
      </c>
      <c r="W355" s="98">
        <f t="shared" si="715"/>
        <v>1.5765447705729527</v>
      </c>
      <c r="X355" s="98">
        <f t="shared" si="715"/>
        <v>1.1250796771816072</v>
      </c>
      <c r="Y355" s="98">
        <f t="shared" si="715"/>
        <v>0.80979276292671409</v>
      </c>
      <c r="Z355" s="98">
        <f t="shared" si="715"/>
        <v>3.3017082561018545</v>
      </c>
      <c r="AA355" s="98">
        <f t="shared" si="715"/>
        <v>8.634047918538533</v>
      </c>
      <c r="AB355" s="98">
        <f t="shared" si="715"/>
        <v>3.9004001101845311</v>
      </c>
      <c r="AC355" s="98">
        <f t="shared" si="715"/>
        <v>3.1715923474747085</v>
      </c>
      <c r="AD355" s="98">
        <f t="shared" si="715"/>
        <v>3.7005959736043965</v>
      </c>
      <c r="AE355" s="98">
        <f t="shared" si="715"/>
        <v>2.8572226471057167</v>
      </c>
      <c r="AF355" s="98">
        <f t="shared" si="715"/>
        <v>2.3281694113815363</v>
      </c>
      <c r="AG355" s="98">
        <f t="shared" si="715"/>
        <v>2.377060969020548</v>
      </c>
      <c r="AH355" s="98">
        <f t="shared" si="715"/>
        <v>2.4269792493699791</v>
      </c>
      <c r="AI355" s="98">
        <f t="shared" si="715"/>
        <v>1.9678054616708742</v>
      </c>
      <c r="AJ355" s="98">
        <f t="shared" si="715"/>
        <v>1.9803993034710834</v>
      </c>
      <c r="AK355" s="98">
        <f t="shared" si="715"/>
        <v>1.992709776758641</v>
      </c>
      <c r="AL355" s="98">
        <f t="shared" si="715"/>
        <v>2.0047205092563036</v>
      </c>
      <c r="AM355" s="98">
        <f t="shared" si="715"/>
        <v>2.0164145871431782</v>
      </c>
      <c r="AN355" s="98">
        <f t="shared" si="715"/>
        <v>2.0277745399418245</v>
      </c>
      <c r="AO355" s="98">
        <f t="shared" si="715"/>
        <v>2.0387823250175519</v>
      </c>
      <c r="AP355" s="98">
        <f t="shared" si="715"/>
        <v>2.0494193116803396</v>
      </c>
      <c r="AQ355" s="98">
        <f t="shared" si="715"/>
        <v>2.0596662648796231</v>
      </c>
      <c r="AR355" s="98">
        <f t="shared" si="715"/>
        <v>2.0695033284822153</v>
      </c>
      <c r="AS355" s="98">
        <f t="shared" si="715"/>
        <v>2.0789113604237324</v>
      </c>
      <c r="AT355" s="98">
        <f t="shared" si="715"/>
        <v>2.1204895876322065</v>
      </c>
      <c r="AU355" s="98">
        <f t="shared" si="715"/>
        <v>2.162899379384851</v>
      </c>
      <c r="AV355" s="98">
        <f t="shared" si="715"/>
        <v>2.2061573669725476</v>
      </c>
      <c r="AW355" s="98">
        <f t="shared" si="715"/>
        <v>2.2502805143119984</v>
      </c>
      <c r="AX355" s="98">
        <f t="shared" si="715"/>
        <v>2.2952861245982383</v>
      </c>
      <c r="AY355" s="98">
        <f t="shared" si="715"/>
        <v>2.3411918470902027</v>
      </c>
      <c r="AZ355" s="98">
        <f t="shared" ref="AZ355:CE355" si="716">AY355*(1+AZ263/100)</f>
        <v>2.3880156840320073</v>
      </c>
      <c r="BA355" s="98">
        <f t="shared" si="716"/>
        <v>2.4357759977126476</v>
      </c>
      <c r="BB355" s="98">
        <f t="shared" si="716"/>
        <v>2.4844915176669007</v>
      </c>
      <c r="BC355" s="98">
        <f t="shared" si="716"/>
        <v>2.5341813480202391</v>
      </c>
      <c r="BD355" s="98">
        <f t="shared" si="716"/>
        <v>2.5848649749806434</v>
      </c>
      <c r="BE355" s="98">
        <f t="shared" si="716"/>
        <v>2.6365622744802564</v>
      </c>
      <c r="BF355" s="98">
        <f t="shared" si="716"/>
        <v>2.689293519969862</v>
      </c>
      <c r="BG355" s="98">
        <f t="shared" si="716"/>
        <v>2.7430793903692594</v>
      </c>
      <c r="BH355" s="98">
        <f t="shared" si="716"/>
        <v>2.7979409781766447</v>
      </c>
      <c r="BI355" s="98">
        <f t="shared" si="716"/>
        <v>2.8538997977401777</v>
      </c>
      <c r="BJ355" s="98">
        <f t="shared" si="716"/>
        <v>2.9109777936949812</v>
      </c>
      <c r="BK355" s="98">
        <f t="shared" si="716"/>
        <v>2.9691973495688808</v>
      </c>
      <c r="BL355" s="98">
        <f t="shared" si="716"/>
        <v>3.0285812965602585</v>
      </c>
      <c r="BM355" s="98">
        <f t="shared" si="716"/>
        <v>3.0891529224914636</v>
      </c>
      <c r="BN355" s="98">
        <f t="shared" si="716"/>
        <v>3.1509359809412927</v>
      </c>
      <c r="BO355" s="98">
        <f t="shared" si="716"/>
        <v>3.2139547005601186</v>
      </c>
      <c r="BP355" s="98">
        <f t="shared" si="716"/>
        <v>3.2782337945713209</v>
      </c>
      <c r="BQ355" s="98">
        <f t="shared" si="716"/>
        <v>3.3437984704627475</v>
      </c>
      <c r="BR355" s="98">
        <f t="shared" si="716"/>
        <v>3.4106744398720026</v>
      </c>
      <c r="BS355" s="98">
        <f t="shared" si="716"/>
        <v>3.4788879286694425</v>
      </c>
      <c r="BT355" s="98">
        <f t="shared" si="716"/>
        <v>3.5484656872428313</v>
      </c>
      <c r="BU355" s="98">
        <f t="shared" si="716"/>
        <v>3.6194350009876879</v>
      </c>
      <c r="BV355" s="98">
        <f t="shared" si="716"/>
        <v>3.6918237010074417</v>
      </c>
      <c r="BW355" s="98">
        <f t="shared" si="716"/>
        <v>3.7656601750275907</v>
      </c>
      <c r="BX355" s="98">
        <f t="shared" si="716"/>
        <v>3.8409733785281426</v>
      </c>
      <c r="BY355" s="98">
        <f t="shared" si="716"/>
        <v>3.9177928460987057</v>
      </c>
      <c r="BZ355" s="98">
        <f t="shared" si="716"/>
        <v>3.9961487030206797</v>
      </c>
      <c r="CA355" s="98">
        <f t="shared" si="716"/>
        <v>4.0760716770810932</v>
      </c>
      <c r="CB355" s="98">
        <f t="shared" si="716"/>
        <v>4.1575931106227149</v>
      </c>
      <c r="CC355" s="98">
        <f t="shared" si="716"/>
        <v>4.2407449728351692</v>
      </c>
      <c r="CD355" s="98">
        <f t="shared" si="716"/>
        <v>4.3255598722918727</v>
      </c>
      <c r="CE355" s="98">
        <f t="shared" si="716"/>
        <v>4.4120710697377099</v>
      </c>
      <c r="CF355" s="98">
        <f t="shared" ref="CF355:CL355" si="717">CE355*(1+CF263/100)</f>
        <v>4.5003124911324655</v>
      </c>
      <c r="CG355" s="98">
        <f t="shared" si="717"/>
        <v>4.5903187409551149</v>
      </c>
      <c r="CH355" s="98">
        <f t="shared" si="717"/>
        <v>4.682125115774217</v>
      </c>
      <c r="CI355" s="98">
        <f t="shared" si="717"/>
        <v>4.7757676180897013</v>
      </c>
      <c r="CJ355" s="98">
        <f t="shared" si="717"/>
        <v>4.8712829704514951</v>
      </c>
      <c r="CK355" s="98">
        <f t="shared" si="717"/>
        <v>4.968708629860525</v>
      </c>
      <c r="CL355" s="98">
        <f t="shared" si="717"/>
        <v>5.0680828024577353</v>
      </c>
      <c r="CM355" s="98">
        <f t="shared" ref="CM355" si="718">CL355*(1+CM263/100)</f>
        <v>5.1694444585068897</v>
      </c>
      <c r="CN355" s="98">
        <f t="shared" ref="CN355" si="719">CM355*(1+CN263/100)</f>
        <v>5.2728333476770279</v>
      </c>
      <c r="CO355" s="98">
        <f t="shared" ref="CO355" si="720">CN355*(1+CO263/100)</f>
        <v>5.3782900146305685</v>
      </c>
      <c r="CP355" s="98">
        <f t="shared" ref="CP355" si="721">CO355*(1+CP263/100)</f>
        <v>5.4858558149231804</v>
      </c>
      <c r="CQ355" s="98">
        <f t="shared" ref="CQ355" si="722">CP355*(1+CQ263/100)</f>
        <v>5.5955729312216445</v>
      </c>
    </row>
    <row r="356" spans="1:95">
      <c r="A356" s="78" t="s">
        <v>397</v>
      </c>
      <c r="B356" s="151"/>
      <c r="C356" s="150">
        <f t="shared" ref="C356:S356" si="723">C279</f>
        <v>0.29545218118299998</v>
      </c>
      <c r="D356" s="150">
        <f t="shared" si="723"/>
        <v>0.34855476677399999</v>
      </c>
      <c r="E356" s="150">
        <f t="shared" si="723"/>
        <v>0.60048537835399995</v>
      </c>
      <c r="F356" s="150">
        <f t="shared" si="723"/>
        <v>0.52487410573000004</v>
      </c>
      <c r="G356" s="150">
        <f t="shared" si="723"/>
        <v>0.43414271551</v>
      </c>
      <c r="H356" s="150">
        <f t="shared" si="723"/>
        <v>0.49351400556699998</v>
      </c>
      <c r="I356" s="150">
        <f t="shared" si="723"/>
        <v>0.59669332676200004</v>
      </c>
      <c r="J356" s="150">
        <f t="shared" si="723"/>
        <v>0.72737236950100004</v>
      </c>
      <c r="K356" s="150">
        <f t="shared" si="723"/>
        <v>0.86429604306899999</v>
      </c>
      <c r="L356" s="150">
        <f t="shared" si="723"/>
        <v>0.90329926004700001</v>
      </c>
      <c r="M356" s="150">
        <f t="shared" si="723"/>
        <v>1.0768450590109999</v>
      </c>
      <c r="N356" s="150">
        <f t="shared" si="723"/>
        <v>0.61529999999999996</v>
      </c>
      <c r="O356" s="150">
        <f t="shared" si="723"/>
        <v>0.81669999999999998</v>
      </c>
      <c r="P356" s="150">
        <f t="shared" si="723"/>
        <v>0.99719999999999998</v>
      </c>
      <c r="Q356" s="150">
        <f t="shared" si="723"/>
        <v>1.0580000000000001</v>
      </c>
      <c r="R356" s="150">
        <f t="shared" si="723"/>
        <v>1.0057173402277999</v>
      </c>
      <c r="S356" s="150">
        <f t="shared" si="723"/>
        <v>1.001067079662918</v>
      </c>
      <c r="T356" s="98">
        <f t="shared" ref="T356:AY356" si="724">S356*(1+T279/100)</f>
        <v>1.0089284335327644</v>
      </c>
      <c r="U356" s="98">
        <f t="shared" si="724"/>
        <v>1.0157022336339381</v>
      </c>
      <c r="V356" s="98">
        <f t="shared" si="724"/>
        <v>1.3100189836851195</v>
      </c>
      <c r="W356" s="98">
        <f t="shared" si="724"/>
        <v>1.5408514746299029</v>
      </c>
      <c r="X356" s="98">
        <f t="shared" si="724"/>
        <v>1.4516549931663201</v>
      </c>
      <c r="Y356" s="98">
        <f t="shared" si="724"/>
        <v>1.0719068658280084</v>
      </c>
      <c r="Z356" s="98">
        <f t="shared" si="724"/>
        <v>1.4996005183198093</v>
      </c>
      <c r="AA356" s="98">
        <f t="shared" si="724"/>
        <v>2.7380375899161264</v>
      </c>
      <c r="AB356" s="98">
        <f t="shared" si="724"/>
        <v>2.5585561070862983</v>
      </c>
      <c r="AC356" s="98">
        <f t="shared" si="724"/>
        <v>2.2314412797172789</v>
      </c>
      <c r="AD356" s="98">
        <f t="shared" si="724"/>
        <v>1.8860205651754052</v>
      </c>
      <c r="AE356" s="98">
        <f t="shared" si="724"/>
        <v>1.781415518942846</v>
      </c>
      <c r="AF356" s="98">
        <f t="shared" si="724"/>
        <v>1.7807908980517315</v>
      </c>
      <c r="AG356" s="98">
        <f t="shared" si="724"/>
        <v>1.7893939720815959</v>
      </c>
      <c r="AH356" s="98">
        <f t="shared" si="724"/>
        <v>1.8037105420685247</v>
      </c>
      <c r="AI356" s="98">
        <f t="shared" si="724"/>
        <v>1.811903967536745</v>
      </c>
      <c r="AJ356" s="98">
        <f t="shared" si="724"/>
        <v>1.897477972953987</v>
      </c>
      <c r="AK356" s="98">
        <f t="shared" si="724"/>
        <v>1.9858781610949161</v>
      </c>
      <c r="AL356" s="98">
        <f t="shared" si="724"/>
        <v>2.082518772231492</v>
      </c>
      <c r="AM356" s="98">
        <f t="shared" si="724"/>
        <v>2.180716620759755</v>
      </c>
      <c r="AN356" s="98">
        <f t="shared" si="724"/>
        <v>2.2895797825726318</v>
      </c>
      <c r="AO356" s="98">
        <f t="shared" si="724"/>
        <v>2.3555833734181753</v>
      </c>
      <c r="AP356" s="98">
        <f t="shared" si="724"/>
        <v>2.4255376490973979</v>
      </c>
      <c r="AQ356" s="98">
        <f t="shared" si="724"/>
        <v>2.5021791181809516</v>
      </c>
      <c r="AR356" s="98">
        <f t="shared" si="724"/>
        <v>2.5658396171715512</v>
      </c>
      <c r="AS356" s="98">
        <f t="shared" si="724"/>
        <v>2.6214327600003244</v>
      </c>
      <c r="AT356" s="98">
        <f t="shared" si="724"/>
        <v>2.6351878228262269</v>
      </c>
      <c r="AU356" s="98">
        <f t="shared" si="724"/>
        <v>2.7091264597009275</v>
      </c>
      <c r="AV356" s="98">
        <f t="shared" si="724"/>
        <v>2.797061953238686</v>
      </c>
      <c r="AW356" s="98">
        <f t="shared" si="724"/>
        <v>2.9032406899256631</v>
      </c>
      <c r="AX356" s="98">
        <f t="shared" si="724"/>
        <v>2.9870034568691581</v>
      </c>
      <c r="AY356" s="98">
        <f t="shared" si="724"/>
        <v>3.1138678414314875</v>
      </c>
      <c r="AZ356" s="98">
        <f t="shared" ref="AZ356:CE356" si="725">AY356*(1+AZ279/100)</f>
        <v>3.2175548679775541</v>
      </c>
      <c r="BA356" s="98">
        <f t="shared" si="725"/>
        <v>3.3773324501366213</v>
      </c>
      <c r="BB356" s="98">
        <f t="shared" si="725"/>
        <v>3.5191998360191952</v>
      </c>
      <c r="BC356" s="98">
        <f t="shared" si="725"/>
        <v>3.5393461433728164</v>
      </c>
      <c r="BD356" s="98">
        <f t="shared" si="725"/>
        <v>3.5683005443472444</v>
      </c>
      <c r="BE356" s="98">
        <f t="shared" si="725"/>
        <v>3.6754079467903358</v>
      </c>
      <c r="BF356" s="98">
        <f t="shared" si="725"/>
        <v>3.7033337583527572</v>
      </c>
      <c r="BG356" s="98">
        <f t="shared" si="725"/>
        <v>3.7197116981570031</v>
      </c>
      <c r="BH356" s="98">
        <f t="shared" si="725"/>
        <v>3.7002595924038646</v>
      </c>
      <c r="BI356" s="98">
        <f t="shared" si="725"/>
        <v>3.7488175887662747</v>
      </c>
      <c r="BJ356" s="98">
        <f t="shared" si="725"/>
        <v>3.2990361356226083</v>
      </c>
      <c r="BK356" s="98">
        <f t="shared" si="725"/>
        <v>3.3650168583350597</v>
      </c>
      <c r="BL356" s="98">
        <f t="shared" si="725"/>
        <v>3.4323171955017573</v>
      </c>
      <c r="BM356" s="98">
        <f t="shared" si="725"/>
        <v>3.5009635394118011</v>
      </c>
      <c r="BN356" s="98">
        <f t="shared" si="725"/>
        <v>3.5709828102000372</v>
      </c>
      <c r="BO356" s="98">
        <f t="shared" si="725"/>
        <v>3.6424024664040378</v>
      </c>
      <c r="BP356" s="98">
        <f t="shared" si="725"/>
        <v>3.7152505157321185</v>
      </c>
      <c r="BQ356" s="98">
        <f t="shared" si="725"/>
        <v>3.7895555260467608</v>
      </c>
      <c r="BR356" s="98">
        <f t="shared" si="725"/>
        <v>3.8653466365676952</v>
      </c>
      <c r="BS356" s="98">
        <f t="shared" si="725"/>
        <v>3.9426535692990501</v>
      </c>
      <c r="BT356" s="98">
        <f t="shared" si="725"/>
        <v>4.0215066406850308</v>
      </c>
      <c r="BU356" s="98">
        <f t="shared" si="725"/>
        <v>4.1019367734987311</v>
      </c>
      <c r="BV356" s="98">
        <f t="shared" si="725"/>
        <v>4.1839755089687056</v>
      </c>
      <c r="BW356" s="98">
        <f t="shared" si="725"/>
        <v>4.26765501914808</v>
      </c>
      <c r="BX356" s="98">
        <f t="shared" si="725"/>
        <v>4.3530081195310411</v>
      </c>
      <c r="BY356" s="98">
        <f t="shared" si="725"/>
        <v>4.4400682819216621</v>
      </c>
      <c r="BZ356" s="98">
        <f t="shared" si="725"/>
        <v>4.5288696475600956</v>
      </c>
      <c r="CA356" s="98">
        <f t="shared" si="725"/>
        <v>4.6194470405112975</v>
      </c>
      <c r="CB356" s="98">
        <f t="shared" si="725"/>
        <v>4.7118359813215234</v>
      </c>
      <c r="CC356" s="98">
        <f t="shared" si="725"/>
        <v>4.8060727009479542</v>
      </c>
      <c r="CD356" s="98">
        <f t="shared" si="725"/>
        <v>4.9021941549669137</v>
      </c>
      <c r="CE356" s="98">
        <f t="shared" si="725"/>
        <v>5.0002380380662519</v>
      </c>
      <c r="CF356" s="98">
        <f t="shared" ref="CF356:CL356" si="726">CE356*(1+CF279/100)</f>
        <v>5.1002427988275771</v>
      </c>
      <c r="CG356" s="98">
        <f t="shared" si="726"/>
        <v>5.202247654804129</v>
      </c>
      <c r="CH356" s="98">
        <f t="shared" si="726"/>
        <v>5.3062926079002102</v>
      </c>
      <c r="CI356" s="98">
        <f t="shared" si="726"/>
        <v>5.4124184600582144</v>
      </c>
      <c r="CJ356" s="98">
        <f t="shared" si="726"/>
        <v>5.5206668292593797</v>
      </c>
      <c r="CK356" s="98">
        <f t="shared" si="726"/>
        <v>5.6310801658445673</v>
      </c>
      <c r="CL356" s="98">
        <f t="shared" si="726"/>
        <v>5.7437017691614587</v>
      </c>
      <c r="CM356" s="98">
        <f t="shared" ref="CM356" si="727">CL356*(1+CM279/100)</f>
        <v>5.8585758045446878</v>
      </c>
      <c r="CN356" s="98">
        <f t="shared" ref="CN356" si="728">CM356*(1+CN279/100)</f>
        <v>5.9757473206355813</v>
      </c>
      <c r="CO356" s="98">
        <f t="shared" ref="CO356" si="729">CN356*(1+CO279/100)</f>
        <v>6.0952622670482928</v>
      </c>
      <c r="CP356" s="98">
        <f t="shared" ref="CP356" si="730">CO356*(1+CP279/100)</f>
        <v>6.2171675123892589</v>
      </c>
      <c r="CQ356" s="98">
        <f t="shared" ref="CQ356" si="731">CP356*(1+CQ279/100)</f>
        <v>6.341510862637044</v>
      </c>
    </row>
    <row r="357" spans="1:95">
      <c r="B357" s="100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  <c r="BA357" s="89"/>
      <c r="BB357" s="89"/>
      <c r="BC357" s="89"/>
      <c r="BD357" s="89"/>
      <c r="BE357" s="89"/>
      <c r="BF357" s="89"/>
      <c r="BG357" s="89"/>
      <c r="BH357" s="89"/>
      <c r="BI357" s="89"/>
      <c r="BJ357" s="89"/>
      <c r="BK357" s="89"/>
      <c r="BL357" s="89"/>
      <c r="BM357" s="89"/>
      <c r="BN357" s="89"/>
      <c r="BO357" s="89"/>
      <c r="BP357" s="89"/>
      <c r="BQ357" s="89"/>
      <c r="BR357" s="89"/>
      <c r="BS357" s="89"/>
      <c r="BT357" s="89"/>
      <c r="BU357" s="89"/>
      <c r="BV357" s="89"/>
      <c r="BW357" s="89"/>
      <c r="BX357" s="89"/>
      <c r="BY357" s="89"/>
      <c r="BZ357" s="89"/>
      <c r="CA357" s="89"/>
      <c r="CB357" s="89"/>
      <c r="CC357" s="89"/>
      <c r="CD357" s="89"/>
      <c r="CE357" s="89"/>
      <c r="CF357" s="89"/>
      <c r="CG357" s="89"/>
      <c r="CH357" s="89"/>
      <c r="CI357" s="89"/>
      <c r="CJ357" s="89"/>
      <c r="CK357" s="89"/>
      <c r="CL357" s="89"/>
      <c r="CM357" s="89"/>
      <c r="CN357" s="89"/>
      <c r="CO357" s="89"/>
      <c r="CP357" s="89"/>
      <c r="CQ357" s="89"/>
    </row>
    <row r="358" spans="1:95">
      <c r="A358" s="78" t="s">
        <v>163</v>
      </c>
      <c r="B358" s="148"/>
      <c r="C358" s="151"/>
      <c r="D358" s="151"/>
      <c r="E358" s="152"/>
      <c r="F358" s="152"/>
      <c r="G358" s="119"/>
      <c r="H358" s="119"/>
      <c r="I358" s="119"/>
      <c r="J358" s="119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  <c r="BG358" s="152"/>
      <c r="BH358" s="152"/>
      <c r="BI358" s="152"/>
      <c r="BJ358" s="152"/>
      <c r="BK358" s="152"/>
      <c r="BL358" s="152"/>
      <c r="BM358" s="152"/>
      <c r="BN358" s="152"/>
      <c r="BO358" s="152"/>
      <c r="BP358" s="152"/>
      <c r="BQ358" s="152"/>
      <c r="BR358" s="152"/>
      <c r="BS358" s="152"/>
      <c r="BT358" s="152"/>
      <c r="BU358" s="152"/>
      <c r="BV358" s="152"/>
      <c r="BW358" s="152"/>
      <c r="BX358" s="152"/>
      <c r="BY358" s="152"/>
      <c r="BZ358" s="152"/>
      <c r="CA358" s="152"/>
      <c r="CB358" s="152"/>
      <c r="CC358" s="152"/>
      <c r="CD358" s="152"/>
      <c r="CE358" s="152"/>
      <c r="CF358" s="152"/>
      <c r="CG358" s="152"/>
      <c r="CH358" s="152"/>
      <c r="CI358" s="152"/>
      <c r="CJ358" s="152"/>
      <c r="CK358" s="152"/>
      <c r="CL358" s="152"/>
      <c r="CM358" s="152"/>
      <c r="CN358" s="152"/>
      <c r="CO358" s="152"/>
      <c r="CP358" s="152"/>
      <c r="CQ358" s="152"/>
    </row>
    <row r="359" spans="1:95">
      <c r="A359" s="78" t="s">
        <v>8</v>
      </c>
      <c r="B359" s="148"/>
      <c r="C359" s="94">
        <f>C354*C301</f>
        <v>91083.000008039438</v>
      </c>
      <c r="D359" s="94">
        <f t="shared" ref="D359:AI359" si="732">D354*D301</f>
        <v>133679.00000728451</v>
      </c>
      <c r="E359" s="94">
        <f t="shared" si="732"/>
        <v>258835.00000482335</v>
      </c>
      <c r="F359" s="94">
        <f>F354*F301</f>
        <v>234698.00000540039</v>
      </c>
      <c r="G359" s="94">
        <f t="shared" si="732"/>
        <v>197922.00000602906</v>
      </c>
      <c r="H359" s="94">
        <f t="shared" si="732"/>
        <v>206280.00000570301</v>
      </c>
      <c r="I359" s="94">
        <f>I354*I301</f>
        <v>248763.00000472102</v>
      </c>
      <c r="J359" s="94">
        <f t="shared" si="732"/>
        <v>304242.00000269269</v>
      </c>
      <c r="K359" s="94">
        <f t="shared" si="732"/>
        <v>326760.00000148499</v>
      </c>
      <c r="L359" s="94">
        <f>L354*L301</f>
        <v>316980.00000116817</v>
      </c>
      <c r="M359" s="94">
        <f>M354*M301</f>
        <v>370206.99999902165</v>
      </c>
      <c r="N359" s="94">
        <f>N354*N301</f>
        <v>240209.98696723269</v>
      </c>
      <c r="O359" s="94">
        <f>O354*O301</f>
        <v>272216.20289166714</v>
      </c>
      <c r="P359" s="94">
        <f t="shared" si="732"/>
        <v>320907.77821856184</v>
      </c>
      <c r="Q359" s="94">
        <f>Q354*Q301</f>
        <v>306487.49249999999</v>
      </c>
      <c r="R359" s="94">
        <f>R354*R301</f>
        <v>299622.69168139441</v>
      </c>
      <c r="S359" s="94">
        <f>S354*S301</f>
        <v>283635.0790498461</v>
      </c>
      <c r="T359" s="94">
        <f t="shared" si="732"/>
        <v>293701.84617891064</v>
      </c>
      <c r="U359" s="94">
        <f t="shared" si="732"/>
        <v>317679.67033183842</v>
      </c>
      <c r="V359" s="94">
        <f t="shared" si="732"/>
        <v>3613288350.2572742</v>
      </c>
      <c r="W359" s="94">
        <f t="shared" si="732"/>
        <v>24175698559263.621</v>
      </c>
      <c r="X359" s="94">
        <f t="shared" si="732"/>
        <v>1.1527092440151984E+17</v>
      </c>
      <c r="Y359" s="94">
        <f t="shared" si="732"/>
        <v>4.9764536824166312E+20</v>
      </c>
      <c r="Z359" s="94">
        <f t="shared" si="732"/>
        <v>4.6594908076678425E+24</v>
      </c>
      <c r="AA359" s="94">
        <f t="shared" si="732"/>
        <v>4.3469106571816664E+28</v>
      </c>
      <c r="AB359" s="94">
        <f t="shared" si="732"/>
        <v>2.5572324218298609E+32</v>
      </c>
      <c r="AC359" s="94">
        <f t="shared" si="732"/>
        <v>1.6149337958616405E+36</v>
      </c>
      <c r="AD359" s="94">
        <f t="shared" si="732"/>
        <v>1.3945500529493491E+36</v>
      </c>
      <c r="AE359" s="94">
        <f t="shared" si="732"/>
        <v>1.2468126736254447E+36</v>
      </c>
      <c r="AF359" s="94">
        <f t="shared" si="732"/>
        <v>1.1904744068972526E+36</v>
      </c>
      <c r="AG359" s="94">
        <f t="shared" si="732"/>
        <v>1.0785329484504865E+36</v>
      </c>
      <c r="AH359" s="94">
        <f t="shared" si="732"/>
        <v>9.8209563836592341E+35</v>
      </c>
      <c r="AI359" s="94">
        <f t="shared" si="732"/>
        <v>9.1945433292147115E+35</v>
      </c>
      <c r="AJ359" s="94">
        <f t="shared" ref="AJ359:BC359" si="733">AJ354*AJ301</f>
        <v>9.3517439213710312E+35</v>
      </c>
      <c r="AK359" s="94">
        <f t="shared" si="733"/>
        <v>9.6618993440819156E+35</v>
      </c>
      <c r="AL359" s="94">
        <f t="shared" si="733"/>
        <v>9.9174992303523544E+35</v>
      </c>
      <c r="AM359" s="94">
        <f t="shared" si="733"/>
        <v>1.0381669393394541E+36</v>
      </c>
      <c r="AN359" s="94">
        <f t="shared" si="733"/>
        <v>1.0778753887401207E+36</v>
      </c>
      <c r="AO359" s="94">
        <f t="shared" si="733"/>
        <v>1.0810691111510372E+36</v>
      </c>
      <c r="AP359" s="94">
        <f t="shared" si="733"/>
        <v>1.0789657805751625E+36</v>
      </c>
      <c r="AQ359" s="94">
        <f t="shared" si="733"/>
        <v>1.0590968037495697E+36</v>
      </c>
      <c r="AR359" s="94">
        <f t="shared" si="733"/>
        <v>1.0435094909792513E+36</v>
      </c>
      <c r="AS359" s="94">
        <f t="shared" si="733"/>
        <v>1.0302610357128383E+36</v>
      </c>
      <c r="AT359" s="94">
        <f t="shared" si="733"/>
        <v>1.0226486914958039E+36</v>
      </c>
      <c r="AU359" s="94">
        <f t="shared" si="733"/>
        <v>1.0098079037131464E+36</v>
      </c>
      <c r="AV359" s="94">
        <f t="shared" si="733"/>
        <v>9.9846901658582177E+35</v>
      </c>
      <c r="AW359" s="94">
        <f t="shared" si="733"/>
        <v>9.9330694881664217E+35</v>
      </c>
      <c r="AX359" s="94">
        <f t="shared" si="733"/>
        <v>9.7862152989103972E+35</v>
      </c>
      <c r="AY359" s="94">
        <f t="shared" si="733"/>
        <v>9.6778269482436382E+35</v>
      </c>
      <c r="AZ359" s="94">
        <f t="shared" si="733"/>
        <v>9.5194457911845184E+35</v>
      </c>
      <c r="BA359" s="94">
        <f t="shared" si="733"/>
        <v>9.4507340757869114E+35</v>
      </c>
      <c r="BB359" s="94">
        <f t="shared" si="733"/>
        <v>9.2760935829937498E+35</v>
      </c>
      <c r="BC359" s="94">
        <f t="shared" si="733"/>
        <v>9.1130471799302604E+35</v>
      </c>
      <c r="BD359" s="94">
        <f>BD354*BD301</f>
        <v>9.0102151608187154E+35</v>
      </c>
      <c r="BE359" s="94">
        <f>BE354*BE301</f>
        <v>8.8577751910080657E+35</v>
      </c>
      <c r="BF359" s="94">
        <f>BF354*BF301</f>
        <v>8.7283628918819856E+35</v>
      </c>
      <c r="BG359" s="94">
        <f>BG354*BG301</f>
        <v>8.5625668803869607E+35</v>
      </c>
      <c r="BH359" s="94">
        <f t="shared" ref="BH359:CL359" si="734">BH354*BH301</f>
        <v>8.3648440431020032E+35</v>
      </c>
      <c r="BI359" s="94">
        <f t="shared" si="734"/>
        <v>8.1902529526207035E+35</v>
      </c>
      <c r="BJ359" s="94">
        <f t="shared" si="734"/>
        <v>7.9974855006266589E+35</v>
      </c>
      <c r="BK359" s="94">
        <f t="shared" si="734"/>
        <v>7.7201738901406729E+35</v>
      </c>
      <c r="BL359" s="94">
        <f t="shared" si="734"/>
        <v>7.4659723019835652E+35</v>
      </c>
      <c r="BM359" s="94">
        <f t="shared" si="734"/>
        <v>7.1906424453385884E+35</v>
      </c>
      <c r="BN359" s="94">
        <f t="shared" si="734"/>
        <v>7.3344552942453598E+35</v>
      </c>
      <c r="BO359" s="94">
        <f t="shared" si="734"/>
        <v>7.4811444001302672E+35</v>
      </c>
      <c r="BP359" s="94">
        <f t="shared" si="734"/>
        <v>7.6307672881328748E+35</v>
      </c>
      <c r="BQ359" s="94">
        <f t="shared" si="734"/>
        <v>7.7833826338955303E+35</v>
      </c>
      <c r="BR359" s="94">
        <f t="shared" si="734"/>
        <v>7.9390502865734417E+35</v>
      </c>
      <c r="BS359" s="94">
        <f t="shared" si="734"/>
        <v>8.0978312923049099E+35</v>
      </c>
      <c r="BT359" s="94">
        <f t="shared" si="734"/>
        <v>8.2597879181510066E+35</v>
      </c>
      <c r="BU359" s="94">
        <f t="shared" si="734"/>
        <v>8.4249836765140289E+35</v>
      </c>
      <c r="BV359" s="94">
        <f t="shared" si="734"/>
        <v>8.5934833500443083E+35</v>
      </c>
      <c r="BW359" s="94">
        <f t="shared" si="734"/>
        <v>8.7653530170451921E+35</v>
      </c>
      <c r="BX359" s="94">
        <f t="shared" si="734"/>
        <v>8.940660077386098E+35</v>
      </c>
      <c r="BY359" s="94">
        <f t="shared" si="734"/>
        <v>9.1194732789338209E+35</v>
      </c>
      <c r="BZ359" s="94">
        <f t="shared" si="734"/>
        <v>9.3018627445124967E+35</v>
      </c>
      <c r="CA359" s="94">
        <f t="shared" si="734"/>
        <v>9.4878999994027462E+35</v>
      </c>
      <c r="CB359" s="94">
        <f t="shared" si="734"/>
        <v>9.6776579993908012E+35</v>
      </c>
      <c r="CC359" s="94">
        <f t="shared" si="734"/>
        <v>9.8712111593786167E+35</v>
      </c>
      <c r="CD359" s="94">
        <f t="shared" si="734"/>
        <v>1.0068635382566189E+36</v>
      </c>
      <c r="CE359" s="94">
        <f t="shared" si="734"/>
        <v>1.0270008090217512E+36</v>
      </c>
      <c r="CF359" s="94">
        <f t="shared" si="734"/>
        <v>1.0475408252021863E+36</v>
      </c>
      <c r="CG359" s="94">
        <f t="shared" si="734"/>
        <v>1.0684916417062301E+36</v>
      </c>
      <c r="CH359" s="94">
        <f t="shared" si="734"/>
        <v>1.0898614745403547E+36</v>
      </c>
      <c r="CI359" s="94">
        <f t="shared" si="734"/>
        <v>1.1116587040311619E+36</v>
      </c>
      <c r="CJ359" s="94">
        <f t="shared" si="734"/>
        <v>1.1338918781117851E+36</v>
      </c>
      <c r="CK359" s="94">
        <f t="shared" si="734"/>
        <v>1.1565697156740208E+36</v>
      </c>
      <c r="CL359" s="94">
        <f t="shared" si="734"/>
        <v>1.1797011099875013E+36</v>
      </c>
      <c r="CM359" s="94">
        <f t="shared" ref="CM359:CQ359" si="735">CM354*CM301</f>
        <v>1.2032951321872514E+36</v>
      </c>
      <c r="CN359" s="94">
        <f t="shared" si="735"/>
        <v>1.2273610348309967E+36</v>
      </c>
      <c r="CO359" s="94">
        <f t="shared" si="735"/>
        <v>1.2519082555276164E+36</v>
      </c>
      <c r="CP359" s="94">
        <f t="shared" si="735"/>
        <v>1.2769464206381688E+36</v>
      </c>
      <c r="CQ359" s="94">
        <f t="shared" si="735"/>
        <v>1.3024853490509321E+36</v>
      </c>
    </row>
    <row r="360" spans="1:95">
      <c r="A360" s="78" t="s">
        <v>9</v>
      </c>
      <c r="B360" s="148"/>
      <c r="C360" s="94">
        <f>C355*C303</f>
        <v>27220.000006336508</v>
      </c>
      <c r="D360" s="94">
        <f t="shared" ref="D360:AI360" si="736">D355*D303</f>
        <v>25549.000006790637</v>
      </c>
      <c r="E360" s="94">
        <f t="shared" si="736"/>
        <v>47789.000003509536</v>
      </c>
      <c r="F360" s="94">
        <f t="shared" si="736"/>
        <v>61018.000002540612</v>
      </c>
      <c r="G360" s="94">
        <f t="shared" si="736"/>
        <v>59410.000004294816</v>
      </c>
      <c r="H360" s="94">
        <f t="shared" si="736"/>
        <v>62239.000004535039</v>
      </c>
      <c r="I360" s="94">
        <f t="shared" si="736"/>
        <v>74016.000003936919</v>
      </c>
      <c r="J360" s="94">
        <f t="shared" si="736"/>
        <v>103139.00000222313</v>
      </c>
      <c r="K360" s="94">
        <f t="shared" si="736"/>
        <v>146878.99999916967</v>
      </c>
      <c r="L360" s="94">
        <f t="shared" si="736"/>
        <v>134790.00000021915</v>
      </c>
      <c r="M360" s="94">
        <f>M355*M303</f>
        <v>219508.99999622494</v>
      </c>
      <c r="N360" s="94">
        <f t="shared" si="736"/>
        <v>143741.75238721498</v>
      </c>
      <c r="O360" s="94">
        <f t="shared" si="736"/>
        <v>136614.16645549872</v>
      </c>
      <c r="P360" s="94">
        <f t="shared" si="736"/>
        <v>190830.37818831927</v>
      </c>
      <c r="Q360" s="94">
        <f t="shared" si="736"/>
        <v>240598.91139999998</v>
      </c>
      <c r="R360" s="94">
        <f t="shared" si="736"/>
        <v>263841.14427166985</v>
      </c>
      <c r="S360" s="94">
        <f>S355*S303</f>
        <v>220838.57338883329</v>
      </c>
      <c r="T360" s="94">
        <f t="shared" si="736"/>
        <v>238125.77362854287</v>
      </c>
      <c r="U360" s="94">
        <f t="shared" si="736"/>
        <v>240673.03151963704</v>
      </c>
      <c r="V360" s="94">
        <f t="shared" si="736"/>
        <v>303020.37864051206</v>
      </c>
      <c r="W360" s="94">
        <f t="shared" si="736"/>
        <v>395730.5135313535</v>
      </c>
      <c r="X360" s="94">
        <f t="shared" si="736"/>
        <v>266244.86425639596</v>
      </c>
      <c r="Y360" s="94">
        <f t="shared" si="736"/>
        <v>186461.36243317561</v>
      </c>
      <c r="Z360" s="94">
        <f t="shared" si="736"/>
        <v>781053.62843455304</v>
      </c>
      <c r="AA360" s="94">
        <f t="shared" si="736"/>
        <v>2221474.8480493422</v>
      </c>
      <c r="AB360" s="94">
        <f t="shared" si="736"/>
        <v>947013.7876819974</v>
      </c>
      <c r="AC360" s="94">
        <f t="shared" si="736"/>
        <v>825373.04584120633</v>
      </c>
      <c r="AD360" s="94">
        <f t="shared" si="736"/>
        <v>917599.77628669329</v>
      </c>
      <c r="AE360" s="94">
        <f t="shared" si="736"/>
        <v>718384.18950309383</v>
      </c>
      <c r="AF360" s="94">
        <f t="shared" si="736"/>
        <v>585407.78373820847</v>
      </c>
      <c r="AG360" s="94">
        <f t="shared" si="736"/>
        <v>577885.26446278207</v>
      </c>
      <c r="AH360" s="94">
        <f t="shared" si="736"/>
        <v>561542.00965766865</v>
      </c>
      <c r="AI360" s="94">
        <f t="shared" si="736"/>
        <v>431521.50336253864</v>
      </c>
      <c r="AJ360" s="94">
        <f t="shared" ref="AJ360:BC360" si="737">AJ355*AJ303</f>
        <v>414064.89334187022</v>
      </c>
      <c r="AK360" s="94">
        <f t="shared" si="737"/>
        <v>388566.80665963393</v>
      </c>
      <c r="AL360" s="94">
        <f t="shared" si="737"/>
        <v>373226.3796237671</v>
      </c>
      <c r="AM360" s="94">
        <f t="shared" si="737"/>
        <v>364280.64105588407</v>
      </c>
      <c r="AN360" s="94">
        <f t="shared" si="737"/>
        <v>355998.83905033406</v>
      </c>
      <c r="AO360" s="94">
        <f t="shared" si="737"/>
        <v>348499.31722192164</v>
      </c>
      <c r="AP360" s="94">
        <f t="shared" si="737"/>
        <v>335908.44926722383</v>
      </c>
      <c r="AQ360" s="94">
        <f t="shared" si="737"/>
        <v>315921.31011034187</v>
      </c>
      <c r="AR360" s="94">
        <f t="shared" si="737"/>
        <v>293964.57842758618</v>
      </c>
      <c r="AS360" s="94">
        <f t="shared" si="737"/>
        <v>278327.90109481342</v>
      </c>
      <c r="AT360" s="94">
        <f t="shared" si="737"/>
        <v>268311.68151078327</v>
      </c>
      <c r="AU360" s="94">
        <f t="shared" si="737"/>
        <v>261644.84703012675</v>
      </c>
      <c r="AV360" s="94">
        <f t="shared" si="737"/>
        <v>254027.19202889231</v>
      </c>
      <c r="AW360" s="94">
        <f t="shared" si="737"/>
        <v>244424.02752767786</v>
      </c>
      <c r="AX360" s="94">
        <f t="shared" si="737"/>
        <v>237114.6472891928</v>
      </c>
      <c r="AY360" s="94">
        <f t="shared" si="737"/>
        <v>232204.49114331303</v>
      </c>
      <c r="AZ360" s="94">
        <f t="shared" si="737"/>
        <v>227253.54385056911</v>
      </c>
      <c r="BA360" s="94">
        <f t="shared" si="737"/>
        <v>222768.39812753588</v>
      </c>
      <c r="BB360" s="94">
        <f t="shared" si="737"/>
        <v>219811.8795108076</v>
      </c>
      <c r="BC360" s="94">
        <f t="shared" si="737"/>
        <v>215363.57018245102</v>
      </c>
      <c r="BD360" s="94">
        <f>BD355*BD303</f>
        <v>220054.27085905155</v>
      </c>
      <c r="BE360" s="94">
        <f>BE355*BE303</f>
        <v>214671.58849636486</v>
      </c>
      <c r="BF360" s="94">
        <f>BF355*BF303</f>
        <v>210596.53027297804</v>
      </c>
      <c r="BG360" s="94">
        <f>BG355*BG303</f>
        <v>208459.26442124441</v>
      </c>
      <c r="BH360" s="94">
        <f t="shared" ref="BH360:CL360" si="738">BH355*BH303</f>
        <v>209044.6931846748</v>
      </c>
      <c r="BI360" s="94">
        <f t="shared" si="738"/>
        <v>208423.34161461689</v>
      </c>
      <c r="BJ360" s="94">
        <f t="shared" si="738"/>
        <v>209351.65758444602</v>
      </c>
      <c r="BK360" s="94">
        <f t="shared" si="738"/>
        <v>210858.71373823145</v>
      </c>
      <c r="BL360" s="94">
        <f t="shared" si="738"/>
        <v>212050.72391491922</v>
      </c>
      <c r="BM360" s="94">
        <f t="shared" si="738"/>
        <v>213714.44471495453</v>
      </c>
      <c r="BN360" s="94">
        <f t="shared" si="738"/>
        <v>208738.17286750386</v>
      </c>
      <c r="BO360" s="94">
        <f t="shared" si="738"/>
        <v>212912.93632485392</v>
      </c>
      <c r="BP360" s="94">
        <f t="shared" si="738"/>
        <v>217171.19505135101</v>
      </c>
      <c r="BQ360" s="94">
        <f t="shared" si="738"/>
        <v>221514.61895237805</v>
      </c>
      <c r="BR360" s="94">
        <f t="shared" si="738"/>
        <v>225944.9113314256</v>
      </c>
      <c r="BS360" s="94">
        <f t="shared" si="738"/>
        <v>230463.80955805411</v>
      </c>
      <c r="BT360" s="94">
        <f t="shared" si="738"/>
        <v>235073.08574921518</v>
      </c>
      <c r="BU360" s="94">
        <f t="shared" si="738"/>
        <v>239774.54746419948</v>
      </c>
      <c r="BV360" s="94">
        <f t="shared" si="738"/>
        <v>244570.03841348347</v>
      </c>
      <c r="BW360" s="94">
        <f t="shared" si="738"/>
        <v>249461.43918175317</v>
      </c>
      <c r="BX360" s="94">
        <f t="shared" si="738"/>
        <v>254450.66796538825</v>
      </c>
      <c r="BY360" s="94">
        <f t="shared" si="738"/>
        <v>259539.68132469602</v>
      </c>
      <c r="BZ360" s="94">
        <f t="shared" si="738"/>
        <v>264730.47495118994</v>
      </c>
      <c r="CA360" s="94">
        <f t="shared" si="738"/>
        <v>270025.0844502137</v>
      </c>
      <c r="CB360" s="94">
        <f t="shared" si="738"/>
        <v>275425.58613921801</v>
      </c>
      <c r="CC360" s="94">
        <f t="shared" si="738"/>
        <v>280934.09786200232</v>
      </c>
      <c r="CD360" s="94">
        <f t="shared" si="738"/>
        <v>286552.77981924242</v>
      </c>
      <c r="CE360" s="94">
        <f t="shared" si="738"/>
        <v>292283.83541562723</v>
      </c>
      <c r="CF360" s="94">
        <f t="shared" si="738"/>
        <v>298129.51212393987</v>
      </c>
      <c r="CG360" s="94">
        <f t="shared" si="738"/>
        <v>304092.10236641869</v>
      </c>
      <c r="CH360" s="94">
        <f t="shared" si="738"/>
        <v>310173.94441374706</v>
      </c>
      <c r="CI360" s="94">
        <f t="shared" si="738"/>
        <v>316377.42330202198</v>
      </c>
      <c r="CJ360" s="94">
        <f t="shared" si="738"/>
        <v>322704.97176806239</v>
      </c>
      <c r="CK360" s="94">
        <f t="shared" si="738"/>
        <v>329159.07120342366</v>
      </c>
      <c r="CL360" s="94">
        <f t="shared" si="738"/>
        <v>335742.25262749213</v>
      </c>
      <c r="CM360" s="94">
        <f t="shared" ref="CM360:CQ360" si="739">CM355*CM303</f>
        <v>342457.09768004192</v>
      </c>
      <c r="CN360" s="94">
        <f t="shared" si="739"/>
        <v>349306.23963364278</v>
      </c>
      <c r="CO360" s="94">
        <f t="shared" si="739"/>
        <v>356292.36442631565</v>
      </c>
      <c r="CP360" s="94">
        <f t="shared" si="739"/>
        <v>363418.21171484201</v>
      </c>
      <c r="CQ360" s="94">
        <f t="shared" si="739"/>
        <v>370686.57594913885</v>
      </c>
    </row>
    <row r="361" spans="1:95">
      <c r="A361" s="78" t="s">
        <v>398</v>
      </c>
      <c r="B361" s="148"/>
      <c r="C361" s="94">
        <f t="shared" ref="C361:AI361" si="740">C364*C356</f>
        <v>11156.92319702922</v>
      </c>
      <c r="D361" s="94">
        <f t="shared" si="740"/>
        <v>14508.630023022421</v>
      </c>
      <c r="E361" s="94">
        <f t="shared" si="740"/>
        <v>24086.962740464522</v>
      </c>
      <c r="F361" s="94">
        <f t="shared" si="740"/>
        <v>24908.969614516431</v>
      </c>
      <c r="G361" s="94">
        <f t="shared" si="740"/>
        <v>21537.052833215483</v>
      </c>
      <c r="H361" s="94">
        <f t="shared" si="740"/>
        <v>42093.219192149372</v>
      </c>
      <c r="I361" s="94">
        <f t="shared" si="740"/>
        <v>35504.818553725199</v>
      </c>
      <c r="J361" s="94">
        <f t="shared" si="740"/>
        <v>47105.686017693442</v>
      </c>
      <c r="K361" s="94">
        <f t="shared" si="740"/>
        <v>94122.686026864118</v>
      </c>
      <c r="L361" s="94">
        <f t="shared" si="740"/>
        <v>76361.583924147344</v>
      </c>
      <c r="M361" s="94">
        <f>M364*M356</f>
        <v>91661.696015017384</v>
      </c>
      <c r="N361" s="94">
        <f t="shared" si="740"/>
        <v>51573.686237826296</v>
      </c>
      <c r="O361" s="94">
        <f t="shared" si="740"/>
        <v>66197.365605045517</v>
      </c>
      <c r="P361" s="94">
        <f t="shared" si="740"/>
        <v>89060.904252546752</v>
      </c>
      <c r="Q361" s="94">
        <f t="shared" si="740"/>
        <v>97919.44831999189</v>
      </c>
      <c r="R361" s="94">
        <f t="shared" si="740"/>
        <v>88265.934883364389</v>
      </c>
      <c r="S361" s="94">
        <f>S364*S356</f>
        <v>86024.596295409458</v>
      </c>
      <c r="T361" s="94">
        <f t="shared" si="740"/>
        <v>63532464.863404006</v>
      </c>
      <c r="U361" s="94">
        <f t="shared" si="740"/>
        <v>46426404866.94062</v>
      </c>
      <c r="V361" s="94">
        <f t="shared" si="740"/>
        <v>47229005688485.055</v>
      </c>
      <c r="W361" s="94">
        <f t="shared" si="740"/>
        <v>4.2085861977838448E+16</v>
      </c>
      <c r="X361" s="94">
        <f t="shared" si="740"/>
        <v>2.6521365098828317E+19</v>
      </c>
      <c r="Y361" s="94">
        <f t="shared" si="740"/>
        <v>1.1994626760948599E+22</v>
      </c>
      <c r="Z361" s="94">
        <f t="shared" si="740"/>
        <v>9.0724693977102353E+24</v>
      </c>
      <c r="AA361" s="94">
        <f t="shared" si="740"/>
        <v>7.4202558023913575E+27</v>
      </c>
      <c r="AB361" s="94">
        <f t="shared" si="740"/>
        <v>2.9695004979117617E+30</v>
      </c>
      <c r="AC361" s="94">
        <f t="shared" si="740"/>
        <v>1.1941437118641766E+33</v>
      </c>
      <c r="AD361" s="94">
        <f t="shared" si="740"/>
        <v>1.0404955915538739E+33</v>
      </c>
      <c r="AE361" s="94">
        <f t="shared" si="740"/>
        <v>1.0339454472253733E+33</v>
      </c>
      <c r="AF361" s="94">
        <f t="shared" si="740"/>
        <v>1.0426685708285361E+33</v>
      </c>
      <c r="AG361" s="94">
        <f t="shared" si="740"/>
        <v>1.0453123259335538E+33</v>
      </c>
      <c r="AH361" s="94">
        <f t="shared" si="740"/>
        <v>1.0360097930296025E+33</v>
      </c>
      <c r="AI361" s="94">
        <f t="shared" si="740"/>
        <v>9.9490986430272524E+32</v>
      </c>
      <c r="AJ361" s="94">
        <f t="shared" ref="AJ361:BC361" si="741">AJ364*AJ356</f>
        <v>9.3679365191784836E+32</v>
      </c>
      <c r="AK361" s="94">
        <f t="shared" si="741"/>
        <v>9.1266356015677571E+32</v>
      </c>
      <c r="AL361" s="94">
        <f t="shared" si="741"/>
        <v>8.465567947150606E+32</v>
      </c>
      <c r="AM361" s="94">
        <f t="shared" si="741"/>
        <v>7.9044999000674652E+32</v>
      </c>
      <c r="AN361" s="94">
        <f t="shared" si="741"/>
        <v>7.3098002481628637E+32</v>
      </c>
      <c r="AO361" s="94">
        <f t="shared" si="741"/>
        <v>6.8216032139093146E+32</v>
      </c>
      <c r="AP361" s="94">
        <f t="shared" si="741"/>
        <v>6.0338210792145428E+32</v>
      </c>
      <c r="AQ361" s="94">
        <f t="shared" si="741"/>
        <v>5.2476773141494671E+32</v>
      </c>
      <c r="AR361" s="94">
        <f t="shared" si="741"/>
        <v>4.7606665479054743E+32</v>
      </c>
      <c r="AS361" s="94">
        <f t="shared" si="741"/>
        <v>4.3996621065050397E+32</v>
      </c>
      <c r="AT361" s="94">
        <f t="shared" si="741"/>
        <v>3.9137402203200741E+32</v>
      </c>
      <c r="AU361" s="94">
        <f t="shared" si="741"/>
        <v>3.6153448333358825E+32</v>
      </c>
      <c r="AV361" s="94">
        <f t="shared" si="741"/>
        <v>3.3559045800957764E+32</v>
      </c>
      <c r="AW361" s="94">
        <f t="shared" si="741"/>
        <v>3.0286073406647084E+32</v>
      </c>
      <c r="AX361" s="94">
        <f t="shared" si="741"/>
        <v>2.8062203073668948E+32</v>
      </c>
      <c r="AY361" s="94">
        <f t="shared" si="741"/>
        <v>2.422831843765105E+32</v>
      </c>
      <c r="AZ361" s="94">
        <f t="shared" si="741"/>
        <v>2.3429401271396073E+32</v>
      </c>
      <c r="BA361" s="94">
        <f t="shared" si="741"/>
        <v>1.8949086774449086E+32</v>
      </c>
      <c r="BB361" s="94">
        <f t="shared" si="741"/>
        <v>1.5333096121041989E+32</v>
      </c>
      <c r="BC361" s="94">
        <f t="shared" si="741"/>
        <v>1.2841000712702057E+32</v>
      </c>
      <c r="BD361" s="94">
        <f>BD364*BD356</f>
        <v>1.0584212847772507E+32</v>
      </c>
      <c r="BE361" s="94">
        <f>BE364*BE356</f>
        <v>7.4555545764799292E+31</v>
      </c>
      <c r="BF361" s="94">
        <f>BF364*BF356</f>
        <v>5.9792985641488105E+31</v>
      </c>
      <c r="BG361" s="94">
        <f>BG364*BG356</f>
        <v>4.3043242333604483E+31</v>
      </c>
      <c r="BH361" s="94">
        <f t="shared" ref="BH361:CL361" si="742">BH364*BH356</f>
        <v>2.9325159919146691E+31</v>
      </c>
      <c r="BI361" s="94">
        <f t="shared" si="742"/>
        <v>1.9928842452664041E+31</v>
      </c>
      <c r="BJ361" s="94">
        <f t="shared" si="742"/>
        <v>9.6409877397222947E+30</v>
      </c>
      <c r="BK361" s="94">
        <f t="shared" si="742"/>
        <v>9.2682243110992109E+30</v>
      </c>
      <c r="BL361" s="94">
        <f t="shared" si="742"/>
        <v>8.8080976887971206E+30</v>
      </c>
      <c r="BM361" s="94">
        <f t="shared" si="742"/>
        <v>6.2466968347737674E+30</v>
      </c>
      <c r="BN361" s="94">
        <f t="shared" si="742"/>
        <v>6.371630771469243E+30</v>
      </c>
      <c r="BO361" s="94">
        <f t="shared" si="742"/>
        <v>6.499063386898628E+30</v>
      </c>
      <c r="BP361" s="94">
        <f t="shared" si="742"/>
        <v>6.6290446546366002E+30</v>
      </c>
      <c r="BQ361" s="94">
        <f t="shared" si="742"/>
        <v>6.7616255477293322E+30</v>
      </c>
      <c r="BR361" s="94">
        <f t="shared" si="742"/>
        <v>6.896858058683917E+30</v>
      </c>
      <c r="BS361" s="94">
        <f t="shared" si="742"/>
        <v>7.0347952198575975E+30</v>
      </c>
      <c r="BT361" s="94">
        <f t="shared" si="742"/>
        <v>7.1754911242547491E+30</v>
      </c>
      <c r="BU361" s="94">
        <f t="shared" si="742"/>
        <v>7.3190009467398439E+30</v>
      </c>
      <c r="BV361" s="94">
        <f t="shared" si="742"/>
        <v>7.4653809656746404E+30</v>
      </c>
      <c r="BW361" s="94">
        <f t="shared" si="742"/>
        <v>7.6146885849881333E+30</v>
      </c>
      <c r="BX361" s="94">
        <f t="shared" si="742"/>
        <v>7.766982356687895E+30</v>
      </c>
      <c r="BY361" s="94">
        <f t="shared" si="742"/>
        <v>7.9223220038216538E+30</v>
      </c>
      <c r="BZ361" s="94">
        <f t="shared" si="742"/>
        <v>8.080768443898087E+30</v>
      </c>
      <c r="CA361" s="94">
        <f t="shared" si="742"/>
        <v>8.2423838127760489E+30</v>
      </c>
      <c r="CB361" s="94">
        <f t="shared" si="742"/>
        <v>8.4072314890315693E+30</v>
      </c>
      <c r="CC361" s="94">
        <f t="shared" si="742"/>
        <v>8.575376118812201E+30</v>
      </c>
      <c r="CD361" s="94">
        <f t="shared" si="742"/>
        <v>8.7468836411884458E+30</v>
      </c>
      <c r="CE361" s="94">
        <f t="shared" si="742"/>
        <v>8.9218213140122151E+30</v>
      </c>
      <c r="CF361" s="94">
        <f t="shared" si="742"/>
        <v>9.1002577402924591E+30</v>
      </c>
      <c r="CG361" s="94">
        <f t="shared" si="742"/>
        <v>9.2822628950983097E+30</v>
      </c>
      <c r="CH361" s="94">
        <f t="shared" si="742"/>
        <v>9.467908153000273E+30</v>
      </c>
      <c r="CI361" s="94">
        <f t="shared" si="742"/>
        <v>9.6572663160602782E+30</v>
      </c>
      <c r="CJ361" s="94">
        <f t="shared" si="742"/>
        <v>9.8504116423814856E+30</v>
      </c>
      <c r="CK361" s="94">
        <f t="shared" si="742"/>
        <v>1.0047419875229115E+31</v>
      </c>
      <c r="CL361" s="94">
        <f t="shared" si="742"/>
        <v>1.0248368272733698E+31</v>
      </c>
      <c r="CM361" s="94">
        <f t="shared" ref="CM361:CQ361" si="743">CM364*CM356</f>
        <v>1.0453335638188372E+31</v>
      </c>
      <c r="CN361" s="94">
        <f t="shared" si="743"/>
        <v>1.0662402350952138E+31</v>
      </c>
      <c r="CO361" s="94">
        <f t="shared" si="743"/>
        <v>1.0875650397971181E+31</v>
      </c>
      <c r="CP361" s="94">
        <f t="shared" si="743"/>
        <v>1.1093163405930605E+31</v>
      </c>
      <c r="CQ361" s="94">
        <f t="shared" si="743"/>
        <v>1.1315026674049217E+31</v>
      </c>
    </row>
    <row r="362" spans="1:95">
      <c r="A362" s="78" t="s">
        <v>303</v>
      </c>
      <c r="B362" s="148"/>
      <c r="C362" s="94">
        <f>SUM(C359:C361)</f>
        <v>129459.92321140517</v>
      </c>
      <c r="D362" s="94">
        <f t="shared" ref="D362:AI362" si="744">SUM(D359:D361)</f>
        <v>173736.63003709755</v>
      </c>
      <c r="E362" s="94">
        <f t="shared" si="744"/>
        <v>330710.96274879744</v>
      </c>
      <c r="F362" s="94">
        <f t="shared" si="744"/>
        <v>320624.9696224574</v>
      </c>
      <c r="G362" s="94">
        <f t="shared" si="744"/>
        <v>278869.05284353939</v>
      </c>
      <c r="H362" s="94">
        <f t="shared" si="744"/>
        <v>310612.21920238738</v>
      </c>
      <c r="I362" s="94">
        <f t="shared" si="744"/>
        <v>358283.81856238312</v>
      </c>
      <c r="J362" s="94">
        <f t="shared" si="744"/>
        <v>454486.68602260924</v>
      </c>
      <c r="K362" s="94">
        <f t="shared" si="744"/>
        <v>567761.68602751882</v>
      </c>
      <c r="L362" s="94">
        <f t="shared" si="744"/>
        <v>528131.58392553462</v>
      </c>
      <c r="M362" s="94">
        <f t="shared" si="744"/>
        <v>681377.69601026387</v>
      </c>
      <c r="N362" s="94">
        <f t="shared" si="744"/>
        <v>435525.425592274</v>
      </c>
      <c r="O362" s="94">
        <f t="shared" si="744"/>
        <v>475027.73495221138</v>
      </c>
      <c r="P362" s="94">
        <f t="shared" si="744"/>
        <v>600799.06065942789</v>
      </c>
      <c r="Q362" s="94">
        <f t="shared" si="744"/>
        <v>645005.85221999197</v>
      </c>
      <c r="R362" s="94">
        <f t="shared" si="744"/>
        <v>651729.77083642862</v>
      </c>
      <c r="S362" s="94">
        <f>SUM(S359:S361)</f>
        <v>590498.24873408885</v>
      </c>
      <c r="T362" s="94">
        <f t="shared" si="744"/>
        <v>64064292.483211458</v>
      </c>
      <c r="U362" s="94">
        <f t="shared" si="744"/>
        <v>46426963219.642471</v>
      </c>
      <c r="V362" s="94">
        <f t="shared" si="744"/>
        <v>47232619279855.688</v>
      </c>
      <c r="W362" s="94">
        <f t="shared" si="744"/>
        <v>4.211003767679344E+16</v>
      </c>
      <c r="X362" s="94">
        <f t="shared" si="744"/>
        <v>2.6636636023230104E+19</v>
      </c>
      <c r="Y362" s="94">
        <f t="shared" si="744"/>
        <v>1.2492272129190262E+22</v>
      </c>
      <c r="Z362" s="94">
        <f t="shared" si="744"/>
        <v>1.3731960205378077E+25</v>
      </c>
      <c r="AA362" s="94">
        <f t="shared" si="744"/>
        <v>5.0889362374208022E+28</v>
      </c>
      <c r="AB362" s="94">
        <f t="shared" si="744"/>
        <v>2.5869274268089787E+32</v>
      </c>
      <c r="AC362" s="94">
        <f t="shared" si="744"/>
        <v>1.6161279395735047E+36</v>
      </c>
      <c r="AD362" s="94">
        <f t="shared" si="744"/>
        <v>1.395590548540903E+36</v>
      </c>
      <c r="AE362" s="94">
        <f t="shared" si="744"/>
        <v>1.2478466190726701E+36</v>
      </c>
      <c r="AF362" s="94">
        <f t="shared" si="744"/>
        <v>1.1915170754680811E+36</v>
      </c>
      <c r="AG362" s="94">
        <f t="shared" si="744"/>
        <v>1.0795782607764201E+36</v>
      </c>
      <c r="AH362" s="94">
        <f t="shared" si="744"/>
        <v>9.8313164815895295E+35</v>
      </c>
      <c r="AI362" s="94">
        <f t="shared" si="744"/>
        <v>9.2044924278577392E+35</v>
      </c>
      <c r="AJ362" s="94">
        <f t="shared" ref="AJ362:BC362" si="745">SUM(AJ359:AJ361)</f>
        <v>9.3611118578902101E+35</v>
      </c>
      <c r="AK362" s="94">
        <f t="shared" si="745"/>
        <v>9.671025979683484E+35</v>
      </c>
      <c r="AL362" s="94">
        <f t="shared" si="745"/>
        <v>9.9259647982995047E+35</v>
      </c>
      <c r="AM362" s="94">
        <f t="shared" si="745"/>
        <v>1.0389573893294608E+36</v>
      </c>
      <c r="AN362" s="94">
        <f t="shared" si="745"/>
        <v>1.0786063687649369E+36</v>
      </c>
      <c r="AO362" s="94">
        <f t="shared" si="745"/>
        <v>1.0817512714724282E+36</v>
      </c>
      <c r="AP362" s="94">
        <f t="shared" si="745"/>
        <v>1.079569162683084E+36</v>
      </c>
      <c r="AQ362" s="94">
        <f t="shared" si="745"/>
        <v>1.0596215714809847E+36</v>
      </c>
      <c r="AR362" s="94">
        <f t="shared" si="745"/>
        <v>1.0439855576340419E+36</v>
      </c>
      <c r="AS362" s="94">
        <f t="shared" si="745"/>
        <v>1.0307010019234888E+36</v>
      </c>
      <c r="AT362" s="94">
        <f t="shared" si="745"/>
        <v>1.0230400655178358E+36</v>
      </c>
      <c r="AU362" s="94">
        <f t="shared" si="745"/>
        <v>1.01016943819648E+36</v>
      </c>
      <c r="AV362" s="94">
        <f t="shared" si="745"/>
        <v>9.9880460704383132E+35</v>
      </c>
      <c r="AW362" s="94">
        <f t="shared" si="745"/>
        <v>9.9360980955070858E+35</v>
      </c>
      <c r="AX362" s="94">
        <f t="shared" si="745"/>
        <v>9.789021519217764E+35</v>
      </c>
      <c r="AY362" s="94">
        <f t="shared" si="745"/>
        <v>9.6802497800874037E+35</v>
      </c>
      <c r="AZ362" s="94">
        <f t="shared" si="745"/>
        <v>9.5217887313116578E+35</v>
      </c>
      <c r="BA362" s="94">
        <f t="shared" si="745"/>
        <v>9.4526289844643561E+35</v>
      </c>
      <c r="BB362" s="94">
        <f t="shared" si="745"/>
        <v>9.2776268926058538E+35</v>
      </c>
      <c r="BC362" s="94">
        <f t="shared" si="745"/>
        <v>9.1143312800015307E+35</v>
      </c>
      <c r="BD362" s="94">
        <f>SUM(BD359:BD361)</f>
        <v>9.0112735821034923E+35</v>
      </c>
      <c r="BE362" s="94">
        <f>SUM(BE359:BE361)</f>
        <v>8.8585207464657129E+35</v>
      </c>
      <c r="BF362" s="94">
        <f>SUM(BF359:BF361)</f>
        <v>8.7289608217383999E+35</v>
      </c>
      <c r="BG362" s="94">
        <f>SUM(BG359:BG361)</f>
        <v>8.5629973128102972E+35</v>
      </c>
      <c r="BH362" s="94">
        <f t="shared" ref="BH362:CL362" si="746">SUM(BH359:BH361)</f>
        <v>8.3651372947011945E+35</v>
      </c>
      <c r="BI362" s="94">
        <f t="shared" si="746"/>
        <v>8.1904522410452296E+35</v>
      </c>
      <c r="BJ362" s="94">
        <f t="shared" si="746"/>
        <v>7.9975819105040562E+35</v>
      </c>
      <c r="BK362" s="94">
        <f t="shared" si="746"/>
        <v>7.7202665723837834E+35</v>
      </c>
      <c r="BL362" s="94">
        <f t="shared" si="746"/>
        <v>7.4660603829604527E+35</v>
      </c>
      <c r="BM362" s="94">
        <f t="shared" si="746"/>
        <v>7.1907049123069369E+35</v>
      </c>
      <c r="BN362" s="94">
        <f t="shared" si="746"/>
        <v>7.334519010553074E+35</v>
      </c>
      <c r="BO362" s="94">
        <f t="shared" si="746"/>
        <v>7.4812093907641363E+35</v>
      </c>
      <c r="BP362" s="94">
        <f t="shared" si="746"/>
        <v>7.6308335785794206E+35</v>
      </c>
      <c r="BQ362" s="94">
        <f t="shared" si="746"/>
        <v>7.7834502501510071E+35</v>
      </c>
      <c r="BR362" s="94">
        <f t="shared" si="746"/>
        <v>7.9391192551540286E+35</v>
      </c>
      <c r="BS362" s="94">
        <f t="shared" si="746"/>
        <v>8.0979016402571081E+35</v>
      </c>
      <c r="BT362" s="94">
        <f t="shared" si="746"/>
        <v>8.2598596730622494E+35</v>
      </c>
      <c r="BU362" s="94">
        <f t="shared" si="746"/>
        <v>8.4250568665234963E+35</v>
      </c>
      <c r="BV362" s="94">
        <f t="shared" si="746"/>
        <v>8.5935580038539652E+35</v>
      </c>
      <c r="BW362" s="94">
        <f t="shared" si="746"/>
        <v>8.7654291639310426E+35</v>
      </c>
      <c r="BX362" s="94">
        <f t="shared" si="746"/>
        <v>8.940737747209665E+35</v>
      </c>
      <c r="BY362" s="94">
        <f t="shared" si="746"/>
        <v>9.1195525021538592E+35</v>
      </c>
      <c r="BZ362" s="94">
        <f t="shared" si="746"/>
        <v>9.3019435521969358E+35</v>
      </c>
      <c r="CA362" s="94">
        <f t="shared" si="746"/>
        <v>9.4879824232408744E+35</v>
      </c>
      <c r="CB362" s="94">
        <f t="shared" si="746"/>
        <v>9.6777420717056912E+35</v>
      </c>
      <c r="CC362" s="94">
        <f t="shared" si="746"/>
        <v>9.8712969131398051E+35</v>
      </c>
      <c r="CD362" s="94">
        <f t="shared" si="746"/>
        <v>1.0068722851402601E+36</v>
      </c>
      <c r="CE362" s="94">
        <f t="shared" si="746"/>
        <v>1.0270097308430652E+36</v>
      </c>
      <c r="CF362" s="94">
        <f t="shared" si="746"/>
        <v>1.0475499254599266E+36</v>
      </c>
      <c r="CG362" s="94">
        <f t="shared" si="746"/>
        <v>1.0685009239691253E+36</v>
      </c>
      <c r="CH362" s="94">
        <f t="shared" si="746"/>
        <v>1.0898709424485076E+36</v>
      </c>
      <c r="CI362" s="94">
        <f t="shared" si="746"/>
        <v>1.1116683612974779E+36</v>
      </c>
      <c r="CJ362" s="94">
        <f t="shared" si="746"/>
        <v>1.1339017285234275E+36</v>
      </c>
      <c r="CK362" s="94">
        <f t="shared" si="746"/>
        <v>1.1565797630938961E+36</v>
      </c>
      <c r="CL362" s="94">
        <f t="shared" si="746"/>
        <v>1.1797113583557741E+36</v>
      </c>
      <c r="CM362" s="94">
        <f t="shared" ref="CM362:CQ362" si="747">SUM(CM359:CM361)</f>
        <v>1.2033055855228896E+36</v>
      </c>
      <c r="CN362" s="94">
        <f t="shared" si="747"/>
        <v>1.2273716972333477E+36</v>
      </c>
      <c r="CO362" s="94">
        <f t="shared" si="747"/>
        <v>1.2519191311780143E+36</v>
      </c>
      <c r="CP362" s="94">
        <f t="shared" si="747"/>
        <v>1.2769575138015747E+36</v>
      </c>
      <c r="CQ362" s="94">
        <f t="shared" si="747"/>
        <v>1.3024966640776062E+36</v>
      </c>
    </row>
    <row r="363" spans="1:95">
      <c r="A363" s="100"/>
      <c r="B363" s="100"/>
      <c r="C363" s="128"/>
      <c r="D363" s="128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</row>
    <row r="364" spans="1:95">
      <c r="A364" s="79" t="s">
        <v>307</v>
      </c>
      <c r="B364" s="100"/>
      <c r="C364" s="80">
        <f t="shared" ref="C364:S364" si="748">C217</f>
        <v>37762.196076388886</v>
      </c>
      <c r="D364" s="80">
        <f t="shared" si="748"/>
        <v>41625.108608627052</v>
      </c>
      <c r="E364" s="80">
        <f t="shared" si="748"/>
        <v>40112.488344828111</v>
      </c>
      <c r="F364" s="80">
        <f t="shared" si="748"/>
        <v>47457.036539977125</v>
      </c>
      <c r="G364" s="80">
        <f t="shared" si="748"/>
        <v>49608.232647449317</v>
      </c>
      <c r="H364" s="80">
        <f t="shared" si="748"/>
        <v>85292.856367446599</v>
      </c>
      <c r="I364" s="80">
        <f t="shared" si="748"/>
        <v>59502.623812461075</v>
      </c>
      <c r="J364" s="80">
        <f t="shared" si="748"/>
        <v>64761.445434075809</v>
      </c>
      <c r="K364" s="80">
        <f t="shared" si="748"/>
        <v>108900.97991499187</v>
      </c>
      <c r="L364" s="80">
        <f t="shared" si="748"/>
        <v>84536.307402902268</v>
      </c>
      <c r="M364" s="80">
        <f t="shared" si="748"/>
        <v>85120.598593080475</v>
      </c>
      <c r="N364" s="180">
        <f t="shared" si="748"/>
        <v>83818.765216685031</v>
      </c>
      <c r="O364" s="180">
        <f t="shared" si="748"/>
        <v>81054.690345347757</v>
      </c>
      <c r="P364" s="180">
        <f t="shared" si="748"/>
        <v>89310.974982497748</v>
      </c>
      <c r="Q364" s="180">
        <f t="shared" si="748"/>
        <v>92551.463440446023</v>
      </c>
      <c r="R364" s="180">
        <f t="shared" si="748"/>
        <v>87764.157336067932</v>
      </c>
      <c r="S364" s="180">
        <f t="shared" si="748"/>
        <v>85932.899046461389</v>
      </c>
      <c r="T364" s="80">
        <f t="shared" ref="T364:AY364" si="749">S364*(1+T217/100)</f>
        <v>62970239.267561316</v>
      </c>
      <c r="U364" s="80">
        <f t="shared" si="749"/>
        <v>45708676548.675217</v>
      </c>
      <c r="V364" s="80">
        <f t="shared" si="749"/>
        <v>36052153653245.969</v>
      </c>
      <c r="W364" s="80">
        <f t="shared" si="749"/>
        <v>2.7313380082883752E+16</v>
      </c>
      <c r="X364" s="80">
        <f t="shared" si="749"/>
        <v>1.826974399817994E+19</v>
      </c>
      <c r="Y364" s="80">
        <f t="shared" si="749"/>
        <v>1.1189989674786897E+22</v>
      </c>
      <c r="Z364" s="80">
        <f t="shared" si="749"/>
        <v>6.0499241543843032E+24</v>
      </c>
      <c r="AA364" s="80">
        <f t="shared" si="749"/>
        <v>2.7100635249564487E+27</v>
      </c>
      <c r="AB364" s="80">
        <f t="shared" si="749"/>
        <v>1.1606157432652316E+30</v>
      </c>
      <c r="AC364" s="80">
        <f t="shared" si="749"/>
        <v>5.3514458243574007E+32</v>
      </c>
      <c r="AD364" s="80">
        <f t="shared" si="749"/>
        <v>5.5168835948355891E+32</v>
      </c>
      <c r="AE364" s="80">
        <f t="shared" si="749"/>
        <v>5.8040666887136617E+32</v>
      </c>
      <c r="AF364" s="80">
        <f t="shared" si="749"/>
        <v>5.8550870400857517E+32</v>
      </c>
      <c r="AG364" s="80">
        <f t="shared" si="749"/>
        <v>5.8417114522719974E+32</v>
      </c>
      <c r="AH364" s="80">
        <f t="shared" si="749"/>
        <v>5.7437696840286224E+32</v>
      </c>
      <c r="AI364" s="80">
        <f t="shared" si="749"/>
        <v>5.4909635506526849E+32</v>
      </c>
      <c r="AJ364" s="80">
        <f t="shared" si="749"/>
        <v>4.9370462543997355E+32</v>
      </c>
      <c r="AK364" s="80">
        <f t="shared" si="749"/>
        <v>4.5957681495101271E+32</v>
      </c>
      <c r="AL364" s="80">
        <f t="shared" si="749"/>
        <v>4.0650620104996474E+32</v>
      </c>
      <c r="AM364" s="80">
        <f t="shared" si="749"/>
        <v>3.6247258469161214E+32</v>
      </c>
      <c r="AN364" s="80">
        <f t="shared" si="749"/>
        <v>3.1926383626384841E+32</v>
      </c>
      <c r="AO364" s="80">
        <f t="shared" si="749"/>
        <v>2.895929429154749E+32</v>
      </c>
      <c r="AP364" s="80">
        <f t="shared" si="749"/>
        <v>2.4876221078076756E+32</v>
      </c>
      <c r="AQ364" s="80">
        <f t="shared" si="749"/>
        <v>2.0972428696329516E+32</v>
      </c>
      <c r="AR364" s="80">
        <f t="shared" si="749"/>
        <v>1.8554030096212275E+32</v>
      </c>
      <c r="AS364" s="80">
        <f t="shared" si="749"/>
        <v>1.678342536050589E+32</v>
      </c>
      <c r="AT364" s="80">
        <f t="shared" si="749"/>
        <v>1.4851845422246242E+32</v>
      </c>
      <c r="AU364" s="80">
        <f t="shared" si="749"/>
        <v>1.3345057482975514E+32</v>
      </c>
      <c r="AV364" s="80">
        <f t="shared" si="749"/>
        <v>1.1997962991881582E+32</v>
      </c>
      <c r="AW364" s="80">
        <f t="shared" si="749"/>
        <v>1.0431816249937773E+32</v>
      </c>
      <c r="AX364" s="80">
        <f t="shared" si="749"/>
        <v>9.394767525003965E+31</v>
      </c>
      <c r="AY364" s="80">
        <f t="shared" si="749"/>
        <v>7.780779298106936E+31</v>
      </c>
      <c r="AZ364" s="80">
        <f t="shared" ref="AZ364:CE364" si="750">AY364*(1+AZ217/100)</f>
        <v>7.281741021598491E+31</v>
      </c>
      <c r="BA364" s="80">
        <f t="shared" si="750"/>
        <v>5.6106667182505377E+31</v>
      </c>
      <c r="BB364" s="80">
        <f t="shared" si="750"/>
        <v>4.3569836427323463E+31</v>
      </c>
      <c r="BC364" s="80">
        <f t="shared" si="750"/>
        <v>3.6280714551601435E+31</v>
      </c>
      <c r="BD364" s="80">
        <f t="shared" si="750"/>
        <v>2.966177516784449E+31</v>
      </c>
      <c r="BE364" s="80">
        <f t="shared" si="750"/>
        <v>2.0284971585237834E+31</v>
      </c>
      <c r="BF364" s="80">
        <f t="shared" si="750"/>
        <v>1.6145718842280104E+31</v>
      </c>
      <c r="BG364" s="80">
        <f t="shared" si="750"/>
        <v>1.1571660877624204E+31</v>
      </c>
      <c r="BH364" s="80">
        <f t="shared" si="750"/>
        <v>7.9251628667748878E+30</v>
      </c>
      <c r="BI364" s="80">
        <f t="shared" si="750"/>
        <v>5.3160341843206532E+30</v>
      </c>
      <c r="BJ364" s="80">
        <f t="shared" si="750"/>
        <v>2.9223650009831752E+30</v>
      </c>
      <c r="BK364" s="80">
        <f t="shared" si="750"/>
        <v>2.7542876310239156E+30</v>
      </c>
      <c r="BL364" s="80">
        <f t="shared" si="750"/>
        <v>2.5662248525108993E+30</v>
      </c>
      <c r="BM364" s="80">
        <f t="shared" si="750"/>
        <v>1.7842793175227637E+30</v>
      </c>
      <c r="BN364" s="80">
        <f t="shared" si="750"/>
        <v>1.7842793175227637E+30</v>
      </c>
      <c r="BO364" s="80">
        <f t="shared" si="750"/>
        <v>1.7842793175227637E+30</v>
      </c>
      <c r="BP364" s="80">
        <f t="shared" si="750"/>
        <v>1.7842793175227637E+30</v>
      </c>
      <c r="BQ364" s="80">
        <f t="shared" si="750"/>
        <v>1.7842793175227637E+30</v>
      </c>
      <c r="BR364" s="80">
        <f t="shared" si="750"/>
        <v>1.7842793175227637E+30</v>
      </c>
      <c r="BS364" s="80">
        <f t="shared" si="750"/>
        <v>1.7842793175227637E+30</v>
      </c>
      <c r="BT364" s="80">
        <f t="shared" si="750"/>
        <v>1.7842793175227637E+30</v>
      </c>
      <c r="BU364" s="80">
        <f t="shared" si="750"/>
        <v>1.7842793175227637E+30</v>
      </c>
      <c r="BV364" s="80">
        <f t="shared" si="750"/>
        <v>1.7842793175227637E+30</v>
      </c>
      <c r="BW364" s="80">
        <f t="shared" si="750"/>
        <v>1.7842793175227637E+30</v>
      </c>
      <c r="BX364" s="80">
        <f t="shared" si="750"/>
        <v>1.7842793175227637E+30</v>
      </c>
      <c r="BY364" s="80">
        <f t="shared" si="750"/>
        <v>1.7842793175227637E+30</v>
      </c>
      <c r="BZ364" s="80">
        <f t="shared" si="750"/>
        <v>1.7842793175227637E+30</v>
      </c>
      <c r="CA364" s="80">
        <f t="shared" si="750"/>
        <v>1.7842793175227637E+30</v>
      </c>
      <c r="CB364" s="80">
        <f t="shared" si="750"/>
        <v>1.7842793175227637E+30</v>
      </c>
      <c r="CC364" s="80">
        <f t="shared" si="750"/>
        <v>1.7842793175227637E+30</v>
      </c>
      <c r="CD364" s="80">
        <f t="shared" si="750"/>
        <v>1.7842793175227637E+30</v>
      </c>
      <c r="CE364" s="80">
        <f t="shared" si="750"/>
        <v>1.7842793175227637E+30</v>
      </c>
      <c r="CF364" s="80">
        <f t="shared" ref="CF364:CL364" si="751">CE364*(1+CF217/100)</f>
        <v>1.7842793175227637E+30</v>
      </c>
      <c r="CG364" s="80">
        <f t="shared" si="751"/>
        <v>1.7842793175227637E+30</v>
      </c>
      <c r="CH364" s="80">
        <f t="shared" si="751"/>
        <v>1.7842793175227637E+30</v>
      </c>
      <c r="CI364" s="80">
        <f t="shared" si="751"/>
        <v>1.7842793175227637E+30</v>
      </c>
      <c r="CJ364" s="80">
        <f t="shared" si="751"/>
        <v>1.7842793175227637E+30</v>
      </c>
      <c r="CK364" s="80">
        <f t="shared" si="751"/>
        <v>1.7842793175227637E+30</v>
      </c>
      <c r="CL364" s="80">
        <f t="shared" si="751"/>
        <v>1.7842793175227637E+30</v>
      </c>
      <c r="CM364" s="80">
        <f t="shared" ref="CM364" si="752">CL364*(1+CM217/100)</f>
        <v>1.7842793175227637E+30</v>
      </c>
      <c r="CN364" s="80">
        <f t="shared" ref="CN364" si="753">CM364*(1+CN217/100)</f>
        <v>1.7842793175227637E+30</v>
      </c>
      <c r="CO364" s="80">
        <f t="shared" ref="CO364" si="754">CN364*(1+CO217/100)</f>
        <v>1.7842793175227637E+30</v>
      </c>
      <c r="CP364" s="80">
        <f t="shared" ref="CP364" si="755">CO364*(1+CP217/100)</f>
        <v>1.7842793175227637E+30</v>
      </c>
      <c r="CQ364" s="80">
        <f t="shared" ref="CQ364" si="756">CP364*(1+CQ217/100)</f>
        <v>1.7842793175227637E+30</v>
      </c>
    </row>
    <row r="365" spans="1:95">
      <c r="B365" s="10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</row>
    <row r="366" spans="1:95" s="93" customFormat="1" ht="15.75" outlineLevel="1" thickBot="1">
      <c r="C366" s="153"/>
      <c r="D366" s="154"/>
      <c r="E366" s="154"/>
      <c r="G366" s="154"/>
      <c r="H366" s="155"/>
      <c r="I366" s="155"/>
      <c r="J366" s="155"/>
      <c r="AA366" s="93" t="s">
        <v>232</v>
      </c>
    </row>
    <row r="367" spans="1:95">
      <c r="A367" s="78" t="s">
        <v>437</v>
      </c>
    </row>
    <row r="369" spans="1:65">
      <c r="B369" s="156"/>
    </row>
    <row r="370" spans="1:65">
      <c r="A370" s="78" t="s">
        <v>181</v>
      </c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</row>
    <row r="371" spans="1:65">
      <c r="A371" s="90" t="str">
        <f t="shared" ref="A371:AF371" si="757">A5</f>
        <v>Oljepris NOK/fat løpende priser</v>
      </c>
      <c r="B371" s="91">
        <f t="shared" si="757"/>
        <v>135.60233638135111</v>
      </c>
      <c r="C371" s="91">
        <f t="shared" si="757"/>
        <v>96.551733568561829</v>
      </c>
      <c r="D371" s="91">
        <f t="shared" si="757"/>
        <v>134.66374567067433</v>
      </c>
      <c r="E371" s="91">
        <f t="shared" si="757"/>
        <v>251</v>
      </c>
      <c r="F371" s="91">
        <f t="shared" si="757"/>
        <v>223</v>
      </c>
      <c r="G371" s="91">
        <f t="shared" si="757"/>
        <v>198</v>
      </c>
      <c r="H371" s="91">
        <f t="shared" si="757"/>
        <v>201</v>
      </c>
      <c r="I371" s="91">
        <f t="shared" si="757"/>
        <v>255</v>
      </c>
      <c r="J371" s="91">
        <f t="shared" si="757"/>
        <v>355</v>
      </c>
      <c r="K371" s="91">
        <f t="shared" si="757"/>
        <v>423</v>
      </c>
      <c r="L371" s="91">
        <f t="shared" si="757"/>
        <v>425</v>
      </c>
      <c r="M371" s="91">
        <f t="shared" si="757"/>
        <v>556</v>
      </c>
      <c r="N371" s="91">
        <f t="shared" si="757"/>
        <v>391</v>
      </c>
      <c r="O371" s="91">
        <f t="shared" si="757"/>
        <v>485</v>
      </c>
      <c r="P371" s="91">
        <f t="shared" si="757"/>
        <v>622</v>
      </c>
      <c r="Q371" s="91">
        <f t="shared" si="757"/>
        <v>650</v>
      </c>
      <c r="R371" s="91">
        <f t="shared" si="757"/>
        <v>639</v>
      </c>
      <c r="S371" s="91">
        <f t="shared" si="757"/>
        <v>627</v>
      </c>
      <c r="T371" s="91">
        <f t="shared" si="757"/>
        <v>431</v>
      </c>
      <c r="U371" s="91">
        <f t="shared" si="757"/>
        <v>379</v>
      </c>
      <c r="V371" s="91">
        <f t="shared" si="757"/>
        <v>452</v>
      </c>
      <c r="W371" s="91">
        <f t="shared" si="757"/>
        <v>583</v>
      </c>
      <c r="X371" s="91">
        <f t="shared" si="757"/>
        <v>564</v>
      </c>
      <c r="Y371" s="91">
        <f t="shared" si="757"/>
        <v>407</v>
      </c>
      <c r="Z371" s="91">
        <f t="shared" si="757"/>
        <v>609</v>
      </c>
      <c r="AA371" s="91">
        <f t="shared" si="757"/>
        <v>951</v>
      </c>
      <c r="AB371" s="91">
        <f t="shared" si="757"/>
        <v>867</v>
      </c>
      <c r="AC371" s="91">
        <f t="shared" si="757"/>
        <v>856</v>
      </c>
      <c r="AD371" s="91">
        <f t="shared" si="757"/>
        <v>724.01362043224276</v>
      </c>
      <c r="AE371" s="91">
        <f t="shared" si="757"/>
        <v>674.49526567499993</v>
      </c>
      <c r="AF371" s="91">
        <f t="shared" si="757"/>
        <v>673.96430640000017</v>
      </c>
      <c r="AG371" s="91">
        <f t="shared" ref="AG371:BC371" si="758">AG5</f>
        <v>677.74844472500013</v>
      </c>
      <c r="AH371" s="91">
        <f t="shared" si="758"/>
        <v>680.85834905000024</v>
      </c>
      <c r="AI371" s="91">
        <f t="shared" si="758"/>
        <v>681.30502907500022</v>
      </c>
      <c r="AJ371" s="91">
        <f t="shared" si="758"/>
        <v>713.68946473586277</v>
      </c>
      <c r="AK371" s="91">
        <f t="shared" si="758"/>
        <v>747.09675581152999</v>
      </c>
      <c r="AL371" s="91">
        <f t="shared" si="758"/>
        <v>781.55486274432951</v>
      </c>
      <c r="AM371" s="91">
        <f t="shared" si="758"/>
        <v>817.09245525211622</v>
      </c>
      <c r="AN371" s="91">
        <f t="shared" si="758"/>
        <v>853.74053800133117</v>
      </c>
      <c r="AO371" s="91">
        <f t="shared" si="758"/>
        <v>870.81534876135777</v>
      </c>
      <c r="AP371" s="91">
        <f t="shared" si="758"/>
        <v>888.23165573658491</v>
      </c>
      <c r="AQ371" s="91">
        <f t="shared" si="758"/>
        <v>905.99628885131665</v>
      </c>
      <c r="AR371" s="91">
        <f t="shared" si="758"/>
        <v>924.11621462834307</v>
      </c>
      <c r="AS371" s="91">
        <f t="shared" si="758"/>
        <v>942.59853892090985</v>
      </c>
      <c r="AT371" s="91">
        <f t="shared" si="758"/>
        <v>961.45050969932811</v>
      </c>
      <c r="AU371" s="91">
        <f t="shared" si="758"/>
        <v>980.6795198933147</v>
      </c>
      <c r="AV371" s="91">
        <f t="shared" si="758"/>
        <v>1000.2931102911811</v>
      </c>
      <c r="AW371" s="91">
        <f t="shared" si="758"/>
        <v>1020.2989724970047</v>
      </c>
      <c r="AX371" s="91">
        <f t="shared" si="758"/>
        <v>1040.7049519469447</v>
      </c>
      <c r="AY371" s="91">
        <f t="shared" si="758"/>
        <v>1061.5190509858837</v>
      </c>
      <c r="AZ371" s="91">
        <f t="shared" si="758"/>
        <v>1082.7494320056014</v>
      </c>
      <c r="BA371" s="91">
        <f t="shared" si="758"/>
        <v>1104.4044206457133</v>
      </c>
      <c r="BB371" s="91">
        <f t="shared" si="758"/>
        <v>1126.4925090586278</v>
      </c>
      <c r="BC371" s="91">
        <f t="shared" si="758"/>
        <v>1149.0223592398004</v>
      </c>
      <c r="BD371" s="91">
        <f t="shared" ref="BD371:BM371" si="759">BD5</f>
        <v>1172.0028064245962</v>
      </c>
      <c r="BE371" s="91">
        <f t="shared" si="759"/>
        <v>1195.4428625530882</v>
      </c>
      <c r="BF371" s="91">
        <f t="shared" si="759"/>
        <v>1219.35171980415</v>
      </c>
      <c r="BG371" s="91">
        <f t="shared" si="759"/>
        <v>1243.7387542002332</v>
      </c>
      <c r="BH371" s="91">
        <f t="shared" si="759"/>
        <v>1268.6135292842378</v>
      </c>
      <c r="BI371" s="91">
        <f t="shared" si="759"/>
        <v>1293.9857998699226</v>
      </c>
      <c r="BJ371" s="91">
        <f t="shared" si="759"/>
        <v>1319.8655158673212</v>
      </c>
      <c r="BK371" s="91">
        <f t="shared" si="759"/>
        <v>1346.2628261846676</v>
      </c>
      <c r="BL371" s="91">
        <f t="shared" si="759"/>
        <v>1373.188082708361</v>
      </c>
      <c r="BM371" s="91">
        <f t="shared" si="759"/>
        <v>1400.651844362528</v>
      </c>
    </row>
    <row r="372" spans="1:65">
      <c r="A372" s="90" t="str">
        <f t="shared" ref="A372:AF372" si="760">A24</f>
        <v>Oljepris (Faste priser)</v>
      </c>
      <c r="B372" s="91">
        <f t="shared" si="760"/>
        <v>283.05088659333865</v>
      </c>
      <c r="C372" s="91">
        <f t="shared" si="760"/>
        <v>198.45760617279856</v>
      </c>
      <c r="D372" s="91">
        <f t="shared" si="760"/>
        <v>270.86840345638751</v>
      </c>
      <c r="E372" s="91">
        <f t="shared" si="760"/>
        <v>488.38020637672093</v>
      </c>
      <c r="F372" s="91">
        <f t="shared" si="760"/>
        <v>421.97384302376128</v>
      </c>
      <c r="G372" s="91">
        <f t="shared" si="760"/>
        <v>368.81779156149548</v>
      </c>
      <c r="H372" s="157">
        <f t="shared" si="760"/>
        <v>366.09523049334359</v>
      </c>
      <c r="I372" s="91">
        <f t="shared" si="760"/>
        <v>452.3389876591724</v>
      </c>
      <c r="J372" s="157">
        <f t="shared" si="760"/>
        <v>609.06286482350333</v>
      </c>
      <c r="K372" s="157">
        <f t="shared" si="760"/>
        <v>703.04847680049943</v>
      </c>
      <c r="L372" s="157">
        <f t="shared" si="760"/>
        <v>686.78097129739911</v>
      </c>
      <c r="M372" s="157">
        <f t="shared" si="760"/>
        <v>865.25316900172857</v>
      </c>
      <c r="N372" s="91">
        <f t="shared" si="760"/>
        <v>610.64953926234023</v>
      </c>
      <c r="O372" s="91">
        <f t="shared" si="760"/>
        <v>745.23316322570793</v>
      </c>
      <c r="P372" s="91">
        <f t="shared" si="760"/>
        <v>926.49436553454541</v>
      </c>
      <c r="Q372" s="91">
        <f t="shared" si="760"/>
        <v>948.57234634062252</v>
      </c>
      <c r="R372" s="91">
        <f t="shared" si="760"/>
        <v>919.05693741335904</v>
      </c>
      <c r="S372" s="91">
        <f t="shared" si="760"/>
        <v>887.40201284929424</v>
      </c>
      <c r="T372" s="91">
        <f t="shared" si="760"/>
        <v>609.27765806212767</v>
      </c>
      <c r="U372" s="91">
        <f t="shared" si="760"/>
        <v>529.09356510271709</v>
      </c>
      <c r="V372" s="91">
        <f t="shared" si="760"/>
        <v>617.84267875064791</v>
      </c>
      <c r="W372" s="91">
        <f t="shared" si="760"/>
        <v>777.90668416864003</v>
      </c>
      <c r="X372" s="91">
        <f t="shared" si="760"/>
        <v>739.15954161665695</v>
      </c>
      <c r="Y372" s="91">
        <f t="shared" si="760"/>
        <v>526.90082484282038</v>
      </c>
      <c r="Z372" s="91">
        <f t="shared" si="760"/>
        <v>753.03291861893058</v>
      </c>
      <c r="AA372" s="91">
        <f t="shared" si="760"/>
        <v>1088.785107390717</v>
      </c>
      <c r="AB372" s="91">
        <f t="shared" si="760"/>
        <v>953.37084400232902</v>
      </c>
      <c r="AC372" s="91">
        <f t="shared" si="760"/>
        <v>914.30729599999984</v>
      </c>
      <c r="AD372" s="91">
        <f t="shared" si="760"/>
        <v>746.45804266564221</v>
      </c>
      <c r="AE372" s="91">
        <f t="shared" si="760"/>
        <v>674.49526567499993</v>
      </c>
      <c r="AF372" s="91">
        <f t="shared" si="760"/>
        <v>660.10216101860942</v>
      </c>
      <c r="AG372" s="91">
        <f t="shared" ref="AG372:BC372" si="761">AG24</f>
        <v>650.1552075609078</v>
      </c>
      <c r="AH372" s="91">
        <f t="shared" si="761"/>
        <v>639.70469936737209</v>
      </c>
      <c r="AI372" s="91">
        <f t="shared" si="761"/>
        <v>627.57292192637476</v>
      </c>
      <c r="AJ372" s="91">
        <f t="shared" si="761"/>
        <v>644.51305117637469</v>
      </c>
      <c r="AK372" s="91">
        <f t="shared" si="761"/>
        <v>661.45318042637473</v>
      </c>
      <c r="AL372" s="91">
        <f t="shared" si="761"/>
        <v>678.39330967637477</v>
      </c>
      <c r="AM372" s="91">
        <f t="shared" si="761"/>
        <v>695.3334389263747</v>
      </c>
      <c r="AN372" s="91">
        <f t="shared" si="761"/>
        <v>712.27491013487713</v>
      </c>
      <c r="AO372" s="91">
        <f t="shared" si="761"/>
        <v>712.27491013487713</v>
      </c>
      <c r="AP372" s="91">
        <f t="shared" si="761"/>
        <v>712.27491013487713</v>
      </c>
      <c r="AQ372" s="91">
        <f t="shared" si="761"/>
        <v>712.27491013487713</v>
      </c>
      <c r="AR372" s="91">
        <f t="shared" si="761"/>
        <v>712.27491013487713</v>
      </c>
      <c r="AS372" s="91">
        <f t="shared" si="761"/>
        <v>712.27491013487713</v>
      </c>
      <c r="AT372" s="91">
        <f t="shared" si="761"/>
        <v>712.27491013487713</v>
      </c>
      <c r="AU372" s="91">
        <f t="shared" si="761"/>
        <v>712.27491013487713</v>
      </c>
      <c r="AV372" s="91">
        <f t="shared" si="761"/>
        <v>712.27491013487713</v>
      </c>
      <c r="AW372" s="91">
        <f t="shared" si="761"/>
        <v>712.27491013487713</v>
      </c>
      <c r="AX372" s="91">
        <f t="shared" si="761"/>
        <v>712.27491013487713</v>
      </c>
      <c r="AY372" s="91">
        <f t="shared" si="761"/>
        <v>712.27491013487713</v>
      </c>
      <c r="AZ372" s="91">
        <f t="shared" si="761"/>
        <v>712.27491013487713</v>
      </c>
      <c r="BA372" s="91">
        <f t="shared" si="761"/>
        <v>712.27491013487713</v>
      </c>
      <c r="BB372" s="91">
        <f t="shared" si="761"/>
        <v>712.27491013487713</v>
      </c>
      <c r="BC372" s="91">
        <f t="shared" si="761"/>
        <v>712.27491013487713</v>
      </c>
      <c r="BD372" s="91">
        <f t="shared" ref="BD372:BM372" si="762">BD24</f>
        <v>712.27491013487713</v>
      </c>
      <c r="BE372" s="91">
        <f t="shared" si="762"/>
        <v>712.27491013487713</v>
      </c>
      <c r="BF372" s="91">
        <f t="shared" si="762"/>
        <v>712.27491013487713</v>
      </c>
      <c r="BG372" s="91">
        <f t="shared" si="762"/>
        <v>712.27491013487713</v>
      </c>
      <c r="BH372" s="91">
        <f t="shared" si="762"/>
        <v>712.27491013487713</v>
      </c>
      <c r="BI372" s="91">
        <f t="shared" si="762"/>
        <v>712.27491013487713</v>
      </c>
      <c r="BJ372" s="91">
        <f t="shared" si="762"/>
        <v>712.27491013487713</v>
      </c>
      <c r="BK372" s="91">
        <f t="shared" si="762"/>
        <v>712.27491013487713</v>
      </c>
      <c r="BL372" s="91">
        <f t="shared" si="762"/>
        <v>712.27491013487713</v>
      </c>
      <c r="BM372" s="91">
        <f t="shared" si="762"/>
        <v>712.27491013487713</v>
      </c>
    </row>
    <row r="373" spans="1:65">
      <c r="A373" s="88" t="str">
        <f t="shared" ref="A373:AF373" si="763">A30</f>
        <v>Oljepris i USD (løpende priser)</v>
      </c>
      <c r="B373" s="92">
        <f t="shared" si="763"/>
        <v>19.227555672648155</v>
      </c>
      <c r="C373" s="92">
        <f t="shared" si="763"/>
        <v>12.78830908192872</v>
      </c>
      <c r="D373" s="92">
        <f t="shared" si="763"/>
        <v>17.19843495155483</v>
      </c>
      <c r="E373" s="92">
        <f t="shared" si="763"/>
        <v>28.52272727272727</v>
      </c>
      <c r="F373" s="92">
        <f t="shared" si="763"/>
        <v>24.82537721971336</v>
      </c>
      <c r="G373" s="92">
        <f t="shared" si="763"/>
        <v>24.819823780394469</v>
      </c>
      <c r="H373" s="92">
        <f t="shared" si="763"/>
        <v>28.402827278301874</v>
      </c>
      <c r="I373" s="92">
        <f t="shared" si="763"/>
        <v>37.848380536771778</v>
      </c>
      <c r="J373" s="92">
        <f t="shared" si="763"/>
        <v>55.103023135634551</v>
      </c>
      <c r="K373" s="92">
        <f t="shared" si="763"/>
        <v>65.967069172168749</v>
      </c>
      <c r="L373" s="92">
        <f t="shared" si="763"/>
        <v>72.579250412856453</v>
      </c>
      <c r="M373" s="92">
        <f t="shared" si="763"/>
        <v>98.523187544598983</v>
      </c>
      <c r="N373" s="92">
        <f t="shared" si="763"/>
        <v>62.203696334478998</v>
      </c>
      <c r="O373" s="92">
        <f t="shared" si="763"/>
        <v>80.293695716884471</v>
      </c>
      <c r="P373" s="92">
        <f t="shared" si="763"/>
        <v>111.07142857142858</v>
      </c>
      <c r="Q373" s="92">
        <f t="shared" si="763"/>
        <v>111.68384879725086</v>
      </c>
      <c r="R373" s="92">
        <f t="shared" si="763"/>
        <v>108.67346938775511</v>
      </c>
      <c r="S373" s="92">
        <f t="shared" si="763"/>
        <v>99.523809523809533</v>
      </c>
      <c r="T373" s="92">
        <f t="shared" si="763"/>
        <v>53.407682775712516</v>
      </c>
      <c r="U373" s="92">
        <f t="shared" si="763"/>
        <v>45.097719289464905</v>
      </c>
      <c r="V373" s="92">
        <f t="shared" si="763"/>
        <v>54.655380894800487</v>
      </c>
      <c r="W373" s="92">
        <f t="shared" si="763"/>
        <v>71.621079346818803</v>
      </c>
      <c r="X373" s="92">
        <f t="shared" si="763"/>
        <v>64.063973102218398</v>
      </c>
      <c r="Y373" s="92">
        <f t="shared" si="763"/>
        <v>43.296029956172077</v>
      </c>
      <c r="Z373" s="92">
        <f t="shared" si="763"/>
        <v>70.852684774221714</v>
      </c>
      <c r="AA373" s="92">
        <f t="shared" si="763"/>
        <v>98.895728361279865</v>
      </c>
      <c r="AB373" s="92">
        <f t="shared" si="763"/>
        <v>82.074753053008223</v>
      </c>
      <c r="AC373" s="92">
        <f t="shared" si="763"/>
        <v>79.62414981377232</v>
      </c>
      <c r="AD373" s="92">
        <f t="shared" si="763"/>
        <v>69.591949698851863</v>
      </c>
      <c r="AE373" s="92">
        <f t="shared" si="763"/>
        <v>66.692499999999981</v>
      </c>
      <c r="AF373" s="92">
        <f t="shared" si="763"/>
        <v>66.64</v>
      </c>
      <c r="AG373" s="92">
        <f t="shared" ref="AG373:BC373" si="764">AG30</f>
        <v>67.014166666666668</v>
      </c>
      <c r="AH373" s="92">
        <f t="shared" si="764"/>
        <v>67.321666666666673</v>
      </c>
      <c r="AI373" s="92">
        <f t="shared" si="764"/>
        <v>67.365833333333342</v>
      </c>
      <c r="AJ373" s="92">
        <f t="shared" si="764"/>
        <v>70.567929901276869</v>
      </c>
      <c r="AK373" s="92">
        <f t="shared" si="764"/>
        <v>73.871163998604828</v>
      </c>
      <c r="AL373" s="92">
        <f t="shared" si="764"/>
        <v>77.278300287865378</v>
      </c>
      <c r="AM373" s="92">
        <f t="shared" si="764"/>
        <v>80.792173563096895</v>
      </c>
      <c r="AN373" s="92">
        <f t="shared" si="764"/>
        <v>84.415849492543245</v>
      </c>
      <c r="AO373" s="92">
        <f t="shared" si="764"/>
        <v>86.104166482394106</v>
      </c>
      <c r="AP373" s="92">
        <f t="shared" si="764"/>
        <v>87.826249812041993</v>
      </c>
      <c r="AQ373" s="92">
        <f t="shared" si="764"/>
        <v>89.582774808282835</v>
      </c>
      <c r="AR373" s="92">
        <f t="shared" si="764"/>
        <v>91.374430304448495</v>
      </c>
      <c r="AS373" s="92">
        <f t="shared" si="764"/>
        <v>93.201918910537458</v>
      </c>
      <c r="AT373" s="92">
        <f t="shared" si="764"/>
        <v>95.065957288748208</v>
      </c>
      <c r="AU373" s="92">
        <f t="shared" si="764"/>
        <v>96.967276434523185</v>
      </c>
      <c r="AV373" s="92">
        <f t="shared" si="764"/>
        <v>98.906621963213652</v>
      </c>
      <c r="AW373" s="92">
        <f t="shared" si="764"/>
        <v>100.88475440247792</v>
      </c>
      <c r="AX373" s="92">
        <f t="shared" si="764"/>
        <v>102.90244949052749</v>
      </c>
      <c r="AY373" s="92">
        <f t="shared" si="764"/>
        <v>104.96049848033803</v>
      </c>
      <c r="AZ373" s="92">
        <f t="shared" si="764"/>
        <v>107.05970844994481</v>
      </c>
      <c r="BA373" s="92">
        <f t="shared" si="764"/>
        <v>109.2009026189437</v>
      </c>
      <c r="BB373" s="92">
        <f t="shared" si="764"/>
        <v>111.38492067132256</v>
      </c>
      <c r="BC373" s="92">
        <f t="shared" si="764"/>
        <v>113.61261908474903</v>
      </c>
      <c r="BD373" s="92">
        <f t="shared" ref="BD373:BM373" si="765">BD30</f>
        <v>115.88487146644401</v>
      </c>
      <c r="BE373" s="92">
        <f t="shared" si="765"/>
        <v>118.20256889577288</v>
      </c>
      <c r="BF373" s="92">
        <f t="shared" si="765"/>
        <v>120.56662027368834</v>
      </c>
      <c r="BG373" s="92">
        <f t="shared" si="765"/>
        <v>122.97795267916212</v>
      </c>
      <c r="BH373" s="92">
        <f t="shared" si="765"/>
        <v>125.43751173274536</v>
      </c>
      <c r="BI373" s="92">
        <f t="shared" si="765"/>
        <v>127.94626196740029</v>
      </c>
      <c r="BJ373" s="92">
        <f t="shared" si="765"/>
        <v>130.50518720674827</v>
      </c>
      <c r="BK373" s="92">
        <f t="shared" si="765"/>
        <v>133.11529095088326</v>
      </c>
      <c r="BL373" s="92">
        <f t="shared" si="765"/>
        <v>135.77759676990092</v>
      </c>
      <c r="BM373" s="92">
        <f t="shared" si="765"/>
        <v>138.49314870529895</v>
      </c>
    </row>
    <row r="374" spans="1:65">
      <c r="A374" s="88" t="str">
        <f t="shared" ref="A374:X374" si="766">A31</f>
        <v>Oljepris i USD (Faste priser)</v>
      </c>
      <c r="B374" s="92">
        <f t="shared" si="766"/>
        <v>40.13482971901292</v>
      </c>
      <c r="C374" s="92">
        <f t="shared" si="766"/>
        <v>26.285775652026299</v>
      </c>
      <c r="D374" s="92">
        <f t="shared" si="766"/>
        <v>34.593665830956262</v>
      </c>
      <c r="E374" s="92">
        <f t="shared" si="766"/>
        <v>55.497750724627373</v>
      </c>
      <c r="F374" s="92">
        <f t="shared" si="766"/>
        <v>46.976053048955087</v>
      </c>
      <c r="G374" s="92">
        <f t="shared" si="766"/>
        <v>46.232285826417048</v>
      </c>
      <c r="H374" s="92">
        <f t="shared" si="766"/>
        <v>51.732037806530109</v>
      </c>
      <c r="I374" s="92">
        <f t="shared" si="766"/>
        <v>67.138424064872424</v>
      </c>
      <c r="J374" s="92">
        <f t="shared" si="766"/>
        <v>94.538606004015108</v>
      </c>
      <c r="K374" s="92">
        <f t="shared" si="766"/>
        <v>109.64077423282842</v>
      </c>
      <c r="L374" s="92">
        <f t="shared" si="766"/>
        <v>117.28481904606755</v>
      </c>
      <c r="M374" s="92">
        <f t="shared" si="766"/>
        <v>153.32284216387751</v>
      </c>
      <c r="N374" s="92">
        <f t="shared" si="766"/>
        <v>97.147464212440212</v>
      </c>
      <c r="O374" s="92">
        <f t="shared" si="766"/>
        <v>123.37633988902328</v>
      </c>
      <c r="P374" s="92">
        <f t="shared" si="766"/>
        <v>165.44542241688313</v>
      </c>
      <c r="Q374" s="92">
        <f t="shared" si="766"/>
        <v>162.98493923378393</v>
      </c>
      <c r="R374" s="92">
        <f t="shared" si="766"/>
        <v>156.3022002403672</v>
      </c>
      <c r="S374" s="92">
        <f t="shared" si="766"/>
        <v>140.85746235703084</v>
      </c>
      <c r="T374" s="92">
        <f t="shared" si="766"/>
        <v>75.499090218355349</v>
      </c>
      <c r="U374" s="92">
        <f t="shared" si="766"/>
        <v>62.95755429251863</v>
      </c>
      <c r="V374" s="92">
        <f t="shared" si="766"/>
        <v>74.708909159691402</v>
      </c>
      <c r="W374" s="92">
        <f t="shared" si="766"/>
        <v>95.565208149679037</v>
      </c>
      <c r="X374" s="92">
        <f t="shared" si="766"/>
        <v>83.960101050314876</v>
      </c>
      <c r="Y374" s="92">
        <f t="shared" ref="Y374:AI374" si="767">Y31</f>
        <v>56.050894094168378</v>
      </c>
      <c r="Z374" s="92">
        <f t="shared" si="767"/>
        <v>87.609858797240136</v>
      </c>
      <c r="AA374" s="92">
        <f t="shared" si="767"/>
        <v>113.22418109812752</v>
      </c>
      <c r="AB374" s="92">
        <f t="shared" si="767"/>
        <v>90.251068730598831</v>
      </c>
      <c r="AC374" s="92">
        <f t="shared" si="767"/>
        <v>85.047828402487227</v>
      </c>
      <c r="AD374" s="92">
        <f t="shared" si="767"/>
        <v>71.749300139516265</v>
      </c>
      <c r="AE374" s="92">
        <f t="shared" si="767"/>
        <v>66.692499999999981</v>
      </c>
      <c r="AF374" s="92">
        <f t="shared" si="767"/>
        <v>65.269343780607258</v>
      </c>
      <c r="AG374" s="92">
        <f t="shared" si="767"/>
        <v>64.285812498421194</v>
      </c>
      <c r="AH374" s="92">
        <f t="shared" si="767"/>
        <v>63.252490912390648</v>
      </c>
      <c r="AI374" s="92">
        <f t="shared" si="767"/>
        <v>62.052929391118873</v>
      </c>
      <c r="AJ374" s="92">
        <f t="shared" ref="AJ374:BC374" si="768">AJ31</f>
        <v>63.72792939111887</v>
      </c>
      <c r="AK374" s="92">
        <f t="shared" si="768"/>
        <v>65.402929391118874</v>
      </c>
      <c r="AL374" s="92">
        <f t="shared" si="768"/>
        <v>67.077929391118872</v>
      </c>
      <c r="AM374" s="92">
        <f t="shared" si="768"/>
        <v>68.752929391118869</v>
      </c>
      <c r="AN374" s="92">
        <f t="shared" si="768"/>
        <v>70.428062080808445</v>
      </c>
      <c r="AO374" s="92">
        <f t="shared" si="768"/>
        <v>70.428062080808445</v>
      </c>
      <c r="AP374" s="92">
        <f t="shared" si="768"/>
        <v>70.428062080808445</v>
      </c>
      <c r="AQ374" s="92">
        <f t="shared" si="768"/>
        <v>70.428062080808445</v>
      </c>
      <c r="AR374" s="92">
        <f t="shared" si="768"/>
        <v>70.428062080808445</v>
      </c>
      <c r="AS374" s="92">
        <f t="shared" si="768"/>
        <v>70.428062080808445</v>
      </c>
      <c r="AT374" s="92">
        <f t="shared" si="768"/>
        <v>70.428062080808445</v>
      </c>
      <c r="AU374" s="92">
        <f t="shared" si="768"/>
        <v>70.428062080808445</v>
      </c>
      <c r="AV374" s="92">
        <f t="shared" si="768"/>
        <v>70.428062080808445</v>
      </c>
      <c r="AW374" s="92">
        <f t="shared" si="768"/>
        <v>70.428062080808445</v>
      </c>
      <c r="AX374" s="92">
        <f t="shared" si="768"/>
        <v>70.428062080808445</v>
      </c>
      <c r="AY374" s="92">
        <f t="shared" si="768"/>
        <v>70.428062080808445</v>
      </c>
      <c r="AZ374" s="92">
        <f t="shared" si="768"/>
        <v>70.428062080808445</v>
      </c>
      <c r="BA374" s="92">
        <f t="shared" si="768"/>
        <v>70.428062080808445</v>
      </c>
      <c r="BB374" s="92">
        <f t="shared" si="768"/>
        <v>70.428062080808445</v>
      </c>
      <c r="BC374" s="92">
        <f t="shared" si="768"/>
        <v>70.428062080808445</v>
      </c>
      <c r="BD374" s="92">
        <f t="shared" ref="BD374:BM374" si="769">BD31</f>
        <v>70.428062080808445</v>
      </c>
      <c r="BE374" s="92">
        <f t="shared" si="769"/>
        <v>70.428062080808445</v>
      </c>
      <c r="BF374" s="92">
        <f t="shared" si="769"/>
        <v>70.428062080808445</v>
      </c>
      <c r="BG374" s="92">
        <f t="shared" si="769"/>
        <v>70.428062080808445</v>
      </c>
      <c r="BH374" s="92">
        <f t="shared" si="769"/>
        <v>70.428062080808445</v>
      </c>
      <c r="BI374" s="92">
        <f t="shared" si="769"/>
        <v>70.428062080808445</v>
      </c>
      <c r="BJ374" s="92">
        <f t="shared" si="769"/>
        <v>70.428062080808445</v>
      </c>
      <c r="BK374" s="92">
        <f t="shared" si="769"/>
        <v>70.428062080808445</v>
      </c>
      <c r="BL374" s="92">
        <f t="shared" si="769"/>
        <v>70.428062080808445</v>
      </c>
      <c r="BM374" s="92">
        <f t="shared" si="769"/>
        <v>70.428062080808445</v>
      </c>
    </row>
    <row r="375" spans="1:65">
      <c r="A375" s="90" t="str">
        <f t="shared" ref="A375:AF375" si="770">A33</f>
        <v>Oljepris NOK/Sm3 o.e. Løpende priser</v>
      </c>
      <c r="B375" s="91">
        <f t="shared" si="770"/>
        <v>852.91293139478603</v>
      </c>
      <c r="C375" s="91">
        <f t="shared" si="770"/>
        <v>607.29205931687591</v>
      </c>
      <c r="D375" s="91">
        <f t="shared" si="770"/>
        <v>847.00937415686417</v>
      </c>
      <c r="E375" s="91">
        <f t="shared" si="770"/>
        <v>1578.7423100000001</v>
      </c>
      <c r="F375" s="91">
        <f t="shared" si="770"/>
        <v>1402.62763</v>
      </c>
      <c r="G375" s="91">
        <f t="shared" si="770"/>
        <v>1245.38238</v>
      </c>
      <c r="H375" s="91">
        <f t="shared" si="770"/>
        <v>1264.25181</v>
      </c>
      <c r="I375" s="91">
        <f t="shared" si="770"/>
        <v>1603.90155</v>
      </c>
      <c r="J375" s="91">
        <f t="shared" si="770"/>
        <v>2232.8825500000003</v>
      </c>
      <c r="K375" s="91">
        <f t="shared" si="770"/>
        <v>2660.5896299999999</v>
      </c>
      <c r="L375" s="91">
        <f t="shared" si="770"/>
        <v>2673.1692499999999</v>
      </c>
      <c r="M375" s="91">
        <f t="shared" si="770"/>
        <v>3497.13436</v>
      </c>
      <c r="N375" s="91">
        <f t="shared" si="770"/>
        <v>2459.3157099999999</v>
      </c>
      <c r="O375" s="91">
        <f t="shared" si="770"/>
        <v>3050.5578500000001</v>
      </c>
      <c r="P375" s="91">
        <f t="shared" si="770"/>
        <v>3912.2618200000002</v>
      </c>
      <c r="Q375" s="91">
        <f t="shared" si="770"/>
        <v>4088.3765000000003</v>
      </c>
      <c r="R375" s="91">
        <f t="shared" si="770"/>
        <v>4019.1885900000002</v>
      </c>
      <c r="S375" s="91">
        <f t="shared" si="770"/>
        <v>3943.7108699999999</v>
      </c>
      <c r="T375" s="91">
        <f t="shared" si="770"/>
        <v>2710.9081099999999</v>
      </c>
      <c r="U375" s="91">
        <f t="shared" si="770"/>
        <v>2383.83799</v>
      </c>
      <c r="V375" s="91">
        <f t="shared" si="770"/>
        <v>2842.9941199999998</v>
      </c>
      <c r="W375" s="91">
        <f t="shared" si="770"/>
        <v>3666.9592299999999</v>
      </c>
      <c r="X375" s="91">
        <f t="shared" si="770"/>
        <v>3547.4528399999999</v>
      </c>
      <c r="Y375" s="91">
        <f t="shared" si="770"/>
        <v>2559.9526700000001</v>
      </c>
      <c r="Z375" s="91">
        <f t="shared" si="770"/>
        <v>3830.4942900000001</v>
      </c>
      <c r="AA375" s="91">
        <f t="shared" si="770"/>
        <v>5981.6093099999998</v>
      </c>
      <c r="AB375" s="91">
        <f t="shared" si="770"/>
        <v>5453.2652699999999</v>
      </c>
      <c r="AC375" s="91">
        <f t="shared" si="770"/>
        <v>5384.0773600000002</v>
      </c>
      <c r="AD375" s="91">
        <f t="shared" si="770"/>
        <v>4553.9081099309251</v>
      </c>
      <c r="AE375" s="91">
        <f t="shared" si="770"/>
        <v>4242.4470669952716</v>
      </c>
      <c r="AF375" s="91">
        <f t="shared" si="770"/>
        <v>4239.1074340377854</v>
      </c>
      <c r="AG375" s="91">
        <f t="shared" ref="AG375:BC375" si="771">AG33</f>
        <v>4262.9089451157533</v>
      </c>
      <c r="AH375" s="91">
        <f t="shared" si="771"/>
        <v>4282.4696524381825</v>
      </c>
      <c r="AI375" s="91">
        <f t="shared" si="771"/>
        <v>4285.2791849262276</v>
      </c>
      <c r="AJ375" s="91">
        <f t="shared" si="771"/>
        <v>4488.9711321902769</v>
      </c>
      <c r="AK375" s="91">
        <f t="shared" si="771"/>
        <v>4699.0966456709193</v>
      </c>
      <c r="AL375" s="91">
        <f t="shared" si="771"/>
        <v>4915.8315912379112</v>
      </c>
      <c r="AM375" s="91">
        <f t="shared" si="771"/>
        <v>5139.3562959693136</v>
      </c>
      <c r="AN375" s="91">
        <f t="shared" si="771"/>
        <v>5369.8657733261525</v>
      </c>
      <c r="AO375" s="91">
        <f t="shared" si="771"/>
        <v>5477.2630887926762</v>
      </c>
      <c r="AP375" s="91">
        <f t="shared" si="771"/>
        <v>5586.808350568529</v>
      </c>
      <c r="AQ375" s="91">
        <f t="shared" si="771"/>
        <v>5698.5445175799005</v>
      </c>
      <c r="AR375" s="91">
        <f t="shared" si="771"/>
        <v>5812.5154079314989</v>
      </c>
      <c r="AS375" s="91">
        <f t="shared" si="771"/>
        <v>5928.7657160901281</v>
      </c>
      <c r="AT375" s="91">
        <f t="shared" si="771"/>
        <v>6047.3410304119307</v>
      </c>
      <c r="AU375" s="91">
        <f t="shared" si="771"/>
        <v>6168.2878510201699</v>
      </c>
      <c r="AV375" s="91">
        <f t="shared" si="771"/>
        <v>6291.653608040574</v>
      </c>
      <c r="AW375" s="91">
        <f t="shared" si="771"/>
        <v>6417.4866802013848</v>
      </c>
      <c r="AX375" s="91">
        <f t="shared" si="771"/>
        <v>6545.8364138054121</v>
      </c>
      <c r="AY375" s="91">
        <f t="shared" si="771"/>
        <v>6676.7531420815212</v>
      </c>
      <c r="AZ375" s="91">
        <f t="shared" si="771"/>
        <v>6810.2882049231521</v>
      </c>
      <c r="BA375" s="91">
        <f t="shared" si="771"/>
        <v>6946.4939690216142</v>
      </c>
      <c r="BB375" s="91">
        <f t="shared" si="771"/>
        <v>7085.423848402048</v>
      </c>
      <c r="BC375" s="91">
        <f t="shared" si="771"/>
        <v>7227.1323253700893</v>
      </c>
      <c r="BD375" s="91">
        <f t="shared" ref="BD375:BM375" si="772">BD33</f>
        <v>7371.67497187749</v>
      </c>
      <c r="BE375" s="91">
        <f t="shared" si="772"/>
        <v>7519.1084713150394</v>
      </c>
      <c r="BF375" s="91">
        <f t="shared" si="772"/>
        <v>7669.4906407413409</v>
      </c>
      <c r="BG375" s="91">
        <f t="shared" si="772"/>
        <v>7822.8804535561685</v>
      </c>
      <c r="BH375" s="91">
        <f t="shared" si="772"/>
        <v>7979.3380626272919</v>
      </c>
      <c r="BI375" s="91">
        <f t="shared" si="772"/>
        <v>8138.9248238798382</v>
      </c>
      <c r="BJ375" s="91">
        <f t="shared" si="772"/>
        <v>8301.7033203574356</v>
      </c>
      <c r="BK375" s="91">
        <f t="shared" si="772"/>
        <v>8467.7373867645838</v>
      </c>
      <c r="BL375" s="91">
        <f t="shared" si="772"/>
        <v>8637.0921344998769</v>
      </c>
      <c r="BM375" s="91">
        <f t="shared" si="772"/>
        <v>8809.8339771898718</v>
      </c>
    </row>
    <row r="376" spans="1:65">
      <c r="A376" s="87" t="str">
        <f t="shared" ref="A376:AF376" si="773">A6</f>
        <v>Gasspris NOK/Sm3, løpende priser</v>
      </c>
      <c r="B376" s="96">
        <f t="shared" si="773"/>
        <v>0.65</v>
      </c>
      <c r="C376" s="96">
        <f t="shared" si="773"/>
        <v>0.64</v>
      </c>
      <c r="D376" s="96">
        <f t="shared" si="773"/>
        <v>0.55000000000000004</v>
      </c>
      <c r="E376" s="96">
        <f t="shared" si="773"/>
        <v>0.99</v>
      </c>
      <c r="F376" s="96">
        <f t="shared" si="773"/>
        <v>1.21</v>
      </c>
      <c r="G376" s="96">
        <f t="shared" si="773"/>
        <v>0.92</v>
      </c>
      <c r="H376" s="96">
        <f t="shared" si="773"/>
        <v>0.88</v>
      </c>
      <c r="I376" s="96">
        <f t="shared" si="773"/>
        <v>0.97</v>
      </c>
      <c r="J376" s="96">
        <f t="shared" si="773"/>
        <v>1.25</v>
      </c>
      <c r="K376" s="96">
        <f t="shared" si="773"/>
        <v>1.74</v>
      </c>
      <c r="L376" s="96">
        <f t="shared" si="773"/>
        <v>1.57</v>
      </c>
      <c r="M376" s="96">
        <f t="shared" si="773"/>
        <v>2.2200000000000002</v>
      </c>
      <c r="N376" s="96">
        <f t="shared" si="773"/>
        <v>1.67</v>
      </c>
      <c r="O376" s="96">
        <f t="shared" si="773"/>
        <v>1.59</v>
      </c>
      <c r="P376" s="96">
        <f t="shared" si="773"/>
        <v>2</v>
      </c>
      <c r="Q376" s="96">
        <f t="shared" si="773"/>
        <v>2.21</v>
      </c>
      <c r="R376" s="96">
        <f t="shared" si="773"/>
        <v>2.31</v>
      </c>
      <c r="S376" s="96">
        <f t="shared" si="773"/>
        <v>2.0499999999999998</v>
      </c>
      <c r="T376" s="96">
        <f t="shared" si="773"/>
        <v>1.92</v>
      </c>
      <c r="U376" s="96">
        <f t="shared" si="773"/>
        <v>1.4</v>
      </c>
      <c r="V376" s="96">
        <f t="shared" si="773"/>
        <v>1.65</v>
      </c>
      <c r="W376" s="96">
        <f t="shared" si="773"/>
        <v>2.2000000000000002</v>
      </c>
      <c r="X376" s="96">
        <f t="shared" si="773"/>
        <v>1.57</v>
      </c>
      <c r="Y376" s="96">
        <f t="shared" si="773"/>
        <v>1.1300307556703999</v>
      </c>
      <c r="Z376" s="96">
        <f t="shared" si="773"/>
        <v>4.6073909850236996</v>
      </c>
      <c r="AA376" s="96">
        <f t="shared" si="773"/>
        <v>12.048440218974299</v>
      </c>
      <c r="AB376" s="96">
        <f t="shared" si="773"/>
        <v>5.4428395581100304</v>
      </c>
      <c r="AC376" s="96">
        <f t="shared" si="773"/>
        <v>4.4258198654952086</v>
      </c>
      <c r="AD376" s="96">
        <f t="shared" si="773"/>
        <v>5.1640215323355099</v>
      </c>
      <c r="AE376" s="96">
        <f t="shared" si="773"/>
        <v>3.98713055344958</v>
      </c>
      <c r="AF376" s="96">
        <f t="shared" si="773"/>
        <v>3.2488596585670932</v>
      </c>
      <c r="AG376" s="96">
        <f t="shared" ref="AG376:BC376" si="774">AG6</f>
        <v>3.3170857113970018</v>
      </c>
      <c r="AH376" s="96">
        <f t="shared" si="774"/>
        <v>3.3867445113363384</v>
      </c>
      <c r="AI376" s="96">
        <f t="shared" si="774"/>
        <v>2.7459873620351436</v>
      </c>
      <c r="AJ376" s="96">
        <f t="shared" si="774"/>
        <v>2.7635615232499826</v>
      </c>
      <c r="AK376" s="96">
        <f t="shared" si="774"/>
        <v>2.7807402559686127</v>
      </c>
      <c r="AL376" s="96">
        <f t="shared" si="774"/>
        <v>2.7975007133866758</v>
      </c>
      <c r="AM376" s="96">
        <f t="shared" si="774"/>
        <v>2.8138192929990864</v>
      </c>
      <c r="AN376" s="96">
        <f t="shared" si="774"/>
        <v>2.8296716155106378</v>
      </c>
      <c r="AO376" s="96">
        <f t="shared" si="774"/>
        <v>2.8450325032054407</v>
      </c>
      <c r="AP376" s="96">
        <f t="shared" si="774"/>
        <v>2.8598759577618429</v>
      </c>
      <c r="AQ376" s="96">
        <f t="shared" si="774"/>
        <v>2.8741751374992073</v>
      </c>
      <c r="AR376" s="96">
        <f t="shared" si="774"/>
        <v>2.8879023340429737</v>
      </c>
      <c r="AS376" s="96">
        <f t="shared" si="774"/>
        <v>2.9010308354706975</v>
      </c>
      <c r="AT376" s="96">
        <f t="shared" si="774"/>
        <v>2.9590514521801112</v>
      </c>
      <c r="AU376" s="96">
        <f t="shared" si="774"/>
        <v>3.018232481223714</v>
      </c>
      <c r="AV376" s="96">
        <f t="shared" si="774"/>
        <v>3.0785971308481881</v>
      </c>
      <c r="AW376" s="96">
        <f t="shared" si="774"/>
        <v>3.1401690734651519</v>
      </c>
      <c r="AX376" s="96">
        <f t="shared" si="774"/>
        <v>3.2029724549344549</v>
      </c>
      <c r="AY376" s="96">
        <f t="shared" si="774"/>
        <v>3.2670319040331441</v>
      </c>
      <c r="AZ376" s="96">
        <f t="shared" si="774"/>
        <v>3.3323725421138075</v>
      </c>
      <c r="BA376" s="96">
        <f t="shared" si="774"/>
        <v>3.3990199929560836</v>
      </c>
      <c r="BB376" s="96">
        <f t="shared" si="774"/>
        <v>3.4670003928152049</v>
      </c>
      <c r="BC376" s="96">
        <f t="shared" si="774"/>
        <v>3.5363404006715093</v>
      </c>
      <c r="BD376" s="96">
        <f t="shared" ref="BD376:BM376" si="775">BD6</f>
        <v>3.6070672086849394</v>
      </c>
      <c r="BE376" s="96">
        <f t="shared" si="775"/>
        <v>3.679208552858638</v>
      </c>
      <c r="BF376" s="96">
        <f t="shared" si="775"/>
        <v>3.7527927239158112</v>
      </c>
      <c r="BG376" s="96">
        <f t="shared" si="775"/>
        <v>3.8278485783941276</v>
      </c>
      <c r="BH376" s="96">
        <f t="shared" si="775"/>
        <v>3.9044055499620103</v>
      </c>
      <c r="BI376" s="96">
        <f t="shared" si="775"/>
        <v>3.9824936609612509</v>
      </c>
      <c r="BJ376" s="96">
        <f t="shared" si="775"/>
        <v>4.0621435341804757</v>
      </c>
      <c r="BK376" s="96">
        <f t="shared" si="775"/>
        <v>4.1433864048640849</v>
      </c>
      <c r="BL376" s="96">
        <f t="shared" si="775"/>
        <v>4.2262541329613672</v>
      </c>
      <c r="BM376" s="96">
        <f t="shared" si="775"/>
        <v>4.3107792156205944</v>
      </c>
    </row>
    <row r="377" spans="1:65">
      <c r="A377" s="90" t="str">
        <f t="shared" ref="A377:AF377" si="776">A8</f>
        <v>NGL- og kondensatpris kr/pr Sm3 løpende priser</v>
      </c>
      <c r="B377" s="91">
        <f t="shared" si="776"/>
        <v>993.63</v>
      </c>
      <c r="C377" s="91">
        <f t="shared" si="776"/>
        <v>615.23</v>
      </c>
      <c r="D377" s="91">
        <f t="shared" si="776"/>
        <v>1017.97</v>
      </c>
      <c r="E377" s="91">
        <f t="shared" si="776"/>
        <v>1717.27</v>
      </c>
      <c r="F377" s="91">
        <f t="shared" si="776"/>
        <v>1526.37</v>
      </c>
      <c r="G377" s="91">
        <f t="shared" si="776"/>
        <v>1377.1</v>
      </c>
      <c r="H377" s="91">
        <f t="shared" si="776"/>
        <v>1093.168880455408</v>
      </c>
      <c r="I377" s="91">
        <f t="shared" si="776"/>
        <v>1332.1279554937412</v>
      </c>
      <c r="J377" s="91">
        <f t="shared" si="776"/>
        <v>1847.0464135021098</v>
      </c>
      <c r="K377" s="91">
        <f t="shared" si="776"/>
        <v>1965.5889145496537</v>
      </c>
      <c r="L377" s="91">
        <f t="shared" si="776"/>
        <v>1814.6525679758308</v>
      </c>
      <c r="M377" s="91">
        <f t="shared" si="776"/>
        <v>2521.089109</v>
      </c>
      <c r="N377" s="91">
        <f t="shared" si="776"/>
        <v>1763.5173058933583</v>
      </c>
      <c r="O377" s="91">
        <f t="shared" si="776"/>
        <v>2199.1357397051347</v>
      </c>
      <c r="P377" s="91">
        <f t="shared" si="776"/>
        <v>2796</v>
      </c>
      <c r="Q377" s="91">
        <f t="shared" si="776"/>
        <v>2896</v>
      </c>
      <c r="R377" s="91">
        <f t="shared" si="776"/>
        <v>2814.8571428571427</v>
      </c>
      <c r="S377" s="91">
        <f t="shared" si="776"/>
        <v>2352.3148148148148</v>
      </c>
      <c r="T377" s="91">
        <f t="shared" si="776"/>
        <v>1629.3665158371039</v>
      </c>
      <c r="U377" s="91">
        <f t="shared" si="776"/>
        <v>1482.9411764705881</v>
      </c>
      <c r="V377" s="91">
        <f t="shared" si="776"/>
        <v>1912.648243289148</v>
      </c>
      <c r="W377" s="91">
        <f t="shared" si="776"/>
        <v>2249.6672970570885</v>
      </c>
      <c r="X377" s="91">
        <f t="shared" si="776"/>
        <v>2119.4390364718961</v>
      </c>
      <c r="Y377" s="91">
        <f t="shared" si="776"/>
        <v>1565.0008201623934</v>
      </c>
      <c r="Z377" s="91">
        <f t="shared" si="776"/>
        <v>2189.4402544698478</v>
      </c>
      <c r="AA377" s="91">
        <f t="shared" si="776"/>
        <v>3997.5777844693371</v>
      </c>
      <c r="AB377" s="91">
        <f t="shared" si="776"/>
        <v>3735.5320071846963</v>
      </c>
      <c r="AC377" s="91">
        <f t="shared" si="776"/>
        <v>3257.9392335584689</v>
      </c>
      <c r="AD377" s="91">
        <f t="shared" si="776"/>
        <v>2753.619577819039</v>
      </c>
      <c r="AE377" s="91">
        <f t="shared" si="776"/>
        <v>2600.894571229383</v>
      </c>
      <c r="AF377" s="91">
        <f t="shared" si="776"/>
        <v>2599.9826149409701</v>
      </c>
      <c r="AG377" s="91">
        <f t="shared" ref="AG377:BC377" si="777">AG8</f>
        <v>2612.5432378289061</v>
      </c>
      <c r="AH377" s="91">
        <f t="shared" si="777"/>
        <v>2633.4456543407628</v>
      </c>
      <c r="AI377" s="91">
        <f t="shared" si="777"/>
        <v>2645.4081839097844</v>
      </c>
      <c r="AJ377" s="91">
        <f t="shared" si="777"/>
        <v>2770.3475727055761</v>
      </c>
      <c r="AK377" s="91">
        <f t="shared" si="777"/>
        <v>2899.4132325623177</v>
      </c>
      <c r="AL377" s="91">
        <f t="shared" si="777"/>
        <v>3040.5100391145429</v>
      </c>
      <c r="AM377" s="91">
        <f t="shared" si="777"/>
        <v>3183.8804366594845</v>
      </c>
      <c r="AN377" s="91">
        <f t="shared" si="777"/>
        <v>3342.8223587181874</v>
      </c>
      <c r="AO377" s="91">
        <f t="shared" si="777"/>
        <v>3439.1886355841784</v>
      </c>
      <c r="AP377" s="91">
        <f t="shared" si="777"/>
        <v>3541.3229742118929</v>
      </c>
      <c r="AQ377" s="91">
        <f t="shared" si="777"/>
        <v>3653.2207199937156</v>
      </c>
      <c r="AR377" s="91">
        <f t="shared" si="777"/>
        <v>3746.1660460368284</v>
      </c>
      <c r="AS377" s="91">
        <f t="shared" si="777"/>
        <v>3827.3329056736761</v>
      </c>
      <c r="AT377" s="91">
        <f t="shared" si="777"/>
        <v>3847.4155129319984</v>
      </c>
      <c r="AU377" s="91">
        <f t="shared" si="777"/>
        <v>3955.3670813373474</v>
      </c>
      <c r="AV377" s="91">
        <f t="shared" si="777"/>
        <v>4083.7542797920105</v>
      </c>
      <c r="AW377" s="91">
        <f t="shared" si="777"/>
        <v>4238.7768991037792</v>
      </c>
      <c r="AX377" s="91">
        <f t="shared" si="777"/>
        <v>4361.0718513470219</v>
      </c>
      <c r="AY377" s="91">
        <f t="shared" si="777"/>
        <v>4546.2958406868756</v>
      </c>
      <c r="AZ377" s="91">
        <f t="shared" si="777"/>
        <v>4697.6805241495067</v>
      </c>
      <c r="BA377" s="91">
        <f t="shared" si="777"/>
        <v>4930.9582977080781</v>
      </c>
      <c r="BB377" s="91">
        <f t="shared" si="777"/>
        <v>5138.0869040623429</v>
      </c>
      <c r="BC377" s="91">
        <f t="shared" si="777"/>
        <v>5167.5008284776004</v>
      </c>
      <c r="BD377" s="91">
        <f t="shared" ref="BD377:BM377" si="778">BD8</f>
        <v>5209.7747075960888</v>
      </c>
      <c r="BE377" s="91">
        <f t="shared" si="778"/>
        <v>5366.1531934633458</v>
      </c>
      <c r="BF377" s="91">
        <f t="shared" si="778"/>
        <v>5406.9253159230066</v>
      </c>
      <c r="BG377" s="91">
        <f t="shared" si="778"/>
        <v>5430.8373646684122</v>
      </c>
      <c r="BH377" s="91">
        <f t="shared" si="778"/>
        <v>5402.4369854675278</v>
      </c>
      <c r="BI377" s="91">
        <f t="shared" si="778"/>
        <v>5473.3324210275114</v>
      </c>
      <c r="BJ377" s="91">
        <f t="shared" si="778"/>
        <v>4816.6444516674801</v>
      </c>
      <c r="BK377" s="91">
        <f t="shared" si="778"/>
        <v>4912.9773407008288</v>
      </c>
      <c r="BL377" s="91">
        <f t="shared" si="778"/>
        <v>5011.2368875148395</v>
      </c>
      <c r="BM377" s="91">
        <f t="shared" si="778"/>
        <v>5111.4616252651495</v>
      </c>
    </row>
    <row r="379" spans="1:65">
      <c r="A379" s="87" t="str">
        <f t="shared" ref="A379:AF379" si="779">A11</f>
        <v xml:space="preserve">Dollarkurs </v>
      </c>
      <c r="B379" s="96">
        <f t="shared" si="779"/>
        <v>7.0525000000000002</v>
      </c>
      <c r="C379" s="96">
        <f t="shared" si="779"/>
        <v>7.55</v>
      </c>
      <c r="D379" s="96">
        <f t="shared" si="779"/>
        <v>7.83</v>
      </c>
      <c r="E379" s="96">
        <f t="shared" si="779"/>
        <v>8.8000000000000007</v>
      </c>
      <c r="F379" s="96">
        <f t="shared" si="779"/>
        <v>8.9827436669489931</v>
      </c>
      <c r="G379" s="96">
        <f t="shared" si="779"/>
        <v>7.9774941898017433</v>
      </c>
      <c r="H379" s="96">
        <f t="shared" si="779"/>
        <v>7.0767602827184897</v>
      </c>
      <c r="I379" s="96">
        <f t="shared" si="779"/>
        <v>6.7374084804567405</v>
      </c>
      <c r="J379" s="96">
        <f t="shared" si="779"/>
        <v>6.4424777407616531</v>
      </c>
      <c r="K379" s="96">
        <f t="shared" si="779"/>
        <v>6.412290333772507</v>
      </c>
      <c r="L379" s="96">
        <f t="shared" si="779"/>
        <v>5.8556680812002</v>
      </c>
      <c r="M379" s="96">
        <f t="shared" si="779"/>
        <v>5.6433415712246697</v>
      </c>
      <c r="N379" s="96">
        <f t="shared" si="779"/>
        <v>6.2858000897170463</v>
      </c>
      <c r="O379" s="96">
        <f t="shared" si="779"/>
        <v>6.0403247810402165</v>
      </c>
      <c r="P379" s="96">
        <f t="shared" si="779"/>
        <v>5.6</v>
      </c>
      <c r="Q379" s="96">
        <f t="shared" si="779"/>
        <v>5.82</v>
      </c>
      <c r="R379" s="96">
        <f t="shared" si="779"/>
        <v>5.88</v>
      </c>
      <c r="S379" s="96">
        <f t="shared" si="779"/>
        <v>6.3</v>
      </c>
      <c r="T379" s="96">
        <f t="shared" si="779"/>
        <v>8.07</v>
      </c>
      <c r="U379" s="96">
        <f t="shared" si="779"/>
        <v>8.4039726613965744</v>
      </c>
      <c r="V379" s="96">
        <f t="shared" si="779"/>
        <v>8.27</v>
      </c>
      <c r="W379" s="96">
        <f t="shared" si="779"/>
        <v>8.140061631532717</v>
      </c>
      <c r="X379" s="96">
        <f t="shared" si="779"/>
        <v>8.8036999999999992</v>
      </c>
      <c r="Y379" s="96">
        <f t="shared" si="779"/>
        <v>9.4003999999999994</v>
      </c>
      <c r="Z379" s="96">
        <f t="shared" si="779"/>
        <v>8.5952988505747072</v>
      </c>
      <c r="AA379" s="96">
        <f t="shared" si="779"/>
        <v>9.6161888461538467</v>
      </c>
      <c r="AB379" s="96">
        <f t="shared" si="779"/>
        <v>10.563540769230769</v>
      </c>
      <c r="AC379" s="96">
        <f t="shared" si="779"/>
        <v>10.750507251908397</v>
      </c>
      <c r="AD379" s="96">
        <f t="shared" si="779"/>
        <v>10.403697892720308</v>
      </c>
      <c r="AE379" s="96">
        <f t="shared" si="779"/>
        <v>10.113510000000002</v>
      </c>
      <c r="AF379" s="96">
        <f t="shared" si="779"/>
        <v>10.113510000000002</v>
      </c>
      <c r="AG379" s="96">
        <f t="shared" ref="AG379:BC379" si="780">AG11</f>
        <v>10.113510000000002</v>
      </c>
      <c r="AH379" s="96">
        <f t="shared" si="780"/>
        <v>10.113510000000002</v>
      </c>
      <c r="AI379" s="96">
        <f t="shared" si="780"/>
        <v>10.113510000000002</v>
      </c>
      <c r="AJ379" s="96">
        <f t="shared" si="780"/>
        <v>10.113510000000002</v>
      </c>
      <c r="AK379" s="96">
        <f t="shared" si="780"/>
        <v>10.113510000000002</v>
      </c>
      <c r="AL379" s="96">
        <f t="shared" si="780"/>
        <v>10.113510000000002</v>
      </c>
      <c r="AM379" s="96">
        <f t="shared" si="780"/>
        <v>10.113510000000002</v>
      </c>
      <c r="AN379" s="96">
        <f t="shared" si="780"/>
        <v>10.113510000000002</v>
      </c>
      <c r="AO379" s="96">
        <f t="shared" si="780"/>
        <v>10.113510000000002</v>
      </c>
      <c r="AP379" s="96">
        <f t="shared" si="780"/>
        <v>10.113510000000002</v>
      </c>
      <c r="AQ379" s="96">
        <f t="shared" si="780"/>
        <v>10.113510000000002</v>
      </c>
      <c r="AR379" s="96">
        <f t="shared" si="780"/>
        <v>10.113510000000002</v>
      </c>
      <c r="AS379" s="96">
        <f t="shared" si="780"/>
        <v>10.113510000000002</v>
      </c>
      <c r="AT379" s="96">
        <f t="shared" si="780"/>
        <v>10.113510000000002</v>
      </c>
      <c r="AU379" s="96">
        <f t="shared" si="780"/>
        <v>10.113510000000002</v>
      </c>
      <c r="AV379" s="96">
        <f t="shared" si="780"/>
        <v>10.113510000000002</v>
      </c>
      <c r="AW379" s="96">
        <f t="shared" si="780"/>
        <v>10.113510000000002</v>
      </c>
      <c r="AX379" s="96">
        <f t="shared" si="780"/>
        <v>10.113510000000002</v>
      </c>
      <c r="AY379" s="96">
        <f t="shared" si="780"/>
        <v>10.113510000000002</v>
      </c>
      <c r="AZ379" s="96">
        <f t="shared" si="780"/>
        <v>10.113510000000002</v>
      </c>
      <c r="BA379" s="96">
        <f t="shared" si="780"/>
        <v>10.113510000000002</v>
      </c>
      <c r="BB379" s="96">
        <f t="shared" si="780"/>
        <v>10.113510000000002</v>
      </c>
      <c r="BC379" s="96">
        <f t="shared" si="780"/>
        <v>10.113510000000002</v>
      </c>
      <c r="BD379" s="96">
        <f t="shared" ref="BD379:BM379" si="781">BD11</f>
        <v>10.113510000000002</v>
      </c>
      <c r="BE379" s="96">
        <f t="shared" si="781"/>
        <v>10.113510000000002</v>
      </c>
      <c r="BF379" s="96">
        <f t="shared" si="781"/>
        <v>10.113510000000002</v>
      </c>
      <c r="BG379" s="96">
        <f t="shared" si="781"/>
        <v>10.113510000000002</v>
      </c>
      <c r="BH379" s="96">
        <f t="shared" si="781"/>
        <v>10.113510000000002</v>
      </c>
      <c r="BI379" s="96">
        <f t="shared" si="781"/>
        <v>10.113510000000002</v>
      </c>
      <c r="BJ379" s="96">
        <f t="shared" si="781"/>
        <v>10.113510000000002</v>
      </c>
      <c r="BK379" s="96">
        <f t="shared" si="781"/>
        <v>10.113510000000002</v>
      </c>
      <c r="BL379" s="96">
        <f t="shared" si="781"/>
        <v>10.113510000000002</v>
      </c>
      <c r="BM379" s="96">
        <f t="shared" si="781"/>
        <v>10.113510000000002</v>
      </c>
    </row>
    <row r="380" spans="1:65">
      <c r="A380" s="87" t="str">
        <f t="shared" ref="A380:AF380" si="782">A12</f>
        <v>Inflasjonsforutsetning for USD (KPI-vekst i USA)</v>
      </c>
      <c r="B380" s="96">
        <f t="shared" si="782"/>
        <v>2.3376899373074078</v>
      </c>
      <c r="C380" s="96">
        <f t="shared" si="782"/>
        <v>1.5522790987436252</v>
      </c>
      <c r="D380" s="96">
        <f t="shared" si="782"/>
        <v>2.1880271969735743</v>
      </c>
      <c r="E380" s="96">
        <f t="shared" si="782"/>
        <v>3.3768572714993228</v>
      </c>
      <c r="F380" s="96">
        <f t="shared" si="782"/>
        <v>2.8261711188540595</v>
      </c>
      <c r="G380" s="96">
        <f t="shared" si="782"/>
        <v>1.5860316265060126</v>
      </c>
      <c r="H380" s="96">
        <f t="shared" si="782"/>
        <v>2.2700949733611253</v>
      </c>
      <c r="I380" s="96">
        <f t="shared" si="782"/>
        <v>2.6772366930917224</v>
      </c>
      <c r="J380" s="96">
        <f t="shared" si="782"/>
        <v>3.3927468454954646</v>
      </c>
      <c r="K380" s="96">
        <f t="shared" si="782"/>
        <v>3.2259441007040701</v>
      </c>
      <c r="L380" s="96">
        <f t="shared" si="782"/>
        <v>2.8526724815013837</v>
      </c>
      <c r="M380" s="96">
        <f t="shared" si="782"/>
        <v>3.8391002966509991</v>
      </c>
      <c r="N380" s="96">
        <f t="shared" si="782"/>
        <v>-0.3555462662997444</v>
      </c>
      <c r="O380" s="96">
        <f t="shared" si="782"/>
        <v>1.6400434423899046</v>
      </c>
      <c r="P380" s="96">
        <f t="shared" si="782"/>
        <v>3.1568415686220375</v>
      </c>
      <c r="Q380" s="96">
        <f t="shared" si="782"/>
        <v>2.0693372652606179</v>
      </c>
      <c r="R380" s="96">
        <f t="shared" si="782"/>
        <v>1.4648326556271352</v>
      </c>
      <c r="S380" s="96">
        <f t="shared" si="782"/>
        <v>1.6222229774082164</v>
      </c>
      <c r="T380" s="96">
        <f t="shared" si="782"/>
        <v>0.11862713555246263</v>
      </c>
      <c r="U380" s="96">
        <f t="shared" si="782"/>
        <v>1.26158320570533</v>
      </c>
      <c r="V380" s="96">
        <f t="shared" si="782"/>
        <v>2.1301100036596132</v>
      </c>
      <c r="W380" s="96">
        <f t="shared" si="782"/>
        <v>2.4425832969282135</v>
      </c>
      <c r="X380" s="96">
        <f t="shared" si="782"/>
        <v>1.8122100752601344</v>
      </c>
      <c r="Y380" s="96">
        <f t="shared" si="782"/>
        <v>1.2335843963063864</v>
      </c>
      <c r="Z380" s="96">
        <f t="shared" si="782"/>
        <v>4.6978588636374052</v>
      </c>
      <c r="AA380" s="96">
        <f t="shared" si="782"/>
        <v>8.002799820521167</v>
      </c>
      <c r="AB380" s="96">
        <f t="shared" si="782"/>
        <v>4.1163383837448997</v>
      </c>
      <c r="AC380" s="96">
        <f t="shared" si="782"/>
        <v>2.949525204852077</v>
      </c>
      <c r="AD380" s="96">
        <f t="shared" si="782"/>
        <v>3.6</v>
      </c>
      <c r="AE380" s="96">
        <f t="shared" si="782"/>
        <v>3.1</v>
      </c>
      <c r="AF380" s="96">
        <f t="shared" si="782"/>
        <v>2.1</v>
      </c>
      <c r="AG380" s="96">
        <f t="shared" ref="AG380:BC380" si="783">AG12</f>
        <v>2.1</v>
      </c>
      <c r="AH380" s="96">
        <f t="shared" si="783"/>
        <v>2.1</v>
      </c>
      <c r="AI380" s="96">
        <f t="shared" si="783"/>
        <v>2</v>
      </c>
      <c r="AJ380" s="96">
        <f t="shared" si="783"/>
        <v>2</v>
      </c>
      <c r="AK380" s="96">
        <f t="shared" si="783"/>
        <v>2</v>
      </c>
      <c r="AL380" s="96">
        <f t="shared" si="783"/>
        <v>2</v>
      </c>
      <c r="AM380" s="96">
        <f t="shared" si="783"/>
        <v>2</v>
      </c>
      <c r="AN380" s="96">
        <f t="shared" si="783"/>
        <v>2</v>
      </c>
      <c r="AO380" s="96">
        <f t="shared" si="783"/>
        <v>2</v>
      </c>
      <c r="AP380" s="96">
        <f t="shared" si="783"/>
        <v>2</v>
      </c>
      <c r="AQ380" s="96">
        <f t="shared" si="783"/>
        <v>2</v>
      </c>
      <c r="AR380" s="96">
        <f t="shared" si="783"/>
        <v>2</v>
      </c>
      <c r="AS380" s="96">
        <f t="shared" si="783"/>
        <v>2</v>
      </c>
      <c r="AT380" s="96">
        <f t="shared" si="783"/>
        <v>2</v>
      </c>
      <c r="AU380" s="96">
        <f t="shared" si="783"/>
        <v>2</v>
      </c>
      <c r="AV380" s="96">
        <f t="shared" si="783"/>
        <v>2</v>
      </c>
      <c r="AW380" s="96">
        <f t="shared" si="783"/>
        <v>2</v>
      </c>
      <c r="AX380" s="96">
        <f t="shared" si="783"/>
        <v>2</v>
      </c>
      <c r="AY380" s="96">
        <f t="shared" si="783"/>
        <v>2</v>
      </c>
      <c r="AZ380" s="96">
        <f t="shared" si="783"/>
        <v>2</v>
      </c>
      <c r="BA380" s="96">
        <f t="shared" si="783"/>
        <v>2</v>
      </c>
      <c r="BB380" s="96">
        <f t="shared" si="783"/>
        <v>2</v>
      </c>
      <c r="BC380" s="96">
        <f t="shared" si="783"/>
        <v>2</v>
      </c>
      <c r="BD380" s="96">
        <f t="shared" ref="BD380:BM380" si="784">BD12</f>
        <v>2</v>
      </c>
      <c r="BE380" s="96">
        <f t="shared" si="784"/>
        <v>2</v>
      </c>
      <c r="BF380" s="96">
        <f t="shared" si="784"/>
        <v>2</v>
      </c>
      <c r="BG380" s="96">
        <f t="shared" si="784"/>
        <v>2</v>
      </c>
      <c r="BH380" s="96">
        <f t="shared" si="784"/>
        <v>2</v>
      </c>
      <c r="BI380" s="96">
        <f t="shared" si="784"/>
        <v>2</v>
      </c>
      <c r="BJ380" s="96">
        <f t="shared" si="784"/>
        <v>2</v>
      </c>
      <c r="BK380" s="96">
        <f t="shared" si="784"/>
        <v>2</v>
      </c>
      <c r="BL380" s="96">
        <f t="shared" si="784"/>
        <v>2</v>
      </c>
      <c r="BM380" s="96">
        <f t="shared" si="784"/>
        <v>2</v>
      </c>
    </row>
    <row r="381" spans="1:65">
      <c r="A381" s="87" t="str">
        <f t="shared" ref="A381:AF381" si="785">A13</f>
        <v xml:space="preserve">Prisindeks </v>
      </c>
      <c r="B381" s="96">
        <f t="shared" si="785"/>
        <v>0.47907405630625</v>
      </c>
      <c r="C381" s="96">
        <f t="shared" si="785"/>
        <v>0.48651062274979517</v>
      </c>
      <c r="D381" s="96">
        <f t="shared" si="785"/>
        <v>0.49715560749172621</v>
      </c>
      <c r="E381" s="96">
        <f t="shared" si="785"/>
        <v>0.5139438427739772</v>
      </c>
      <c r="F381" s="96">
        <f t="shared" si="785"/>
        <v>0.52846877522558411</v>
      </c>
      <c r="G381" s="96">
        <f t="shared" si="785"/>
        <v>0.53685045713687085</v>
      </c>
      <c r="H381" s="96">
        <f t="shared" si="785"/>
        <v>0.54903747237880118</v>
      </c>
      <c r="I381" s="96">
        <f t="shared" si="785"/>
        <v>0.56373650504814976</v>
      </c>
      <c r="J381" s="96">
        <f t="shared" si="785"/>
        <v>0.58286265754007727</v>
      </c>
      <c r="K381" s="96">
        <f t="shared" si="785"/>
        <v>0.60166548105619833</v>
      </c>
      <c r="L381" s="96">
        <f t="shared" si="785"/>
        <v>0.61882902666498141</v>
      </c>
      <c r="M381" s="96">
        <f t="shared" si="785"/>
        <v>0.64258649366343923</v>
      </c>
      <c r="N381" s="96">
        <f t="shared" si="785"/>
        <v>0.64030180137747239</v>
      </c>
      <c r="O381" s="96">
        <f t="shared" si="785"/>
        <v>0.65080302908246801</v>
      </c>
      <c r="P381" s="96">
        <f t="shared" si="785"/>
        <v>0.67134784963439476</v>
      </c>
      <c r="Q381" s="96">
        <f t="shared" si="785"/>
        <v>0.68524030086640508</v>
      </c>
      <c r="R381" s="96">
        <f t="shared" si="785"/>
        <v>0.69527792456301385</v>
      </c>
      <c r="S381" s="96">
        <f t="shared" si="785"/>
        <v>0.70655688281212203</v>
      </c>
      <c r="T381" s="96">
        <f t="shared" si="785"/>
        <v>0.70739505100325084</v>
      </c>
      <c r="U381" s="96">
        <f t="shared" si="785"/>
        <v>0.71631942816469851</v>
      </c>
      <c r="V381" s="96">
        <f t="shared" si="785"/>
        <v>0.73157781996219207</v>
      </c>
      <c r="W381" s="96">
        <f t="shared" si="785"/>
        <v>0.74944721759662014</v>
      </c>
      <c r="X381" s="96">
        <f t="shared" si="785"/>
        <v>0.7630287755826628</v>
      </c>
      <c r="Y381" s="96">
        <f t="shared" si="785"/>
        <v>0.77244137949757818</v>
      </c>
      <c r="Z381" s="96">
        <f t="shared" si="785"/>
        <v>0.80872958531070815</v>
      </c>
      <c r="AA381" s="96">
        <f t="shared" si="785"/>
        <v>0.87345059511245504</v>
      </c>
      <c r="AB381" s="96">
        <f t="shared" si="785"/>
        <v>0.90940477722211732</v>
      </c>
      <c r="AC381" s="96">
        <f t="shared" si="785"/>
        <v>0.93622790034041259</v>
      </c>
      <c r="AD381" s="96">
        <f t="shared" si="785"/>
        <v>0.96993210475266745</v>
      </c>
      <c r="AE381" s="96">
        <f t="shared" si="785"/>
        <v>1</v>
      </c>
      <c r="AF381" s="96">
        <f t="shared" si="785"/>
        <v>1.0209999999999999</v>
      </c>
      <c r="AG381" s="96">
        <f t="shared" ref="AG381:BC381" si="786">AG13</f>
        <v>1.0424409999999997</v>
      </c>
      <c r="AH381" s="96">
        <f t="shared" si="786"/>
        <v>1.0643322609999997</v>
      </c>
      <c r="AI381" s="96">
        <f t="shared" si="786"/>
        <v>1.0856189062199997</v>
      </c>
      <c r="AJ381" s="96">
        <f t="shared" si="786"/>
        <v>1.1073312843443996</v>
      </c>
      <c r="AK381" s="96">
        <f t="shared" si="786"/>
        <v>1.1294779100312877</v>
      </c>
      <c r="AL381" s="96">
        <f t="shared" si="786"/>
        <v>1.1520674682319134</v>
      </c>
      <c r="AM381" s="96">
        <f t="shared" si="786"/>
        <v>1.1751088175965516</v>
      </c>
      <c r="AN381" s="96">
        <f t="shared" si="786"/>
        <v>1.1986109939484826</v>
      </c>
      <c r="AO381" s="96">
        <f t="shared" si="786"/>
        <v>1.2225832138274522</v>
      </c>
      <c r="AP381" s="96">
        <f t="shared" si="786"/>
        <v>1.2470348781040013</v>
      </c>
      <c r="AQ381" s="96">
        <f t="shared" si="786"/>
        <v>1.2719755756660813</v>
      </c>
      <c r="AR381" s="96">
        <f t="shared" si="786"/>
        <v>1.297415087179403</v>
      </c>
      <c r="AS381" s="96">
        <f t="shared" si="786"/>
        <v>1.323363388922991</v>
      </c>
      <c r="AT381" s="96">
        <f t="shared" si="786"/>
        <v>1.3498306567014509</v>
      </c>
      <c r="AU381" s="96">
        <f t="shared" si="786"/>
        <v>1.37682726983548</v>
      </c>
      <c r="AV381" s="96">
        <f t="shared" si="786"/>
        <v>1.4043638152321896</v>
      </c>
      <c r="AW381" s="96">
        <f t="shared" si="786"/>
        <v>1.4324510915368334</v>
      </c>
      <c r="AX381" s="96">
        <f t="shared" si="786"/>
        <v>1.4611001133675701</v>
      </c>
      <c r="AY381" s="96">
        <f t="shared" si="786"/>
        <v>1.4903221156349216</v>
      </c>
      <c r="AZ381" s="96">
        <f t="shared" si="786"/>
        <v>1.52012855794762</v>
      </c>
      <c r="BA381" s="96">
        <f t="shared" si="786"/>
        <v>1.5505311291065724</v>
      </c>
      <c r="BB381" s="96">
        <f t="shared" si="786"/>
        <v>1.5815417516887038</v>
      </c>
      <c r="BC381" s="96">
        <f t="shared" si="786"/>
        <v>1.613172586722478</v>
      </c>
      <c r="BD381" s="96">
        <f t="shared" ref="BD381:BM381" si="787">BD13</f>
        <v>1.6454360384569275</v>
      </c>
      <c r="BE381" s="96">
        <f t="shared" si="787"/>
        <v>1.6783447592260661</v>
      </c>
      <c r="BF381" s="96">
        <f t="shared" si="787"/>
        <v>1.7119116544105875</v>
      </c>
      <c r="BG381" s="96">
        <f t="shared" si="787"/>
        <v>1.7461498874987993</v>
      </c>
      <c r="BH381" s="96">
        <f t="shared" si="787"/>
        <v>1.7810728852487754</v>
      </c>
      <c r="BI381" s="96">
        <f t="shared" si="787"/>
        <v>1.816694342953751</v>
      </c>
      <c r="BJ381" s="96">
        <f t="shared" si="787"/>
        <v>1.853028229812826</v>
      </c>
      <c r="BK381" s="96">
        <f t="shared" si="787"/>
        <v>1.8900887944090825</v>
      </c>
      <c r="BL381" s="96">
        <f t="shared" si="787"/>
        <v>1.9278905702972642</v>
      </c>
      <c r="BM381" s="96">
        <f t="shared" si="787"/>
        <v>1.9664483817032095</v>
      </c>
    </row>
    <row r="382" spans="1:65"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  <c r="AS382" s="158"/>
      <c r="AT382" s="158"/>
      <c r="AU382" s="158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8"/>
      <c r="BF382" s="158"/>
      <c r="BG382" s="158"/>
      <c r="BH382" s="158"/>
      <c r="BI382" s="158"/>
      <c r="BJ382" s="158"/>
      <c r="BK382" s="158"/>
      <c r="BL382" s="158"/>
      <c r="BM382" s="158"/>
    </row>
    <row r="383" spans="1:65">
      <c r="A383" s="78" t="s">
        <v>182</v>
      </c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  <c r="AS383" s="158"/>
      <c r="AT383" s="158"/>
      <c r="AU383" s="158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8"/>
      <c r="BF383" s="158"/>
      <c r="BG383" s="158"/>
      <c r="BH383" s="158"/>
      <c r="BI383" s="158"/>
      <c r="BJ383" s="158"/>
      <c r="BK383" s="158"/>
      <c r="BL383" s="158"/>
      <c r="BM383" s="158"/>
    </row>
    <row r="384" spans="1:65">
      <c r="A384" s="79" t="s">
        <v>75</v>
      </c>
      <c r="B384" s="96">
        <f t="shared" ref="B384:AG384" si="788">B62</f>
        <v>175.91</v>
      </c>
      <c r="C384" s="96">
        <f t="shared" si="788"/>
        <v>168.74</v>
      </c>
      <c r="D384" s="96">
        <f t="shared" si="788"/>
        <v>168.69</v>
      </c>
      <c r="E384" s="96">
        <f t="shared" si="788"/>
        <v>181.18</v>
      </c>
      <c r="F384" s="96">
        <f t="shared" si="788"/>
        <v>180.88</v>
      </c>
      <c r="G384" s="96">
        <f t="shared" si="788"/>
        <v>173.65</v>
      </c>
      <c r="H384" s="96">
        <f t="shared" si="788"/>
        <v>165.48</v>
      </c>
      <c r="I384" s="96">
        <f t="shared" si="788"/>
        <v>162.78</v>
      </c>
      <c r="J384" s="96">
        <f t="shared" si="788"/>
        <v>148.13999999999999</v>
      </c>
      <c r="K384" s="96">
        <f t="shared" si="788"/>
        <v>136.58000000000001</v>
      </c>
      <c r="L384" s="96">
        <f t="shared" si="788"/>
        <v>128.28</v>
      </c>
      <c r="M384" s="96">
        <f t="shared" si="788"/>
        <v>122.66</v>
      </c>
      <c r="N384" s="96">
        <f t="shared" si="788"/>
        <v>114.94</v>
      </c>
      <c r="O384" s="96">
        <f t="shared" si="788"/>
        <v>104.39</v>
      </c>
      <c r="P384" s="96">
        <f t="shared" si="788"/>
        <v>97.46</v>
      </c>
      <c r="Q384" s="96">
        <f t="shared" si="788"/>
        <v>89.2</v>
      </c>
      <c r="R384" s="96">
        <f t="shared" si="788"/>
        <v>84.94</v>
      </c>
      <c r="S384" s="96">
        <f t="shared" si="788"/>
        <v>87.7</v>
      </c>
      <c r="T384" s="96">
        <f t="shared" si="788"/>
        <v>90.85</v>
      </c>
      <c r="U384" s="96">
        <f t="shared" si="788"/>
        <v>93.9</v>
      </c>
      <c r="V384" s="96">
        <f t="shared" si="788"/>
        <v>92.28</v>
      </c>
      <c r="W384" s="96">
        <f t="shared" si="788"/>
        <v>86.27</v>
      </c>
      <c r="X384" s="96">
        <f t="shared" si="788"/>
        <v>83.21</v>
      </c>
      <c r="Y384" s="96">
        <f t="shared" si="788"/>
        <v>98.49</v>
      </c>
      <c r="Z384" s="96">
        <f t="shared" si="788"/>
        <v>102.36</v>
      </c>
      <c r="AA384" s="96">
        <f t="shared" si="788"/>
        <v>97.81</v>
      </c>
      <c r="AB384" s="96">
        <f t="shared" si="788"/>
        <v>104.14</v>
      </c>
      <c r="AC384" s="96">
        <f t="shared" si="788"/>
        <v>102.88638281259</v>
      </c>
      <c r="AD384" s="96">
        <f t="shared" si="788"/>
        <v>105.18980898457799</v>
      </c>
      <c r="AE384" s="96">
        <f t="shared" si="788"/>
        <v>101.045761449213</v>
      </c>
      <c r="AF384" s="96">
        <f t="shared" si="788"/>
        <v>96.575066729448693</v>
      </c>
      <c r="AG384" s="96">
        <f t="shared" si="788"/>
        <v>87.047892082627996</v>
      </c>
      <c r="AH384" s="96">
        <f t="shared" ref="AH384:BC384" si="789">AH62</f>
        <v>78.845847543704807</v>
      </c>
      <c r="AI384" s="96">
        <f t="shared" si="789"/>
        <v>73.793908506930094</v>
      </c>
      <c r="AJ384" s="96">
        <f t="shared" si="789"/>
        <v>71.649846538435597</v>
      </c>
      <c r="AK384" s="96">
        <f t="shared" si="789"/>
        <v>70.715986239141799</v>
      </c>
      <c r="AL384" s="96">
        <f t="shared" si="789"/>
        <v>69.386447109542203</v>
      </c>
      <c r="AM384" s="96">
        <f t="shared" si="789"/>
        <v>69.474901314808406</v>
      </c>
      <c r="AN384" s="96">
        <f t="shared" si="789"/>
        <v>69.035837323349497</v>
      </c>
      <c r="AO384" s="96">
        <f t="shared" si="789"/>
        <v>67.882734389063302</v>
      </c>
      <c r="AP384" s="96">
        <f t="shared" si="789"/>
        <v>66.422217238456199</v>
      </c>
      <c r="AQ384" s="96">
        <f t="shared" si="789"/>
        <v>63.920650066007603</v>
      </c>
      <c r="AR384" s="96">
        <f t="shared" si="789"/>
        <v>61.744994652282898</v>
      </c>
      <c r="AS384" s="96">
        <f t="shared" si="789"/>
        <v>59.765761492930402</v>
      </c>
      <c r="AT384" s="96">
        <f t="shared" si="789"/>
        <v>58.160948087532198</v>
      </c>
      <c r="AU384" s="96">
        <f t="shared" si="789"/>
        <v>56.304564567923002</v>
      </c>
      <c r="AV384" s="96">
        <f t="shared" si="789"/>
        <v>54.5807199205301</v>
      </c>
      <c r="AW384" s="96">
        <f t="shared" si="789"/>
        <v>53.233861304295701</v>
      </c>
      <c r="AX384" s="96">
        <f t="shared" si="789"/>
        <v>51.418462866102303</v>
      </c>
      <c r="AY384" s="96">
        <f t="shared" si="789"/>
        <v>49.851933117199302</v>
      </c>
      <c r="AZ384" s="96">
        <f t="shared" si="789"/>
        <v>48.074596180958899</v>
      </c>
      <c r="BA384" s="96">
        <f t="shared" si="789"/>
        <v>46.7917568132398</v>
      </c>
      <c r="BB384" s="96">
        <f t="shared" si="789"/>
        <v>45.026558890705999</v>
      </c>
      <c r="BC384" s="96">
        <f t="shared" si="789"/>
        <v>43.367769223710603</v>
      </c>
      <c r="BD384" s="96">
        <f t="shared" ref="BD384:BM384" si="790">BD62</f>
        <v>42.037652389517497</v>
      </c>
      <c r="BE384" s="96">
        <f t="shared" si="790"/>
        <v>40.516113098128699</v>
      </c>
      <c r="BF384" s="96">
        <f t="shared" si="790"/>
        <v>39.141344857402203</v>
      </c>
      <c r="BG384" s="96">
        <f t="shared" si="790"/>
        <v>37.644952559843603</v>
      </c>
      <c r="BH384" s="96">
        <f t="shared" si="790"/>
        <v>36.054581090807901</v>
      </c>
      <c r="BI384" s="96">
        <f t="shared" si="790"/>
        <v>34.609852540656</v>
      </c>
      <c r="BJ384" s="96">
        <f t="shared" si="790"/>
        <v>33.132615728303797</v>
      </c>
      <c r="BK384" s="96">
        <f t="shared" si="790"/>
        <v>31.356614947318999</v>
      </c>
      <c r="BL384" s="96">
        <f t="shared" si="790"/>
        <v>29.729547090828401</v>
      </c>
      <c r="BM384" s="96">
        <f t="shared" si="790"/>
        <v>28.071746988221999</v>
      </c>
    </row>
    <row r="385" spans="1:65">
      <c r="A385" s="79" t="s">
        <v>76</v>
      </c>
      <c r="B385" s="96">
        <f t="shared" ref="B385:AG385" si="791">B63</f>
        <v>44.36</v>
      </c>
      <c r="C385" s="96">
        <f t="shared" si="791"/>
        <v>47.06</v>
      </c>
      <c r="D385" s="96">
        <f t="shared" si="791"/>
        <v>48.7</v>
      </c>
      <c r="E385" s="96">
        <f t="shared" si="791"/>
        <v>47.43</v>
      </c>
      <c r="F385" s="96">
        <f t="shared" si="791"/>
        <v>54.15</v>
      </c>
      <c r="G385" s="96">
        <f t="shared" si="791"/>
        <v>65.53</v>
      </c>
      <c r="H385" s="96">
        <f t="shared" si="791"/>
        <v>72.930000000000007</v>
      </c>
      <c r="I385" s="96">
        <f t="shared" si="791"/>
        <v>79.099999999999994</v>
      </c>
      <c r="J385" s="96">
        <f t="shared" si="791"/>
        <v>85.67</v>
      </c>
      <c r="K385" s="96">
        <f t="shared" si="791"/>
        <v>88.23</v>
      </c>
      <c r="L385" s="96">
        <f t="shared" si="791"/>
        <v>89.51</v>
      </c>
      <c r="M385" s="96">
        <f t="shared" si="791"/>
        <v>99.46</v>
      </c>
      <c r="N385" s="96">
        <f t="shared" si="791"/>
        <v>103.68</v>
      </c>
      <c r="O385" s="96">
        <f t="shared" si="791"/>
        <v>106.53</v>
      </c>
      <c r="P385" s="96">
        <f t="shared" si="791"/>
        <v>100.3</v>
      </c>
      <c r="Q385" s="96">
        <f t="shared" si="791"/>
        <v>113.06</v>
      </c>
      <c r="R385" s="96">
        <f t="shared" si="791"/>
        <v>107.05</v>
      </c>
      <c r="S385" s="96">
        <f t="shared" si="791"/>
        <v>106.8</v>
      </c>
      <c r="T385" s="96">
        <f t="shared" si="791"/>
        <v>114.92</v>
      </c>
      <c r="U385" s="96">
        <f t="shared" si="791"/>
        <v>114.65</v>
      </c>
      <c r="V385" s="96">
        <f t="shared" si="791"/>
        <v>122.37</v>
      </c>
      <c r="W385" s="96">
        <f t="shared" si="791"/>
        <v>119.89</v>
      </c>
      <c r="X385" s="96">
        <f t="shared" si="791"/>
        <v>113.12</v>
      </c>
      <c r="Y385" s="96">
        <f t="shared" si="791"/>
        <v>110.11</v>
      </c>
      <c r="Z385" s="96">
        <f t="shared" si="791"/>
        <v>113.08</v>
      </c>
      <c r="AA385" s="96">
        <f t="shared" si="791"/>
        <v>122.85</v>
      </c>
      <c r="AB385" s="96">
        <f t="shared" si="791"/>
        <v>116.02</v>
      </c>
      <c r="AC385" s="96">
        <f t="shared" si="791"/>
        <v>124.23875195111999</v>
      </c>
      <c r="AD385" s="96">
        <f t="shared" si="791"/>
        <v>118.452074931315</v>
      </c>
      <c r="AE385" s="96">
        <f t="shared" si="791"/>
        <v>120.086121418196</v>
      </c>
      <c r="AF385" s="96">
        <f t="shared" si="791"/>
        <v>120.094642530738</v>
      </c>
      <c r="AG385" s="96">
        <f t="shared" si="791"/>
        <v>116.166092510014</v>
      </c>
      <c r="AH385" s="96">
        <f t="shared" ref="AH385:BC385" si="792">AH63</f>
        <v>110.636270971982</v>
      </c>
      <c r="AI385" s="96">
        <f t="shared" si="792"/>
        <v>104.941576370565</v>
      </c>
      <c r="AJ385" s="96">
        <f t="shared" si="792"/>
        <v>100.130445581107</v>
      </c>
      <c r="AK385" s="96">
        <f t="shared" si="792"/>
        <v>93.491734289047798</v>
      </c>
      <c r="AL385" s="96">
        <f t="shared" si="792"/>
        <v>89.335084783925794</v>
      </c>
      <c r="AM385" s="96">
        <f t="shared" si="792"/>
        <v>86.735572945646098</v>
      </c>
      <c r="AN385" s="96">
        <f t="shared" si="792"/>
        <v>84.333941951932403</v>
      </c>
      <c r="AO385" s="96">
        <f t="shared" si="792"/>
        <v>82.153770465193006</v>
      </c>
      <c r="AP385" s="96">
        <f t="shared" si="792"/>
        <v>78.840469550338696</v>
      </c>
      <c r="AQ385" s="96">
        <f t="shared" si="792"/>
        <v>73.883116241559094</v>
      </c>
      <c r="AR385" s="96">
        <f t="shared" si="792"/>
        <v>68.539686645509505</v>
      </c>
      <c r="AS385" s="96">
        <f t="shared" si="792"/>
        <v>64.692185788338307</v>
      </c>
      <c r="AT385" s="96">
        <f t="shared" si="792"/>
        <v>61.2290977700995</v>
      </c>
      <c r="AU385" s="96">
        <f t="shared" si="792"/>
        <v>58.607326135775999</v>
      </c>
      <c r="AV385" s="96">
        <f t="shared" si="792"/>
        <v>55.8623403806005</v>
      </c>
      <c r="AW385" s="96">
        <f t="shared" si="792"/>
        <v>52.7872782740288</v>
      </c>
      <c r="AX385" s="96">
        <f t="shared" si="792"/>
        <v>50.282890109274298</v>
      </c>
      <c r="AY385" s="96">
        <f t="shared" si="792"/>
        <v>48.339968322707897</v>
      </c>
      <c r="AZ385" s="96">
        <f t="shared" si="792"/>
        <v>46.446472786406297</v>
      </c>
      <c r="BA385" s="96">
        <f t="shared" si="792"/>
        <v>44.699381400699799</v>
      </c>
      <c r="BB385" s="96">
        <f t="shared" si="792"/>
        <v>43.293508537680601</v>
      </c>
      <c r="BC385" s="96">
        <f t="shared" si="792"/>
        <v>41.648785780853402</v>
      </c>
      <c r="BD385" s="96">
        <f t="shared" ref="BD385:BM385" si="793">BD63</f>
        <v>40.118689809552301</v>
      </c>
      <c r="BE385" s="96">
        <f t="shared" si="793"/>
        <v>38.369959232385099</v>
      </c>
      <c r="BF385" s="96">
        <f t="shared" si="793"/>
        <v>36.9035212621121</v>
      </c>
      <c r="BG385" s="96">
        <f t="shared" si="793"/>
        <v>35.812746227007899</v>
      </c>
      <c r="BH385" s="96">
        <f t="shared" si="793"/>
        <v>35.2091385576473</v>
      </c>
      <c r="BI385" s="96">
        <f t="shared" si="793"/>
        <v>34.416161845962002</v>
      </c>
      <c r="BJ385" s="96">
        <f t="shared" si="793"/>
        <v>33.891618791822097</v>
      </c>
      <c r="BK385" s="96">
        <f t="shared" si="793"/>
        <v>33.466268432734097</v>
      </c>
      <c r="BL385" s="96">
        <f t="shared" si="793"/>
        <v>32.995546425285298</v>
      </c>
      <c r="BM385" s="96">
        <f t="shared" si="793"/>
        <v>32.602377394214301</v>
      </c>
    </row>
    <row r="386" spans="1:65">
      <c r="A386" s="79" t="s">
        <v>77</v>
      </c>
      <c r="B386" s="96">
        <f t="shared" ref="B386:AG386" si="794">B64</f>
        <v>13.45</v>
      </c>
      <c r="C386" s="96">
        <f t="shared" si="794"/>
        <v>12.44</v>
      </c>
      <c r="D386" s="96">
        <f t="shared" si="794"/>
        <v>12.5</v>
      </c>
      <c r="E386" s="96">
        <f t="shared" si="794"/>
        <v>12.64</v>
      </c>
      <c r="F386" s="96">
        <f t="shared" si="794"/>
        <v>16.59</v>
      </c>
      <c r="G386" s="96">
        <f t="shared" si="794"/>
        <v>19.12</v>
      </c>
      <c r="H386" s="159">
        <f t="shared" si="794"/>
        <v>23.27</v>
      </c>
      <c r="I386" s="96">
        <f t="shared" si="794"/>
        <v>22.310000000000002</v>
      </c>
      <c r="J386" s="96">
        <f t="shared" si="794"/>
        <v>23.76</v>
      </c>
      <c r="K386" s="96">
        <f t="shared" si="794"/>
        <v>24.33</v>
      </c>
      <c r="L386" s="96">
        <f t="shared" si="794"/>
        <v>19.759999999999998</v>
      </c>
      <c r="M386" s="96">
        <f t="shared" si="794"/>
        <v>20.86</v>
      </c>
      <c r="N386" s="96">
        <f t="shared" si="794"/>
        <v>21.400000000000002</v>
      </c>
      <c r="O386" s="96">
        <f t="shared" si="794"/>
        <v>19.72</v>
      </c>
      <c r="P386" s="96">
        <f t="shared" si="794"/>
        <v>20.89</v>
      </c>
      <c r="Q386" s="96">
        <f t="shared" si="794"/>
        <v>22.380000000000003</v>
      </c>
      <c r="R386" s="96">
        <f t="shared" si="794"/>
        <v>21.71</v>
      </c>
      <c r="S386" s="96">
        <f t="shared" si="794"/>
        <v>21.86</v>
      </c>
      <c r="T386" s="96">
        <f t="shared" si="794"/>
        <v>22.07</v>
      </c>
      <c r="U386" s="96">
        <f t="shared" si="794"/>
        <v>22.11</v>
      </c>
      <c r="V386" s="96">
        <f t="shared" si="794"/>
        <v>22.1</v>
      </c>
      <c r="W386" s="96">
        <f t="shared" si="794"/>
        <v>21.17</v>
      </c>
      <c r="X386" s="96">
        <f t="shared" si="794"/>
        <v>19.080000000000002</v>
      </c>
      <c r="Y386" s="96">
        <f t="shared" si="794"/>
        <v>18.25</v>
      </c>
      <c r="Z386" s="96">
        <f t="shared" si="794"/>
        <v>15.309999999999999</v>
      </c>
      <c r="AA386" s="96">
        <f t="shared" si="794"/>
        <v>12.53</v>
      </c>
      <c r="AB386" s="96">
        <f t="shared" si="794"/>
        <v>12.99</v>
      </c>
      <c r="AC386" s="96">
        <f t="shared" si="794"/>
        <v>14.090805668825199</v>
      </c>
      <c r="AD386" s="96">
        <f t="shared" si="794"/>
        <v>14.5264171933746</v>
      </c>
      <c r="AE386" s="96">
        <f t="shared" si="794"/>
        <v>15.2825943649325</v>
      </c>
      <c r="AF386" s="96">
        <f t="shared" si="794"/>
        <v>15.4169352290532</v>
      </c>
      <c r="AG386" s="96">
        <f t="shared" si="794"/>
        <v>15.381716184560201</v>
      </c>
      <c r="AH386" s="96">
        <f t="shared" ref="AH386:BC386" si="795">AH64</f>
        <v>15.1238272946275</v>
      </c>
      <c r="AI386" s="96">
        <f t="shared" si="795"/>
        <v>14.458167543187299</v>
      </c>
      <c r="AJ386" s="96">
        <f t="shared" si="795"/>
        <v>12.999656846400301</v>
      </c>
      <c r="AK386" s="96">
        <f t="shared" si="795"/>
        <v>12.1010429740265</v>
      </c>
      <c r="AL386" s="96">
        <f t="shared" si="795"/>
        <v>10.7036492009246</v>
      </c>
      <c r="AM386" s="96">
        <f t="shared" si="795"/>
        <v>9.5442071522411407</v>
      </c>
      <c r="AN386" s="96">
        <f t="shared" si="795"/>
        <v>8.4064845679676008</v>
      </c>
      <c r="AO386" s="96">
        <f t="shared" si="795"/>
        <v>7.6252250618180204</v>
      </c>
      <c r="AP386" s="96">
        <f t="shared" si="795"/>
        <v>6.5501176409275104</v>
      </c>
      <c r="AQ386" s="96">
        <f t="shared" si="795"/>
        <v>5.5222163666163597</v>
      </c>
      <c r="AR386" s="96">
        <f t="shared" si="795"/>
        <v>4.8854317326599297</v>
      </c>
      <c r="AS386" s="96">
        <f t="shared" si="795"/>
        <v>4.4192166560990804</v>
      </c>
      <c r="AT386" s="96">
        <f t="shared" si="795"/>
        <v>3.9106154586444402</v>
      </c>
      <c r="AU386" s="96">
        <f t="shared" si="795"/>
        <v>3.5138655571550999</v>
      </c>
      <c r="AV386" s="96">
        <f t="shared" si="795"/>
        <v>3.1591642798824502</v>
      </c>
      <c r="AW386" s="96">
        <f t="shared" si="795"/>
        <v>2.7467847078208401</v>
      </c>
      <c r="AX386" s="96">
        <f t="shared" si="795"/>
        <v>2.4737210810597499</v>
      </c>
      <c r="AY386" s="96">
        <f t="shared" si="795"/>
        <v>2.0487444447745702</v>
      </c>
      <c r="AZ386" s="96">
        <f t="shared" si="795"/>
        <v>1.9173434812521499</v>
      </c>
      <c r="BA386" s="96">
        <f t="shared" si="795"/>
        <v>1.4773356022698201</v>
      </c>
      <c r="BB386" s="96">
        <f t="shared" si="795"/>
        <v>1.1472303341380401</v>
      </c>
      <c r="BC386" s="96">
        <f t="shared" si="795"/>
        <v>0.95530164193360201</v>
      </c>
      <c r="BD386" s="96">
        <f t="shared" ref="BD386:BM386" si="796">BD64</f>
        <v>0.78101941680904496</v>
      </c>
      <c r="BE386" s="96">
        <f t="shared" si="796"/>
        <v>0.53412031437233098</v>
      </c>
      <c r="BF386" s="96">
        <f t="shared" si="796"/>
        <v>0.42513031815542501</v>
      </c>
      <c r="BG386" s="96">
        <f t="shared" si="796"/>
        <v>0.30469153579019798</v>
      </c>
      <c r="BH386" s="96">
        <f t="shared" si="796"/>
        <v>0.20867618493161899</v>
      </c>
      <c r="BI386" s="96">
        <f t="shared" si="796"/>
        <v>0.13997563850716699</v>
      </c>
      <c r="BJ386" s="96">
        <f t="shared" si="796"/>
        <v>7.6948321395320804E-2</v>
      </c>
      <c r="BK386" s="96">
        <f t="shared" si="796"/>
        <v>7.25227032817196E-2</v>
      </c>
      <c r="BL386" s="96">
        <f t="shared" si="796"/>
        <v>6.7570852599601494E-2</v>
      </c>
      <c r="BM386" s="96">
        <f t="shared" si="796"/>
        <v>4.6981570863863398E-2</v>
      </c>
    </row>
    <row r="387" spans="1:65">
      <c r="A387" s="79" t="s">
        <v>78</v>
      </c>
      <c r="B387" s="96">
        <f t="shared" ref="B387:AG387" si="797">B66</f>
        <v>233.71999999999997</v>
      </c>
      <c r="C387" s="96">
        <f t="shared" si="797"/>
        <v>228.24</v>
      </c>
      <c r="D387" s="96">
        <f t="shared" si="797"/>
        <v>229.89</v>
      </c>
      <c r="E387" s="96">
        <f t="shared" si="797"/>
        <v>241.25</v>
      </c>
      <c r="F387" s="96">
        <f t="shared" si="797"/>
        <v>251.62</v>
      </c>
      <c r="G387" s="96">
        <f t="shared" si="797"/>
        <v>258.3</v>
      </c>
      <c r="H387" s="96">
        <f t="shared" si="797"/>
        <v>261.68</v>
      </c>
      <c r="I387" s="96">
        <f t="shared" si="797"/>
        <v>264.19</v>
      </c>
      <c r="J387" s="96">
        <f t="shared" si="797"/>
        <v>257.57</v>
      </c>
      <c r="K387" s="96">
        <f t="shared" si="797"/>
        <v>249.14000000000004</v>
      </c>
      <c r="L387" s="96">
        <f t="shared" si="797"/>
        <v>237.55</v>
      </c>
      <c r="M387" s="96">
        <f t="shared" si="797"/>
        <v>242.97999999999996</v>
      </c>
      <c r="N387" s="96">
        <f t="shared" si="797"/>
        <v>240.02</v>
      </c>
      <c r="O387" s="96">
        <f t="shared" si="797"/>
        <v>230.64</v>
      </c>
      <c r="P387" s="96">
        <f t="shared" si="797"/>
        <v>218.64999999999998</v>
      </c>
      <c r="Q387" s="96">
        <f t="shared" si="797"/>
        <v>224.64000000000001</v>
      </c>
      <c r="R387" s="96">
        <f t="shared" si="797"/>
        <v>213.7</v>
      </c>
      <c r="S387" s="96">
        <f t="shared" si="797"/>
        <v>216.36</v>
      </c>
      <c r="T387" s="96">
        <f t="shared" si="797"/>
        <v>227.83999999999997</v>
      </c>
      <c r="U387" s="96">
        <f t="shared" si="797"/>
        <v>230.66000000000003</v>
      </c>
      <c r="V387" s="96">
        <f t="shared" si="797"/>
        <v>236.75</v>
      </c>
      <c r="W387" s="96">
        <f t="shared" si="797"/>
        <v>227.32999999999998</v>
      </c>
      <c r="X387" s="96">
        <f t="shared" si="797"/>
        <v>215.41</v>
      </c>
      <c r="Y387" s="96">
        <f t="shared" si="797"/>
        <v>226.85</v>
      </c>
      <c r="Z387" s="96">
        <f t="shared" si="797"/>
        <v>230.75</v>
      </c>
      <c r="AA387" s="96">
        <f t="shared" si="797"/>
        <v>233.19</v>
      </c>
      <c r="AB387" s="96">
        <f t="shared" si="797"/>
        <v>233.14999999999998</v>
      </c>
      <c r="AC387" s="96">
        <f t="shared" si="797"/>
        <v>241.21594043253521</v>
      </c>
      <c r="AD387" s="96">
        <f t="shared" si="797"/>
        <v>238.16830110926759</v>
      </c>
      <c r="AE387" s="96">
        <f t="shared" si="797"/>
        <v>236.41447723234151</v>
      </c>
      <c r="AF387" s="96">
        <f t="shared" si="797"/>
        <v>232.08664448923989</v>
      </c>
      <c r="AG387" s="96">
        <f t="shared" si="797"/>
        <v>218.59570077720218</v>
      </c>
      <c r="AH387" s="96">
        <f t="shared" ref="AH387:BC387" si="798">AH66</f>
        <v>204.60594581031432</v>
      </c>
      <c r="AI387" s="96">
        <f t="shared" si="798"/>
        <v>193.19365242068238</v>
      </c>
      <c r="AJ387" s="96">
        <f t="shared" si="798"/>
        <v>184.77994896594288</v>
      </c>
      <c r="AK387" s="96">
        <f t="shared" si="798"/>
        <v>176.3087635022161</v>
      </c>
      <c r="AL387" s="96">
        <f t="shared" si="798"/>
        <v>169.4251810943926</v>
      </c>
      <c r="AM387" s="96">
        <f t="shared" si="798"/>
        <v>165.75468141269565</v>
      </c>
      <c r="AN387" s="96">
        <f t="shared" si="798"/>
        <v>161.7762638432495</v>
      </c>
      <c r="AO387" s="96">
        <f t="shared" si="798"/>
        <v>157.66172991607431</v>
      </c>
      <c r="AP387" s="96">
        <f t="shared" si="798"/>
        <v>151.81280442972241</v>
      </c>
      <c r="AQ387" s="96">
        <f t="shared" si="798"/>
        <v>143.32598267418305</v>
      </c>
      <c r="AR387" s="96">
        <f t="shared" si="798"/>
        <v>135.17011303045234</v>
      </c>
      <c r="AS387" s="96">
        <f t="shared" si="798"/>
        <v>128.87716393736778</v>
      </c>
      <c r="AT387" s="96">
        <f t="shared" si="798"/>
        <v>123.30066131627615</v>
      </c>
      <c r="AU387" s="96">
        <f t="shared" si="798"/>
        <v>118.4257562608541</v>
      </c>
      <c r="AV387" s="96">
        <f t="shared" si="798"/>
        <v>113.60222458101305</v>
      </c>
      <c r="AW387" s="96">
        <f t="shared" si="798"/>
        <v>108.76792428614533</v>
      </c>
      <c r="AX387" s="96">
        <f t="shared" si="798"/>
        <v>104.17507405643636</v>
      </c>
      <c r="AY387" s="96">
        <f t="shared" si="798"/>
        <v>100.24064588468177</v>
      </c>
      <c r="AZ387" s="96">
        <f t="shared" si="798"/>
        <v>96.438412448617356</v>
      </c>
      <c r="BA387" s="96">
        <f t="shared" si="798"/>
        <v>92.968473816209411</v>
      </c>
      <c r="BB387" s="96">
        <f t="shared" si="798"/>
        <v>89.467297762524638</v>
      </c>
      <c r="BC387" s="96">
        <f t="shared" si="798"/>
        <v>85.971856646497599</v>
      </c>
      <c r="BD387" s="96">
        <f t="shared" ref="BD387:BM387" si="799">BD66</f>
        <v>82.937361615878842</v>
      </c>
      <c r="BE387" s="96">
        <f t="shared" si="799"/>
        <v>79.420192644886129</v>
      </c>
      <c r="BF387" s="96">
        <f t="shared" si="799"/>
        <v>76.469996437669721</v>
      </c>
      <c r="BG387" s="96">
        <f t="shared" si="799"/>
        <v>73.762390322641693</v>
      </c>
      <c r="BH387" s="96">
        <f t="shared" si="799"/>
        <v>71.472395833386827</v>
      </c>
      <c r="BI387" s="96">
        <f t="shared" si="799"/>
        <v>69.165990025125168</v>
      </c>
      <c r="BJ387" s="96">
        <f t="shared" si="799"/>
        <v>67.101182841521222</v>
      </c>
      <c r="BK387" s="96">
        <f t="shared" si="799"/>
        <v>64.895406083334819</v>
      </c>
      <c r="BL387" s="96">
        <f t="shared" si="799"/>
        <v>62.792664368713304</v>
      </c>
      <c r="BM387" s="96">
        <f t="shared" si="799"/>
        <v>60.721105953300167</v>
      </c>
    </row>
    <row r="388" spans="1:65">
      <c r="A388" s="79" t="s">
        <v>183</v>
      </c>
      <c r="B388" s="96">
        <f t="shared" ref="B388:AG388" si="800">B16*B62/365</f>
        <v>3.0313437728767121</v>
      </c>
      <c r="C388" s="96">
        <f t="shared" si="800"/>
        <v>2.9077877791780824</v>
      </c>
      <c r="D388" s="96">
        <f t="shared" si="800"/>
        <v>2.9069261613698627</v>
      </c>
      <c r="E388" s="96">
        <f t="shared" si="800"/>
        <v>3.1221582898630142</v>
      </c>
      <c r="F388" s="96">
        <f t="shared" si="800"/>
        <v>3.1169885830136983</v>
      </c>
      <c r="G388" s="96">
        <f t="shared" si="800"/>
        <v>2.992398647945206</v>
      </c>
      <c r="H388" s="96">
        <f t="shared" si="800"/>
        <v>2.8516102980821914</v>
      </c>
      <c r="I388" s="96">
        <f t="shared" si="800"/>
        <v>2.8050829364383563</v>
      </c>
      <c r="J388" s="96">
        <f t="shared" si="800"/>
        <v>2.5528012421917805</v>
      </c>
      <c r="K388" s="96">
        <f t="shared" si="800"/>
        <v>2.3535952049315072</v>
      </c>
      <c r="L388" s="96">
        <f t="shared" si="800"/>
        <v>2.2105666487671232</v>
      </c>
      <c r="M388" s="96">
        <f t="shared" si="800"/>
        <v>2.113720807123288</v>
      </c>
      <c r="N388" s="96">
        <f t="shared" si="800"/>
        <v>1.9806870175342466</v>
      </c>
      <c r="O388" s="96">
        <f t="shared" si="800"/>
        <v>1.7988856600000001</v>
      </c>
      <c r="P388" s="96">
        <f t="shared" si="800"/>
        <v>1.6794654317808217</v>
      </c>
      <c r="Q388" s="96">
        <f t="shared" si="800"/>
        <v>1.5371261698630139</v>
      </c>
      <c r="R388" s="96">
        <f t="shared" si="800"/>
        <v>1.4637163326027398</v>
      </c>
      <c r="S388" s="96">
        <f t="shared" si="800"/>
        <v>1.5112776356164386</v>
      </c>
      <c r="T388" s="96">
        <f t="shared" si="800"/>
        <v>1.5655595575342465</v>
      </c>
      <c r="U388" s="96">
        <f t="shared" si="800"/>
        <v>1.6181182438356165</v>
      </c>
      <c r="V388" s="96">
        <f t="shared" si="800"/>
        <v>1.590201826849315</v>
      </c>
      <c r="W388" s="96">
        <f t="shared" si="800"/>
        <v>1.4866353663013698</v>
      </c>
      <c r="X388" s="96">
        <f t="shared" si="800"/>
        <v>1.433904356438356</v>
      </c>
      <c r="Y388" s="96">
        <f t="shared" si="800"/>
        <v>1.6972147586301372</v>
      </c>
      <c r="Z388" s="96">
        <f t="shared" si="800"/>
        <v>1.7639039769863012</v>
      </c>
      <c r="AA388" s="96">
        <f t="shared" si="800"/>
        <v>1.6854967564383561</v>
      </c>
      <c r="AB388" s="96">
        <f t="shared" si="800"/>
        <v>1.7945775709589042</v>
      </c>
      <c r="AC388" s="96">
        <f t="shared" si="800"/>
        <v>1.7729747930916624</v>
      </c>
      <c r="AD388" s="96">
        <f t="shared" si="800"/>
        <v>1.8126682532857219</v>
      </c>
      <c r="AE388" s="96">
        <f t="shared" si="800"/>
        <v>1.7412565501941766</v>
      </c>
      <c r="AF388" s="96">
        <f t="shared" si="800"/>
        <v>1.6642159464809692</v>
      </c>
      <c r="AG388" s="96">
        <f t="shared" si="800"/>
        <v>1.5000402797266696</v>
      </c>
      <c r="AH388" s="96">
        <f t="shared" ref="AH388:BC388" si="801">AH16*AH62/365</f>
        <v>1.3586997269558081</v>
      </c>
      <c r="AI388" s="96">
        <f t="shared" si="801"/>
        <v>1.2716429141533534</v>
      </c>
      <c r="AJ388" s="96">
        <f t="shared" si="801"/>
        <v>1.234695674673747</v>
      </c>
      <c r="AK388" s="96">
        <f t="shared" si="801"/>
        <v>1.2186030613885384</v>
      </c>
      <c r="AL388" s="96">
        <f t="shared" si="801"/>
        <v>1.1956919695727937</v>
      </c>
      <c r="AM388" s="96">
        <f t="shared" si="801"/>
        <v>1.1972162439421783</v>
      </c>
      <c r="AN388" s="96">
        <f t="shared" si="801"/>
        <v>1.1896501368624026</v>
      </c>
      <c r="AO388" s="96">
        <f t="shared" si="801"/>
        <v>1.1697794564045869</v>
      </c>
      <c r="AP388" s="96">
        <f t="shared" si="801"/>
        <v>1.1446113046811348</v>
      </c>
      <c r="AQ388" s="96">
        <f t="shared" si="801"/>
        <v>1.1015034081963706</v>
      </c>
      <c r="AR388" s="96">
        <f t="shared" si="801"/>
        <v>1.0640117392160973</v>
      </c>
      <c r="AS388" s="96">
        <f t="shared" si="801"/>
        <v>1.0299048884817767</v>
      </c>
      <c r="AT388" s="96">
        <f t="shared" si="801"/>
        <v>1.0022501723025778</v>
      </c>
      <c r="AU388" s="96">
        <f t="shared" si="801"/>
        <v>0.97026031031498017</v>
      </c>
      <c r="AV388" s="96">
        <f t="shared" si="801"/>
        <v>0.94055440537903956</v>
      </c>
      <c r="AW388" s="96">
        <f t="shared" si="801"/>
        <v>0.91734485800101961</v>
      </c>
      <c r="AX388" s="96">
        <f t="shared" si="801"/>
        <v>0.88606126553380526</v>
      </c>
      <c r="AY388" s="96">
        <f t="shared" si="801"/>
        <v>0.85906626695860644</v>
      </c>
      <c r="AZ388" s="96">
        <f t="shared" si="801"/>
        <v>0.82843856384919745</v>
      </c>
      <c r="BA388" s="96">
        <f t="shared" si="801"/>
        <v>0.80633221896296947</v>
      </c>
      <c r="BB388" s="96">
        <f t="shared" si="801"/>
        <v>0.77591369966123691</v>
      </c>
      <c r="BC388" s="96">
        <f t="shared" si="801"/>
        <v>0.7473288453177731</v>
      </c>
      <c r="BD388" s="96">
        <f t="shared" ref="BD388:BM388" si="802">BD16*BD62/365</f>
        <v>0.72440779829071522</v>
      </c>
      <c r="BE388" s="96">
        <f t="shared" si="802"/>
        <v>0.69818809130339965</v>
      </c>
      <c r="BF388" s="96">
        <f t="shared" si="802"/>
        <v>0.67449759533571763</v>
      </c>
      <c r="BG388" s="96">
        <f t="shared" si="802"/>
        <v>0.64871123030254763</v>
      </c>
      <c r="BH388" s="96">
        <f t="shared" si="802"/>
        <v>0.62130538271445057</v>
      </c>
      <c r="BI388" s="96">
        <f t="shared" si="802"/>
        <v>0.59640930577737949</v>
      </c>
      <c r="BJ388" s="96">
        <f t="shared" si="802"/>
        <v>0.5709530348877877</v>
      </c>
      <c r="BK388" s="96">
        <f t="shared" si="802"/>
        <v>0.5403483568816343</v>
      </c>
      <c r="BL388" s="96">
        <f t="shared" si="802"/>
        <v>0.51231014407496822</v>
      </c>
      <c r="BM388" s="96">
        <f t="shared" si="802"/>
        <v>0.48374234225750307</v>
      </c>
    </row>
    <row r="389" spans="1:65">
      <c r="A389" s="79" t="s">
        <v>184</v>
      </c>
      <c r="B389" s="96">
        <f t="shared" ref="B389:AG389" si="803">B16*B65/365</f>
        <v>3.2631189632876714</v>
      </c>
      <c r="C389" s="96">
        <f t="shared" si="803"/>
        <v>3.1221582898630142</v>
      </c>
      <c r="D389" s="96">
        <f t="shared" si="803"/>
        <v>3.1223306134246571</v>
      </c>
      <c r="E389" s="96">
        <f t="shared" si="803"/>
        <v>3.3399752717808218</v>
      </c>
      <c r="F389" s="96">
        <f t="shared" si="803"/>
        <v>3.4028733717808217</v>
      </c>
      <c r="G389" s="96">
        <f t="shared" si="803"/>
        <v>3.3218812978082193</v>
      </c>
      <c r="H389" s="96">
        <f t="shared" si="803"/>
        <v>3.2526072260273975</v>
      </c>
      <c r="I389" s="96">
        <f t="shared" si="803"/>
        <v>3.1895368024657533</v>
      </c>
      <c r="J389" s="96">
        <f t="shared" si="803"/>
        <v>2.9622420246575336</v>
      </c>
      <c r="K389" s="96">
        <f t="shared" si="803"/>
        <v>2.7728584304109591</v>
      </c>
      <c r="L389" s="96">
        <f t="shared" si="803"/>
        <v>2.5510780065753424</v>
      </c>
      <c r="M389" s="96">
        <f t="shared" si="803"/>
        <v>2.4731877567123286</v>
      </c>
      <c r="N389" s="96">
        <f t="shared" si="803"/>
        <v>2.3494594394520552</v>
      </c>
      <c r="O389" s="96">
        <f t="shared" si="803"/>
        <v>2.1387077235616436</v>
      </c>
      <c r="P389" s="96">
        <f t="shared" si="803"/>
        <v>2.0394493520547945</v>
      </c>
      <c r="Q389" s="96">
        <f t="shared" si="803"/>
        <v>1.9227863008219179</v>
      </c>
      <c r="R389" s="96">
        <f t="shared" si="803"/>
        <v>1.837830784931507</v>
      </c>
      <c r="S389" s="96">
        <f t="shared" si="803"/>
        <v>1.887976941369863</v>
      </c>
      <c r="T389" s="96">
        <f t="shared" si="803"/>
        <v>1.9458776580821917</v>
      </c>
      <c r="U389" s="96">
        <f t="shared" si="803"/>
        <v>1.999125638630137</v>
      </c>
      <c r="V389" s="96">
        <f t="shared" si="803"/>
        <v>1.9710368980821917</v>
      </c>
      <c r="W389" s="96">
        <f t="shared" si="803"/>
        <v>1.8514443463013699</v>
      </c>
      <c r="X389" s="96">
        <f t="shared" si="803"/>
        <v>1.7626977120547944</v>
      </c>
      <c r="Y389" s="96">
        <f t="shared" si="803"/>
        <v>2.0117052586301369</v>
      </c>
      <c r="Z389" s="96">
        <f t="shared" si="803"/>
        <v>2.0277313498630138</v>
      </c>
      <c r="AA389" s="96">
        <f t="shared" si="803"/>
        <v>1.9014181791780822</v>
      </c>
      <c r="AB389" s="96">
        <f t="shared" si="803"/>
        <v>2.0184258775342463</v>
      </c>
      <c r="AC389" s="96">
        <f t="shared" si="803"/>
        <v>2.0157925750199728</v>
      </c>
      <c r="AD389" s="96">
        <f t="shared" si="803"/>
        <v>2.0629926481543781</v>
      </c>
      <c r="AE389" s="96">
        <f t="shared" si="803"/>
        <v>2.0046116594064949</v>
      </c>
      <c r="AF389" s="96">
        <f t="shared" si="803"/>
        <v>1.9298860653112462</v>
      </c>
      <c r="AG389" s="96">
        <f t="shared" si="803"/>
        <v>1.765103491438474</v>
      </c>
      <c r="AH389" s="96">
        <f t="shared" ref="AH389:BC389" si="804">AH16*AH65/365</f>
        <v>1.6193189054654546</v>
      </c>
      <c r="AI389" s="96">
        <f t="shared" si="804"/>
        <v>1.5207912067418874</v>
      </c>
      <c r="AJ389" s="96">
        <f t="shared" si="804"/>
        <v>1.458710391465684</v>
      </c>
      <c r="AK389" s="96">
        <f t="shared" si="804"/>
        <v>1.4271325438774742</v>
      </c>
      <c r="AL389" s="96">
        <f t="shared" si="804"/>
        <v>1.3801410648617458</v>
      </c>
      <c r="AM389" s="96">
        <f t="shared" si="804"/>
        <v>1.3616854208962546</v>
      </c>
      <c r="AN389" s="96">
        <f t="shared" si="804"/>
        <v>1.334513673028014</v>
      </c>
      <c r="AO389" s="96">
        <f t="shared" si="804"/>
        <v>1.3011800505034186</v>
      </c>
      <c r="AP389" s="96">
        <f t="shared" si="804"/>
        <v>1.2574852647882093</v>
      </c>
      <c r="AQ389" s="96">
        <f t="shared" si="804"/>
        <v>1.1966642074426916</v>
      </c>
      <c r="AR389" s="96">
        <f t="shared" si="804"/>
        <v>1.1481992388500746</v>
      </c>
      <c r="AS389" s="96">
        <f t="shared" si="804"/>
        <v>1.1060584038672523</v>
      </c>
      <c r="AT389" s="96">
        <f t="shared" si="804"/>
        <v>1.0696392907078831</v>
      </c>
      <c r="AU389" s="96">
        <f t="shared" si="804"/>
        <v>1.030812493109637</v>
      </c>
      <c r="AV389" s="96">
        <f t="shared" si="804"/>
        <v>0.99499424943177217</v>
      </c>
      <c r="AW389" s="96">
        <f t="shared" si="804"/>
        <v>0.96467843039307055</v>
      </c>
      <c r="AX389" s="96">
        <f t="shared" si="804"/>
        <v>0.92868930825397089</v>
      </c>
      <c r="AY389" s="96">
        <f t="shared" si="804"/>
        <v>0.89437096092076418</v>
      </c>
      <c r="AZ389" s="96">
        <f t="shared" si="804"/>
        <v>0.86147890960759366</v>
      </c>
      <c r="BA389" s="96">
        <f t="shared" si="804"/>
        <v>0.83179019223560702</v>
      </c>
      <c r="BB389" s="96">
        <f t="shared" si="804"/>
        <v>0.79568318138168836</v>
      </c>
      <c r="BC389" s="96">
        <f t="shared" si="804"/>
        <v>0.76379094345599341</v>
      </c>
      <c r="BD389" s="96">
        <f t="shared" ref="BD389:BM389" si="805">BD16*BD65/365</f>
        <v>0.73786660305246787</v>
      </c>
      <c r="BE389" s="96">
        <f t="shared" si="805"/>
        <v>0.70739224279529622</v>
      </c>
      <c r="BF389" s="96">
        <f t="shared" si="805"/>
        <v>0.68182359239444967</v>
      </c>
      <c r="BG389" s="96">
        <f t="shared" si="805"/>
        <v>0.65396178336755739</v>
      </c>
      <c r="BH389" s="96">
        <f t="shared" si="805"/>
        <v>0.62490136505621696</v>
      </c>
      <c r="BI389" s="96">
        <f t="shared" si="805"/>
        <v>0.59882141583447202</v>
      </c>
      <c r="BJ389" s="96">
        <f t="shared" si="805"/>
        <v>0.57227903576832329</v>
      </c>
      <c r="BK389" s="96">
        <f t="shared" si="805"/>
        <v>0.5415980939345888</v>
      </c>
      <c r="BL389" s="96">
        <f t="shared" si="805"/>
        <v>0.51347454907329559</v>
      </c>
      <c r="BM389" s="96">
        <f t="shared" si="805"/>
        <v>0.48455194541979135</v>
      </c>
    </row>
    <row r="390" spans="1:65"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  <c r="AS390" s="158"/>
      <c r="AT390" s="158"/>
      <c r="AU390" s="158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8"/>
      <c r="BF390" s="158"/>
      <c r="BG390" s="158"/>
      <c r="BH390" s="158"/>
      <c r="BI390" s="158"/>
      <c r="BJ390" s="158"/>
      <c r="BK390" s="158"/>
      <c r="BL390" s="158"/>
      <c r="BM390" s="158"/>
    </row>
    <row r="391" spans="1:65">
      <c r="A391" s="78" t="s">
        <v>185</v>
      </c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8"/>
      <c r="AU391" s="158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8"/>
      <c r="BF391" s="158"/>
      <c r="BG391" s="158"/>
      <c r="BH391" s="158"/>
      <c r="BI391" s="158"/>
      <c r="BJ391" s="158"/>
      <c r="BK391" s="158"/>
      <c r="BL391" s="158"/>
      <c r="BM391" s="158"/>
    </row>
    <row r="392" spans="1:65">
      <c r="A392" s="79" t="s">
        <v>75</v>
      </c>
      <c r="B392" s="92">
        <f>Petoro!C87</f>
        <v>70.900000000000006</v>
      </c>
      <c r="C392" s="92">
        <f>Petoro!D87</f>
        <v>67.89</v>
      </c>
      <c r="D392" s="92">
        <f>Petoro!E87</f>
        <v>72.5</v>
      </c>
      <c r="E392" s="92">
        <f>Petoro!F87</f>
        <v>71.540000000000006</v>
      </c>
      <c r="F392" s="92">
        <f>Petoro!G87</f>
        <v>65</v>
      </c>
      <c r="G392" s="92">
        <f>Petoro!H87</f>
        <v>56</v>
      </c>
      <c r="H392" s="92">
        <f>Petoro!I87</f>
        <v>50.24</v>
      </c>
      <c r="I392" s="92">
        <f>Petoro!J87</f>
        <v>48.98</v>
      </c>
      <c r="J392" s="92">
        <f>Petoro!K87</f>
        <v>42.86</v>
      </c>
      <c r="K392" s="92">
        <f>Petoro!L87</f>
        <v>37.6</v>
      </c>
      <c r="L392" s="92">
        <f>Petoro!M87</f>
        <v>33.6</v>
      </c>
      <c r="M392" s="92">
        <f>Petoro!N87</f>
        <v>30.2</v>
      </c>
      <c r="N392" s="92">
        <f>Petoro!O87</f>
        <v>27.23</v>
      </c>
      <c r="O392" s="92">
        <f>Petoro!P87</f>
        <v>23.2</v>
      </c>
      <c r="P392" s="92">
        <f>Petoro!Q87</f>
        <v>21.4</v>
      </c>
      <c r="Q392" s="92">
        <f>Petoro!R87</f>
        <v>19.7</v>
      </c>
      <c r="R392" s="92">
        <f>Petoro!S87</f>
        <v>18.8</v>
      </c>
      <c r="S392" s="92">
        <f>Petoro!T87</f>
        <v>18.600000000000001</v>
      </c>
      <c r="T392" s="92">
        <f>Petoro!U87</f>
        <v>19.2</v>
      </c>
      <c r="U392" s="92">
        <f>Petoro!V87</f>
        <v>18.8</v>
      </c>
      <c r="V392" s="92">
        <f>Petoro!W87</f>
        <v>17.600000000000001</v>
      </c>
      <c r="W392" s="92">
        <f>Petoro!X87</f>
        <v>16.600000000000001</v>
      </c>
      <c r="X392" s="92">
        <f>Petoro!Y87</f>
        <v>15.17979401871</v>
      </c>
      <c r="Y392" s="92">
        <f>Petoro!Z87</f>
        <v>17.441832088067201</v>
      </c>
      <c r="Z392" s="92">
        <f>Petoro!AA87</f>
        <v>18.8617119748471</v>
      </c>
      <c r="AA392" s="92">
        <f>Petoro!AB87</f>
        <v>17.866654979368398</v>
      </c>
      <c r="AB392" s="92">
        <f>Petoro!AC87</f>
        <v>17.565510594505099</v>
      </c>
      <c r="AC392" s="92">
        <f>Petoro!AD87</f>
        <v>15.779605106785001</v>
      </c>
      <c r="AD392" s="92">
        <f>Petoro!AE87</f>
        <v>17.715409461137401</v>
      </c>
      <c r="AE392" s="92">
        <f>Petoro!AF87</f>
        <v>17.948733356118701</v>
      </c>
      <c r="AF392" s="92">
        <f>Petoro!AG87</f>
        <v>16.406326786001902</v>
      </c>
      <c r="AG392" s="92">
        <f>Petoro!AH87</f>
        <v>14.997435396197201</v>
      </c>
      <c r="AH392" s="92">
        <f>Petoro!AI87</f>
        <v>12.958050936633301</v>
      </c>
      <c r="AI392" s="92">
        <f>Petoro!AJ87</f>
        <v>12.045540162544301</v>
      </c>
      <c r="AJ392" s="92">
        <f>Petoro!AK87</f>
        <v>10.966561474301001</v>
      </c>
      <c r="AK392" s="92">
        <f>Petoro!AL87</f>
        <v>10.5009920416949</v>
      </c>
      <c r="AL392" s="92">
        <f>Petoro!AM87</f>
        <v>10.3004873305721</v>
      </c>
      <c r="AM392" s="92">
        <f>Petoro!AN87</f>
        <v>10.2864274310233</v>
      </c>
      <c r="AN392" s="92">
        <f>Petoro!AO87</f>
        <v>9.6791285506161309</v>
      </c>
      <c r="AO392" s="92">
        <f>Petoro!AP87</f>
        <v>9.4496687161925603</v>
      </c>
      <c r="AP392" s="92">
        <f>Petoro!AQ87</f>
        <v>9.1122837218698294</v>
      </c>
      <c r="AQ392" s="92">
        <f>Petoro!AR87</f>
        <v>8.7858505066866304</v>
      </c>
      <c r="AR392" s="92">
        <f>Petoro!AS87</f>
        <v>8.4638827345730796</v>
      </c>
      <c r="AS392" s="92">
        <f>Petoro!AT87</f>
        <v>8.0808393575765098</v>
      </c>
      <c r="AT392" s="92">
        <f>Petoro!AU87</f>
        <v>7.31430044450103</v>
      </c>
      <c r="AU392" s="92">
        <f>Petoro!AV87</f>
        <v>6.8727205477733504</v>
      </c>
      <c r="AV392" s="92">
        <f>Petoro!AW87</f>
        <v>6.4922563083065201</v>
      </c>
      <c r="AW392" s="92">
        <f>Petoro!AX87</f>
        <v>6.1261490056323398</v>
      </c>
      <c r="AX392" s="92">
        <f>Petoro!AY87</f>
        <v>5.7027728320658397</v>
      </c>
      <c r="AY392" s="92">
        <f>Petoro!AZ87</f>
        <v>5.4401774504109097</v>
      </c>
      <c r="AZ392" s="92">
        <f>Petoro!BA87</f>
        <v>5.10735838196375</v>
      </c>
      <c r="BA392" s="92">
        <f>Petoro!BB87</f>
        <v>4.8729088021131899</v>
      </c>
      <c r="BB392" s="92">
        <f>Petoro!BC87</f>
        <v>4.9045719107574097</v>
      </c>
      <c r="BC392" s="92">
        <f>Petoro!BD87</f>
        <v>4.7034301318171297</v>
      </c>
      <c r="BD392" s="92">
        <f>Petoro!BE87</f>
        <v>4.2268974919355502</v>
      </c>
      <c r="BE392" s="92">
        <f>Petoro!BF87</f>
        <v>4.1163055368558403</v>
      </c>
      <c r="BF392" s="92">
        <f>Petoro!BG87</f>
        <v>3.9350099730707502</v>
      </c>
      <c r="BG392" s="92">
        <f>Petoro!BH87</f>
        <v>3.8411150962348599</v>
      </c>
      <c r="BH392" s="92">
        <f>Petoro!BI87</f>
        <v>3.6831265339683599</v>
      </c>
      <c r="BI392" s="92">
        <f>Petoro!BJ87</f>
        <v>3.5752508610610501</v>
      </c>
      <c r="BJ392" s="92">
        <f>Petoro!BK87</f>
        <v>3.44590341001601</v>
      </c>
      <c r="BK392" s="92">
        <f>Petoro!BL87</f>
        <v>3.3301616184760001</v>
      </c>
      <c r="BL392" s="92">
        <f>Petoro!BM87</f>
        <v>3.21559240190581</v>
      </c>
      <c r="BM392" s="92">
        <f>Petoro!BN87</f>
        <v>3.1099786548717598</v>
      </c>
    </row>
    <row r="393" spans="1:65">
      <c r="A393" s="79" t="s">
        <v>76</v>
      </c>
      <c r="B393" s="92">
        <f>Petoro!C88</f>
        <v>14.3</v>
      </c>
      <c r="C393" s="92">
        <f>Petoro!D88</f>
        <v>16.2593984962406</v>
      </c>
      <c r="D393" s="92">
        <f>Petoro!E88</f>
        <v>20.839506172839506</v>
      </c>
      <c r="E393" s="92">
        <f>Petoro!F88</f>
        <v>21.514851485148512</v>
      </c>
      <c r="F393" s="92">
        <f>Petoro!G88</f>
        <v>22</v>
      </c>
      <c r="G393" s="92">
        <f>Petoro!H88</f>
        <v>22</v>
      </c>
      <c r="H393" s="92">
        <f>Petoro!I88</f>
        <v>24</v>
      </c>
      <c r="I393" s="92">
        <f>Petoro!J88</f>
        <v>24.96</v>
      </c>
      <c r="J393" s="92">
        <f>Petoro!K88</f>
        <v>28.1</v>
      </c>
      <c r="K393" s="92">
        <f>Petoro!L88</f>
        <v>33.799999999999997</v>
      </c>
      <c r="L393" s="92">
        <f>Petoro!M88</f>
        <v>32.5</v>
      </c>
      <c r="M393" s="92">
        <f>Petoro!N88</f>
        <v>34.700000000000003</v>
      </c>
      <c r="N393" s="92">
        <f>Petoro!O88</f>
        <v>35.369999999999997</v>
      </c>
      <c r="O393" s="92">
        <f>Petoro!P88</f>
        <v>39.5</v>
      </c>
      <c r="P393" s="92">
        <f>Petoro!Q88</f>
        <v>32.9</v>
      </c>
      <c r="Q393" s="92">
        <f>Petoro!R88</f>
        <v>36</v>
      </c>
      <c r="R393" s="92">
        <f>Petoro!S88</f>
        <v>36.1</v>
      </c>
      <c r="S393" s="92">
        <f>Petoro!T88</f>
        <v>35.4</v>
      </c>
      <c r="T393" s="92">
        <f>Petoro!U88</f>
        <v>36</v>
      </c>
      <c r="U393" s="92">
        <f>Petoro!V88</f>
        <v>39</v>
      </c>
      <c r="V393" s="92">
        <f>Petoro!W88</f>
        <v>37.700000000000003</v>
      </c>
      <c r="W393" s="92">
        <f>Petoro!X88</f>
        <v>37.6</v>
      </c>
      <c r="X393" s="92">
        <f>Petoro!Y88</f>
        <v>36.539206849959498</v>
      </c>
      <c r="Y393" s="92">
        <f>Petoro!Z88</f>
        <v>35.360923009788998</v>
      </c>
      <c r="Z393" s="92">
        <f>Petoro!AA88</f>
        <v>36.6252644076216</v>
      </c>
      <c r="AA393" s="92">
        <f>Petoro!AB88</f>
        <v>38.886194369748097</v>
      </c>
      <c r="AB393" s="92">
        <f>Petoro!AC88</f>
        <v>36.426429497990199</v>
      </c>
      <c r="AC393" s="92">
        <f>Petoro!AD88</f>
        <v>38.018383910225097</v>
      </c>
      <c r="AD393" s="92">
        <f>Petoro!AE88</f>
        <v>37.862590182517899</v>
      </c>
      <c r="AE393" s="92">
        <f>Petoro!AF88</f>
        <v>39.1613073533997</v>
      </c>
      <c r="AF393" s="92">
        <f>Petoro!AG88</f>
        <v>39.333856128198498</v>
      </c>
      <c r="AG393" s="92">
        <f>Petoro!AH88</f>
        <v>38.577351947843802</v>
      </c>
      <c r="AH393" s="92">
        <f>Petoro!AI88</f>
        <v>36.484965662540098</v>
      </c>
      <c r="AI393" s="92">
        <f>Petoro!AJ88</f>
        <v>34.633923179807397</v>
      </c>
      <c r="AJ393" s="92">
        <f>Petoro!AK88</f>
        <v>32.9169821696279</v>
      </c>
      <c r="AK393" s="92">
        <f>Petoro!AL88</f>
        <v>31.654231726470901</v>
      </c>
      <c r="AL393" s="92">
        <f>Petoro!AM88</f>
        <v>30.142182248972599</v>
      </c>
      <c r="AM393" s="92">
        <f>Petoro!AN88</f>
        <v>28.689060281647802</v>
      </c>
      <c r="AN393" s="92">
        <f>Petoro!AO88</f>
        <v>26.402398676099999</v>
      </c>
      <c r="AO393" s="92">
        <f>Petoro!AP88</f>
        <v>24.8661965064118</v>
      </c>
      <c r="AP393" s="92">
        <f>Petoro!AQ88</f>
        <v>23.105524373606599</v>
      </c>
      <c r="AQ393" s="92">
        <f>Petoro!AR88</f>
        <v>20.847348885411101</v>
      </c>
      <c r="AR393" s="92">
        <f>Petoro!AS88</f>
        <v>18.505079270031601</v>
      </c>
      <c r="AS393" s="92">
        <f>Petoro!AT88</f>
        <v>17.050676276115901</v>
      </c>
      <c r="AT393" s="92">
        <f>Petoro!AU88</f>
        <v>15.1118646784121</v>
      </c>
      <c r="AU393" s="92">
        <f>Petoro!AV88</f>
        <v>14.0305911530725</v>
      </c>
      <c r="AV393" s="92">
        <f>Petoro!AW88</f>
        <v>12.876075672840599</v>
      </c>
      <c r="AW393" s="92">
        <f>Petoro!AX88</f>
        <v>11.8463748289468</v>
      </c>
      <c r="AX393" s="92">
        <f>Petoro!AY88</f>
        <v>10.6423861360147</v>
      </c>
      <c r="AY393" s="92">
        <f>Petoro!AZ88</f>
        <v>9.4441902557953608</v>
      </c>
      <c r="AZ393" s="92">
        <f>Petoro!BA88</f>
        <v>8.4529570867624404</v>
      </c>
      <c r="BA393" s="92">
        <f>Petoro!BB88</f>
        <v>7.5951746797779203</v>
      </c>
      <c r="BB393" s="92">
        <f>Petoro!BC88</f>
        <v>6.7412078447125801</v>
      </c>
      <c r="BC393" s="92">
        <f>Petoro!BD88</f>
        <v>5.7171618715822197</v>
      </c>
      <c r="BD393" s="92">
        <f>Petoro!BE88</f>
        <v>4.7713374122641801</v>
      </c>
      <c r="BE393" s="92">
        <f>Petoro!BF88</f>
        <v>4.2277512666637698</v>
      </c>
      <c r="BF393" s="92">
        <f>Petoro!BG88</f>
        <v>3.94321807045434</v>
      </c>
      <c r="BG393" s="92">
        <f>Petoro!BH88</f>
        <v>3.8133477942004301</v>
      </c>
      <c r="BH393" s="92">
        <f>Petoro!BI88</f>
        <v>3.7369100285392101</v>
      </c>
      <c r="BI393" s="92">
        <f>Petoro!BJ88</f>
        <v>3.63207035960346</v>
      </c>
      <c r="BJ393" s="92">
        <f>Petoro!BK88</f>
        <v>3.5309486511510002</v>
      </c>
      <c r="BK393" s="92">
        <f>Petoro!BL88</f>
        <v>3.4052873410778202</v>
      </c>
      <c r="BL393" s="92">
        <f>Petoro!BM88</f>
        <v>3.30914498029765</v>
      </c>
      <c r="BM393" s="92">
        <f>Petoro!BN88</f>
        <v>3.2076142937102801</v>
      </c>
    </row>
    <row r="394" spans="1:65">
      <c r="A394" s="79" t="s">
        <v>77</v>
      </c>
      <c r="B394" s="92">
        <f>Petoro!C89</f>
        <v>1.7</v>
      </c>
      <c r="C394" s="92">
        <f>Petoro!D89</f>
        <v>2.63</v>
      </c>
      <c r="D394" s="92">
        <f>Petoro!E89</f>
        <v>1.2</v>
      </c>
      <c r="E394" s="92">
        <f>Petoro!F89</f>
        <v>4.87</v>
      </c>
      <c r="F394" s="92">
        <f>Petoro!G89</f>
        <v>3.8</v>
      </c>
      <c r="G394" s="92">
        <f>Petoro!H89</f>
        <v>3.9</v>
      </c>
      <c r="H394" s="92">
        <f>Petoro!I89</f>
        <v>4.3899999999999997</v>
      </c>
      <c r="I394" s="92">
        <f>Petoro!J89</f>
        <v>4.22</v>
      </c>
      <c r="J394" s="92">
        <f>Petoro!K89</f>
        <v>4.49</v>
      </c>
      <c r="K394" s="92">
        <f>Petoro!L89</f>
        <v>5.4</v>
      </c>
      <c r="L394" s="92">
        <f>Petoro!M89</f>
        <v>4</v>
      </c>
      <c r="M394" s="92">
        <f>Petoro!N89</f>
        <v>4</v>
      </c>
      <c r="N394" s="92">
        <f>Petoro!O89</f>
        <v>4.7319999999999993</v>
      </c>
      <c r="O394" s="92">
        <f>Petoro!P89</f>
        <v>4.5999999999999996</v>
      </c>
      <c r="P394" s="92">
        <f>Petoro!Q89</f>
        <v>4.8</v>
      </c>
      <c r="Q394" s="92">
        <f>Petoro!R89</f>
        <v>5.4</v>
      </c>
      <c r="R394" s="92">
        <f>Petoro!S89</f>
        <v>4.8</v>
      </c>
      <c r="S394" s="92">
        <f>Petoro!T89</f>
        <v>5.6</v>
      </c>
      <c r="T394" s="92">
        <f>Petoro!U89</f>
        <v>5.2</v>
      </c>
      <c r="U394" s="92">
        <f>Petoro!V89</f>
        <v>5.2</v>
      </c>
      <c r="V394" s="92">
        <f>Petoro!W89</f>
        <v>4.8</v>
      </c>
      <c r="W394" s="92">
        <f>Petoro!X89</f>
        <v>4.9000000000000004</v>
      </c>
      <c r="X394" s="92">
        <f>Petoro!Y89</f>
        <v>4.5944199052488797</v>
      </c>
      <c r="Y394" s="92">
        <f>Petoro!Z89</f>
        <v>4.2099223663668202</v>
      </c>
      <c r="Z394" s="92">
        <f>Petoro!AA89</f>
        <v>3.4439169496601498</v>
      </c>
      <c r="AA394" s="92">
        <f>Petoro!AB89</f>
        <v>2.8218265470211601</v>
      </c>
      <c r="AB394" s="92">
        <f>Petoro!AC89</f>
        <v>2.94970163711888</v>
      </c>
      <c r="AC394" s="92">
        <f>Petoro!AD89</f>
        <v>3.0887218132085201</v>
      </c>
      <c r="AD394" s="92">
        <f>Petoro!AE89</f>
        <v>2.6109751059272299</v>
      </c>
      <c r="AE394" s="92">
        <f>Petoro!AF89</f>
        <v>2.6784610615751698</v>
      </c>
      <c r="AF394" s="92">
        <f>Petoro!AG89</f>
        <v>2.55724857746441</v>
      </c>
      <c r="AG394" s="92">
        <f>Petoro!AH89</f>
        <v>2.2439141052249201</v>
      </c>
      <c r="AH394" s="92">
        <f>Petoro!AI89</f>
        <v>2.1310550557230301</v>
      </c>
      <c r="AI394" s="92">
        <f>Petoro!AJ89</f>
        <v>2.03062163428035</v>
      </c>
      <c r="AJ394" s="92">
        <f>Petoro!AK89</f>
        <v>2.08111380897367</v>
      </c>
      <c r="AK394" s="92">
        <f>Petoro!AL89</f>
        <v>2.12029767962464</v>
      </c>
      <c r="AL394" s="92">
        <f>Petoro!AM89</f>
        <v>1.89351660754427</v>
      </c>
      <c r="AM394" s="92">
        <f>Petoro!AN89</f>
        <v>1.5587772553822601</v>
      </c>
      <c r="AN394" s="92">
        <f>Petoro!AO89</f>
        <v>1.28899444984066</v>
      </c>
      <c r="AO394" s="92">
        <f>Petoro!AP89</f>
        <v>1.25277438513499</v>
      </c>
      <c r="AP394" s="92">
        <f>Petoro!AQ89</f>
        <v>1.2042176800889299</v>
      </c>
      <c r="AQ394" s="92">
        <f>Petoro!AR89</f>
        <v>1.1308098557425199</v>
      </c>
      <c r="AR394" s="92">
        <f>Petoro!AS89</f>
        <v>1.0535176135845199</v>
      </c>
      <c r="AS394" s="92">
        <f>Petoro!AT89</f>
        <v>0.99043305597811904</v>
      </c>
      <c r="AT394" s="92">
        <f>Petoro!AU89</f>
        <v>0.956173527509107</v>
      </c>
      <c r="AU394" s="92">
        <f>Petoro!AV89</f>
        <v>0.93486634503972998</v>
      </c>
      <c r="AV394" s="92">
        <f>Petoro!AW89</f>
        <v>0.89191726094153301</v>
      </c>
      <c r="AW394" s="92">
        <f>Petoro!AX89</f>
        <v>0.836238567807427</v>
      </c>
      <c r="AX394" s="92">
        <f>Petoro!AY89</f>
        <v>0.79189874229304202</v>
      </c>
      <c r="AY394" s="92">
        <f>Petoro!AZ89</f>
        <v>0.74843053139294302</v>
      </c>
      <c r="AZ394" s="92">
        <f>Petoro!BA89</f>
        <v>0.68171574946491498</v>
      </c>
      <c r="BA394" s="92">
        <f>Petoro!BB89</f>
        <v>0.64024244677818898</v>
      </c>
      <c r="BB394" s="92">
        <f>Petoro!BC89</f>
        <v>0.58420278215319699</v>
      </c>
      <c r="BC394" s="92">
        <f>Petoro!BD89</f>
        <v>0.498316300458295</v>
      </c>
      <c r="BD394" s="92">
        <f>Petoro!BE89</f>
        <v>0.43535389866207203</v>
      </c>
      <c r="BE394" s="92">
        <f>Petoro!BF89</f>
        <v>0.39573997977291903</v>
      </c>
      <c r="BF394" s="92">
        <f>Petoro!BG89</f>
        <v>0.34309183200411902</v>
      </c>
      <c r="BG394" s="92">
        <f>Petoro!BH89</f>
        <v>0.29034667991643298</v>
      </c>
      <c r="BH394" s="92">
        <f>Petoro!BI89</f>
        <v>0.246364635941695</v>
      </c>
      <c r="BI394" s="92">
        <f>Petoro!BJ89</f>
        <v>0.185503695194702</v>
      </c>
      <c r="BJ394" s="92">
        <f>Petoro!BK89</f>
        <v>0.13620385428874199</v>
      </c>
      <c r="BK394" s="92">
        <f>Petoro!BL89</f>
        <v>7.9059315487970905E-2</v>
      </c>
      <c r="BL394" s="92">
        <f>Petoro!BM89</f>
        <v>2.5807919642889299E-2</v>
      </c>
      <c r="BM394" s="92">
        <f>Petoro!BN89</f>
        <v>1.9557774152360201E-9</v>
      </c>
    </row>
    <row r="395" spans="1:65">
      <c r="A395" s="79" t="s">
        <v>78</v>
      </c>
      <c r="B395" s="92">
        <f>Petoro!C90</f>
        <v>86.9</v>
      </c>
      <c r="C395" s="92">
        <f>Petoro!D90</f>
        <v>86.779398496240589</v>
      </c>
      <c r="D395" s="92">
        <f>Petoro!E90</f>
        <v>94.539506172839509</v>
      </c>
      <c r="E395" s="92">
        <f>Petoro!F90</f>
        <v>97.924851485148523</v>
      </c>
      <c r="F395" s="92">
        <f>Petoro!G90</f>
        <v>90.8</v>
      </c>
      <c r="G395" s="92">
        <f>Petoro!H90</f>
        <v>81.900000000000006</v>
      </c>
      <c r="H395" s="92">
        <f>Petoro!I90</f>
        <v>78.63000000000001</v>
      </c>
      <c r="I395" s="92">
        <f>Petoro!J90</f>
        <v>78.16</v>
      </c>
      <c r="J395" s="92">
        <f>Petoro!K90</f>
        <v>75.45</v>
      </c>
      <c r="K395" s="92">
        <f>Petoro!L90</f>
        <v>76.800000000000011</v>
      </c>
      <c r="L395" s="92">
        <f>Petoro!M90</f>
        <v>70.099999999999994</v>
      </c>
      <c r="M395" s="92">
        <f>Petoro!N90</f>
        <v>68.900000000000006</v>
      </c>
      <c r="N395" s="92">
        <f>Petoro!O90</f>
        <v>67.331999999999994</v>
      </c>
      <c r="O395" s="92">
        <f>Petoro!P90</f>
        <v>67.3</v>
      </c>
      <c r="P395" s="92">
        <f>Petoro!Q90</f>
        <v>59.099999999999994</v>
      </c>
      <c r="Q395" s="92">
        <f>Petoro!R90</f>
        <v>61.1</v>
      </c>
      <c r="R395" s="92">
        <f>Petoro!S90</f>
        <v>59.7</v>
      </c>
      <c r="S395" s="92">
        <f>Petoro!T90</f>
        <v>59.6</v>
      </c>
      <c r="T395" s="92">
        <f>Petoro!U90</f>
        <v>60.400000000000006</v>
      </c>
      <c r="U395" s="92">
        <f>Petoro!V90</f>
        <v>63</v>
      </c>
      <c r="V395" s="92">
        <f>Petoro!W90</f>
        <v>60.1</v>
      </c>
      <c r="W395" s="92">
        <f>Petoro!X90</f>
        <v>59.1</v>
      </c>
      <c r="X395" s="92">
        <f>Petoro!Y90</f>
        <v>56.313420773918374</v>
      </c>
      <c r="Y395" s="92">
        <f>Petoro!Z90</f>
        <v>57.012677464223017</v>
      </c>
      <c r="Z395" s="92">
        <f>Petoro!AA90</f>
        <v>58.930893332128846</v>
      </c>
      <c r="AA395" s="92">
        <f>Petoro!AB90</f>
        <v>59.574675896137656</v>
      </c>
      <c r="AB395" s="92">
        <f>Petoro!AC90</f>
        <v>56.941641729614176</v>
      </c>
      <c r="AC395" s="92">
        <f>Petoro!AD90</f>
        <v>56.886710830218618</v>
      </c>
      <c r="AD395" s="92">
        <f>Petoro!AE90</f>
        <v>58.188974749582535</v>
      </c>
      <c r="AE395" s="92">
        <f>Petoro!AF90</f>
        <v>59.788501771093571</v>
      </c>
      <c r="AF395" s="92">
        <f>Petoro!AG90</f>
        <v>58.29743149166481</v>
      </c>
      <c r="AG395" s="92">
        <f>Petoro!AH90</f>
        <v>55.818701449265916</v>
      </c>
      <c r="AH395" s="92">
        <f>Petoro!AI90</f>
        <v>51.574071654896429</v>
      </c>
      <c r="AI395" s="92">
        <f>Petoro!AJ90</f>
        <v>48.710084976632047</v>
      </c>
      <c r="AJ395" s="92">
        <f>Petoro!AK90</f>
        <v>45.964657452902571</v>
      </c>
      <c r="AK395" s="92">
        <f>Petoro!AL90</f>
        <v>44.275521447790439</v>
      </c>
      <c r="AL395" s="92">
        <f>Petoro!AM90</f>
        <v>42.33618618708897</v>
      </c>
      <c r="AM395" s="92">
        <f>Petoro!AN90</f>
        <v>40.534264968053364</v>
      </c>
      <c r="AN395" s="92">
        <f>Petoro!AO90</f>
        <v>37.370521676556791</v>
      </c>
      <c r="AO395" s="92">
        <f>Petoro!AP90</f>
        <v>35.56863960773935</v>
      </c>
      <c r="AP395" s="92">
        <f>Petoro!AQ90</f>
        <v>33.422025775565359</v>
      </c>
      <c r="AQ395" s="92">
        <f>Petoro!AR90</f>
        <v>30.764009247840249</v>
      </c>
      <c r="AR395" s="92">
        <f>Petoro!AS90</f>
        <v>28.022479618189202</v>
      </c>
      <c r="AS395" s="92">
        <f>Petoro!AT90</f>
        <v>26.121948689670528</v>
      </c>
      <c r="AT395" s="92">
        <f>Petoro!AU90</f>
        <v>23.382338650422238</v>
      </c>
      <c r="AU395" s="92">
        <f>Petoro!AV90</f>
        <v>21.838178045885581</v>
      </c>
      <c r="AV395" s="92">
        <f>Petoro!AW90</f>
        <v>20.260249242088651</v>
      </c>
      <c r="AW395" s="92">
        <f>Petoro!AX90</f>
        <v>18.808762402386566</v>
      </c>
      <c r="AX395" s="92">
        <f>Petoro!AY90</f>
        <v>17.137057710373583</v>
      </c>
      <c r="AY395" s="92">
        <f>Petoro!AZ90</f>
        <v>15.632798237599212</v>
      </c>
      <c r="AZ395" s="92">
        <f>Petoro!BA90</f>
        <v>14.242031218191107</v>
      </c>
      <c r="BA395" s="92">
        <f>Petoro!BB90</f>
        <v>13.108325928669299</v>
      </c>
      <c r="BB395" s="92">
        <f>Petoro!BC90</f>
        <v>12.229982537623187</v>
      </c>
      <c r="BC395" s="92">
        <f>Petoro!BD90</f>
        <v>10.918908303857645</v>
      </c>
      <c r="BD395" s="92">
        <f>Petoro!BE90</f>
        <v>9.4335888028618022</v>
      </c>
      <c r="BE395" s="92">
        <f>Petoro!BF90</f>
        <v>8.7397967832925296</v>
      </c>
      <c r="BF395" s="92">
        <f>Petoro!BG90</f>
        <v>8.2213198755292094</v>
      </c>
      <c r="BG395" s="92">
        <f>Petoro!BH90</f>
        <v>7.9448095703517234</v>
      </c>
      <c r="BH395" s="92">
        <f>Petoro!BI90</f>
        <v>7.6664011984492646</v>
      </c>
      <c r="BI395" s="92">
        <f>Petoro!BJ90</f>
        <v>7.3928249158592116</v>
      </c>
      <c r="BJ395" s="92">
        <f>Petoro!BK90</f>
        <v>7.1130559154557522</v>
      </c>
      <c r="BK395" s="92">
        <f>Petoro!BL90</f>
        <v>6.8145082750417911</v>
      </c>
      <c r="BL395" s="92">
        <f>Petoro!BM90</f>
        <v>6.5505453018463493</v>
      </c>
      <c r="BM395" s="92">
        <f>Petoro!BN90</f>
        <v>6.3175929505378177</v>
      </c>
    </row>
    <row r="396" spans="1:65">
      <c r="A396" s="79" t="s">
        <v>183</v>
      </c>
      <c r="B396" s="96">
        <f t="shared" ref="B396:AG396" si="806">B16*B392/365</f>
        <v>1.2217740520547946</v>
      </c>
      <c r="C396" s="96">
        <f t="shared" si="806"/>
        <v>1.16990466</v>
      </c>
      <c r="D396" s="96">
        <f t="shared" si="806"/>
        <v>1.2493458219178082</v>
      </c>
      <c r="E396" s="96">
        <f t="shared" si="806"/>
        <v>1.23280276</v>
      </c>
      <c r="F396" s="96">
        <f t="shared" si="806"/>
        <v>1.1201031506849315</v>
      </c>
      <c r="G396" s="96">
        <f t="shared" si="806"/>
        <v>0.96501194520547939</v>
      </c>
      <c r="H396" s="96">
        <f t="shared" si="806"/>
        <v>0.86575357369863015</v>
      </c>
      <c r="I396" s="96">
        <f t="shared" si="806"/>
        <v>0.84404080493150679</v>
      </c>
      <c r="J396" s="96">
        <f t="shared" si="806"/>
        <v>0.73857878520547948</v>
      </c>
      <c r="K396" s="96">
        <f t="shared" si="806"/>
        <v>0.64793659178082197</v>
      </c>
      <c r="L396" s="96">
        <f t="shared" si="806"/>
        <v>0.5790071671232877</v>
      </c>
      <c r="M396" s="96">
        <f t="shared" si="806"/>
        <v>0.52041715616438355</v>
      </c>
      <c r="N396" s="96">
        <f t="shared" si="806"/>
        <v>0.46923705835616442</v>
      </c>
      <c r="O396" s="96">
        <f t="shared" si="806"/>
        <v>0.39979066301369859</v>
      </c>
      <c r="P396" s="96">
        <f t="shared" si="806"/>
        <v>0.36877242191780824</v>
      </c>
      <c r="Q396" s="96">
        <f t="shared" si="806"/>
        <v>0.33947741643835616</v>
      </c>
      <c r="R396" s="96">
        <f t="shared" si="806"/>
        <v>0.32396829589041098</v>
      </c>
      <c r="S396" s="96">
        <f t="shared" si="806"/>
        <v>0.32052182465753426</v>
      </c>
      <c r="T396" s="96">
        <f t="shared" si="806"/>
        <v>0.33086123835616438</v>
      </c>
      <c r="U396" s="96">
        <f t="shared" si="806"/>
        <v>0.32396829589041098</v>
      </c>
      <c r="V396" s="96">
        <f t="shared" si="806"/>
        <v>0.30328946849315069</v>
      </c>
      <c r="W396" s="96">
        <f t="shared" si="806"/>
        <v>0.28605711232876713</v>
      </c>
      <c r="X396" s="96">
        <f t="shared" si="806"/>
        <v>0.26158361703238997</v>
      </c>
      <c r="Y396" s="96">
        <f t="shared" si="806"/>
        <v>0.30056386270094787</v>
      </c>
      <c r="Z396" s="96">
        <f t="shared" si="806"/>
        <v>0.32503173862058371</v>
      </c>
      <c r="AA396" s="96">
        <f t="shared" si="806"/>
        <v>0.30788456207063331</v>
      </c>
      <c r="AB396" s="96">
        <f t="shared" si="806"/>
        <v>0.3026951347737647</v>
      </c>
      <c r="AC396" s="96">
        <f t="shared" si="806"/>
        <v>0.27191977533344486</v>
      </c>
      <c r="AD396" s="96">
        <f t="shared" si="806"/>
        <v>0.30527824543220999</v>
      </c>
      <c r="AE396" s="96">
        <f t="shared" si="806"/>
        <v>0.30929896589218897</v>
      </c>
      <c r="AF396" s="96">
        <f t="shared" si="806"/>
        <v>0.28271966652565106</v>
      </c>
      <c r="AG396" s="96">
        <f t="shared" si="806"/>
        <v>0.25844114829960307</v>
      </c>
      <c r="AH396" s="96">
        <f t="shared" ref="AH396:BC396" si="807">AH16*AH392/365</f>
        <v>0.22329774893628904</v>
      </c>
      <c r="AI396" s="96">
        <f t="shared" si="807"/>
        <v>0.20757303827335005</v>
      </c>
      <c r="AJ396" s="96">
        <f t="shared" si="807"/>
        <v>0.18897969322376212</v>
      </c>
      <c r="AK396" s="96">
        <f t="shared" si="807"/>
        <v>0.18095683494184384</v>
      </c>
      <c r="AL396" s="96">
        <f t="shared" si="807"/>
        <v>0.17750166634713888</v>
      </c>
      <c r="AM396" s="96">
        <f t="shared" si="807"/>
        <v>0.17725938115047854</v>
      </c>
      <c r="AN396" s="96">
        <f t="shared" si="807"/>
        <v>0.1667941905450708</v>
      </c>
      <c r="AO396" s="96">
        <f t="shared" si="807"/>
        <v>0.16284005695286335</v>
      </c>
      <c r="AP396" s="96">
        <f t="shared" si="807"/>
        <v>0.15702611856617554</v>
      </c>
      <c r="AQ396" s="96">
        <f t="shared" si="807"/>
        <v>0.1514009051382538</v>
      </c>
      <c r="AR396" s="96">
        <f t="shared" si="807"/>
        <v>0.14585264181574001</v>
      </c>
      <c r="AS396" s="96">
        <f t="shared" si="807"/>
        <v>0.13925190191692688</v>
      </c>
      <c r="AT396" s="96">
        <f t="shared" si="807"/>
        <v>0.12604263035295074</v>
      </c>
      <c r="AU396" s="96">
        <f t="shared" si="807"/>
        <v>0.11843316829750768</v>
      </c>
      <c r="AV396" s="96">
        <f t="shared" si="807"/>
        <v>0.11187687301520394</v>
      </c>
      <c r="AW396" s="96">
        <f t="shared" si="807"/>
        <v>0.10556798158114067</v>
      </c>
      <c r="AX396" s="96">
        <f t="shared" si="807"/>
        <v>9.8272212566728884E-2</v>
      </c>
      <c r="AY396" s="96">
        <f t="shared" si="807"/>
        <v>9.3747075422928886E-2</v>
      </c>
      <c r="AZ396" s="96">
        <f t="shared" si="807"/>
        <v>8.801181869714908E-2</v>
      </c>
      <c r="BA396" s="96">
        <f t="shared" si="807"/>
        <v>8.3971700034574145E-2</v>
      </c>
      <c r="BB396" s="96">
        <f t="shared" si="807"/>
        <v>8.4517330000002916E-2</v>
      </c>
      <c r="BC396" s="96">
        <f t="shared" si="807"/>
        <v>8.1051183225766307E-2</v>
      </c>
      <c r="BD396" s="96">
        <f t="shared" ref="BD396:BM396" si="808">BD16*BD392/365</f>
        <v>7.2839403051372986E-2</v>
      </c>
      <c r="BE396" s="96">
        <f t="shared" si="808"/>
        <v>7.0933643092523924E-2</v>
      </c>
      <c r="BF396" s="96">
        <f t="shared" si="808"/>
        <v>6.7809493366356541E-2</v>
      </c>
      <c r="BG396" s="96">
        <f t="shared" si="808"/>
        <v>6.6191463406709547E-2</v>
      </c>
      <c r="BH396" s="96">
        <f t="shared" si="808"/>
        <v>6.3468948231834327E-2</v>
      </c>
      <c r="BI396" s="96">
        <f t="shared" si="808"/>
        <v>6.1609996214823028E-2</v>
      </c>
      <c r="BJ396" s="96">
        <f t="shared" si="808"/>
        <v>5.9381034869459726E-2</v>
      </c>
      <c r="BK396" s="96">
        <f t="shared" si="808"/>
        <v>5.7386531094538444E-2</v>
      </c>
      <c r="BL396" s="96">
        <f t="shared" si="808"/>
        <v>5.5412233549126534E-2</v>
      </c>
      <c r="BM396" s="96">
        <f t="shared" si="808"/>
        <v>5.3592259844380673E-2</v>
      </c>
    </row>
    <row r="397" spans="1:65"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8"/>
      <c r="AU397" s="158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8"/>
      <c r="BF397" s="158"/>
      <c r="BG397" s="158"/>
      <c r="BH397" s="158"/>
      <c r="BI397" s="158"/>
      <c r="BJ397" s="158"/>
      <c r="BK397" s="158"/>
      <c r="BL397" s="158"/>
      <c r="BM397" s="158"/>
    </row>
    <row r="398" spans="1:65">
      <c r="A398" s="79" t="s">
        <v>186</v>
      </c>
      <c r="B398" s="89">
        <f>B392/B384</f>
        <v>0.4030470126769371</v>
      </c>
      <c r="C398" s="89">
        <f t="shared" ref="C398:AI398" si="809">C392/C384</f>
        <v>0.4023349531824108</v>
      </c>
      <c r="D398" s="89">
        <f t="shared" si="809"/>
        <v>0.42978244116426584</v>
      </c>
      <c r="E398" s="89">
        <f t="shared" si="809"/>
        <v>0.39485594436472021</v>
      </c>
      <c r="F398" s="89">
        <f t="shared" si="809"/>
        <v>0.35935426802299869</v>
      </c>
      <c r="G398" s="89">
        <f t="shared" si="809"/>
        <v>0.32248776274114599</v>
      </c>
      <c r="H398" s="89">
        <f t="shared" si="809"/>
        <v>0.30360164370316656</v>
      </c>
      <c r="I398" s="89">
        <f t="shared" si="809"/>
        <v>0.30089691608305685</v>
      </c>
      <c r="J398" s="89">
        <f t="shared" si="809"/>
        <v>0.28932091265019577</v>
      </c>
      <c r="K398" s="89">
        <f t="shared" si="809"/>
        <v>0.27529652950651629</v>
      </c>
      <c r="L398" s="89">
        <f t="shared" si="809"/>
        <v>0.26192703461178674</v>
      </c>
      <c r="M398" s="89">
        <f t="shared" si="809"/>
        <v>0.24620903309962497</v>
      </c>
      <c r="N398" s="89">
        <f t="shared" si="809"/>
        <v>0.23690621193666261</v>
      </c>
      <c r="O398" s="89">
        <f t="shared" si="809"/>
        <v>0.22224350991474279</v>
      </c>
      <c r="P398" s="89">
        <f t="shared" si="809"/>
        <v>0.21957726246665299</v>
      </c>
      <c r="Q398" s="89">
        <f t="shared" si="809"/>
        <v>0.2208520179372197</v>
      </c>
      <c r="R398" s="89">
        <f t="shared" si="809"/>
        <v>0.22133270543913353</v>
      </c>
      <c r="S398" s="89">
        <f t="shared" si="809"/>
        <v>0.2120866590649943</v>
      </c>
      <c r="T398" s="89">
        <f t="shared" si="809"/>
        <v>0.21133736929003852</v>
      </c>
      <c r="U398" s="89">
        <f t="shared" si="809"/>
        <v>0.2002129925452609</v>
      </c>
      <c r="V398" s="89">
        <f t="shared" si="809"/>
        <v>0.19072388383181624</v>
      </c>
      <c r="W398" s="89">
        <f t="shared" si="809"/>
        <v>0.1924191491827982</v>
      </c>
      <c r="X398" s="89">
        <f t="shared" si="809"/>
        <v>0.18242752095553422</v>
      </c>
      <c r="Y398" s="89">
        <f t="shared" si="809"/>
        <v>0.17709241636782619</v>
      </c>
      <c r="Z398" s="89">
        <f t="shared" si="809"/>
        <v>0.18426838584258598</v>
      </c>
      <c r="AA398" s="89">
        <f t="shared" si="809"/>
        <v>0.18266695613299661</v>
      </c>
      <c r="AB398" s="89">
        <f t="shared" si="809"/>
        <v>0.16867208176017956</v>
      </c>
      <c r="AC398" s="89">
        <f t="shared" si="809"/>
        <v>0.1533692280301848</v>
      </c>
      <c r="AD398" s="89">
        <f t="shared" si="809"/>
        <v>0.16841374304363152</v>
      </c>
      <c r="AE398" s="89">
        <f t="shared" si="809"/>
        <v>0.17762975011218043</v>
      </c>
      <c r="AF398" s="89">
        <f t="shared" si="809"/>
        <v>0.1698815992741024</v>
      </c>
      <c r="AG398" s="89">
        <f t="shared" si="809"/>
        <v>0.17228947235116579</v>
      </c>
      <c r="AH398" s="89">
        <f t="shared" si="809"/>
        <v>0.16434665033501686</v>
      </c>
      <c r="AI398" s="89">
        <f t="shared" si="809"/>
        <v>0.16323217466402509</v>
      </c>
      <c r="AJ398" s="89">
        <f t="shared" ref="AJ398:BC398" si="810">AJ392/AJ384</f>
        <v>0.15305771057608805</v>
      </c>
      <c r="AK398" s="89">
        <f t="shared" si="810"/>
        <v>0.14849530636797548</v>
      </c>
      <c r="AL398" s="89">
        <f t="shared" si="810"/>
        <v>0.14845099813671755</v>
      </c>
      <c r="AM398" s="89">
        <f t="shared" si="810"/>
        <v>0.14805961917690083</v>
      </c>
      <c r="AN398" s="89">
        <f t="shared" si="810"/>
        <v>0.14020440579696464</v>
      </c>
      <c r="AO398" s="89">
        <f t="shared" si="810"/>
        <v>0.1392057759788034</v>
      </c>
      <c r="AP398" s="89">
        <f t="shared" si="810"/>
        <v>0.13718728613284123</v>
      </c>
      <c r="AQ398" s="89">
        <f t="shared" si="810"/>
        <v>0.13744932971760973</v>
      </c>
      <c r="AR398" s="89">
        <f t="shared" si="810"/>
        <v>0.13707803818329661</v>
      </c>
      <c r="AS398" s="89">
        <f t="shared" si="810"/>
        <v>0.13520850660511335</v>
      </c>
      <c r="AT398" s="89">
        <f t="shared" si="810"/>
        <v>0.12575964947292489</v>
      </c>
      <c r="AU398" s="89">
        <f t="shared" si="810"/>
        <v>0.1220632927456964</v>
      </c>
      <c r="AV398" s="89">
        <f t="shared" si="810"/>
        <v>0.11894779544423909</v>
      </c>
      <c r="AW398" s="89">
        <f t="shared" si="810"/>
        <v>0.11507992949476296</v>
      </c>
      <c r="AX398" s="89">
        <f t="shared" si="810"/>
        <v>0.11090904928286764</v>
      </c>
      <c r="AY398" s="89">
        <f t="shared" si="810"/>
        <v>0.10912671004394825</v>
      </c>
      <c r="AZ398" s="89">
        <f t="shared" si="810"/>
        <v>0.10623819621363023</v>
      </c>
      <c r="BA398" s="89">
        <f t="shared" si="810"/>
        <v>0.10414032586043857</v>
      </c>
      <c r="BB398" s="89">
        <f t="shared" si="810"/>
        <v>0.10892619892766822</v>
      </c>
      <c r="BC398" s="89">
        <f t="shared" si="810"/>
        <v>0.10845450932822268</v>
      </c>
      <c r="BD398" s="89">
        <f t="shared" ref="BD398:BM398" si="811">BD392/BD384</f>
        <v>0.10055027461499179</v>
      </c>
      <c r="BE398" s="89">
        <f t="shared" si="811"/>
        <v>0.10159675304702312</v>
      </c>
      <c r="BF398" s="89">
        <f t="shared" si="811"/>
        <v>0.1005333359752094</v>
      </c>
      <c r="BG398" s="89">
        <f t="shared" si="811"/>
        <v>0.10203532837845122</v>
      </c>
      <c r="BH398" s="89">
        <f t="shared" si="811"/>
        <v>0.10215419018992211</v>
      </c>
      <c r="BI398" s="89">
        <f t="shared" si="811"/>
        <v>0.10330153406060379</v>
      </c>
      <c r="BJ398" s="89">
        <f t="shared" si="811"/>
        <v>0.10400336146935479</v>
      </c>
      <c r="BK398" s="89">
        <f t="shared" si="811"/>
        <v>0.10620284185875523</v>
      </c>
      <c r="BL398" s="89">
        <f t="shared" si="811"/>
        <v>0.10816149980629285</v>
      </c>
      <c r="BM398" s="89">
        <f t="shared" si="811"/>
        <v>0.11078678702029505</v>
      </c>
    </row>
    <row r="399" spans="1:65">
      <c r="A399" s="79" t="s">
        <v>187</v>
      </c>
      <c r="B399" s="89">
        <f>B393/B385</f>
        <v>0.32236248872858431</v>
      </c>
      <c r="C399" s="89">
        <f t="shared" ref="C399:AI399" si="812">C393/C385</f>
        <v>0.34550358045560131</v>
      </c>
      <c r="D399" s="89">
        <f t="shared" si="812"/>
        <v>0.42791593784064691</v>
      </c>
      <c r="E399" s="89">
        <f t="shared" si="812"/>
        <v>0.45361272370121258</v>
      </c>
      <c r="F399" s="89">
        <f t="shared" si="812"/>
        <v>0.40627885503231764</v>
      </c>
      <c r="G399" s="89">
        <f t="shared" si="812"/>
        <v>0.33572409583396917</v>
      </c>
      <c r="H399" s="89">
        <f t="shared" si="812"/>
        <v>0.32908268202385849</v>
      </c>
      <c r="I399" s="89">
        <f t="shared" si="812"/>
        <v>0.31554993678887489</v>
      </c>
      <c r="J399" s="89">
        <f t="shared" si="812"/>
        <v>0.3280028014474145</v>
      </c>
      <c r="K399" s="89">
        <f t="shared" si="812"/>
        <v>0.38308965204578938</v>
      </c>
      <c r="L399" s="89">
        <f t="shared" si="812"/>
        <v>0.36308792313707966</v>
      </c>
      <c r="M399" s="89">
        <f t="shared" si="812"/>
        <v>0.34888397345666605</v>
      </c>
      <c r="N399" s="89">
        <f t="shared" si="812"/>
        <v>0.34114583333333326</v>
      </c>
      <c r="O399" s="89">
        <f t="shared" si="812"/>
        <v>0.37078757157608183</v>
      </c>
      <c r="P399" s="89">
        <f t="shared" si="812"/>
        <v>0.32801595214356927</v>
      </c>
      <c r="Q399" s="89">
        <f t="shared" si="812"/>
        <v>0.3184150008844861</v>
      </c>
      <c r="R399" s="89">
        <f t="shared" si="812"/>
        <v>0.33722559551611397</v>
      </c>
      <c r="S399" s="89">
        <f t="shared" si="812"/>
        <v>0.33146067415730335</v>
      </c>
      <c r="T399" s="89">
        <f t="shared" si="812"/>
        <v>0.31326139923424989</v>
      </c>
      <c r="U399" s="89">
        <f t="shared" si="812"/>
        <v>0.34016572176188398</v>
      </c>
      <c r="V399" s="89">
        <f t="shared" si="812"/>
        <v>0.30808204625316665</v>
      </c>
      <c r="W399" s="89">
        <f t="shared" si="812"/>
        <v>0.31362081908416051</v>
      </c>
      <c r="X399" s="89">
        <f t="shared" si="812"/>
        <v>0.3230127903992176</v>
      </c>
      <c r="Y399" s="89">
        <f t="shared" si="812"/>
        <v>0.32114179465796927</v>
      </c>
      <c r="Z399" s="89">
        <f t="shared" si="812"/>
        <v>0.32388808284065795</v>
      </c>
      <c r="AA399" s="89">
        <f t="shared" si="812"/>
        <v>0.31653393870368823</v>
      </c>
      <c r="AB399" s="89">
        <f t="shared" si="812"/>
        <v>0.31396681173927082</v>
      </c>
      <c r="AC399" s="89">
        <f t="shared" si="812"/>
        <v>0.30601067149469513</v>
      </c>
      <c r="AD399" s="89">
        <f t="shared" si="812"/>
        <v>0.31964480322081906</v>
      </c>
      <c r="AE399" s="89">
        <f t="shared" si="812"/>
        <v>0.32611018568100575</v>
      </c>
      <c r="AF399" s="89">
        <f t="shared" si="812"/>
        <v>0.32752382037467714</v>
      </c>
      <c r="AG399" s="89">
        <f t="shared" si="812"/>
        <v>0.33208788480613027</v>
      </c>
      <c r="AH399" s="89">
        <f t="shared" si="812"/>
        <v>0.32977400035273879</v>
      </c>
      <c r="AI399" s="89">
        <f t="shared" si="812"/>
        <v>0.33003052153047174</v>
      </c>
      <c r="AJ399" s="89">
        <f t="shared" ref="AJ399:BC399" si="813">AJ393/AJ385</f>
        <v>0.32874099359684467</v>
      </c>
      <c r="AK399" s="89">
        <f t="shared" si="813"/>
        <v>0.33857786431264303</v>
      </c>
      <c r="AL399" s="89">
        <f t="shared" si="813"/>
        <v>0.33740587275287537</v>
      </c>
      <c r="AM399" s="89">
        <f t="shared" si="813"/>
        <v>0.33076463678433471</v>
      </c>
      <c r="AN399" s="89">
        <f t="shared" si="813"/>
        <v>0.31306966169266115</v>
      </c>
      <c r="AO399" s="89">
        <f t="shared" si="813"/>
        <v>0.30267870075357206</v>
      </c>
      <c r="AP399" s="89">
        <f t="shared" si="813"/>
        <v>0.29306680319621892</v>
      </c>
      <c r="AQ399" s="89">
        <f t="shared" si="813"/>
        <v>0.28216661594580267</v>
      </c>
      <c r="AR399" s="89">
        <f t="shared" si="813"/>
        <v>0.26999071889168014</v>
      </c>
      <c r="AS399" s="89">
        <f t="shared" si="813"/>
        <v>0.26356624170812187</v>
      </c>
      <c r="AT399" s="89">
        <f t="shared" si="813"/>
        <v>0.24680854738630167</v>
      </c>
      <c r="AU399" s="89">
        <f t="shared" si="813"/>
        <v>0.23939995352403098</v>
      </c>
      <c r="AV399" s="89">
        <f t="shared" si="813"/>
        <v>0.23049653102812206</v>
      </c>
      <c r="AW399" s="89">
        <f t="shared" si="813"/>
        <v>0.22441723112621975</v>
      </c>
      <c r="AX399" s="89">
        <f t="shared" si="813"/>
        <v>0.21165024748750058</v>
      </c>
      <c r="AY399" s="89">
        <f t="shared" si="813"/>
        <v>0.19537022020262504</v>
      </c>
      <c r="AZ399" s="89">
        <f t="shared" si="813"/>
        <v>0.18199352027515869</v>
      </c>
      <c r="BA399" s="89">
        <f t="shared" si="813"/>
        <v>0.16991677382942513</v>
      </c>
      <c r="BB399" s="89">
        <f t="shared" si="813"/>
        <v>0.15570943710522686</v>
      </c>
      <c r="BC399" s="89">
        <f t="shared" si="813"/>
        <v>0.137270793479182</v>
      </c>
      <c r="BD399" s="89">
        <f t="shared" ref="BD399:BM399" si="814">BD393/BD385</f>
        <v>0.11893053923032451</v>
      </c>
      <c r="BE399" s="89">
        <f t="shared" si="814"/>
        <v>0.11018388737550322</v>
      </c>
      <c r="BF399" s="89">
        <f t="shared" si="814"/>
        <v>0.10685208174166136</v>
      </c>
      <c r="BG399" s="89">
        <f t="shared" si="814"/>
        <v>0.10648018362033973</v>
      </c>
      <c r="BH399" s="89">
        <f t="shared" si="814"/>
        <v>0.1061346622389194</v>
      </c>
      <c r="BI399" s="89">
        <f t="shared" si="814"/>
        <v>0.10553385865221358</v>
      </c>
      <c r="BJ399" s="89">
        <f t="shared" si="814"/>
        <v>0.10418353495711462</v>
      </c>
      <c r="BK399" s="89">
        <f t="shared" si="814"/>
        <v>0.10175282457685164</v>
      </c>
      <c r="BL399" s="89">
        <f t="shared" si="814"/>
        <v>0.10029065552197587</v>
      </c>
      <c r="BM399" s="89">
        <f t="shared" si="814"/>
        <v>9.8385901583959684E-2</v>
      </c>
    </row>
    <row r="400" spans="1:65">
      <c r="A400" s="79" t="s">
        <v>188</v>
      </c>
      <c r="B400" s="89">
        <f>B394/B386</f>
        <v>0.12639405204460966</v>
      </c>
      <c r="C400" s="89">
        <f t="shared" ref="C400:AI400" si="815">C394/C386</f>
        <v>0.21141479099678456</v>
      </c>
      <c r="D400" s="89">
        <f t="shared" si="815"/>
        <v>9.6000000000000002E-2</v>
      </c>
      <c r="E400" s="89">
        <f t="shared" si="815"/>
        <v>0.38528481012658228</v>
      </c>
      <c r="F400" s="89">
        <f t="shared" si="815"/>
        <v>0.22905364677516576</v>
      </c>
      <c r="G400" s="89">
        <f t="shared" si="815"/>
        <v>0.20397489539748953</v>
      </c>
      <c r="H400" s="89">
        <f t="shared" si="815"/>
        <v>0.18865492049849591</v>
      </c>
      <c r="I400" s="89">
        <f t="shared" si="815"/>
        <v>0.18915284625728371</v>
      </c>
      <c r="J400" s="89">
        <f t="shared" si="815"/>
        <v>0.18897306397306396</v>
      </c>
      <c r="K400" s="89">
        <f t="shared" si="815"/>
        <v>0.22194821208384713</v>
      </c>
      <c r="L400" s="89">
        <f t="shared" si="815"/>
        <v>0.20242914979757087</v>
      </c>
      <c r="M400" s="89">
        <f t="shared" si="815"/>
        <v>0.19175455417066156</v>
      </c>
      <c r="N400" s="89">
        <f t="shared" si="815"/>
        <v>0.22112149532710276</v>
      </c>
      <c r="O400" s="89">
        <f t="shared" si="815"/>
        <v>0.23326572008113589</v>
      </c>
      <c r="P400" s="89">
        <f t="shared" si="815"/>
        <v>0.22977501196744851</v>
      </c>
      <c r="Q400" s="89">
        <f t="shared" si="815"/>
        <v>0.24128686327077747</v>
      </c>
      <c r="R400" s="89">
        <f t="shared" si="815"/>
        <v>0.22109626900046059</v>
      </c>
      <c r="S400" s="89">
        <f t="shared" si="815"/>
        <v>0.25617566331198532</v>
      </c>
      <c r="T400" s="89">
        <f t="shared" si="815"/>
        <v>0.23561395559583145</v>
      </c>
      <c r="U400" s="89">
        <f t="shared" si="815"/>
        <v>0.23518769787426505</v>
      </c>
      <c r="V400" s="89">
        <f t="shared" si="815"/>
        <v>0.21719457013574658</v>
      </c>
      <c r="W400" s="89">
        <f t="shared" si="815"/>
        <v>0.23145961265942372</v>
      </c>
      <c r="X400" s="89">
        <f t="shared" si="815"/>
        <v>0.24079768895434378</v>
      </c>
      <c r="Y400" s="89">
        <f t="shared" si="815"/>
        <v>0.23068067760914082</v>
      </c>
      <c r="Z400" s="89">
        <f t="shared" si="815"/>
        <v>0.22494558782887983</v>
      </c>
      <c r="AA400" s="89">
        <f t="shared" si="815"/>
        <v>0.22520563024909498</v>
      </c>
      <c r="AB400" s="89">
        <f t="shared" si="815"/>
        <v>0.22707479885441725</v>
      </c>
      <c r="AC400" s="89">
        <f t="shared" si="815"/>
        <v>0.21920122140652856</v>
      </c>
      <c r="AD400" s="89">
        <f t="shared" si="815"/>
        <v>0.17973978519067163</v>
      </c>
      <c r="AE400" s="89">
        <f t="shared" si="815"/>
        <v>0.17526219682445912</v>
      </c>
      <c r="AF400" s="89">
        <f t="shared" si="815"/>
        <v>0.16587269385716025</v>
      </c>
      <c r="AG400" s="89">
        <f t="shared" si="815"/>
        <v>0.14588190799394071</v>
      </c>
      <c r="AH400" s="89">
        <f t="shared" si="815"/>
        <v>0.14090712715821965</v>
      </c>
      <c r="AI400" s="89">
        <f t="shared" si="815"/>
        <v>0.14044806357477721</v>
      </c>
      <c r="AJ400" s="89">
        <f t="shared" ref="AJ400:BC400" si="816">AJ394/AJ386</f>
        <v>0.16008990341540788</v>
      </c>
      <c r="AK400" s="89">
        <f t="shared" si="816"/>
        <v>0.17521611022914435</v>
      </c>
      <c r="AL400" s="89">
        <f t="shared" si="816"/>
        <v>0.17690383643932434</v>
      </c>
      <c r="AM400" s="89">
        <f t="shared" si="816"/>
        <v>0.1633218171523271</v>
      </c>
      <c r="AN400" s="89">
        <f t="shared" si="816"/>
        <v>0.15333335110758367</v>
      </c>
      <c r="AO400" s="89">
        <f t="shared" si="816"/>
        <v>0.16429343068285793</v>
      </c>
      <c r="AP400" s="89">
        <f t="shared" si="816"/>
        <v>0.18384672552513273</v>
      </c>
      <c r="AQ400" s="89">
        <f t="shared" si="816"/>
        <v>0.20477463769414084</v>
      </c>
      <c r="AR400" s="89">
        <f t="shared" si="816"/>
        <v>0.21564473136357185</v>
      </c>
      <c r="AS400" s="89">
        <f t="shared" si="816"/>
        <v>0.22411959699038417</v>
      </c>
      <c r="AT400" s="89">
        <f t="shared" si="816"/>
        <v>0.24450717223946922</v>
      </c>
      <c r="AU400" s="89">
        <f t="shared" si="816"/>
        <v>0.26605068686709166</v>
      </c>
      <c r="AV400" s="89">
        <f t="shared" si="816"/>
        <v>0.28232696432447651</v>
      </c>
      <c r="AW400" s="89">
        <f t="shared" si="816"/>
        <v>0.30444270547539792</v>
      </c>
      <c r="AX400" s="89">
        <f t="shared" si="816"/>
        <v>0.32012450730855646</v>
      </c>
      <c r="AY400" s="89">
        <f t="shared" si="816"/>
        <v>0.36531180514087747</v>
      </c>
      <c r="AZ400" s="89">
        <f t="shared" si="816"/>
        <v>0.35555222949396126</v>
      </c>
      <c r="BA400" s="89">
        <f t="shared" si="816"/>
        <v>0.43337644188260432</v>
      </c>
      <c r="BB400" s="89">
        <f t="shared" si="816"/>
        <v>0.50922884861838302</v>
      </c>
      <c r="BC400" s="89">
        <f t="shared" si="816"/>
        <v>0.52163241282582273</v>
      </c>
      <c r="BD400" s="89">
        <f t="shared" ref="BD400:BM400" si="817">BD394/BD386</f>
        <v>0.55741751010591545</v>
      </c>
      <c r="BE400" s="89">
        <f t="shared" si="817"/>
        <v>0.7409191695657017</v>
      </c>
      <c r="BF400" s="89">
        <f t="shared" si="817"/>
        <v>0.80702743923967046</v>
      </c>
      <c r="BG400" s="89">
        <f t="shared" si="817"/>
        <v>0.95292007099389053</v>
      </c>
      <c r="BH400" s="89">
        <f t="shared" si="817"/>
        <v>1.180607341572907</v>
      </c>
      <c r="BI400" s="89">
        <f t="shared" si="817"/>
        <v>1.3252570030977491</v>
      </c>
      <c r="BJ400" s="89">
        <f t="shared" si="817"/>
        <v>1.7700692077348485</v>
      </c>
      <c r="BK400" s="89">
        <f t="shared" si="817"/>
        <v>1.090131943659896</v>
      </c>
      <c r="BL400" s="89">
        <f t="shared" si="817"/>
        <v>0.38193864144081413</v>
      </c>
      <c r="BM400" s="89">
        <f t="shared" si="817"/>
        <v>4.1628608394197748E-8</v>
      </c>
    </row>
    <row r="401" spans="1:65">
      <c r="A401" s="79" t="s">
        <v>189</v>
      </c>
      <c r="B401" s="89">
        <f>B395/B387</f>
        <v>0.37181242512408019</v>
      </c>
      <c r="C401" s="89">
        <f t="shared" ref="C401:AI401" si="818">C395/C387</f>
        <v>0.38021117462425774</v>
      </c>
      <c r="D401" s="89">
        <f t="shared" si="818"/>
        <v>0.41123801023463186</v>
      </c>
      <c r="E401" s="89">
        <f t="shared" si="818"/>
        <v>0.40590612014569338</v>
      </c>
      <c r="F401" s="89">
        <f t="shared" si="818"/>
        <v>0.36086161672363087</v>
      </c>
      <c r="G401" s="89">
        <f t="shared" si="818"/>
        <v>0.31707317073170732</v>
      </c>
      <c r="H401" s="89">
        <f t="shared" si="818"/>
        <v>0.30048150412717828</v>
      </c>
      <c r="I401" s="89">
        <f t="shared" si="818"/>
        <v>0.2958476853779477</v>
      </c>
      <c r="J401" s="89">
        <f t="shared" si="818"/>
        <v>0.29293007726055054</v>
      </c>
      <c r="K401" s="89">
        <f t="shared" si="818"/>
        <v>0.30826041583045677</v>
      </c>
      <c r="L401" s="89">
        <f t="shared" si="818"/>
        <v>0.29509576931172382</v>
      </c>
      <c r="M401" s="89">
        <f t="shared" si="818"/>
        <v>0.28356243312206775</v>
      </c>
      <c r="N401" s="89">
        <f t="shared" si="818"/>
        <v>0.28052662278143486</v>
      </c>
      <c r="O401" s="89">
        <f t="shared" si="818"/>
        <v>0.29179673950745749</v>
      </c>
      <c r="P401" s="89">
        <f t="shared" si="818"/>
        <v>0.27029499199634116</v>
      </c>
      <c r="Q401" s="89">
        <f t="shared" si="818"/>
        <v>0.27199074074074076</v>
      </c>
      <c r="R401" s="89">
        <f t="shared" si="818"/>
        <v>0.27936359382311654</v>
      </c>
      <c r="S401" s="89">
        <f t="shared" si="818"/>
        <v>0.27546681456831207</v>
      </c>
      <c r="T401" s="89">
        <f t="shared" si="818"/>
        <v>0.2650983146067416</v>
      </c>
      <c r="U401" s="89">
        <f t="shared" si="818"/>
        <v>0.27312928119309804</v>
      </c>
      <c r="V401" s="89">
        <f t="shared" si="818"/>
        <v>0.25385427666314681</v>
      </c>
      <c r="W401" s="89">
        <f t="shared" si="818"/>
        <v>0.25997448642941984</v>
      </c>
      <c r="X401" s="89">
        <f t="shared" si="818"/>
        <v>0.26142435715109963</v>
      </c>
      <c r="Y401" s="89">
        <f t="shared" si="818"/>
        <v>0.25132324207283674</v>
      </c>
      <c r="Z401" s="89">
        <f t="shared" si="818"/>
        <v>0.25538848681312609</v>
      </c>
      <c r="AA401" s="89">
        <f t="shared" si="818"/>
        <v>0.25547697541119968</v>
      </c>
      <c r="AB401" s="89">
        <f t="shared" si="818"/>
        <v>0.24422750044869904</v>
      </c>
      <c r="AC401" s="89">
        <f t="shared" si="818"/>
        <v>0.23583313245473117</v>
      </c>
      <c r="AD401" s="89">
        <f t="shared" si="818"/>
        <v>0.24431872116720696</v>
      </c>
      <c r="AE401" s="89">
        <f t="shared" si="818"/>
        <v>0.25289695652747657</v>
      </c>
      <c r="AF401" s="89">
        <f t="shared" si="818"/>
        <v>0.25118822162284149</v>
      </c>
      <c r="AG401" s="89">
        <f t="shared" si="818"/>
        <v>0.25535132324563709</v>
      </c>
      <c r="AH401" s="89">
        <f t="shared" si="818"/>
        <v>0.25206536130044638</v>
      </c>
      <c r="AI401" s="89">
        <f t="shared" si="818"/>
        <v>0.25213087679798624</v>
      </c>
      <c r="AJ401" s="89">
        <f t="shared" ref="AJ401:BC401" si="819">AJ395/AJ387</f>
        <v>0.24875349143739833</v>
      </c>
      <c r="AK401" s="89">
        <f t="shared" si="819"/>
        <v>0.2511249047880364</v>
      </c>
      <c r="AL401" s="89">
        <f t="shared" si="819"/>
        <v>0.24988130993055882</v>
      </c>
      <c r="AM401" s="89">
        <f t="shared" si="819"/>
        <v>0.24454371136059341</v>
      </c>
      <c r="AN401" s="89">
        <f t="shared" si="819"/>
        <v>0.23100126550558961</v>
      </c>
      <c r="AO401" s="89">
        <f t="shared" si="819"/>
        <v>0.22560097258017572</v>
      </c>
      <c r="AP401" s="89">
        <f t="shared" si="819"/>
        <v>0.22015287775700879</v>
      </c>
      <c r="AQ401" s="89">
        <f t="shared" si="819"/>
        <v>0.21464363037213413</v>
      </c>
      <c r="AR401" s="89">
        <f t="shared" si="819"/>
        <v>0.20731268909922451</v>
      </c>
      <c r="AS401" s="89">
        <f t="shared" si="819"/>
        <v>0.20268873004037685</v>
      </c>
      <c r="AT401" s="89">
        <f t="shared" si="819"/>
        <v>0.1896367659411384</v>
      </c>
      <c r="AU401" s="89">
        <f t="shared" si="819"/>
        <v>0.18440395683674632</v>
      </c>
      <c r="AV401" s="89">
        <f t="shared" si="819"/>
        <v>0.17834377202394025</v>
      </c>
      <c r="AW401" s="89">
        <f t="shared" si="819"/>
        <v>0.17292563525350271</v>
      </c>
      <c r="AX401" s="89">
        <f t="shared" si="819"/>
        <v>0.16450247686975161</v>
      </c>
      <c r="AY401" s="89">
        <f t="shared" si="819"/>
        <v>0.15595268864870843</v>
      </c>
      <c r="AZ401" s="89">
        <f t="shared" si="819"/>
        <v>0.14768006706642231</v>
      </c>
      <c r="BA401" s="89">
        <f t="shared" si="819"/>
        <v>0.14099753809644461</v>
      </c>
      <c r="BB401" s="89">
        <f t="shared" si="819"/>
        <v>0.13669779733468138</v>
      </c>
      <c r="BC401" s="89">
        <f t="shared" si="819"/>
        <v>0.12700561241517017</v>
      </c>
      <c r="BD401" s="89">
        <f t="shared" ref="BD401:BM401" si="820">BD395/BD387</f>
        <v>0.11374353631543165</v>
      </c>
      <c r="BE401" s="89">
        <f t="shared" si="820"/>
        <v>0.11004502119972238</v>
      </c>
      <c r="BF401" s="89">
        <f t="shared" si="820"/>
        <v>0.10751039961444699</v>
      </c>
      <c r="BG401" s="89">
        <f t="shared" si="820"/>
        <v>0.10770813602434233</v>
      </c>
      <c r="BH401" s="89">
        <f t="shared" si="820"/>
        <v>0.10726380596392526</v>
      </c>
      <c r="BI401" s="89">
        <f t="shared" si="820"/>
        <v>0.10688526128482656</v>
      </c>
      <c r="BJ401" s="89">
        <f t="shared" si="820"/>
        <v>0.1060049259080169</v>
      </c>
      <c r="BK401" s="89">
        <f t="shared" si="820"/>
        <v>0.10500756041638765</v>
      </c>
      <c r="BL401" s="89">
        <f t="shared" si="820"/>
        <v>0.10432023179303385</v>
      </c>
      <c r="BM401" s="89">
        <f t="shared" si="820"/>
        <v>0.10404278465212077</v>
      </c>
    </row>
    <row r="402" spans="1:65"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  <c r="AS402" s="158"/>
      <c r="AT402" s="158"/>
      <c r="AU402" s="158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8"/>
      <c r="BF402" s="158"/>
      <c r="BG402" s="158"/>
      <c r="BH402" s="158"/>
      <c r="BI402" s="158"/>
      <c r="BJ402" s="158"/>
      <c r="BK402" s="158"/>
      <c r="BL402" s="158"/>
      <c r="BM402" s="158"/>
    </row>
    <row r="403" spans="1:65">
      <c r="A403" s="79" t="s">
        <v>190</v>
      </c>
      <c r="B403" s="89">
        <f>Petoro!C27/B421</f>
        <v>0.35681987054675579</v>
      </c>
      <c r="C403" s="89">
        <f>Petoro!D27/C421</f>
        <v>0.37306721143191918</v>
      </c>
      <c r="D403" s="89">
        <f>Petoro!E27/D421</f>
        <v>0.42681877530002676</v>
      </c>
      <c r="E403" s="89">
        <f>Petoro!F27/E421</f>
        <v>0.42483969571171309</v>
      </c>
      <c r="F403" s="89">
        <f>Petoro!G27/F421</f>
        <v>0.31530159847764033</v>
      </c>
      <c r="G403" s="89">
        <f>Petoro!H27/G421</f>
        <v>0.23497161884494019</v>
      </c>
      <c r="H403" s="89">
        <f>Petoro!I27/H421</f>
        <v>0.2467265245215679</v>
      </c>
      <c r="I403" s="89">
        <f>Petoro!J27/I421</f>
        <v>0.24276008239679384</v>
      </c>
      <c r="J403" s="89">
        <f>Petoro!K27/J421</f>
        <v>0.2392439326418038</v>
      </c>
      <c r="K403" s="89">
        <f>Petoro!L27/K421</f>
        <v>0.23707910347900785</v>
      </c>
      <c r="L403" s="89">
        <f>Petoro!M27/L421</f>
        <v>0.20359792836003676</v>
      </c>
      <c r="M403" s="89">
        <f>Petoro!N27/M421</f>
        <v>0.19143363395881793</v>
      </c>
      <c r="N403" s="89">
        <f>Petoro!O27/N421</f>
        <v>0.20304140565842912</v>
      </c>
      <c r="O403" s="89">
        <f>Petoro!P27/O421</f>
        <v>0.16921357373204338</v>
      </c>
      <c r="P403" s="89">
        <f>Petoro!Q27/P421</f>
        <v>0.17424037702690398</v>
      </c>
      <c r="Q403" s="89">
        <f>Petoro!R27/Q421</f>
        <v>0.16733956522872656</v>
      </c>
      <c r="R403" s="89">
        <f>Petoro!S27/R421</f>
        <v>0.18311343995599996</v>
      </c>
      <c r="S403" s="89">
        <f>Petoro!T27/S421</f>
        <v>0.18637994720174519</v>
      </c>
      <c r="T403" s="89">
        <f>Petoro!U27/T421</f>
        <v>0.17473274983371462</v>
      </c>
      <c r="U403" s="89">
        <f>Petoro!V27/U421</f>
        <v>0.18178011448119466</v>
      </c>
      <c r="V403" s="89">
        <f>Petoro!W27/V421</f>
        <v>0.19745969071508745</v>
      </c>
      <c r="W403" s="89">
        <f>Petoro!X27/W421</f>
        <v>0.16837912003405009</v>
      </c>
      <c r="X403" s="89">
        <f>Petoro!Y27/X421</f>
        <v>0.16700583596315763</v>
      </c>
      <c r="Y403" s="89">
        <f>Petoro!Z27/Y421</f>
        <v>0.17522204308344333</v>
      </c>
      <c r="Z403" s="89">
        <f>Petoro!AA27/Z421</f>
        <v>0.15560368615524783</v>
      </c>
      <c r="AA403" s="89">
        <f>Petoro!AB27/AA421</f>
        <v>0.17407950777636133</v>
      </c>
      <c r="AB403" s="89">
        <f>Petoro!AC27/AB421</f>
        <v>0.15126390156360772</v>
      </c>
      <c r="AC403" s="89">
        <f>Petoro!AD27/AC421</f>
        <v>0.15537086217594528</v>
      </c>
      <c r="AD403" s="89">
        <f>Petoro!AE27/AD421</f>
        <v>0.13007504262093489</v>
      </c>
      <c r="AE403" s="89">
        <f>Petoro!AF27/AE421</f>
        <v>0.14660629352461665</v>
      </c>
      <c r="AF403" s="89">
        <f>Petoro!AG27/AF421</f>
        <v>0.18174938377042829</v>
      </c>
      <c r="AG403" s="89">
        <f>Petoro!AH27/AG421</f>
        <v>0.19756563926074361</v>
      </c>
      <c r="AH403" s="89">
        <f>Petoro!AI27/AH421</f>
        <v>0.19176080982623239</v>
      </c>
      <c r="AI403" s="89">
        <f>Petoro!AJ27/AI421</f>
        <v>0.17604551611302743</v>
      </c>
      <c r="AJ403" s="89">
        <f>Petoro!AK27/AJ421</f>
        <v>0.17167598302782078</v>
      </c>
      <c r="AK403" s="89">
        <f>Petoro!AL27/AK421</f>
        <v>0.17774767413220527</v>
      </c>
      <c r="AL403" s="89">
        <f>Petoro!AM27/AL421</f>
        <v>0.16691638938125816</v>
      </c>
      <c r="AM403" s="89">
        <f>Petoro!AN27/AM421</f>
        <v>0.16069539721590087</v>
      </c>
      <c r="AN403" s="89">
        <f>Petoro!AO27/AN421</f>
        <v>0.14349886788356239</v>
      </c>
      <c r="AO403" s="89">
        <f>Petoro!AP27/AO421</f>
        <v>0.13785887975679478</v>
      </c>
      <c r="AP403" s="89">
        <f>Petoro!AQ27/AP421</f>
        <v>0.13743181091168277</v>
      </c>
      <c r="AQ403" s="89">
        <f>Petoro!AR27/AQ421</f>
        <v>0.13451129735172196</v>
      </c>
      <c r="AR403" s="89">
        <f>Petoro!AS27/AR421</f>
        <v>0.13344060958825507</v>
      </c>
      <c r="AS403" s="89">
        <f>Petoro!AT27/AS421</f>
        <v>0.12935745332794998</v>
      </c>
      <c r="AT403" s="89">
        <f>Petoro!AU27/AT421</f>
        <v>0.12598819993226681</v>
      </c>
      <c r="AU403" s="89">
        <f>Petoro!AV27/AU421</f>
        <v>0.11643574824348148</v>
      </c>
      <c r="AV403" s="89">
        <f>Petoro!AW27/AV421</f>
        <v>0.1163185457521768</v>
      </c>
      <c r="AW403" s="89">
        <f>Petoro!AX27/AW421</f>
        <v>0.11672854212319932</v>
      </c>
      <c r="AX403" s="89">
        <f>Petoro!AY27/AX421</f>
        <v>0.11158667708453025</v>
      </c>
      <c r="AY403" s="89">
        <f>Petoro!AZ27/AY421</f>
        <v>0.11167378869686148</v>
      </c>
      <c r="AZ403" s="89">
        <f>Petoro!BA27/AZ421</f>
        <v>0.10796035651000863</v>
      </c>
      <c r="BA403" s="89">
        <f>Petoro!BB27/BA421</f>
        <v>0.1068680136253983</v>
      </c>
      <c r="BB403" s="89">
        <f>Petoro!BC27/BB421</f>
        <v>0.10469124731756864</v>
      </c>
      <c r="BC403" s="89">
        <f>Petoro!BD27/BC421</f>
        <v>0.10394808174876161</v>
      </c>
      <c r="BD403" s="89">
        <f>Petoro!BE27/BD421</f>
        <v>0.10466003009834911</v>
      </c>
      <c r="BE403" s="89">
        <f>Petoro!BF27/BE421</f>
        <v>0.10252232449482307</v>
      </c>
      <c r="BF403" s="89">
        <f>Petoro!BG27/BF421</f>
        <v>0.10062678143842481</v>
      </c>
      <c r="BG403" s="89">
        <f>Petoro!BH27/BG421</f>
        <v>0.10009415522671651</v>
      </c>
      <c r="BH403" s="89">
        <f>Petoro!BI27/BH421</f>
        <v>9.93146038510061E-2</v>
      </c>
      <c r="BI403" s="89">
        <f>Petoro!BJ27/BI421</f>
        <v>9.7741133558315235E-2</v>
      </c>
      <c r="BJ403" s="89">
        <f>Petoro!BK27/BJ421</f>
        <v>9.6989374817314511E-2</v>
      </c>
      <c r="BK403" s="89">
        <f>Petoro!BL27/BK421</f>
        <v>9.5118594667587597E-2</v>
      </c>
      <c r="BL403" s="89">
        <f>Petoro!BM27/BL421</f>
        <v>9.4582708494345719E-2</v>
      </c>
      <c r="BM403" s="89">
        <f>Petoro!BN27/BM421</f>
        <v>9.496114992746478E-2</v>
      </c>
    </row>
    <row r="404" spans="1:65">
      <c r="A404" s="79" t="s">
        <v>191</v>
      </c>
      <c r="B404" s="89">
        <f>(Petoro!C27+(-Petoro!C36))/(Investments!D21+Investments!D19)</f>
        <v>0.35085118531814802</v>
      </c>
      <c r="C404" s="89">
        <f>(Petoro!D27+(-Petoro!D36))/(Investments!E21+Investments!E19)</f>
        <v>0.37910914443798061</v>
      </c>
      <c r="D404" s="89">
        <f>(Petoro!E27+(-Petoro!E36))/(Investments!F21+Investments!F19)</f>
        <v>0.41873986054766071</v>
      </c>
      <c r="E404" s="89">
        <f>(Petoro!F27+(-Petoro!F36))/(Investments!G21+Investments!G19)</f>
        <v>0.41758485087256325</v>
      </c>
      <c r="F404" s="89">
        <f>(Petoro!G27+(-Petoro!G36))/(Investments!H21+Investments!H19)</f>
        <v>0.30261629733614087</v>
      </c>
      <c r="G404" s="89">
        <f>(Petoro!H27+(-Petoro!H36))/(Investments!I21+Investments!I19)</f>
        <v>0.23328824403254669</v>
      </c>
      <c r="H404" s="89">
        <f>(Petoro!I27+(-Petoro!I36))/(Investments!J21+Investments!J19)</f>
        <v>0.24023204101618759</v>
      </c>
      <c r="I404" s="89">
        <f>(Petoro!J27+(-Petoro!J36))/(Investments!K21+Investments!K19)</f>
        <v>0.23588313574314157</v>
      </c>
      <c r="J404" s="89">
        <f>(Petoro!K27+(-Petoro!K36))/(Investments!L21+Investments!L19)</f>
        <v>0.23155106382310847</v>
      </c>
      <c r="K404" s="89">
        <f>(Petoro!L27+(-Petoro!L36))/(Investments!M21+Investments!M19)</f>
        <v>0.22086486209485157</v>
      </c>
      <c r="L404" s="89">
        <f>(Petoro!M27+(-Petoro!M36))/(Investments!N21+Investments!N19)</f>
        <v>0.18704979347521702</v>
      </c>
      <c r="M404" s="89">
        <f>(Petoro!N27+(-Petoro!N36))/(Investments!O21+Investments!O19)</f>
        <v>0.17269458000196597</v>
      </c>
      <c r="N404" s="89">
        <f>(Petoro!O27+(-Petoro!O36))/(Investments!P21+Investments!P19)</f>
        <v>0.18311053803444097</v>
      </c>
      <c r="O404" s="89">
        <f>(Petoro!P27+(-Petoro!P36))/(Investments!Q21+Investments!Q19)</f>
        <v>0.15075650424675904</v>
      </c>
      <c r="P404" s="89">
        <f>(Petoro!Q27+(-Petoro!Q36))/(Investments!R21+Investments!R19)</f>
        <v>0.15879066516483889</v>
      </c>
      <c r="Q404" s="89">
        <f>(Petoro!R27+(-Petoro!R36))/(Investments!S21+Investments!S19)</f>
        <v>0.15507460065280107</v>
      </c>
      <c r="R404" s="89">
        <f>(Petoro!S27+(-Petoro!S36))/(Investments!T21+Investments!T19)</f>
        <v>0.17014640861619015</v>
      </c>
      <c r="S404" s="89">
        <f>(Petoro!T27+(-Petoro!T36))/(Investments!U21+Investments!U19)</f>
        <v>0.17175395204390817</v>
      </c>
      <c r="T404" s="89">
        <f>(Petoro!U27+(-Petoro!U36))/(Investments!V21+Investments!V19)</f>
        <v>0.16013784809942558</v>
      </c>
      <c r="U404" s="89">
        <f>(Petoro!V27+(-Petoro!V36))/(Investments!W21+Investments!W19)</f>
        <v>0.17775341861432209</v>
      </c>
      <c r="V404" s="89">
        <f>(Petoro!W27+(-Petoro!W36))/(Investments!X21+Investments!X19)</f>
        <v>0.18813831711277021</v>
      </c>
      <c r="W404" s="89">
        <f>(Petoro!X27+(-Petoro!X36))/(Investments!Y21+Investments!Y19)</f>
        <v>0.15969827445035015</v>
      </c>
      <c r="X404" s="89">
        <f>(Petoro!Y27+(-Petoro!Y36))/(Investments!Z21+Investments!Z19)</f>
        <v>0.15759970119497196</v>
      </c>
      <c r="Y404" s="89">
        <f>(Petoro!Z27+(-Petoro!Z36))/(Investments!AA21+Investments!AA19)</f>
        <v>0.16730705083301489</v>
      </c>
      <c r="Z404" s="89">
        <f>(Petoro!AA27+(-Petoro!AA36))/(Investments!AB21+Investments!AB19)</f>
        <v>0.14496754264206227</v>
      </c>
      <c r="AA404" s="89">
        <f>(Petoro!AB27+(-Petoro!AB36))/(Investments!AC21+Investments!AC19)</f>
        <v>0.16702938964585801</v>
      </c>
      <c r="AB404" s="89">
        <f>(Petoro!AC27+(-Petoro!AC36))/(Investments!AD21+Investments!AD19)</f>
        <v>0.14435642781381688</v>
      </c>
      <c r="AC404" s="89">
        <f>(Petoro!AD27+(-Petoro!AD36))/(Investments!AE21+Investments!AE19)</f>
        <v>0.14999396959674302</v>
      </c>
      <c r="AD404" s="89">
        <f>(Petoro!AE27+(-Petoro!AE36))/(Investments!AF21+Investments!AF19)</f>
        <v>0.12458344760995053</v>
      </c>
      <c r="AE404" s="89">
        <f>(Petoro!AF27+(-Petoro!AF36))/(Investments!AG21+Investments!AG19)</f>
        <v>0.13908570540413231</v>
      </c>
      <c r="AF404" s="89">
        <f>(Petoro!AG27+(-Petoro!AG36))/(Investments!AH21+Investments!AH19)</f>
        <v>0.16749573202263149</v>
      </c>
      <c r="AG404" s="89">
        <f>(Petoro!AH27+(-Petoro!AH36))/(Investments!AI21+Investments!AI19)</f>
        <v>0.17969419614144708</v>
      </c>
      <c r="AH404" s="89">
        <f>(Petoro!AI27+(-Petoro!AI36))/(Investments!AJ21+Investments!AJ19)</f>
        <v>0.17401735808464425</v>
      </c>
      <c r="AI404" s="89">
        <f>(Petoro!AJ27+(-Petoro!AJ36))/(Investments!AK21+Investments!AK19)</f>
        <v>0.16387741670982703</v>
      </c>
      <c r="AJ404" s="89">
        <f>(Petoro!AK27+(-Petoro!AK36))/(Investments!AL21+Investments!AL19)</f>
        <v>0.15924258426252003</v>
      </c>
      <c r="AK404" s="89">
        <f>(Petoro!AL27+(-Petoro!AL36))/(Investments!AM21+Investments!AM19)</f>
        <v>0.16418760885510059</v>
      </c>
      <c r="AL404" s="89">
        <f>(Petoro!AM27+(-Petoro!AM36))/(Investments!AN21+Investments!AN19)</f>
        <v>0.15503097410514721</v>
      </c>
      <c r="AM404" s="89">
        <f>(Petoro!AN27+(-Petoro!AN36))/(Investments!AO21+Investments!AO19)</f>
        <v>0.1492422293136898</v>
      </c>
      <c r="AN404" s="89">
        <f>(Petoro!AO27+(-Petoro!AO36))/(Investments!AP21+Investments!AP19)</f>
        <v>0.13442386363027409</v>
      </c>
      <c r="AO404" s="89">
        <f>(Petoro!AP27+(-Petoro!AP36))/(Investments!AQ21+Investments!AQ19)</f>
        <v>0.12961389851187272</v>
      </c>
      <c r="AP404" s="89">
        <f>(Petoro!AQ27+(-Petoro!AQ36))/(Investments!AR21+Investments!AR19)</f>
        <v>0.12930157534313599</v>
      </c>
      <c r="AQ404" s="89">
        <f>(Petoro!AR27+(-Petoro!AR36))/(Investments!AS21+Investments!AS19)</f>
        <v>0.12700379813710916</v>
      </c>
      <c r="AR404" s="89">
        <f>(Petoro!AS27+(-Petoro!AS36))/(Investments!AT21+Investments!AT19)</f>
        <v>0.12631902214243004</v>
      </c>
      <c r="AS404" s="89">
        <f>(Petoro!AT27+(-Petoro!AT36))/(Investments!AU21+Investments!AU19)</f>
        <v>0.12293703480905457</v>
      </c>
      <c r="AT404" s="89">
        <f>(Petoro!AU27+(-Petoro!AU36))/(Investments!AV21+Investments!AV19)</f>
        <v>0.12002760666719381</v>
      </c>
      <c r="AU404" s="89">
        <f>(Petoro!AV27+(-Petoro!AV36))/(Investments!AW21+Investments!AW19)</f>
        <v>0.11186763629093623</v>
      </c>
      <c r="AV404" s="89">
        <f>(Petoro!AW27+(-Petoro!AW36))/(Investments!AX21+Investments!AX19)</f>
        <v>0.11183010568052959</v>
      </c>
      <c r="AW404" s="89">
        <f>(Petoro!AX27+(-Petoro!AX36))/(Investments!AY21+Investments!AY19)</f>
        <v>0.11213523332716518</v>
      </c>
      <c r="AX404" s="89">
        <f>(Petoro!AY27+(-Petoro!AY36))/(Investments!AZ21+Investments!AZ19)</f>
        <v>0.10769621560650403</v>
      </c>
      <c r="AY404" s="89">
        <f>(Petoro!AZ27+(-Petoro!AZ36))/(Investments!BA21+Investments!BA19)</f>
        <v>0.10764413737492985</v>
      </c>
      <c r="AZ404" s="89">
        <f>(Petoro!BA27+(-Petoro!BA36))/(Investments!BB21+Investments!BB19)</f>
        <v>0.1045686576186209</v>
      </c>
      <c r="BA404" s="89">
        <f>(Petoro!BB27+(-Petoro!BB36))/(Investments!BC21+Investments!BC19)</f>
        <v>0.10356931672964269</v>
      </c>
      <c r="BB404" s="89">
        <f>(Petoro!BC27+(-Petoro!BC36))/(Investments!BD21+Investments!BD19)</f>
        <v>0.1017140135444288</v>
      </c>
      <c r="BC404" s="89">
        <f>(Petoro!BD27+(-Petoro!BD36))/(Investments!BE21+Investments!BE19)</f>
        <v>0.10109712815192494</v>
      </c>
      <c r="BD404" s="89">
        <f>(Petoro!BE27+(-Petoro!BE36))/(Investments!BF21+Investments!BF19)</f>
        <v>0.10172368333387348</v>
      </c>
      <c r="BE404" s="89">
        <f>(Petoro!BF27+(-Petoro!BF36))/(Investments!BG21+Investments!BG19)</f>
        <v>9.9896796962124113E-2</v>
      </c>
      <c r="BF404" s="89">
        <f>(Petoro!BG27+(-Petoro!BG36))/(Investments!BH21+Investments!BH19)</f>
        <v>9.8282878428755299E-2</v>
      </c>
      <c r="BG404" s="89">
        <f>(Petoro!BH27+(-Petoro!BH36))/(Investments!BI21+Investments!BI19)</f>
        <v>9.7798305215220635E-2</v>
      </c>
      <c r="BH404" s="89">
        <f>(Petoro!BI27+(-Petoro!BI36))/(Investments!BJ21+Investments!BJ19)</f>
        <v>9.7097861770696126E-2</v>
      </c>
      <c r="BI404" s="89">
        <f>(Petoro!BJ27+(-Petoro!BJ36))/(Investments!BK21+Investments!BK19)</f>
        <v>9.5758949506168214E-2</v>
      </c>
      <c r="BJ404" s="89">
        <f>(Petoro!BK27+(-Petoro!BK36))/(Investments!BL21+Investments!BL19)</f>
        <v>9.5085065215808881E-2</v>
      </c>
      <c r="BK404" s="89">
        <f>(Petoro!BL27+(-Petoro!BL36))/(Investments!BM21+Investments!BM19)</f>
        <v>9.3548015707142079E-2</v>
      </c>
      <c r="BL404" s="89">
        <f>(Petoro!BM27+(-Petoro!BM36))/(Investments!BN21+Investments!BN19)</f>
        <v>9.3067356079853072E-2</v>
      </c>
      <c r="BM404" s="89">
        <f>(Petoro!BN27+(-Petoro!BN36))/(Investments!BO21+Investments!BO19)</f>
        <v>9.3315406148338109E-2</v>
      </c>
    </row>
    <row r="405" spans="1:65"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  <c r="AQ405" s="158"/>
      <c r="AR405" s="158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8"/>
      <c r="BF405" s="158"/>
      <c r="BG405" s="158"/>
      <c r="BH405" s="158"/>
      <c r="BI405" s="158"/>
      <c r="BJ405" s="158"/>
      <c r="BK405" s="158"/>
      <c r="BL405" s="158"/>
      <c r="BM405" s="158"/>
    </row>
    <row r="406" spans="1:65">
      <c r="A406" s="78" t="s">
        <v>308</v>
      </c>
      <c r="B406" s="158"/>
      <c r="C406" s="158"/>
      <c r="D406" s="158"/>
      <c r="E406" s="158"/>
      <c r="F406" s="158"/>
      <c r="G406" s="158"/>
      <c r="H406" s="158"/>
      <c r="I406" s="158" t="s">
        <v>232</v>
      </c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  <c r="AQ406" s="158"/>
      <c r="AR406" s="158"/>
      <c r="AS406" s="158"/>
      <c r="AT406" s="158"/>
      <c r="AU406" s="158"/>
      <c r="AV406" s="158"/>
      <c r="AW406" s="158"/>
      <c r="AX406" s="158"/>
      <c r="AY406" s="158"/>
      <c r="AZ406" s="158"/>
      <c r="BA406" s="158"/>
      <c r="BB406" s="158"/>
      <c r="BC406" s="158"/>
      <c r="BD406" s="158"/>
      <c r="BE406" s="158"/>
      <c r="BF406" s="158"/>
      <c r="BG406" s="158"/>
      <c r="BH406" s="158"/>
      <c r="BI406" s="158"/>
      <c r="BJ406" s="158"/>
      <c r="BK406" s="158"/>
      <c r="BL406" s="158"/>
      <c r="BM406" s="158"/>
    </row>
    <row r="407" spans="1:65">
      <c r="A407" s="79" t="s">
        <v>192</v>
      </c>
      <c r="B407" s="92"/>
      <c r="C407" s="92"/>
      <c r="D407" s="92"/>
      <c r="E407" s="92"/>
      <c r="F407" s="92"/>
      <c r="G407" s="92"/>
      <c r="H407" s="92"/>
      <c r="I407" s="88"/>
      <c r="J407" s="88"/>
      <c r="K407" s="160">
        <v>498.4</v>
      </c>
      <c r="L407" s="160">
        <v>456.8</v>
      </c>
      <c r="M407" s="160">
        <v>446.2</v>
      </c>
      <c r="N407" s="160">
        <v>427</v>
      </c>
      <c r="O407" s="160">
        <v>415</v>
      </c>
      <c r="P407" s="160">
        <v>395.5</v>
      </c>
      <c r="Q407" s="160">
        <v>389</v>
      </c>
      <c r="R407" s="92">
        <f t="shared" ref="R407:BC407" si="821">R164/1000</f>
        <v>580.89830492746319</v>
      </c>
      <c r="S407" s="92">
        <f t="shared" si="821"/>
        <v>606.99604515085173</v>
      </c>
      <c r="T407" s="92">
        <f t="shared" si="821"/>
        <v>492.90952079802486</v>
      </c>
      <c r="U407" s="92">
        <f t="shared" si="821"/>
        <v>406.2952166727647</v>
      </c>
      <c r="V407" s="92">
        <f t="shared" si="821"/>
        <v>495.32190968831458</v>
      </c>
      <c r="W407" s="92">
        <f t="shared" si="821"/>
        <v>613.50131025591077</v>
      </c>
      <c r="X407" s="92">
        <f t="shared" si="821"/>
        <v>497.20090778350584</v>
      </c>
      <c r="Y407" s="92">
        <f t="shared" si="821"/>
        <v>390.50429637909627</v>
      </c>
      <c r="Z407" s="92">
        <f t="shared" si="821"/>
        <v>934.9151755759774</v>
      </c>
      <c r="AA407" s="92">
        <f t="shared" si="821"/>
        <v>2101.9920377736416</v>
      </c>
      <c r="AB407" s="92">
        <f t="shared" si="821"/>
        <v>1233.6224283145875</v>
      </c>
      <c r="AC407" s="92">
        <f t="shared" si="821"/>
        <v>1134.3632609302042</v>
      </c>
      <c r="AD407" s="92">
        <f t="shared" si="821"/>
        <v>1114.3266852537549</v>
      </c>
      <c r="AE407" s="92">
        <f t="shared" si="821"/>
        <v>931.10471888570214</v>
      </c>
      <c r="AF407" s="92">
        <f t="shared" si="821"/>
        <v>823.58680583840078</v>
      </c>
      <c r="AG407" s="92">
        <f t="shared" si="821"/>
        <v>780.51678119285475</v>
      </c>
      <c r="AH407" s="92">
        <f t="shared" si="821"/>
        <v>740.18316097448701</v>
      </c>
      <c r="AI407" s="92">
        <f t="shared" si="821"/>
        <v>631.91767944288381</v>
      </c>
      <c r="AJ407" s="92">
        <f t="shared" si="821"/>
        <v>623.94824507202748</v>
      </c>
      <c r="AK407" s="92">
        <f t="shared" si="821"/>
        <v>615.86228342377728</v>
      </c>
      <c r="AL407" s="92">
        <f t="shared" si="821"/>
        <v>613.74060871742211</v>
      </c>
      <c r="AM407" s="92">
        <f t="shared" si="821"/>
        <v>622.32309775199906</v>
      </c>
      <c r="AN407" s="92">
        <f t="shared" si="821"/>
        <v>628.07727600106443</v>
      </c>
      <c r="AO407" s="92">
        <f t="shared" si="821"/>
        <v>622.3080937882778</v>
      </c>
      <c r="AP407" s="92">
        <f t="shared" si="821"/>
        <v>609.19478480284101</v>
      </c>
      <c r="AQ407" s="92">
        <f t="shared" si="821"/>
        <v>586.44757221557393</v>
      </c>
      <c r="AR407" s="92">
        <f t="shared" si="821"/>
        <v>564.95296403584041</v>
      </c>
      <c r="AS407" s="92">
        <f t="shared" si="821"/>
        <v>548.20677992424442</v>
      </c>
      <c r="AT407" s="92">
        <f t="shared" si="821"/>
        <v>537.59351400858043</v>
      </c>
      <c r="AU407" s="92">
        <f t="shared" si="821"/>
        <v>525.08938386351065</v>
      </c>
      <c r="AV407" s="92">
        <f t="shared" si="821"/>
        <v>515.06528847998618</v>
      </c>
      <c r="AW407" s="92">
        <f t="shared" si="821"/>
        <v>505.80452621491173</v>
      </c>
      <c r="AX407" s="92">
        <f t="shared" si="821"/>
        <v>495.02962533753305</v>
      </c>
      <c r="AY407" s="92">
        <f t="shared" si="821"/>
        <v>486.64977042283704</v>
      </c>
      <c r="AZ407" s="92">
        <f t="shared" si="821"/>
        <v>477.89408003975313</v>
      </c>
      <c r="BA407" s="92">
        <f t="shared" si="821"/>
        <v>471.30863236719546</v>
      </c>
      <c r="BB407" s="92">
        <f t="shared" si="821"/>
        <v>464.52260907539602</v>
      </c>
      <c r="BC407" s="92">
        <f t="shared" si="821"/>
        <v>456.25848205730631</v>
      </c>
      <c r="BD407" s="92">
        <f t="shared" ref="BD407:BM407" si="822">BD164/1000</f>
        <v>449.66672706678423</v>
      </c>
      <c r="BE407" s="92">
        <f t="shared" si="822"/>
        <v>440.12150264918432</v>
      </c>
      <c r="BF407" s="92">
        <f t="shared" si="822"/>
        <v>432.64712938204468</v>
      </c>
      <c r="BG407" s="92">
        <f t="shared" si="822"/>
        <v>425.06991512872077</v>
      </c>
      <c r="BH407" s="92">
        <f t="shared" si="822"/>
        <v>418.39919945750728</v>
      </c>
      <c r="BI407" s="92">
        <f t="shared" si="822"/>
        <v>411.70543937658186</v>
      </c>
      <c r="BJ407" s="92">
        <f t="shared" si="822"/>
        <v>405.05226417781603</v>
      </c>
      <c r="BK407" s="92">
        <f t="shared" si="822"/>
        <v>396.31192490499245</v>
      </c>
      <c r="BL407" s="92">
        <f t="shared" si="822"/>
        <v>388.25676374096918</v>
      </c>
      <c r="BM407" s="92">
        <f t="shared" si="822"/>
        <v>379.71340205438906</v>
      </c>
    </row>
    <row r="408" spans="1:65">
      <c r="A408" s="79" t="s">
        <v>193</v>
      </c>
      <c r="B408" s="92"/>
      <c r="C408" s="92"/>
      <c r="D408" s="92"/>
      <c r="E408" s="92"/>
      <c r="F408" s="92"/>
      <c r="G408" s="92"/>
      <c r="H408" s="92"/>
      <c r="I408" s="88"/>
      <c r="J408" s="88"/>
      <c r="K408" s="160">
        <v>12.97</v>
      </c>
      <c r="L408" s="160">
        <v>13.46</v>
      </c>
      <c r="M408" s="160">
        <v>13.97</v>
      </c>
      <c r="N408" s="160">
        <v>14.499000000000001</v>
      </c>
      <c r="O408" s="160">
        <v>15.1</v>
      </c>
      <c r="P408" s="160">
        <v>15.31</v>
      </c>
      <c r="Q408" s="160">
        <v>15.858000000000001</v>
      </c>
      <c r="R408" s="92">
        <f t="shared" ref="R408:BC408" si="823">R106/1000</f>
        <v>6.5720000000000001</v>
      </c>
      <c r="S408" s="92">
        <f t="shared" si="823"/>
        <v>6.4640000000000004</v>
      </c>
      <c r="T408" s="92">
        <f t="shared" si="823"/>
        <v>6.4340000000000002</v>
      </c>
      <c r="U408" s="92">
        <f t="shared" si="823"/>
        <v>7.3470000000000004</v>
      </c>
      <c r="V408" s="92">
        <f t="shared" si="823"/>
        <v>6.8995270725565998</v>
      </c>
      <c r="W408" s="92">
        <f t="shared" si="823"/>
        <v>9.8512344798777569</v>
      </c>
      <c r="X408" s="92">
        <f t="shared" si="823"/>
        <v>12.545375169053685</v>
      </c>
      <c r="Y408" s="92">
        <f t="shared" si="823"/>
        <v>10.816616922447789</v>
      </c>
      <c r="Z408" s="92">
        <f t="shared" si="823"/>
        <v>7.3735599162694632</v>
      </c>
      <c r="AA408" s="92">
        <f t="shared" si="823"/>
        <v>7.5548488311424951</v>
      </c>
      <c r="AB408" s="92">
        <f t="shared" si="823"/>
        <v>6.9753083588913372</v>
      </c>
      <c r="AC408" s="92">
        <f t="shared" si="823"/>
        <v>7.4893682191843265</v>
      </c>
      <c r="AD408" s="92">
        <f t="shared" si="823"/>
        <v>8.6541078047398958</v>
      </c>
      <c r="AE408" s="92">
        <f t="shared" si="823"/>
        <v>8.1705263761363796</v>
      </c>
      <c r="AF408" s="92">
        <f t="shared" si="823"/>
        <v>8.1291404897042856</v>
      </c>
      <c r="AG408" s="92">
        <f t="shared" si="823"/>
        <v>8.2886077342811149</v>
      </c>
      <c r="AH408" s="92">
        <f t="shared" si="823"/>
        <v>4.9662323363436736</v>
      </c>
      <c r="AI408" s="92">
        <f t="shared" si="823"/>
        <v>3.7143874938396739</v>
      </c>
      <c r="AJ408" s="92">
        <f t="shared" si="823"/>
        <v>3.4059742325464213</v>
      </c>
      <c r="AK408" s="92">
        <f t="shared" si="823"/>
        <v>3.355162925708095</v>
      </c>
      <c r="AL408" s="92">
        <f t="shared" si="823"/>
        <v>3.2648005684914954</v>
      </c>
      <c r="AM408" s="92">
        <f t="shared" si="823"/>
        <v>3.2536856836256418</v>
      </c>
      <c r="AN408" s="92">
        <f t="shared" si="823"/>
        <v>3.7199753295551998</v>
      </c>
      <c r="AO408" s="92">
        <f t="shared" si="823"/>
        <v>4.1476335467972518</v>
      </c>
      <c r="AP408" s="92">
        <f t="shared" si="823"/>
        <v>5.1107888044054528</v>
      </c>
      <c r="AQ408" s="92">
        <f t="shared" si="823"/>
        <v>5.2408632890287041</v>
      </c>
      <c r="AR408" s="92">
        <f t="shared" si="823"/>
        <v>5.1883798513818959</v>
      </c>
      <c r="AS408" s="92">
        <f t="shared" si="823"/>
        <v>5.7041016622085472</v>
      </c>
      <c r="AT408" s="92">
        <f t="shared" si="823"/>
        <v>5.3389308397257471</v>
      </c>
      <c r="AU408" s="92">
        <f t="shared" si="823"/>
        <v>7.706500222183811</v>
      </c>
      <c r="AV408" s="92">
        <f t="shared" si="823"/>
        <v>7.6735543936655048</v>
      </c>
      <c r="AW408" s="92">
        <f t="shared" si="823"/>
        <v>7.5512789352263692</v>
      </c>
      <c r="AX408" s="92">
        <f t="shared" si="823"/>
        <v>7.5910903669801257</v>
      </c>
      <c r="AY408" s="92">
        <f t="shared" si="823"/>
        <v>7.5608422660713162</v>
      </c>
      <c r="AZ408" s="92">
        <f t="shared" si="823"/>
        <v>7.4749048296802743</v>
      </c>
      <c r="BA408" s="92">
        <f t="shared" si="823"/>
        <v>7.2836331378299892</v>
      </c>
      <c r="BB408" s="92">
        <f t="shared" si="823"/>
        <v>6.7980070400794208</v>
      </c>
      <c r="BC408" s="92">
        <f t="shared" si="823"/>
        <v>5.5811574231773884</v>
      </c>
      <c r="BD408" s="92">
        <f t="shared" ref="BD408:BM408" si="824">BD106/1000</f>
        <v>5.3706861321755897</v>
      </c>
      <c r="BE408" s="92">
        <f t="shared" si="824"/>
        <v>5.0620973488982948</v>
      </c>
      <c r="BF408" s="92">
        <f t="shared" si="824"/>
        <v>4.8916733098133678</v>
      </c>
      <c r="BG408" s="92">
        <f t="shared" si="824"/>
        <v>4.7402270667480746</v>
      </c>
      <c r="BH408" s="92">
        <f t="shared" si="824"/>
        <v>4.595015712141084</v>
      </c>
      <c r="BI408" s="92">
        <f t="shared" si="824"/>
        <v>4.5361739960360419</v>
      </c>
      <c r="BJ408" s="92">
        <f t="shared" si="824"/>
        <v>4.846988208974758</v>
      </c>
      <c r="BK408" s="92">
        <f t="shared" si="824"/>
        <v>4.9667600521299793</v>
      </c>
      <c r="BL408" s="92">
        <f t="shared" si="824"/>
        <v>4.9820379022364634</v>
      </c>
      <c r="BM408" s="92">
        <f t="shared" si="824"/>
        <v>5.0403936238393054</v>
      </c>
    </row>
    <row r="409" spans="1:65">
      <c r="A409" s="79" t="s">
        <v>194</v>
      </c>
      <c r="B409" s="92"/>
      <c r="C409" s="92"/>
      <c r="D409" s="92"/>
      <c r="E409" s="92"/>
      <c r="F409" s="92"/>
      <c r="G409" s="92"/>
      <c r="H409" s="92"/>
      <c r="I409" s="119"/>
      <c r="J409" s="119"/>
      <c r="K409" s="161">
        <f t="shared" ref="K409:Q409" si="825">SUM(K407:K408)</f>
        <v>511.37</v>
      </c>
      <c r="L409" s="161">
        <f t="shared" si="825"/>
        <v>470.26</v>
      </c>
      <c r="M409" s="161">
        <f t="shared" si="825"/>
        <v>460.17</v>
      </c>
      <c r="N409" s="161">
        <f t="shared" si="825"/>
        <v>441.49900000000002</v>
      </c>
      <c r="O409" s="161">
        <f t="shared" si="825"/>
        <v>430.1</v>
      </c>
      <c r="P409" s="161">
        <f t="shared" si="825"/>
        <v>410.81</v>
      </c>
      <c r="Q409" s="161">
        <f t="shared" si="825"/>
        <v>404.858</v>
      </c>
      <c r="R409" s="119">
        <f t="shared" ref="R409:AI409" si="826">SUM(R407:R408)</f>
        <v>587.47030492746319</v>
      </c>
      <c r="S409" s="119">
        <f t="shared" si="826"/>
        <v>613.46004515085178</v>
      </c>
      <c r="T409" s="119">
        <f t="shared" si="826"/>
        <v>499.34352079802488</v>
      </c>
      <c r="U409" s="119">
        <f t="shared" si="826"/>
        <v>413.64221667276468</v>
      </c>
      <c r="V409" s="119">
        <f t="shared" si="826"/>
        <v>502.2214367608712</v>
      </c>
      <c r="W409" s="119">
        <f t="shared" si="826"/>
        <v>623.35254473578857</v>
      </c>
      <c r="X409" s="119">
        <f t="shared" si="826"/>
        <v>509.74628295255951</v>
      </c>
      <c r="Y409" s="119">
        <f t="shared" si="826"/>
        <v>401.32091330154407</v>
      </c>
      <c r="Z409" s="119">
        <f t="shared" si="826"/>
        <v>942.28873549224681</v>
      </c>
      <c r="AA409" s="119">
        <f t="shared" si="826"/>
        <v>2109.546886604784</v>
      </c>
      <c r="AB409" s="119">
        <f t="shared" si="826"/>
        <v>1240.5977366734789</v>
      </c>
      <c r="AC409" s="119">
        <f t="shared" si="826"/>
        <v>1141.8526291493886</v>
      </c>
      <c r="AD409" s="119">
        <f t="shared" si="826"/>
        <v>1122.9807930584948</v>
      </c>
      <c r="AE409" s="119">
        <f t="shared" si="826"/>
        <v>939.27524526183856</v>
      </c>
      <c r="AF409" s="119">
        <f t="shared" si="826"/>
        <v>831.71594632810502</v>
      </c>
      <c r="AG409" s="119">
        <f t="shared" si="826"/>
        <v>788.80538892713582</v>
      </c>
      <c r="AH409" s="119">
        <f t="shared" si="826"/>
        <v>745.14939331083065</v>
      </c>
      <c r="AI409" s="119">
        <f t="shared" si="826"/>
        <v>635.6320669367235</v>
      </c>
      <c r="AJ409" s="119">
        <f t="shared" ref="AJ409:BC409" si="827">SUM(AJ407:AJ408)</f>
        <v>627.35421930457392</v>
      </c>
      <c r="AK409" s="119">
        <f t="shared" si="827"/>
        <v>619.21744634948539</v>
      </c>
      <c r="AL409" s="119">
        <f t="shared" si="827"/>
        <v>617.00540928591363</v>
      </c>
      <c r="AM409" s="119">
        <f t="shared" si="827"/>
        <v>625.57678343562475</v>
      </c>
      <c r="AN409" s="119">
        <f t="shared" si="827"/>
        <v>631.79725133061959</v>
      </c>
      <c r="AO409" s="119">
        <f t="shared" si="827"/>
        <v>626.45572733507504</v>
      </c>
      <c r="AP409" s="119">
        <f t="shared" si="827"/>
        <v>614.30557360724652</v>
      </c>
      <c r="AQ409" s="119">
        <f t="shared" si="827"/>
        <v>591.68843550460258</v>
      </c>
      <c r="AR409" s="119">
        <f t="shared" si="827"/>
        <v>570.14134388722232</v>
      </c>
      <c r="AS409" s="119">
        <f t="shared" si="827"/>
        <v>553.910881586453</v>
      </c>
      <c r="AT409" s="119">
        <f t="shared" si="827"/>
        <v>542.9324448483062</v>
      </c>
      <c r="AU409" s="119">
        <f t="shared" si="827"/>
        <v>532.79588408569441</v>
      </c>
      <c r="AV409" s="119">
        <f t="shared" si="827"/>
        <v>522.73884287365172</v>
      </c>
      <c r="AW409" s="119">
        <f t="shared" si="827"/>
        <v>513.35580515013805</v>
      </c>
      <c r="AX409" s="119">
        <f t="shared" si="827"/>
        <v>502.62071570451315</v>
      </c>
      <c r="AY409" s="119">
        <f t="shared" si="827"/>
        <v>494.21061268890833</v>
      </c>
      <c r="AZ409" s="119">
        <f t="shared" si="827"/>
        <v>485.3689848694334</v>
      </c>
      <c r="BA409" s="119">
        <f t="shared" si="827"/>
        <v>478.59226550502547</v>
      </c>
      <c r="BB409" s="119">
        <f t="shared" si="827"/>
        <v>471.32061611547545</v>
      </c>
      <c r="BC409" s="119">
        <f t="shared" si="827"/>
        <v>461.8396394804837</v>
      </c>
      <c r="BD409" s="119">
        <f t="shared" ref="BD409:BM409" si="828">SUM(BD407:BD408)</f>
        <v>455.03741319895983</v>
      </c>
      <c r="BE409" s="119">
        <f t="shared" si="828"/>
        <v>445.18359999808263</v>
      </c>
      <c r="BF409" s="119">
        <f t="shared" si="828"/>
        <v>437.53880269185805</v>
      </c>
      <c r="BG409" s="119">
        <f t="shared" si="828"/>
        <v>429.81014219546881</v>
      </c>
      <c r="BH409" s="119">
        <f t="shared" si="828"/>
        <v>422.99421516964838</v>
      </c>
      <c r="BI409" s="119">
        <f t="shared" si="828"/>
        <v>416.24161337261791</v>
      </c>
      <c r="BJ409" s="119">
        <f t="shared" si="828"/>
        <v>409.89925238679081</v>
      </c>
      <c r="BK409" s="119">
        <f t="shared" si="828"/>
        <v>401.27868495712244</v>
      </c>
      <c r="BL409" s="119">
        <f t="shared" si="828"/>
        <v>393.23880164320565</v>
      </c>
      <c r="BM409" s="119">
        <f t="shared" si="828"/>
        <v>384.75379567822836</v>
      </c>
    </row>
    <row r="410" spans="1:65">
      <c r="A410" s="78" t="s">
        <v>438</v>
      </c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158"/>
      <c r="BH410" s="158"/>
      <c r="BI410" s="158"/>
      <c r="BJ410" s="158"/>
      <c r="BK410" s="158"/>
      <c r="BL410" s="158"/>
      <c r="BM410" s="158"/>
    </row>
    <row r="411" spans="1:65"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62"/>
      <c r="N411" s="86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  <c r="BI411" s="158"/>
      <c r="BJ411" s="158"/>
      <c r="BK411" s="158"/>
      <c r="BL411" s="158"/>
      <c r="BM411" s="158"/>
    </row>
    <row r="412" spans="1:65">
      <c r="A412" s="78" t="s">
        <v>222</v>
      </c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158"/>
      <c r="BH412" s="158"/>
      <c r="BI412" s="158"/>
      <c r="BJ412" s="158"/>
      <c r="BK412" s="158"/>
      <c r="BL412" s="158"/>
      <c r="BM412" s="158"/>
    </row>
    <row r="413" spans="1:65">
      <c r="A413" s="79" t="s">
        <v>195</v>
      </c>
      <c r="B413" s="92" t="e">
        <f>SNKS!#REF!/1000</f>
        <v>#REF!</v>
      </c>
      <c r="C413" s="92" t="e">
        <f>SNKS!#REF!/1000</f>
        <v>#REF!</v>
      </c>
      <c r="D413" s="92" t="e">
        <f>SNKS!#REF!/1000</f>
        <v>#REF!</v>
      </c>
      <c r="E413" s="92" t="e">
        <f>SNKS!#REF!/1000</f>
        <v>#REF!</v>
      </c>
      <c r="F413" s="92" t="e">
        <f>SNKS!#REF!/1000</f>
        <v>#REF!</v>
      </c>
      <c r="G413" s="92" t="e">
        <f>SNKS!#REF!/1000</f>
        <v>#REF!</v>
      </c>
      <c r="H413" s="92" t="e">
        <f>SNKS!#REF!/1000</f>
        <v>#REF!</v>
      </c>
      <c r="I413" s="92" t="e">
        <f>SNKS!#REF!/1000</f>
        <v>#REF!</v>
      </c>
      <c r="J413" s="92" t="e">
        <f>SNKS!#REF!/1000</f>
        <v>#REF!</v>
      </c>
      <c r="K413" s="92" t="e">
        <f>SNKS!#REF!/1000</f>
        <v>#REF!</v>
      </c>
      <c r="L413" s="92">
        <f>SNKS!B62/1000</f>
        <v>0</v>
      </c>
      <c r="M413" s="92">
        <f>SNKS!C62/1000</f>
        <v>0</v>
      </c>
      <c r="N413" s="92">
        <f>SNKS!D62/1000</f>
        <v>0</v>
      </c>
      <c r="O413" s="92">
        <f>SNKS!E62/1000</f>
        <v>0</v>
      </c>
      <c r="P413" s="92">
        <f>SNKS!F62/1000</f>
        <v>0</v>
      </c>
      <c r="Q413" s="92">
        <f>SNKS!G62/1000</f>
        <v>0</v>
      </c>
      <c r="R413" s="92">
        <f>SNKS!H62/1000</f>
        <v>0</v>
      </c>
      <c r="S413" s="92">
        <f>SNKS!I62/1000</f>
        <v>154.506</v>
      </c>
      <c r="T413" s="92">
        <f>SNKS!J62/1000</f>
        <v>90.585999999999999</v>
      </c>
      <c r="U413" s="92">
        <f>SNKS!K62/1000</f>
        <v>56.573</v>
      </c>
      <c r="V413" s="92">
        <f>SNKS!L62/1000</f>
        <v>97.633515696576509</v>
      </c>
      <c r="W413" s="92">
        <f>SNKS!M62/1000</f>
        <v>158.26085311819702</v>
      </c>
      <c r="X413" s="92">
        <f>SNKS!N62/1000</f>
        <v>124.03681919853962</v>
      </c>
      <c r="Y413" s="92">
        <f>SNKS!O62/1000</f>
        <v>-4.5037405317637145</v>
      </c>
      <c r="Z413" s="92">
        <f>SNKS!P62/1000</f>
        <v>296.96375261051327</v>
      </c>
      <c r="AA413" s="92">
        <f>SNKS!Q62/1000</f>
        <v>943.81615003734885</v>
      </c>
      <c r="AB413" s="92">
        <f>SNKS!R62/1000</f>
        <v>474.56704584321045</v>
      </c>
      <c r="AC413" s="92">
        <f>SNKS!S62/1000</f>
        <v>390.03665302243348</v>
      </c>
      <c r="AD413" s="92">
        <f>SNKS!T62/1000</f>
        <v>337.7</v>
      </c>
      <c r="AE413" s="92">
        <f>SNKS!U62/1000</f>
        <v>266.89999999999998</v>
      </c>
      <c r="AF413" s="92">
        <f>SNKS!V62/1000</f>
        <v>233.7</v>
      </c>
      <c r="AG413" s="92">
        <f>SNKS!W62/1000</f>
        <v>220.9</v>
      </c>
      <c r="AH413" s="92">
        <f>SNKS!X62/1000</f>
        <v>201</v>
      </c>
      <c r="AI413" s="92">
        <f>SNKS!Y62/1000</f>
        <v>146.4</v>
      </c>
      <c r="AJ413" s="92">
        <f>SNKS!Z62/1000</f>
        <v>150.6</v>
      </c>
      <c r="AK413" s="92">
        <f>SNKS!AA62/1000</f>
        <v>150.4</v>
      </c>
      <c r="AL413" s="92">
        <f>SNKS!AB62/1000</f>
        <v>146</v>
      </c>
      <c r="AM413" s="92">
        <f>SNKS!AC62/1000</f>
        <v>155.80000000000001</v>
      </c>
      <c r="AN413" s="92">
        <f>SNKS!AD62/1000</f>
        <v>163.80000000000001</v>
      </c>
      <c r="AO413" s="92">
        <f>SNKS!AE62/1000</f>
        <v>166.6</v>
      </c>
      <c r="AP413" s="92">
        <f>SNKS!AF62/1000</f>
        <v>159</v>
      </c>
      <c r="AQ413" s="92">
        <f>SNKS!AG62/1000</f>
        <v>144.6</v>
      </c>
      <c r="AR413" s="92">
        <f>SNKS!AH62/1000</f>
        <v>136.1</v>
      </c>
      <c r="AS413" s="92">
        <f>SNKS!AI62/1000</f>
        <v>128.1</v>
      </c>
      <c r="AT413" s="92">
        <f>SNKS!AJ62/1000</f>
        <v>122.3</v>
      </c>
      <c r="AU413" s="92">
        <f>SNKS!AK62/1000</f>
        <v>111.6</v>
      </c>
      <c r="AV413" s="92">
        <f>SNKS!AL62/1000</f>
        <v>108.6</v>
      </c>
      <c r="AW413" s="92">
        <f>SNKS!AM62/1000</f>
        <v>102.6</v>
      </c>
      <c r="AX413" s="92">
        <f>SNKS!AN62/1000</f>
        <v>96.7</v>
      </c>
      <c r="AY413" s="92">
        <f>SNKS!AO62/1000</f>
        <v>94.5</v>
      </c>
      <c r="AZ413" s="92">
        <f>SNKS!AP62/1000</f>
        <v>88.8</v>
      </c>
      <c r="BA413" s="92">
        <f>SNKS!AQ62/1000</f>
        <v>87.9</v>
      </c>
      <c r="BB413" s="92">
        <f>SNKS!AR62/1000</f>
        <v>86.1</v>
      </c>
      <c r="BC413" s="92">
        <f>SNKS!AS62/1000</f>
        <v>87.9</v>
      </c>
      <c r="BD413" s="92">
        <f>SNKS!AT62/1000</f>
        <v>89.9</v>
      </c>
      <c r="BE413" s="92">
        <f>SNKS!AU62/1000</f>
        <v>84.4</v>
      </c>
      <c r="BF413" s="92">
        <f>SNKS!AV62/1000</f>
        <v>80.5</v>
      </c>
      <c r="BG413" s="92">
        <f>SNKS!AW62/1000</f>
        <v>74.099999999999994</v>
      </c>
      <c r="BH413" s="92">
        <f>SNKS!AX62/1000</f>
        <v>72.099999999999994</v>
      </c>
      <c r="BI413" s="92">
        <f>SNKS!AY62/1000</f>
        <v>75.5</v>
      </c>
      <c r="BJ413" s="92">
        <f>SNKS!AZ62/1000</f>
        <v>73.7</v>
      </c>
      <c r="BK413" s="92">
        <f>SNKS!BA62/1000</f>
        <v>64.400000000000006</v>
      </c>
      <c r="BL413" s="92">
        <f>SNKS!BB62/1000</f>
        <v>62.8</v>
      </c>
      <c r="BM413" s="92">
        <f>SNKS!BC62/1000</f>
        <v>58</v>
      </c>
    </row>
    <row r="414" spans="1:65">
      <c r="A414" s="79" t="s">
        <v>196</v>
      </c>
      <c r="B414" s="92" t="e">
        <f>SNKS!#REF!/1000</f>
        <v>#REF!</v>
      </c>
      <c r="C414" s="92" t="e">
        <f>SNKS!#REF!/1000</f>
        <v>#REF!</v>
      </c>
      <c r="D414" s="92" t="e">
        <f>SNKS!#REF!/1000</f>
        <v>#REF!</v>
      </c>
      <c r="E414" s="92" t="e">
        <f>SNKS!#REF!/1000</f>
        <v>#REF!</v>
      </c>
      <c r="F414" s="92" t="e">
        <f>SNKS!#REF!/1000</f>
        <v>#REF!</v>
      </c>
      <c r="G414" s="92" t="e">
        <f>SNKS!#REF!/1000</f>
        <v>#REF!</v>
      </c>
      <c r="H414" s="92" t="e">
        <f>SNKS!#REF!/1000</f>
        <v>#REF!</v>
      </c>
      <c r="I414" s="92" t="e">
        <f>SNKS!#REF!/1000</f>
        <v>#REF!</v>
      </c>
      <c r="J414" s="92" t="e">
        <f>SNKS!#REF!/1000</f>
        <v>#REF!</v>
      </c>
      <c r="K414" s="92" t="e">
        <f>SNKS!#REF!/1000</f>
        <v>#REF!</v>
      </c>
      <c r="L414" s="92">
        <f>SNKS!B75/1000</f>
        <v>0</v>
      </c>
      <c r="M414" s="92">
        <f>SNKS!C75/1000</f>
        <v>0</v>
      </c>
      <c r="N414" s="92">
        <f>SNKS!D75/1000</f>
        <v>0</v>
      </c>
      <c r="O414" s="92">
        <f>SNKS!E75/1000</f>
        <v>0</v>
      </c>
      <c r="P414" s="92">
        <f>SNKS!F75/1000</f>
        <v>0</v>
      </c>
      <c r="Q414" s="92">
        <f>SNKS!G75/1000</f>
        <v>0</v>
      </c>
      <c r="R414" s="92">
        <f>SNKS!H75/1000</f>
        <v>0</v>
      </c>
      <c r="S414" s="92">
        <f>SNKS!I75/1000</f>
        <v>176.162843103</v>
      </c>
      <c r="T414" s="92">
        <f>SNKS!J75/1000</f>
        <v>110.15715349475001</v>
      </c>
      <c r="U414" s="92">
        <f>SNKS!K75/1000</f>
        <v>47.605847314279998</v>
      </c>
      <c r="V414" s="92">
        <f>SNKS!L75/1000</f>
        <v>71.176774652000006</v>
      </c>
      <c r="W414" s="92">
        <f>SNKS!M75/1000</f>
        <v>117.28698838915001</v>
      </c>
      <c r="X414" s="92">
        <f>SNKS!N75/1000</f>
        <v>140.37904115199999</v>
      </c>
      <c r="Y414" s="92">
        <f>SNKS!O75/1000</f>
        <v>35.407874438</v>
      </c>
      <c r="Z414" s="92">
        <f>SNKS!P75/1000</f>
        <v>91.848780846989996</v>
      </c>
      <c r="AA414" s="92">
        <f>SNKS!Q75/1000</f>
        <v>720.93096505800008</v>
      </c>
      <c r="AB414" s="92">
        <f>SNKS!R75/1000</f>
        <v>623.24542463299997</v>
      </c>
      <c r="AC414" s="92">
        <f>SNKS!S75/1000</f>
        <v>420.33940481100007</v>
      </c>
      <c r="AD414" s="92">
        <f>SNKS!T75/1000</f>
        <v>383.80099999999999</v>
      </c>
      <c r="AE414" s="92">
        <f>SNKS!U75/1000</f>
        <v>302.50099999999998</v>
      </c>
      <c r="AF414" s="92">
        <f>SNKS!V75/1000</f>
        <v>247.5</v>
      </c>
      <c r="AG414" s="92">
        <f>SNKS!W75/1000</f>
        <v>229.4</v>
      </c>
      <c r="AH414" s="92">
        <f>SNKS!X75/1000</f>
        <v>211.6</v>
      </c>
      <c r="AI414" s="92">
        <f>SNKS!Y75/1000</f>
        <v>176.8</v>
      </c>
      <c r="AJ414" s="92">
        <f>SNKS!Z75/1000</f>
        <v>144.1</v>
      </c>
      <c r="AK414" s="92">
        <f>SNKS!AA75/1000</f>
        <v>148.4</v>
      </c>
      <c r="AL414" s="92">
        <f>SNKS!AB75/1000</f>
        <v>147.9</v>
      </c>
      <c r="AM414" s="92">
        <f>SNKS!AC75/1000</f>
        <v>150.5</v>
      </c>
      <c r="AN414" s="92">
        <f>SNKS!AD75/1000</f>
        <v>160.19999999999999</v>
      </c>
      <c r="AO414" s="92">
        <f>SNKS!AE75/1000</f>
        <v>165.6</v>
      </c>
      <c r="AP414" s="92">
        <f>SNKS!AF75/1000</f>
        <v>163</v>
      </c>
      <c r="AQ414" s="92">
        <f>SNKS!AG75/1000</f>
        <v>152.1</v>
      </c>
      <c r="AR414" s="92">
        <f>SNKS!AH75/1000</f>
        <v>139.80000000000001</v>
      </c>
      <c r="AS414" s="92">
        <f>SNKS!AI75/1000</f>
        <v>131.5</v>
      </c>
      <c r="AT414" s="92">
        <f>SNKS!AJ75/1000</f>
        <v>125.6</v>
      </c>
      <c r="AU414" s="92">
        <f>SNKS!AK75/1000</f>
        <v>117.1</v>
      </c>
      <c r="AV414" s="92">
        <f>SNKS!AL75/1000</f>
        <v>109.7</v>
      </c>
      <c r="AW414" s="92">
        <f>SNKS!AM75/1000</f>
        <v>105.7</v>
      </c>
      <c r="AX414" s="92">
        <f>SNKS!AN75/1000</f>
        <v>99.7</v>
      </c>
      <c r="AY414" s="92">
        <f>SNKS!AO75/1000</f>
        <v>95.2</v>
      </c>
      <c r="AZ414" s="92">
        <f>SNKS!AP75/1000</f>
        <v>91.9</v>
      </c>
      <c r="BA414" s="92">
        <f>SNKS!AQ75/1000</f>
        <v>90</v>
      </c>
      <c r="BB414" s="92">
        <f>SNKS!AR75/1000</f>
        <v>87.5</v>
      </c>
      <c r="BC414" s="92">
        <f>SNKS!AS75/1000</f>
        <v>84.7</v>
      </c>
      <c r="BD414" s="92">
        <f>SNKS!AT75/1000</f>
        <v>89.1</v>
      </c>
      <c r="BE414" s="92">
        <f>SNKS!AU75/1000</f>
        <v>87.1</v>
      </c>
      <c r="BF414" s="92">
        <f>SNKS!AV75/1000</f>
        <v>82.5</v>
      </c>
      <c r="BG414" s="92">
        <f>SNKS!AW75/1000</f>
        <v>77.3</v>
      </c>
      <c r="BH414" s="92">
        <f>SNKS!AX75/1000</f>
        <v>73.099999999999994</v>
      </c>
      <c r="BI414" s="92">
        <f>SNKS!AY75/1000</f>
        <v>73.7</v>
      </c>
      <c r="BJ414" s="92">
        <f>SNKS!AZ75/1000</f>
        <v>74.900000000000006</v>
      </c>
      <c r="BK414" s="92">
        <f>SNKS!BA75/1000</f>
        <v>68.7</v>
      </c>
      <c r="BL414" s="92">
        <f>SNKS!BB75/1000</f>
        <v>63.8</v>
      </c>
      <c r="BM414" s="92">
        <f>SNKS!BC75/1000</f>
        <v>60.5</v>
      </c>
    </row>
    <row r="415" spans="1:65">
      <c r="A415" s="79" t="s">
        <v>197</v>
      </c>
      <c r="B415" s="92" t="e">
        <f>SNKS!#REF!/1000</f>
        <v>#REF!</v>
      </c>
      <c r="C415" s="92" t="e">
        <f>SNKS!#REF!/1000</f>
        <v>#REF!</v>
      </c>
      <c r="D415" s="92" t="e">
        <f>SNKS!#REF!/1000</f>
        <v>#REF!</v>
      </c>
      <c r="E415" s="92" t="e">
        <f>SNKS!#REF!/1000</f>
        <v>#REF!</v>
      </c>
      <c r="F415" s="92" t="e">
        <f>SNKS!#REF!/1000</f>
        <v>#REF!</v>
      </c>
      <c r="G415" s="92" t="e">
        <f>SNKS!#REF!/1000</f>
        <v>#REF!</v>
      </c>
      <c r="H415" s="92" t="e">
        <f>SNKS!#REF!/1000</f>
        <v>#REF!</v>
      </c>
      <c r="I415" s="92" t="e">
        <f>SNKS!#REF!/1000</f>
        <v>#REF!</v>
      </c>
      <c r="J415" s="92" t="e">
        <f>SNKS!#REF!/1000</f>
        <v>#REF!</v>
      </c>
      <c r="K415" s="92" t="e">
        <f>SNKS!#REF!/1000</f>
        <v>#REF!</v>
      </c>
      <c r="L415" s="92">
        <f>SNKS!B81/1000</f>
        <v>0</v>
      </c>
      <c r="M415" s="92">
        <f>SNKS!C81/1000</f>
        <v>0</v>
      </c>
      <c r="N415" s="92">
        <f>SNKS!D81/1000</f>
        <v>0</v>
      </c>
      <c r="O415" s="92">
        <f>SNKS!E81/1000</f>
        <v>0</v>
      </c>
      <c r="P415" s="92">
        <f>SNKS!F81/1000</f>
        <v>0</v>
      </c>
      <c r="Q415" s="92">
        <f>SNKS!G81/1000</f>
        <v>0</v>
      </c>
      <c r="R415" s="92">
        <f>SNKS!H81/1000</f>
        <v>0</v>
      </c>
      <c r="S415" s="92">
        <f>SNKS!I81/1000</f>
        <v>112.85891510136001</v>
      </c>
      <c r="T415" s="92">
        <f>SNKS!J81/1000</f>
        <v>92.716477836900012</v>
      </c>
      <c r="U415" s="92">
        <f>SNKS!K81/1000</f>
        <v>66.455308129570014</v>
      </c>
      <c r="V415" s="92">
        <f>SNKS!L81/1000</f>
        <v>88.272033852060005</v>
      </c>
      <c r="W415" s="92">
        <f>SNKS!M81/1000</f>
        <v>118.68768996439999</v>
      </c>
      <c r="X415" s="92">
        <f>SNKS!N81/1000</f>
        <v>96.487643174239992</v>
      </c>
      <c r="Y415" s="92">
        <f>SNKS!O81/1000</f>
        <v>56.386695961829986</v>
      </c>
      <c r="Z415" s="92">
        <f>SNKS!P81/1000</f>
        <v>185.17006845045998</v>
      </c>
      <c r="AA415" s="92">
        <f>SNKS!Q81/1000</f>
        <v>529.03382500000009</v>
      </c>
      <c r="AB415" s="92">
        <f>SNKS!R81/1000</f>
        <v>276.51044899999999</v>
      </c>
      <c r="AC415" s="92">
        <f>SNKS!S81/1000</f>
        <v>219.24198699999997</v>
      </c>
      <c r="AD415" s="92">
        <f>SNKS!T81/1000</f>
        <v>242.04644099999999</v>
      </c>
      <c r="AE415" s="92">
        <f>SNKS!U81/1000</f>
        <v>193</v>
      </c>
      <c r="AF415" s="92">
        <f>SNKS!V81/1000</f>
        <v>146.4</v>
      </c>
      <c r="AG415" s="92">
        <f>SNKS!W81/1000</f>
        <v>136.80000000000001</v>
      </c>
      <c r="AH415" s="92">
        <f>SNKS!X81/1000</f>
        <v>114.6</v>
      </c>
      <c r="AI415" s="92">
        <f>SNKS!Y81/1000</f>
        <v>89.203674174580712</v>
      </c>
      <c r="AJ415" s="92">
        <f>SNKS!Z81/1000</f>
        <v>82.769622519453847</v>
      </c>
      <c r="AK415" s="92">
        <f>SNKS!AA81/1000</f>
        <v>77.230201543758895</v>
      </c>
      <c r="AL415" s="92">
        <f>SNKS!AB81/1000</f>
        <v>76.357541146607247</v>
      </c>
      <c r="AM415" s="92">
        <f>SNKS!AC81/1000</f>
        <v>75.829608035033573</v>
      </c>
      <c r="AN415" s="92">
        <f>SNKS!AD81/1000</f>
        <v>75.862685560366003</v>
      </c>
      <c r="AO415" s="92">
        <f>SNKS!AE81/1000</f>
        <v>71.26844688569912</v>
      </c>
      <c r="AP415" s="92">
        <f>SNKS!AF81/1000</f>
        <v>68.346127704707186</v>
      </c>
      <c r="AQ415" s="92">
        <f>SNKS!AG81/1000</f>
        <v>59.345847222363112</v>
      </c>
      <c r="AR415" s="92">
        <f>SNKS!AH81/1000</f>
        <v>50.564700486803424</v>
      </c>
      <c r="AS415" s="92">
        <f>SNKS!AI81/1000</f>
        <v>45.16983563789411</v>
      </c>
      <c r="AT415" s="92">
        <f>SNKS!AJ81/1000</f>
        <v>38.334755981818702</v>
      </c>
      <c r="AU415" s="92">
        <f>SNKS!AK81/1000</f>
        <v>41.023390788926541</v>
      </c>
      <c r="AV415" s="92">
        <f>SNKS!AL81/1000</f>
        <v>34.50663675691704</v>
      </c>
      <c r="AW415" s="92">
        <f>SNKS!AM81/1000</f>
        <v>35.038850461639349</v>
      </c>
      <c r="AX415" s="92">
        <f>SNKS!AN81/1000</f>
        <v>31.126216873736325</v>
      </c>
      <c r="AY415" s="92">
        <f>SNKS!AO81/1000</f>
        <v>30.142840962985471</v>
      </c>
      <c r="AZ415" s="92">
        <f>SNKS!AP81/1000</f>
        <v>26.317668382721575</v>
      </c>
      <c r="BA415" s="92">
        <f>SNKS!AQ81/1000</f>
        <v>25.257342233725023</v>
      </c>
      <c r="BB415" s="92">
        <f>SNKS!AR81/1000</f>
        <v>22.859914478191918</v>
      </c>
      <c r="BC415" s="92">
        <f>SNKS!AS81/1000</f>
        <v>18.668316467733327</v>
      </c>
      <c r="BD415" s="92">
        <f>SNKS!AT81/1000</f>
        <v>16.055360757876144</v>
      </c>
      <c r="BE415" s="92">
        <f>SNKS!AU81/1000</f>
        <v>14.921610863032663</v>
      </c>
      <c r="BF415" s="92">
        <f>SNKS!AV81/1000</f>
        <v>11.29847282736274</v>
      </c>
      <c r="BG415" s="92">
        <f>SNKS!AW81/1000</f>
        <v>9.0917347504193167</v>
      </c>
      <c r="BH415" s="92">
        <f>SNKS!AX81/1000</f>
        <v>8.7253556189036612</v>
      </c>
      <c r="BI415" s="92">
        <f>SNKS!AY81/1000</f>
        <v>9.307619028668217</v>
      </c>
      <c r="BJ415" s="92">
        <f>SNKS!AZ81/1000</f>
        <v>8.4237907898821867</v>
      </c>
      <c r="BK415" s="92">
        <f>SNKS!BA81/1000</f>
        <v>11.661905706648191</v>
      </c>
      <c r="BL415" s="92">
        <f>SNKS!BB81/1000</f>
        <v>10.939587426344158</v>
      </c>
      <c r="BM415" s="92">
        <f>SNKS!BC81/1000</f>
        <v>10.950908370651611</v>
      </c>
    </row>
    <row r="416" spans="1:65">
      <c r="A416" s="79" t="s">
        <v>198</v>
      </c>
      <c r="B416" s="92" t="e">
        <f>SNKS!#REF!/1000</f>
        <v>#REF!</v>
      </c>
      <c r="C416" s="92" t="e">
        <f>SNKS!#REF!/1000</f>
        <v>#REF!</v>
      </c>
      <c r="D416" s="92" t="e">
        <f>SNKS!#REF!/1000</f>
        <v>#REF!</v>
      </c>
      <c r="E416" s="92" t="e">
        <f>SNKS!#REF!/1000</f>
        <v>#REF!</v>
      </c>
      <c r="F416" s="92" t="e">
        <f>SNKS!#REF!/1000</f>
        <v>#REF!</v>
      </c>
      <c r="G416" s="92" t="e">
        <f>SNKS!#REF!/1000</f>
        <v>#REF!</v>
      </c>
      <c r="H416" s="92" t="e">
        <f>SNKS!#REF!/1000</f>
        <v>#REF!</v>
      </c>
      <c r="I416" s="92" t="e">
        <f>SNKS!#REF!/1000</f>
        <v>#REF!</v>
      </c>
      <c r="J416" s="92" t="e">
        <f>SNKS!#REF!/1000</f>
        <v>#REF!</v>
      </c>
      <c r="K416" s="92" t="e">
        <f>SNKS!#REF!/1000</f>
        <v>#REF!</v>
      </c>
      <c r="L416" s="92">
        <f>SNKS!B86/1000</f>
        <v>14.005699</v>
      </c>
      <c r="M416" s="92">
        <f>SNKS!C86/1000</f>
        <v>16.940157781499998</v>
      </c>
      <c r="N416" s="92">
        <f>SNKS!D86/1000</f>
        <v>15.489000000000001</v>
      </c>
      <c r="O416" s="92">
        <f>SNKS!E86/1000</f>
        <v>12.818</v>
      </c>
      <c r="P416" s="92">
        <f>SNKS!F86/1000</f>
        <v>13.352459999999999</v>
      </c>
      <c r="Q416" s="92">
        <f>SNKS!G86/1000</f>
        <v>13.886558134000001</v>
      </c>
      <c r="R416" s="92">
        <f>SNKS!H86/1000</f>
        <v>14.420656523</v>
      </c>
      <c r="S416" s="92">
        <f>SNKS!I86/1000</f>
        <v>22.646000000000001</v>
      </c>
      <c r="T416" s="92">
        <f>SNKS!J86/1000</f>
        <v>15.382</v>
      </c>
      <c r="U416" s="92">
        <f>SNKS!K86/1000</f>
        <v>10.717497974</v>
      </c>
      <c r="V416" s="92">
        <f>SNKS!L86/1000</f>
        <v>8.3978199999999994</v>
      </c>
      <c r="W416" s="92">
        <f>SNKS!M86/1000</f>
        <v>14.984124</v>
      </c>
      <c r="X416" s="92">
        <f>SNKS!N86/1000</f>
        <v>20.056967202999999</v>
      </c>
      <c r="Y416" s="92">
        <f>SNKS!O86/1000</f>
        <v>15.029919</v>
      </c>
      <c r="Z416" s="92">
        <f>SNKS!P86/1000</f>
        <v>10.493748338</v>
      </c>
      <c r="AA416" s="92">
        <f>SNKS!Q86/1000</f>
        <v>35.258259494000001</v>
      </c>
      <c r="AB416" s="92">
        <f>SNKS!R86/1000</f>
        <v>78.308999999999997</v>
      </c>
      <c r="AC416" s="92">
        <f>SNKS!S86/1000</f>
        <v>62.578000000000003</v>
      </c>
      <c r="AD416" s="92">
        <f>SNKS!T86/1000</f>
        <v>37.768099999999997</v>
      </c>
      <c r="AE416" s="92">
        <f>SNKS!U86/1000</f>
        <v>25.804599999999997</v>
      </c>
      <c r="AF416" s="92">
        <f>SNKS!V86/1000</f>
        <v>13.754373600000003</v>
      </c>
      <c r="AG416" s="92">
        <f>SNKS!W86/1000</f>
        <v>13.831600912755103</v>
      </c>
      <c r="AH416" s="92">
        <f>SNKS!X86/1000</f>
        <v>13.895068347959189</v>
      </c>
      <c r="AI416" s="92">
        <f>SNKS!Y86/1000</f>
        <v>13.904184266836738</v>
      </c>
      <c r="AJ416" s="92">
        <f>SNKS!Z86/1000</f>
        <v>14.565091117058424</v>
      </c>
      <c r="AK416" s="92">
        <f>SNKS!AA86/1000</f>
        <v>15.246872567582244</v>
      </c>
      <c r="AL416" s="92">
        <f>SNKS!AB86/1000</f>
        <v>15.950099239680194</v>
      </c>
      <c r="AM416" s="92">
        <f>SNKS!AC86/1000</f>
        <v>16.675356229635025</v>
      </c>
      <c r="AN416" s="92">
        <f>SNKS!AD86/1000</f>
        <v>17.423276285741451</v>
      </c>
      <c r="AO416" s="92">
        <f>SNKS!AE86/1000</f>
        <v>17.77174181145628</v>
      </c>
      <c r="AP416" s="92">
        <f>SNKS!AF86/1000</f>
        <v>18.127176647685406</v>
      </c>
      <c r="AQ416" s="92">
        <f>SNKS!AG86/1000</f>
        <v>18.489720180639114</v>
      </c>
      <c r="AR416" s="92">
        <f>SNKS!AH86/1000</f>
        <v>18.859514584251897</v>
      </c>
      <c r="AS416" s="92">
        <f>SNKS!AI86/1000</f>
        <v>19.236704875936937</v>
      </c>
      <c r="AT416" s="92">
        <f>SNKS!AJ86/1000</f>
        <v>19.621438973455675</v>
      </c>
      <c r="AU416" s="92">
        <f>SNKS!AK86/1000</f>
        <v>20.013867752924792</v>
      </c>
      <c r="AV416" s="92">
        <f>SNKS!AL86/1000</f>
        <v>20.414145107983288</v>
      </c>
      <c r="AW416" s="92">
        <f>SNKS!AM86/1000</f>
        <v>20.82242801014295</v>
      </c>
      <c r="AX416" s="92">
        <f>SNKS!AN86/1000</f>
        <v>21.238876570345809</v>
      </c>
      <c r="AY416" s="92">
        <f>SNKS!AO86/1000</f>
        <v>21.663654101752726</v>
      </c>
      <c r="AZ416" s="92">
        <f>SNKS!AP86/1000</f>
        <v>22.096927183787781</v>
      </c>
      <c r="BA416" s="92">
        <f>SNKS!AQ86/1000</f>
        <v>22.538865727463538</v>
      </c>
      <c r="BB416" s="92">
        <f>SNKS!AR86/1000</f>
        <v>22.989643042012812</v>
      </c>
      <c r="BC416" s="92">
        <f>SNKS!AS86/1000</f>
        <v>23.449435902853068</v>
      </c>
      <c r="BD416" s="92">
        <f>SNKS!AT86/1000</f>
        <v>23.918424620910127</v>
      </c>
      <c r="BE416" s="92">
        <f>SNKS!AU86/1000</f>
        <v>24.396793113328329</v>
      </c>
      <c r="BF416" s="92">
        <f>SNKS!AV86/1000</f>
        <v>24.884728975594896</v>
      </c>
      <c r="BG416" s="92">
        <f>SNKS!AW86/1000</f>
        <v>25.382423555106797</v>
      </c>
      <c r="BH416" s="92">
        <f>SNKS!AX86/1000</f>
        <v>25.890072026208934</v>
      </c>
      <c r="BI416" s="92">
        <f>SNKS!AY86/1000</f>
        <v>26.407873466733115</v>
      </c>
      <c r="BJ416" s="92">
        <f>SNKS!AZ86/1000</f>
        <v>26.936030936067777</v>
      </c>
      <c r="BK416" s="92">
        <f>SNKS!BA86/1000</f>
        <v>27.474751554789133</v>
      </c>
      <c r="BL416" s="92">
        <f>SNKS!BB86/1000</f>
        <v>28.024246585884917</v>
      </c>
      <c r="BM416" s="92">
        <f>SNKS!BC86/1000</f>
        <v>28.584731517602609</v>
      </c>
    </row>
    <row r="417" spans="1:65">
      <c r="A417" s="78" t="s">
        <v>199</v>
      </c>
      <c r="B417" s="119" t="e">
        <f>SNKS!#REF!/1000</f>
        <v>#REF!</v>
      </c>
      <c r="C417" s="119" t="e">
        <f>SNKS!#REF!/1000</f>
        <v>#REF!</v>
      </c>
      <c r="D417" s="119" t="e">
        <f>SNKS!#REF!/1000</f>
        <v>#REF!</v>
      </c>
      <c r="E417" s="119" t="e">
        <f>SNKS!#REF!/1000</f>
        <v>#REF!</v>
      </c>
      <c r="F417" s="119" t="e">
        <f>SNKS!#REF!/1000</f>
        <v>#REF!</v>
      </c>
      <c r="G417" s="119" t="e">
        <f>SNKS!#REF!/1000</f>
        <v>#REF!</v>
      </c>
      <c r="H417" s="119" t="e">
        <f>SNKS!#REF!/1000</f>
        <v>#REF!</v>
      </c>
      <c r="I417" s="119" t="e">
        <f>SNKS!#REF!/1000</f>
        <v>#REF!</v>
      </c>
      <c r="J417" s="119" t="e">
        <f>SNKS!#REF!/1000</f>
        <v>#REF!</v>
      </c>
      <c r="K417" s="119" t="e">
        <f>SNKS!#REF!/1000</f>
        <v>#REF!</v>
      </c>
      <c r="L417" s="119">
        <f>SNKS!B99/1000</f>
        <v>316.38937099999998</v>
      </c>
      <c r="M417" s="119">
        <f>SNKS!C99/1000</f>
        <v>415.86612618789997</v>
      </c>
      <c r="N417" s="119">
        <f>SNKS!D99/1000</f>
        <v>279.79389899999995</v>
      </c>
      <c r="O417" s="119">
        <f>SNKS!E99/1000</f>
        <v>275.95735899999994</v>
      </c>
      <c r="P417" s="119">
        <f>SNKS!F99/1000</f>
        <v>350.80349889238005</v>
      </c>
      <c r="Q417" s="119">
        <f>SNKS!G99/1000</f>
        <v>395.48276327166997</v>
      </c>
      <c r="R417" s="119">
        <f>SNKS!H99/1000</f>
        <v>345.15132982790999</v>
      </c>
      <c r="S417" s="119">
        <f>SNKS!I99/1000</f>
        <v>311.66575820436003</v>
      </c>
      <c r="T417" s="119">
        <f>SNKS!J99/1000</f>
        <v>218.25563133165002</v>
      </c>
      <c r="U417" s="119">
        <f>SNKS!K99/1000</f>
        <v>124.77865341784999</v>
      </c>
      <c r="V417" s="119">
        <f>SNKS!L99/1000</f>
        <v>167.84662850406002</v>
      </c>
      <c r="W417" s="119">
        <f>SNKS!M99/1000</f>
        <v>250.95880235355</v>
      </c>
      <c r="X417" s="119">
        <f>SNKS!N99/1000</f>
        <v>256.92365152923998</v>
      </c>
      <c r="Y417" s="119">
        <f>SNKS!O99/1000</f>
        <v>106.82448939982999</v>
      </c>
      <c r="Z417" s="119">
        <f>SNKS!P99/1000</f>
        <v>287.51259763544994</v>
      </c>
      <c r="AA417" s="119">
        <f>SNKS!Q99/1000</f>
        <v>1285.223049552</v>
      </c>
      <c r="AB417" s="119">
        <f>SNKS!R99/1000</f>
        <v>978.06487363299993</v>
      </c>
      <c r="AC417" s="119">
        <f>SNKS!S99/1000</f>
        <v>702.15939181099998</v>
      </c>
      <c r="AD417" s="119">
        <f>SNKS!T99/1000</f>
        <v>663.61554100000001</v>
      </c>
      <c r="AE417" s="119">
        <f>SNKS!U99/1000</f>
        <v>521.30560000000003</v>
      </c>
      <c r="AF417" s="119">
        <f>SNKS!V99/1000</f>
        <v>407.65437359999999</v>
      </c>
      <c r="AG417" s="119">
        <f>SNKS!W99/1000</f>
        <v>380.0316009127551</v>
      </c>
      <c r="AH417" s="119">
        <f>SNKS!X99/1000</f>
        <v>340.09506834795917</v>
      </c>
      <c r="AI417" s="119">
        <f>SNKS!Y99/1000</f>
        <v>279.90785844141743</v>
      </c>
      <c r="AJ417" s="119">
        <f>SNKS!Z99/1000</f>
        <v>241.43471363651227</v>
      </c>
      <c r="AK417" s="119">
        <f>SNKS!AA99/1000</f>
        <v>240.87707411134116</v>
      </c>
      <c r="AL417" s="119">
        <f>SNKS!AB99/1000</f>
        <v>240.20764038628744</v>
      </c>
      <c r="AM417" s="119">
        <f>SNKS!AC99/1000</f>
        <v>243.00496426466859</v>
      </c>
      <c r="AN417" s="119">
        <f>SNKS!AD99/1000</f>
        <v>253.48596184610747</v>
      </c>
      <c r="AO417" s="119">
        <f>SNKS!AE99/1000</f>
        <v>254.64018869715539</v>
      </c>
      <c r="AP417" s="119">
        <f>SNKS!AF99/1000</f>
        <v>249.47330435239263</v>
      </c>
      <c r="AQ417" s="119">
        <f>SNKS!AG99/1000</f>
        <v>229.93556740300224</v>
      </c>
      <c r="AR417" s="119">
        <f>SNKS!AH99/1000</f>
        <v>209.22421507105534</v>
      </c>
      <c r="AS417" s="119">
        <f>SNKS!AI99/1000</f>
        <v>195.90654051383103</v>
      </c>
      <c r="AT417" s="119">
        <f>SNKS!AJ99/1000</f>
        <v>183.55619495527441</v>
      </c>
      <c r="AU417" s="119">
        <f>SNKS!AK99/1000</f>
        <v>178.13725854185134</v>
      </c>
      <c r="AV417" s="119">
        <f>SNKS!AL99/1000</f>
        <v>164.62078186490035</v>
      </c>
      <c r="AW417" s="119">
        <f>SNKS!AM99/1000</f>
        <v>161.56127847178232</v>
      </c>
      <c r="AX417" s="119">
        <f>SNKS!AN99/1000</f>
        <v>152.06509344408212</v>
      </c>
      <c r="AY417" s="119">
        <f>SNKS!AO99/1000</f>
        <v>147.0064950647382</v>
      </c>
      <c r="AZ417" s="119">
        <f>SNKS!AP99/1000</f>
        <v>140.31459556650935</v>
      </c>
      <c r="BA417" s="119">
        <f>SNKS!AQ99/1000</f>
        <v>137.79620796118857</v>
      </c>
      <c r="BB417" s="119">
        <f>SNKS!AR99/1000</f>
        <v>133.34955752020471</v>
      </c>
      <c r="BC417" s="119">
        <f>SNKS!AS99/1000</f>
        <v>126.81775237058639</v>
      </c>
      <c r="BD417" s="119">
        <f>SNKS!AT99/1000</f>
        <v>129.07378537878628</v>
      </c>
      <c r="BE417" s="119">
        <f>SNKS!AU99/1000</f>
        <v>126.41840397636099</v>
      </c>
      <c r="BF417" s="119">
        <f>SNKS!AV99/1000</f>
        <v>118.68320180295763</v>
      </c>
      <c r="BG417" s="119">
        <f>SNKS!AW99/1000</f>
        <v>111.77415830552611</v>
      </c>
      <c r="BH417" s="119">
        <f>SNKS!AX99/1000</f>
        <v>107.7154276451126</v>
      </c>
      <c r="BI417" s="119">
        <f>SNKS!AY99/1000</f>
        <v>109.41549249540132</v>
      </c>
      <c r="BJ417" s="119">
        <f>SNKS!AZ99/1000</f>
        <v>110.25982172594996</v>
      </c>
      <c r="BK417" s="119">
        <f>SNKS!BA99/1000</f>
        <v>107.83665726143732</v>
      </c>
      <c r="BL417" s="119">
        <f>SNKS!BB99/1000</f>
        <v>102.76383401222908</v>
      </c>
      <c r="BM417" s="119">
        <f>SNKS!BC99/1000</f>
        <v>100.03563988825422</v>
      </c>
    </row>
    <row r="418" spans="1:65"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92"/>
      <c r="AW418" s="92"/>
      <c r="AX418" s="92"/>
      <c r="AY418" s="92"/>
      <c r="AZ418" s="92"/>
      <c r="BA418" s="92"/>
      <c r="BB418" s="92"/>
      <c r="BC418" s="92"/>
      <c r="BD418" s="92"/>
      <c r="BE418" s="92"/>
      <c r="BF418" s="92"/>
      <c r="BG418" s="92"/>
      <c r="BH418" s="92"/>
      <c r="BI418" s="92"/>
      <c r="BJ418" s="92"/>
      <c r="BK418" s="92"/>
      <c r="BL418" s="92"/>
      <c r="BM418" s="92"/>
    </row>
    <row r="419" spans="1:65">
      <c r="A419" s="78" t="s">
        <v>214</v>
      </c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  <c r="BI419" s="158"/>
      <c r="BJ419" s="158"/>
      <c r="BK419" s="158"/>
      <c r="BL419" s="158"/>
      <c r="BM419" s="158"/>
    </row>
    <row r="420" spans="1:65">
      <c r="A420" s="79" t="s">
        <v>200</v>
      </c>
      <c r="B420" s="86">
        <f>Petoro!C27</f>
        <v>20341.944</v>
      </c>
      <c r="C420" s="86">
        <f>Petoro!D27</f>
        <v>27250.755269000001</v>
      </c>
      <c r="D420" s="86">
        <f>Petoro!E27</f>
        <v>30336.998092000002</v>
      </c>
      <c r="E420" s="86">
        <f>Petoro!F27</f>
        <v>22647.354499000001</v>
      </c>
      <c r="F420" s="86">
        <f>Petoro!G27</f>
        <v>16569.098999999998</v>
      </c>
      <c r="G420" s="86">
        <f>Petoro!H27</f>
        <v>12807.833000000001</v>
      </c>
      <c r="H420" s="86">
        <f>Petoro!I27</f>
        <v>16038.210999999999</v>
      </c>
      <c r="I420" s="86">
        <f>Petoro!J27</f>
        <v>17323.845000000001</v>
      </c>
      <c r="J420" s="86">
        <f>Petoro!K27</f>
        <v>20701.29900363</v>
      </c>
      <c r="K420" s="86">
        <f>Petoro!L27</f>
        <v>19967.276253208998</v>
      </c>
      <c r="L420" s="86">
        <f>Petoro!M27</f>
        <v>19950.561000000002</v>
      </c>
      <c r="M420" s="86">
        <f>Petoro!N27</f>
        <v>19997.731704239999</v>
      </c>
      <c r="N420" s="86">
        <f>Petoro!O27</f>
        <v>23596.66</v>
      </c>
      <c r="O420" s="86">
        <f>Petoro!P27</f>
        <v>18470</v>
      </c>
      <c r="P420" s="86">
        <f>Petoro!Q27</f>
        <v>21436.793585619998</v>
      </c>
      <c r="Q420" s="86">
        <f>Petoro!R27</f>
        <v>25610.149081299998</v>
      </c>
      <c r="R420" s="86">
        <f>Petoro!S27</f>
        <v>33584.652908889999</v>
      </c>
      <c r="S420" s="86">
        <f>Petoro!T27</f>
        <v>35371</v>
      </c>
      <c r="T420" s="86">
        <f>Petoro!U27</f>
        <v>29254.28117541</v>
      </c>
      <c r="U420" s="86">
        <f>Petoro!V27</f>
        <v>27815.084217340001</v>
      </c>
      <c r="V420" s="86">
        <f>Petoro!W27</f>
        <v>26564.054732209999</v>
      </c>
      <c r="W420" s="86">
        <f>Petoro!X27</f>
        <v>22554.905999999999</v>
      </c>
      <c r="X420" s="86">
        <f>Petoro!Y27</f>
        <v>26330.658156000001</v>
      </c>
      <c r="Y420" s="86">
        <f>Petoro!Z27</f>
        <v>27601</v>
      </c>
      <c r="Z420" s="86">
        <f>Petoro!AA27</f>
        <v>24732</v>
      </c>
      <c r="AA420" s="86">
        <f>Petoro!AB27</f>
        <v>28378</v>
      </c>
      <c r="AB420" s="86">
        <f>Petoro!AC27</f>
        <v>30396</v>
      </c>
      <c r="AC420" s="86">
        <f>Petoro!AD27</f>
        <v>35397</v>
      </c>
      <c r="AD420" s="86">
        <f>Petoro!AE27</f>
        <v>33400</v>
      </c>
      <c r="AE420" s="86">
        <f>Petoro!AF27</f>
        <v>36100</v>
      </c>
      <c r="AF420" s="86">
        <f>Petoro!AG27</f>
        <v>39600</v>
      </c>
      <c r="AG420" s="86">
        <f>Petoro!AH27</f>
        <v>39500</v>
      </c>
      <c r="AH420" s="86">
        <f>Petoro!AI27</f>
        <v>38600</v>
      </c>
      <c r="AI420" s="86">
        <f>Petoro!AJ27</f>
        <v>35048.050327698998</v>
      </c>
      <c r="AJ420" s="86">
        <f>Petoro!AK27</f>
        <v>32360.9268944539</v>
      </c>
      <c r="AK420" s="86">
        <f>Petoro!AL27</f>
        <v>32650.253595689399</v>
      </c>
      <c r="AL420" s="86">
        <f>Petoro!AM27</f>
        <v>30847.498700238</v>
      </c>
      <c r="AM420" s="86">
        <f>Petoro!AN27</f>
        <v>28551.896184420599</v>
      </c>
      <c r="AN420" s="86">
        <f>Petoro!AO27</f>
        <v>24528.448227212299</v>
      </c>
      <c r="AO420" s="86">
        <f>Petoro!AP27</f>
        <v>23302.028363335401</v>
      </c>
      <c r="AP420" s="86">
        <f>Petoro!AQ27</f>
        <v>23380.023104504799</v>
      </c>
      <c r="AQ420" s="86">
        <f>Petoro!AR27</f>
        <v>23438.618326996999</v>
      </c>
      <c r="AR420" s="86">
        <f>Petoro!AS27</f>
        <v>23397.069817563501</v>
      </c>
      <c r="AS420" s="86">
        <f>Petoro!AT27</f>
        <v>22719.6519437385</v>
      </c>
      <c r="AT420" s="86">
        <f>Petoro!AU27</f>
        <v>22315.608599975301</v>
      </c>
      <c r="AU420" s="86">
        <f>Petoro!AV27</f>
        <v>20571.907702157601</v>
      </c>
      <c r="AV420" s="86">
        <f>Petoro!AW27</f>
        <v>20636.643697737301</v>
      </c>
      <c r="AW420" s="86">
        <f>Petoro!AX27</f>
        <v>20451.3447792103</v>
      </c>
      <c r="AX420" s="86">
        <f>Petoro!AY27</f>
        <v>19310.669540118099</v>
      </c>
      <c r="AY420" s="86">
        <f>Petoro!AZ27</f>
        <v>18982.4224997372</v>
      </c>
      <c r="AZ420" s="86">
        <f>Petoro!BA27</f>
        <v>18230.8857199288</v>
      </c>
      <c r="BA420" s="86">
        <f>Petoro!BB27</f>
        <v>17821.603680349701</v>
      </c>
      <c r="BB420" s="86">
        <f>Petoro!BC27</f>
        <v>17459.9191950848</v>
      </c>
      <c r="BC420" s="86">
        <f>Petoro!BD27</f>
        <v>17065.077865214102</v>
      </c>
      <c r="BD420" s="86">
        <f>Petoro!BE27</f>
        <v>16750.289492567099</v>
      </c>
      <c r="BE420" s="86">
        <f>Petoro!BF27</f>
        <v>16322.348632630599</v>
      </c>
      <c r="BF420" s="86">
        <f>Petoro!BG27</f>
        <v>15931.369302622301</v>
      </c>
      <c r="BG420" s="86">
        <f>Petoro!BH27</f>
        <v>15764.282558442799</v>
      </c>
      <c r="BH420" s="86">
        <f>Petoro!BI27</f>
        <v>15405.5059856197</v>
      </c>
      <c r="BI420" s="86">
        <f>Petoro!BJ27</f>
        <v>14895.0955325961</v>
      </c>
      <c r="BJ420" s="86">
        <f>Petoro!BK27</f>
        <v>14420.2869211165</v>
      </c>
      <c r="BK420" s="86">
        <f>Petoro!BL27</f>
        <v>13970.174772991501</v>
      </c>
      <c r="BL420" s="86">
        <f>Petoro!BM27</f>
        <v>13528.569417713699</v>
      </c>
      <c r="BM420" s="86">
        <f>Petoro!BN27</f>
        <v>13319.7573839572</v>
      </c>
    </row>
    <row r="421" spans="1:65">
      <c r="A421" s="79" t="s">
        <v>210</v>
      </c>
      <c r="B421" s="86">
        <f>Investments!D22-Investments!D17</f>
        <v>57009</v>
      </c>
      <c r="C421" s="86">
        <f>Investments!E22-Investments!E17</f>
        <v>73045.163</v>
      </c>
      <c r="D421" s="86">
        <f>Investments!F22-Investments!F17</f>
        <v>71077</v>
      </c>
      <c r="E421" s="86">
        <f>Investments!G22-Investments!G17</f>
        <v>53308</v>
      </c>
      <c r="F421" s="86">
        <f>Investments!H22-Investments!H17</f>
        <v>52550</v>
      </c>
      <c r="G421" s="86">
        <f>Investments!I22-Investments!I17</f>
        <v>54508</v>
      </c>
      <c r="H421" s="86">
        <f>Investments!J22-Investments!J17</f>
        <v>65004</v>
      </c>
      <c r="I421" s="86">
        <f>Investments!K22-Investments!K17</f>
        <v>71362</v>
      </c>
      <c r="J421" s="86">
        <f>Investments!L22-Investments!L17</f>
        <v>86528</v>
      </c>
      <c r="K421" s="86">
        <f>Investments!M22-Investments!M17</f>
        <v>84222</v>
      </c>
      <c r="L421" s="86">
        <f>Investments!N22-Investments!N17</f>
        <v>97990</v>
      </c>
      <c r="M421" s="86">
        <f>Investments!O22-Investments!O17</f>
        <v>104463</v>
      </c>
      <c r="N421" s="86">
        <f>Investments!P22-Investments!P17</f>
        <v>116216</v>
      </c>
      <c r="O421" s="86">
        <f>Investments!Q22-Investments!Q17</f>
        <v>109152</v>
      </c>
      <c r="P421" s="86">
        <f>Investments!R22-Investments!R17</f>
        <v>123030</v>
      </c>
      <c r="Q421" s="86">
        <f>Investments!S22-Investments!S17</f>
        <v>153043</v>
      </c>
      <c r="R421" s="86">
        <f>Investments!T22-Investments!T17</f>
        <v>183409</v>
      </c>
      <c r="S421" s="86">
        <f>Investments!U22-Investments!U17</f>
        <v>189779</v>
      </c>
      <c r="T421" s="86">
        <f>Investments!V22-Investments!V17</f>
        <v>167423</v>
      </c>
      <c r="U421" s="86">
        <f>Investments!W22-Investments!W17</f>
        <v>153015</v>
      </c>
      <c r="V421" s="86">
        <f>Investments!X22-Investments!X17</f>
        <v>134529</v>
      </c>
      <c r="W421" s="86">
        <f>Investments!Y22-Investments!Y17</f>
        <v>133953.105322316</v>
      </c>
      <c r="X421" s="86">
        <f>Investments!Z22-Investments!Z17</f>
        <v>157663.10203560002</v>
      </c>
      <c r="Y421" s="86">
        <f>Investments!AA22-Investments!AA17</f>
        <v>157520.13567640001</v>
      </c>
      <c r="Z421" s="86">
        <f>Investments!AB22-Investments!AB17</f>
        <v>158942.25009120003</v>
      </c>
      <c r="AA421" s="86">
        <f>Investments!AC22-Investments!AC17</f>
        <v>163017.46462000001</v>
      </c>
      <c r="AB421" s="86">
        <f>Investments!AD22-Investments!AD17</f>
        <v>200946.82</v>
      </c>
      <c r="AC421" s="86">
        <f>Investments!AE22-Investments!AE17</f>
        <v>227822.64</v>
      </c>
      <c r="AD421" s="86">
        <f>Investments!AF22-Investments!AF17</f>
        <v>256774.85340008221</v>
      </c>
      <c r="AE421" s="86">
        <f>Investments!AG22-Investments!AG17</f>
        <v>246237.72371640001</v>
      </c>
      <c r="AF421" s="86">
        <f>Investments!AH22-Investments!AH17</f>
        <v>217882.44437747114</v>
      </c>
      <c r="AG421" s="86">
        <f>Investments!AI22-Investments!AI17</f>
        <v>199933.55194659435</v>
      </c>
      <c r="AH421" s="86">
        <f>Investments!AJ22-Investments!AJ17</f>
        <v>201292.43318787662</v>
      </c>
      <c r="AI421" s="86">
        <f>Investments!AK22-Investments!AK17</f>
        <v>199085.163323313</v>
      </c>
      <c r="AJ421" s="86">
        <f>Investments!AL22-Investments!AL17</f>
        <v>188500.02384555843</v>
      </c>
      <c r="AK421" s="86">
        <f>Investments!AM22-Investments!AM17</f>
        <v>183688.78104927985</v>
      </c>
      <c r="AL421" s="86">
        <f>Investments!AN22-Investments!AN17</f>
        <v>184808.08753763782</v>
      </c>
      <c r="AM421" s="86">
        <f>Investments!AO22-Investments!AO17</f>
        <v>177677.12503961736</v>
      </c>
      <c r="AN421" s="86">
        <f>Investments!AP22-Investments!AP17</f>
        <v>170931.30133343721</v>
      </c>
      <c r="AO421" s="86">
        <f>Investments!AQ22-Investments!AQ17</f>
        <v>169028.12792649935</v>
      </c>
      <c r="AP421" s="86">
        <f>Investments!AR22-Investments!AR17</f>
        <v>170120.89813419839</v>
      </c>
      <c r="AQ421" s="86">
        <f>Investments!AS22-Investments!AS17</f>
        <v>174250.18409947667</v>
      </c>
      <c r="AR421" s="86">
        <f>Investments!AT22-Investments!AT17</f>
        <v>175336.95244466883</v>
      </c>
      <c r="AS421" s="86">
        <f>Investments!AU22-Investments!AU17</f>
        <v>175634.65698523854</v>
      </c>
      <c r="AT421" s="86">
        <f>Investments!AV22-Investments!AV17</f>
        <v>177124.59271560761</v>
      </c>
      <c r="AU421" s="86">
        <f>Investments!AW22-Investments!AW17</f>
        <v>176680.34098204284</v>
      </c>
      <c r="AV421" s="86">
        <f>Investments!AX22-Investments!AX17</f>
        <v>177414.9045991757</v>
      </c>
      <c r="AW421" s="86">
        <f>Investments!AY22-Investments!AY17</f>
        <v>175204.31941679909</v>
      </c>
      <c r="AX421" s="86">
        <f>Investments!AZ22-Investments!AZ17</f>
        <v>173055.33281083088</v>
      </c>
      <c r="AY421" s="86">
        <f>Investments!BA22-Investments!BA17</f>
        <v>169981.00199917986</v>
      </c>
      <c r="AZ421" s="86">
        <f>Investments!BB22-Investments!BB17</f>
        <v>168866.48311724199</v>
      </c>
      <c r="BA421" s="86">
        <f>Investments!BC22-Investments!BC17</f>
        <v>166762.74851350105</v>
      </c>
      <c r="BB421" s="86">
        <f>Investments!BD22-Investments!BD17</f>
        <v>166775.34791540098</v>
      </c>
      <c r="BC421" s="86">
        <f>Investments!BE22-Investments!BE17</f>
        <v>164169.24274235015</v>
      </c>
      <c r="BD421" s="86">
        <f>Investments!BF22-Investments!BF17</f>
        <v>160044.76089703816</v>
      </c>
      <c r="BE421" s="86">
        <f>Investments!BG22-Investments!BG17</f>
        <v>159207.75024423882</v>
      </c>
      <c r="BF421" s="86">
        <f>Investments!BH22-Investments!BH17</f>
        <v>158321.36410296467</v>
      </c>
      <c r="BG421" s="86">
        <f>Investments!BI22-Investments!BI17</f>
        <v>157494.53624675874</v>
      </c>
      <c r="BH421" s="86">
        <f>Investments!BJ22-Investments!BJ17</f>
        <v>155118.23426020378</v>
      </c>
      <c r="BI421" s="86">
        <f>Investments!BK22-Investments!BK17</f>
        <v>152393.31681895471</v>
      </c>
      <c r="BJ421" s="86">
        <f>Investments!BL22-Investments!BL17</f>
        <v>148679.03776344575</v>
      </c>
      <c r="BK421" s="86">
        <f>Investments!BM22-Investments!BM17</f>
        <v>146871.12253722086</v>
      </c>
      <c r="BL421" s="86">
        <f>Investments!BN22-Investments!BN17</f>
        <v>143034.27796765257</v>
      </c>
      <c r="BM421" s="86">
        <f>Investments!BO22-Investments!BO17</f>
        <v>140265.33370890492</v>
      </c>
    </row>
    <row r="422" spans="1:65"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  <c r="AQ422" s="158"/>
      <c r="AR422" s="158"/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8"/>
      <c r="BF422" s="158"/>
      <c r="BG422" s="158"/>
      <c r="BH422" s="158"/>
      <c r="BI422" s="158"/>
      <c r="BJ422" s="158"/>
      <c r="BK422" s="158"/>
      <c r="BL422" s="158"/>
      <c r="BM422" s="158"/>
    </row>
    <row r="423" spans="1:65">
      <c r="A423" s="78" t="s">
        <v>201</v>
      </c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  <c r="AS423" s="158"/>
      <c r="AT423" s="158"/>
      <c r="AU423" s="158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158"/>
      <c r="BH423" s="158"/>
      <c r="BI423" s="158"/>
      <c r="BJ423" s="158"/>
      <c r="BK423" s="158"/>
      <c r="BL423" s="158"/>
      <c r="BM423" s="158"/>
    </row>
    <row r="424" spans="1:65">
      <c r="A424" s="79" t="s">
        <v>202</v>
      </c>
      <c r="B424" s="92">
        <f t="shared" ref="B424:AG424" si="829">B168</f>
        <v>175.91</v>
      </c>
      <c r="C424" s="92">
        <f t="shared" si="829"/>
        <v>168.74</v>
      </c>
      <c r="D424" s="92">
        <f t="shared" si="829"/>
        <v>168.69</v>
      </c>
      <c r="E424" s="92">
        <f t="shared" si="829"/>
        <v>181.18</v>
      </c>
      <c r="F424" s="92">
        <f t="shared" si="829"/>
        <v>172.94334362043705</v>
      </c>
      <c r="G424" s="92">
        <f t="shared" si="829"/>
        <v>165.71334362043706</v>
      </c>
      <c r="H424" s="92">
        <f t="shared" si="829"/>
        <v>157.54334362043704</v>
      </c>
      <c r="I424" s="92">
        <f t="shared" si="829"/>
        <v>154.84334362043705</v>
      </c>
      <c r="J424" s="92">
        <f t="shared" si="829"/>
        <v>140.20334362043704</v>
      </c>
      <c r="K424" s="92">
        <f t="shared" si="829"/>
        <v>121.83889211010319</v>
      </c>
      <c r="L424" s="92">
        <f t="shared" si="829"/>
        <v>113.69725116119579</v>
      </c>
      <c r="M424" s="92">
        <f t="shared" si="829"/>
        <v>109.80878804089843</v>
      </c>
      <c r="N424" s="92">
        <f t="shared" si="829"/>
        <v>97.887807020848555</v>
      </c>
      <c r="O424" s="92">
        <f t="shared" si="829"/>
        <v>83.875604924690521</v>
      </c>
      <c r="P424" s="92">
        <f t="shared" si="829"/>
        <v>72.867063042970486</v>
      </c>
      <c r="Q424" s="92">
        <f t="shared" si="829"/>
        <v>72.311843829690289</v>
      </c>
      <c r="R424" s="92">
        <f t="shared" si="829"/>
        <v>68.039999999999992</v>
      </c>
      <c r="S424" s="92">
        <f t="shared" si="829"/>
        <v>71.5</v>
      </c>
      <c r="T424" s="92">
        <f t="shared" si="829"/>
        <v>74.649999999999991</v>
      </c>
      <c r="U424" s="92">
        <f t="shared" si="829"/>
        <v>77.7</v>
      </c>
      <c r="V424" s="92">
        <f t="shared" si="829"/>
        <v>76.08</v>
      </c>
      <c r="W424" s="92">
        <f t="shared" si="829"/>
        <v>70.096209999999999</v>
      </c>
      <c r="X424" s="92">
        <f t="shared" si="829"/>
        <v>67.036209999999997</v>
      </c>
      <c r="Y424" s="92">
        <f t="shared" si="829"/>
        <v>82.316209999999998</v>
      </c>
      <c r="Z424" s="92">
        <f t="shared" si="829"/>
        <v>86.186210000000003</v>
      </c>
      <c r="AA424" s="92">
        <f t="shared" si="829"/>
        <v>81.636210000000005</v>
      </c>
      <c r="AB424" s="92">
        <f t="shared" si="829"/>
        <v>87.966210000000004</v>
      </c>
      <c r="AC424" s="92">
        <f t="shared" si="829"/>
        <v>86.712592812590003</v>
      </c>
      <c r="AD424" s="92">
        <f t="shared" si="829"/>
        <v>89.016018984577997</v>
      </c>
      <c r="AE424" s="92">
        <f t="shared" si="829"/>
        <v>84.871971449213007</v>
      </c>
      <c r="AF424" s="92">
        <f t="shared" si="829"/>
        <v>80.401276729448696</v>
      </c>
      <c r="AG424" s="92">
        <f t="shared" si="829"/>
        <v>70.874102082627999</v>
      </c>
      <c r="AH424" s="92">
        <f t="shared" ref="AH424:BC424" si="830">AH168</f>
        <v>62.67205754370481</v>
      </c>
      <c r="AI424" s="92">
        <f t="shared" si="830"/>
        <v>57.620118506930098</v>
      </c>
      <c r="AJ424" s="92">
        <f t="shared" si="830"/>
        <v>55.4760565384356</v>
      </c>
      <c r="AK424" s="92">
        <f t="shared" si="830"/>
        <v>54.542196239141802</v>
      </c>
      <c r="AL424" s="92">
        <f t="shared" si="830"/>
        <v>53.212657109542207</v>
      </c>
      <c r="AM424" s="92">
        <f t="shared" si="830"/>
        <v>53.301111314808409</v>
      </c>
      <c r="AN424" s="92">
        <f t="shared" si="830"/>
        <v>52.862047323349501</v>
      </c>
      <c r="AO424" s="92">
        <f t="shared" si="830"/>
        <v>51.708944389063305</v>
      </c>
      <c r="AP424" s="92">
        <f t="shared" si="830"/>
        <v>50.248427238456202</v>
      </c>
      <c r="AQ424" s="92">
        <f t="shared" si="830"/>
        <v>47.746860066007599</v>
      </c>
      <c r="AR424" s="92">
        <f t="shared" si="830"/>
        <v>45.571204652282901</v>
      </c>
      <c r="AS424" s="92">
        <f t="shared" si="830"/>
        <v>43.591971492930398</v>
      </c>
      <c r="AT424" s="92">
        <f t="shared" si="830"/>
        <v>41.987158087532194</v>
      </c>
      <c r="AU424" s="92">
        <f t="shared" si="830"/>
        <v>40.130774567922998</v>
      </c>
      <c r="AV424" s="92">
        <f t="shared" si="830"/>
        <v>38.406929920530104</v>
      </c>
      <c r="AW424" s="92">
        <f t="shared" si="830"/>
        <v>37.060071304295704</v>
      </c>
      <c r="AX424" s="92">
        <f t="shared" si="830"/>
        <v>35.244672866102306</v>
      </c>
      <c r="AY424" s="92">
        <f t="shared" si="830"/>
        <v>33.678143117199298</v>
      </c>
      <c r="AZ424" s="92">
        <f t="shared" si="830"/>
        <v>31.900806180958899</v>
      </c>
      <c r="BA424" s="92">
        <f t="shared" si="830"/>
        <v>30.6179668132398</v>
      </c>
      <c r="BB424" s="92">
        <f t="shared" si="830"/>
        <v>28.852768890705999</v>
      </c>
      <c r="BC424" s="92">
        <f t="shared" si="830"/>
        <v>27.193979223710603</v>
      </c>
      <c r="BD424" s="92">
        <f t="shared" ref="BD424:BM424" si="831">BD168</f>
        <v>42.037652389517497</v>
      </c>
      <c r="BE424" s="92">
        <f t="shared" si="831"/>
        <v>40.516113098128699</v>
      </c>
      <c r="BF424" s="92">
        <f t="shared" si="831"/>
        <v>39.141344857402203</v>
      </c>
      <c r="BG424" s="92">
        <f t="shared" si="831"/>
        <v>37.644952559843603</v>
      </c>
      <c r="BH424" s="92">
        <f t="shared" si="831"/>
        <v>36.054581090807901</v>
      </c>
      <c r="BI424" s="92">
        <f t="shared" si="831"/>
        <v>34.609852540656</v>
      </c>
      <c r="BJ424" s="92">
        <f t="shared" si="831"/>
        <v>33.132615728303797</v>
      </c>
      <c r="BK424" s="92">
        <f t="shared" si="831"/>
        <v>31.356614947318999</v>
      </c>
      <c r="BL424" s="92">
        <f t="shared" si="831"/>
        <v>29.729547090828401</v>
      </c>
      <c r="BM424" s="92">
        <f t="shared" si="831"/>
        <v>28.071746988221999</v>
      </c>
    </row>
    <row r="425" spans="1:65">
      <c r="A425" s="79" t="s">
        <v>203</v>
      </c>
      <c r="B425" s="92">
        <f t="shared" ref="B425:AG425" si="832">B169</f>
        <v>44.36</v>
      </c>
      <c r="C425" s="92">
        <f t="shared" si="832"/>
        <v>47.06</v>
      </c>
      <c r="D425" s="92">
        <f t="shared" si="832"/>
        <v>48.7</v>
      </c>
      <c r="E425" s="92">
        <f t="shared" si="832"/>
        <v>47.43</v>
      </c>
      <c r="F425" s="92">
        <f t="shared" si="832"/>
        <v>54.15</v>
      </c>
      <c r="G425" s="92">
        <f t="shared" si="832"/>
        <v>65.53</v>
      </c>
      <c r="H425" s="92">
        <f t="shared" si="832"/>
        <v>72.930000000000007</v>
      </c>
      <c r="I425" s="92">
        <f t="shared" si="832"/>
        <v>79.099999999999994</v>
      </c>
      <c r="J425" s="92">
        <f t="shared" si="832"/>
        <v>85.67</v>
      </c>
      <c r="K425" s="92">
        <f t="shared" si="832"/>
        <v>88.23</v>
      </c>
      <c r="L425" s="92">
        <f t="shared" si="832"/>
        <v>88.51</v>
      </c>
      <c r="M425" s="92">
        <f t="shared" si="832"/>
        <v>98.46</v>
      </c>
      <c r="N425" s="92">
        <f t="shared" si="832"/>
        <v>102.68</v>
      </c>
      <c r="O425" s="92">
        <f t="shared" si="832"/>
        <v>103.33</v>
      </c>
      <c r="P425" s="92">
        <f t="shared" si="832"/>
        <v>97.1</v>
      </c>
      <c r="Q425" s="92">
        <f t="shared" si="832"/>
        <v>111.76</v>
      </c>
      <c r="R425" s="92">
        <f t="shared" si="832"/>
        <v>105.75</v>
      </c>
      <c r="S425" s="92">
        <f t="shared" si="832"/>
        <v>105.2</v>
      </c>
      <c r="T425" s="92">
        <f t="shared" si="832"/>
        <v>113.32000000000001</v>
      </c>
      <c r="U425" s="92">
        <f t="shared" si="832"/>
        <v>113.05000000000001</v>
      </c>
      <c r="V425" s="92">
        <f t="shared" si="832"/>
        <v>120.77000000000001</v>
      </c>
      <c r="W425" s="92">
        <f t="shared" si="832"/>
        <v>118.29</v>
      </c>
      <c r="X425" s="92">
        <f t="shared" si="832"/>
        <v>111.52000000000001</v>
      </c>
      <c r="Y425" s="92">
        <f t="shared" si="832"/>
        <v>108.51</v>
      </c>
      <c r="Z425" s="92">
        <f t="shared" si="832"/>
        <v>111.48</v>
      </c>
      <c r="AA425" s="92">
        <f t="shared" si="832"/>
        <v>121.25</v>
      </c>
      <c r="AB425" s="92">
        <f t="shared" si="832"/>
        <v>114.42</v>
      </c>
      <c r="AC425" s="92">
        <f t="shared" si="832"/>
        <v>122.63875195112</v>
      </c>
      <c r="AD425" s="92">
        <f t="shared" si="832"/>
        <v>116.852074931315</v>
      </c>
      <c r="AE425" s="92">
        <f t="shared" si="832"/>
        <v>118.48612141819601</v>
      </c>
      <c r="AF425" s="92">
        <f t="shared" si="832"/>
        <v>118.49464253073801</v>
      </c>
      <c r="AG425" s="92">
        <f t="shared" si="832"/>
        <v>114.566092510014</v>
      </c>
      <c r="AH425" s="92">
        <f t="shared" ref="AH425:BC425" si="833">AH169</f>
        <v>109.03627097198201</v>
      </c>
      <c r="AI425" s="92">
        <f t="shared" si="833"/>
        <v>103.34157637056501</v>
      </c>
      <c r="AJ425" s="92">
        <f t="shared" si="833"/>
        <v>98.530445581107003</v>
      </c>
      <c r="AK425" s="92">
        <f t="shared" si="833"/>
        <v>91.891734289047804</v>
      </c>
      <c r="AL425" s="92">
        <f t="shared" si="833"/>
        <v>87.735084783925799</v>
      </c>
      <c r="AM425" s="92">
        <f t="shared" si="833"/>
        <v>85.135572945646103</v>
      </c>
      <c r="AN425" s="92">
        <f t="shared" si="833"/>
        <v>82.733941951932408</v>
      </c>
      <c r="AO425" s="92">
        <f t="shared" si="833"/>
        <v>80.553770465193011</v>
      </c>
      <c r="AP425" s="92">
        <f t="shared" si="833"/>
        <v>77.240469550338702</v>
      </c>
      <c r="AQ425" s="92">
        <f t="shared" si="833"/>
        <v>72.2831162415591</v>
      </c>
      <c r="AR425" s="92">
        <f t="shared" si="833"/>
        <v>66.939686645509511</v>
      </c>
      <c r="AS425" s="92">
        <f t="shared" si="833"/>
        <v>63.092185788338305</v>
      </c>
      <c r="AT425" s="92">
        <f t="shared" si="833"/>
        <v>59.629097770099499</v>
      </c>
      <c r="AU425" s="92">
        <f t="shared" si="833"/>
        <v>57.007326135775997</v>
      </c>
      <c r="AV425" s="92">
        <f t="shared" si="833"/>
        <v>54.262340380600499</v>
      </c>
      <c r="AW425" s="92">
        <f t="shared" si="833"/>
        <v>51.187278274028799</v>
      </c>
      <c r="AX425" s="92">
        <f t="shared" si="833"/>
        <v>48.682890109274297</v>
      </c>
      <c r="AY425" s="92">
        <f t="shared" si="833"/>
        <v>46.739968322707895</v>
      </c>
      <c r="AZ425" s="92">
        <f t="shared" si="833"/>
        <v>44.846472786406295</v>
      </c>
      <c r="BA425" s="92">
        <f t="shared" si="833"/>
        <v>43.099381400699798</v>
      </c>
      <c r="BB425" s="92">
        <f t="shared" si="833"/>
        <v>41.6935085376806</v>
      </c>
      <c r="BC425" s="92">
        <f t="shared" si="833"/>
        <v>40.0487857808534</v>
      </c>
      <c r="BD425" s="92">
        <f t="shared" ref="BD425:BM425" si="834">BD169</f>
        <v>40.118689809552301</v>
      </c>
      <c r="BE425" s="92">
        <f t="shared" si="834"/>
        <v>38.369959232385099</v>
      </c>
      <c r="BF425" s="92">
        <f t="shared" si="834"/>
        <v>36.9035212621121</v>
      </c>
      <c r="BG425" s="92">
        <f t="shared" si="834"/>
        <v>35.812746227007899</v>
      </c>
      <c r="BH425" s="92">
        <f t="shared" si="834"/>
        <v>35.2091385576473</v>
      </c>
      <c r="BI425" s="92">
        <f t="shared" si="834"/>
        <v>34.416161845962002</v>
      </c>
      <c r="BJ425" s="92">
        <f t="shared" si="834"/>
        <v>33.891618791822097</v>
      </c>
      <c r="BK425" s="92">
        <f t="shared" si="834"/>
        <v>33.466268432734097</v>
      </c>
      <c r="BL425" s="92">
        <f t="shared" si="834"/>
        <v>32.995546425285298</v>
      </c>
      <c r="BM425" s="92">
        <f t="shared" si="834"/>
        <v>32.602377394214301</v>
      </c>
    </row>
    <row r="426" spans="1:65">
      <c r="A426" s="79" t="s">
        <v>204</v>
      </c>
      <c r="B426" s="92">
        <f t="shared" ref="B426:AG426" si="835">B170</f>
        <v>4</v>
      </c>
      <c r="C426" s="92">
        <f t="shared" si="835"/>
        <v>3.4499999999999993</v>
      </c>
      <c r="D426" s="92">
        <f t="shared" si="835"/>
        <v>3.3100000000000005</v>
      </c>
      <c r="E426" s="92">
        <f t="shared" si="835"/>
        <v>1.7000000000000011</v>
      </c>
      <c r="F426" s="92">
        <f t="shared" si="835"/>
        <v>2.6799999999999997</v>
      </c>
      <c r="G426" s="92">
        <f t="shared" si="835"/>
        <v>2.7200000000000024</v>
      </c>
      <c r="H426" s="92">
        <f t="shared" si="835"/>
        <v>3.3200000000000003</v>
      </c>
      <c r="I426" s="92">
        <f t="shared" si="835"/>
        <v>20.080000000000002</v>
      </c>
      <c r="J426" s="92">
        <f t="shared" si="835"/>
        <v>21.53</v>
      </c>
      <c r="K426" s="92">
        <f t="shared" si="835"/>
        <v>22.099999999999998</v>
      </c>
      <c r="L426" s="92">
        <f t="shared" si="835"/>
        <v>17.529999999999998</v>
      </c>
      <c r="M426" s="92">
        <f t="shared" si="835"/>
        <v>18.63</v>
      </c>
      <c r="N426" s="92">
        <f t="shared" si="835"/>
        <v>16.980000000000004</v>
      </c>
      <c r="O426" s="92">
        <f t="shared" si="835"/>
        <v>15.299999999999999</v>
      </c>
      <c r="P426" s="92">
        <f t="shared" si="835"/>
        <v>16.47</v>
      </c>
      <c r="Q426" s="92">
        <f t="shared" si="835"/>
        <v>17.96</v>
      </c>
      <c r="R426" s="92">
        <f t="shared" si="835"/>
        <v>17.29</v>
      </c>
      <c r="S426" s="92">
        <f t="shared" si="835"/>
        <v>17.45</v>
      </c>
      <c r="T426" s="92">
        <f t="shared" si="835"/>
        <v>17.66</v>
      </c>
      <c r="U426" s="92">
        <f t="shared" si="835"/>
        <v>17.7</v>
      </c>
      <c r="V426" s="92">
        <f t="shared" si="835"/>
        <v>17.690000000000001</v>
      </c>
      <c r="W426" s="92">
        <f t="shared" si="835"/>
        <v>16.757352600000001</v>
      </c>
      <c r="X426" s="92">
        <f t="shared" si="835"/>
        <v>14.667352600000001</v>
      </c>
      <c r="Y426" s="92">
        <f t="shared" si="835"/>
        <v>13.837352599999999</v>
      </c>
      <c r="Z426" s="92">
        <f t="shared" si="835"/>
        <v>10.897352599999998</v>
      </c>
      <c r="AA426" s="92">
        <f t="shared" si="835"/>
        <v>8.1173526000000003</v>
      </c>
      <c r="AB426" s="92">
        <f t="shared" si="835"/>
        <v>8.5773526000000011</v>
      </c>
      <c r="AC426" s="92">
        <f t="shared" si="835"/>
        <v>9.6781582688252001</v>
      </c>
      <c r="AD426" s="92">
        <f t="shared" si="835"/>
        <v>10.113769793374601</v>
      </c>
      <c r="AE426" s="92">
        <f t="shared" si="835"/>
        <v>10.869946964932499</v>
      </c>
      <c r="AF426" s="92">
        <f t="shared" si="835"/>
        <v>11.004287829053201</v>
      </c>
      <c r="AG426" s="92">
        <f t="shared" si="835"/>
        <v>10.9690687845602</v>
      </c>
      <c r="AH426" s="92">
        <f t="shared" ref="AH426:BC426" si="836">AH170</f>
        <v>10.711179894627499</v>
      </c>
      <c r="AI426" s="92">
        <f t="shared" si="836"/>
        <v>10.0455201431873</v>
      </c>
      <c r="AJ426" s="92">
        <f t="shared" si="836"/>
        <v>8.5870094464003017</v>
      </c>
      <c r="AK426" s="92">
        <f t="shared" si="836"/>
        <v>7.6883955740265</v>
      </c>
      <c r="AL426" s="92">
        <f t="shared" si="836"/>
        <v>6.2910018009246</v>
      </c>
      <c r="AM426" s="92">
        <f t="shared" si="836"/>
        <v>5.1315597522411407</v>
      </c>
      <c r="AN426" s="92">
        <f t="shared" si="836"/>
        <v>3.9938371679676008</v>
      </c>
      <c r="AO426" s="92">
        <f t="shared" si="836"/>
        <v>3.2125776618180204</v>
      </c>
      <c r="AP426" s="92">
        <f t="shared" si="836"/>
        <v>2.1374702409275104</v>
      </c>
      <c r="AQ426" s="92">
        <f t="shared" si="836"/>
        <v>1.1095689666163597</v>
      </c>
      <c r="AR426" s="92">
        <f t="shared" si="836"/>
        <v>0.4727843326599297</v>
      </c>
      <c r="AS426" s="92">
        <f t="shared" si="836"/>
        <v>6.5692560990804338E-3</v>
      </c>
      <c r="AT426" s="92">
        <f t="shared" si="836"/>
        <v>-0.50203194135555984</v>
      </c>
      <c r="AU426" s="92">
        <f t="shared" si="836"/>
        <v>-0.89878184284490015</v>
      </c>
      <c r="AV426" s="92">
        <f t="shared" si="836"/>
        <v>-1.2534831201175498</v>
      </c>
      <c r="AW426" s="92">
        <f t="shared" si="836"/>
        <v>-1.6658626921791599</v>
      </c>
      <c r="AX426" s="92">
        <f t="shared" si="836"/>
        <v>-1.9389263189402501</v>
      </c>
      <c r="AY426" s="92">
        <f t="shared" si="836"/>
        <v>-2.3639029552254298</v>
      </c>
      <c r="AZ426" s="92">
        <f t="shared" si="836"/>
        <v>-2.4953039187478501</v>
      </c>
      <c r="BA426" s="92">
        <f t="shared" si="836"/>
        <v>-2.9353117977301801</v>
      </c>
      <c r="BB426" s="92">
        <f t="shared" si="836"/>
        <v>-3.2654170658619597</v>
      </c>
      <c r="BC426" s="92">
        <f t="shared" si="836"/>
        <v>-3.4573457580663982</v>
      </c>
      <c r="BD426" s="92">
        <f t="shared" ref="BD426:BM426" si="837">BD170</f>
        <v>0.78101941680904496</v>
      </c>
      <c r="BE426" s="92">
        <f t="shared" si="837"/>
        <v>0.53412031437233098</v>
      </c>
      <c r="BF426" s="92">
        <f t="shared" si="837"/>
        <v>0.42513031815542501</v>
      </c>
      <c r="BG426" s="92">
        <f t="shared" si="837"/>
        <v>0.30469153579019798</v>
      </c>
      <c r="BH426" s="92">
        <f t="shared" si="837"/>
        <v>0.20867618493161899</v>
      </c>
      <c r="BI426" s="92">
        <f t="shared" si="837"/>
        <v>0.13997563850716699</v>
      </c>
      <c r="BJ426" s="92">
        <f t="shared" si="837"/>
        <v>7.6948321395320804E-2</v>
      </c>
      <c r="BK426" s="92">
        <f t="shared" si="837"/>
        <v>7.25227032817196E-2</v>
      </c>
      <c r="BL426" s="92">
        <f t="shared" si="837"/>
        <v>6.7570852599601494E-2</v>
      </c>
      <c r="BM426" s="92">
        <f t="shared" si="837"/>
        <v>4.6981570863863398E-2</v>
      </c>
    </row>
    <row r="427" spans="1:65">
      <c r="A427" s="78" t="s">
        <v>205</v>
      </c>
      <c r="B427" s="92">
        <f>SUM(B424:B426)</f>
        <v>224.26999999999998</v>
      </c>
      <c r="C427" s="92">
        <f t="shared" ref="C427:AI427" si="838">SUM(C424:C426)</f>
        <v>219.25</v>
      </c>
      <c r="D427" s="92">
        <f t="shared" si="838"/>
        <v>220.7</v>
      </c>
      <c r="E427" s="92">
        <f t="shared" si="838"/>
        <v>230.31</v>
      </c>
      <c r="F427" s="92">
        <f t="shared" si="838"/>
        <v>229.77334362043706</v>
      </c>
      <c r="G427" s="92">
        <f t="shared" si="838"/>
        <v>233.96334362043706</v>
      </c>
      <c r="H427" s="92">
        <f t="shared" si="838"/>
        <v>233.79334362043704</v>
      </c>
      <c r="I427" s="92">
        <f t="shared" si="838"/>
        <v>254.02334362043706</v>
      </c>
      <c r="J427" s="92">
        <f t="shared" si="838"/>
        <v>247.40334362043703</v>
      </c>
      <c r="K427" s="92">
        <f t="shared" si="838"/>
        <v>232.1688921101032</v>
      </c>
      <c r="L427" s="92">
        <f t="shared" si="838"/>
        <v>219.73725116119581</v>
      </c>
      <c r="M427" s="92">
        <f t="shared" si="838"/>
        <v>226.89878804089841</v>
      </c>
      <c r="N427" s="92">
        <f t="shared" si="838"/>
        <v>217.54780702084855</v>
      </c>
      <c r="O427" s="92">
        <f t="shared" si="838"/>
        <v>202.50560492469054</v>
      </c>
      <c r="P427" s="92">
        <f t="shared" si="838"/>
        <v>186.43706304297049</v>
      </c>
      <c r="Q427" s="92">
        <f t="shared" si="838"/>
        <v>202.0318438296903</v>
      </c>
      <c r="R427" s="92">
        <f t="shared" si="838"/>
        <v>191.07999999999998</v>
      </c>
      <c r="S427" s="92">
        <f t="shared" si="838"/>
        <v>194.14999999999998</v>
      </c>
      <c r="T427" s="92">
        <f t="shared" si="838"/>
        <v>205.63</v>
      </c>
      <c r="U427" s="92">
        <f t="shared" si="838"/>
        <v>208.45</v>
      </c>
      <c r="V427" s="92">
        <f t="shared" si="838"/>
        <v>214.54000000000002</v>
      </c>
      <c r="W427" s="92">
        <f t="shared" si="838"/>
        <v>205.1435626</v>
      </c>
      <c r="X427" s="92">
        <f t="shared" si="838"/>
        <v>193.22356260000004</v>
      </c>
      <c r="Y427" s="92">
        <f t="shared" si="838"/>
        <v>204.66356260000001</v>
      </c>
      <c r="Z427" s="92">
        <f t="shared" si="838"/>
        <v>208.56356260000001</v>
      </c>
      <c r="AA427" s="92">
        <f t="shared" si="838"/>
        <v>211.00356260000001</v>
      </c>
      <c r="AB427" s="92">
        <f t="shared" si="838"/>
        <v>210.96356260000002</v>
      </c>
      <c r="AC427" s="92">
        <f t="shared" si="838"/>
        <v>219.02950303253522</v>
      </c>
      <c r="AD427" s="92">
        <f t="shared" si="838"/>
        <v>215.9818637092676</v>
      </c>
      <c r="AE427" s="92">
        <f t="shared" si="838"/>
        <v>214.22803983234152</v>
      </c>
      <c r="AF427" s="92">
        <f t="shared" si="838"/>
        <v>209.9002070892399</v>
      </c>
      <c r="AG427" s="92">
        <f t="shared" si="838"/>
        <v>196.40926337720219</v>
      </c>
      <c r="AH427" s="92">
        <f t="shared" si="838"/>
        <v>182.41950841031431</v>
      </c>
      <c r="AI427" s="92">
        <f t="shared" si="838"/>
        <v>171.00721502068242</v>
      </c>
      <c r="AJ427" s="92">
        <f t="shared" ref="AJ427:BC427" si="839">SUM(AJ424:AJ426)</f>
        <v>162.59351156594289</v>
      </c>
      <c r="AK427" s="92">
        <f t="shared" si="839"/>
        <v>154.12232610221608</v>
      </c>
      <c r="AL427" s="92">
        <f t="shared" si="839"/>
        <v>147.23874369439258</v>
      </c>
      <c r="AM427" s="92">
        <f t="shared" si="839"/>
        <v>143.56824401269566</v>
      </c>
      <c r="AN427" s="92">
        <f t="shared" si="839"/>
        <v>139.58982644324951</v>
      </c>
      <c r="AO427" s="92">
        <f t="shared" si="839"/>
        <v>135.47529251607435</v>
      </c>
      <c r="AP427" s="92">
        <f t="shared" si="839"/>
        <v>129.62636702972242</v>
      </c>
      <c r="AQ427" s="92">
        <f t="shared" si="839"/>
        <v>121.13954527418306</v>
      </c>
      <c r="AR427" s="92">
        <f t="shared" si="839"/>
        <v>112.98367563045234</v>
      </c>
      <c r="AS427" s="92">
        <f t="shared" si="839"/>
        <v>106.69072653736779</v>
      </c>
      <c r="AT427" s="92">
        <f t="shared" si="839"/>
        <v>101.11422391627615</v>
      </c>
      <c r="AU427" s="92">
        <f t="shared" si="839"/>
        <v>96.239318860854098</v>
      </c>
      <c r="AV427" s="92">
        <f t="shared" si="839"/>
        <v>91.415787181013059</v>
      </c>
      <c r="AW427" s="92">
        <f t="shared" si="839"/>
        <v>86.581486886145342</v>
      </c>
      <c r="AX427" s="92">
        <f t="shared" si="839"/>
        <v>81.988636656436356</v>
      </c>
      <c r="AY427" s="92">
        <f t="shared" si="839"/>
        <v>78.054208484681766</v>
      </c>
      <c r="AZ427" s="92">
        <f t="shared" si="839"/>
        <v>74.251975048617339</v>
      </c>
      <c r="BA427" s="92">
        <f t="shared" si="839"/>
        <v>70.782036416209422</v>
      </c>
      <c r="BB427" s="92">
        <f t="shared" si="839"/>
        <v>67.280860362524649</v>
      </c>
      <c r="BC427" s="92">
        <f t="shared" si="839"/>
        <v>63.785419246497611</v>
      </c>
      <c r="BD427" s="92">
        <f t="shared" ref="BD427:BM427" si="840">SUM(BD424:BD426)</f>
        <v>82.937361615878842</v>
      </c>
      <c r="BE427" s="92">
        <f t="shared" si="840"/>
        <v>79.420192644886129</v>
      </c>
      <c r="BF427" s="92">
        <f t="shared" si="840"/>
        <v>76.469996437669721</v>
      </c>
      <c r="BG427" s="92">
        <f t="shared" si="840"/>
        <v>73.762390322641693</v>
      </c>
      <c r="BH427" s="92">
        <f t="shared" si="840"/>
        <v>71.472395833386827</v>
      </c>
      <c r="BI427" s="92">
        <f t="shared" si="840"/>
        <v>69.165990025125168</v>
      </c>
      <c r="BJ427" s="92">
        <f t="shared" si="840"/>
        <v>67.101182841521222</v>
      </c>
      <c r="BK427" s="92">
        <f t="shared" si="840"/>
        <v>64.895406083334819</v>
      </c>
      <c r="BL427" s="92">
        <f t="shared" si="840"/>
        <v>62.792664368713304</v>
      </c>
      <c r="BM427" s="92">
        <f t="shared" si="840"/>
        <v>60.721105953300167</v>
      </c>
    </row>
    <row r="428" spans="1:65"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8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/>
      <c r="BG428" s="158"/>
      <c r="BH428" s="158"/>
      <c r="BI428" s="158"/>
      <c r="BJ428" s="158"/>
      <c r="BK428" s="158"/>
      <c r="BL428" s="158"/>
      <c r="BM428" s="158"/>
    </row>
    <row r="429" spans="1:65">
      <c r="A429" s="79" t="s">
        <v>206</v>
      </c>
      <c r="B429" s="96">
        <f t="shared" ref="B429:E431" si="841">B147</f>
        <v>0</v>
      </c>
      <c r="C429" s="96">
        <f t="shared" si="841"/>
        <v>0</v>
      </c>
      <c r="D429" s="96">
        <f t="shared" si="841"/>
        <v>0</v>
      </c>
      <c r="E429" s="96">
        <f t="shared" si="841"/>
        <v>0</v>
      </c>
      <c r="F429" s="96" t="e">
        <f>#REF!</f>
        <v>#REF!</v>
      </c>
      <c r="G429" s="96" t="e">
        <f>#REF!</f>
        <v>#REF!</v>
      </c>
      <c r="H429" s="96" t="e">
        <f>#REF!</f>
        <v>#REF!</v>
      </c>
      <c r="I429" s="96" t="e">
        <f>#REF!</f>
        <v>#REF!</v>
      </c>
      <c r="J429" s="96" t="e">
        <f>#REF!</f>
        <v>#REF!</v>
      </c>
      <c r="K429" s="96" t="e">
        <f>#REF!</f>
        <v>#REF!</v>
      </c>
      <c r="L429" s="96" t="e">
        <f>#REF!</f>
        <v>#REF!</v>
      </c>
      <c r="M429" s="96" t="e">
        <f>#REF!</f>
        <v>#REF!</v>
      </c>
      <c r="N429" s="96" t="e">
        <f>#REF!</f>
        <v>#REF!</v>
      </c>
      <c r="O429" s="96" t="e">
        <f>#REF!</f>
        <v>#REF!</v>
      </c>
      <c r="P429" s="96" t="e">
        <f>#REF!</f>
        <v>#REF!</v>
      </c>
      <c r="Q429" s="96" t="e">
        <f>#REF!</f>
        <v>#REF!</v>
      </c>
      <c r="R429" s="96">
        <f t="shared" ref="R429:BC429" si="842">R147</f>
        <v>16.899999999999999</v>
      </c>
      <c r="S429" s="96">
        <f t="shared" si="842"/>
        <v>16.2</v>
      </c>
      <c r="T429" s="96">
        <f t="shared" si="842"/>
        <v>16.2</v>
      </c>
      <c r="U429" s="96">
        <f t="shared" si="842"/>
        <v>16.2</v>
      </c>
      <c r="V429" s="96">
        <f t="shared" si="842"/>
        <v>16.2</v>
      </c>
      <c r="W429" s="96">
        <f t="shared" si="842"/>
        <v>16.17379</v>
      </c>
      <c r="X429" s="96">
        <f t="shared" si="842"/>
        <v>16.17379</v>
      </c>
      <c r="Y429" s="96">
        <f t="shared" si="842"/>
        <v>16.17379</v>
      </c>
      <c r="Z429" s="96">
        <f t="shared" si="842"/>
        <v>16.17379</v>
      </c>
      <c r="AA429" s="96">
        <f t="shared" si="842"/>
        <v>16.17379</v>
      </c>
      <c r="AB429" s="96">
        <f t="shared" si="842"/>
        <v>16.17379</v>
      </c>
      <c r="AC429" s="96">
        <f t="shared" si="842"/>
        <v>16.17379</v>
      </c>
      <c r="AD429" s="96">
        <f t="shared" si="842"/>
        <v>16.17379</v>
      </c>
      <c r="AE429" s="96">
        <f t="shared" si="842"/>
        <v>16.17379</v>
      </c>
      <c r="AF429" s="96">
        <f t="shared" si="842"/>
        <v>16.17379</v>
      </c>
      <c r="AG429" s="96">
        <f t="shared" si="842"/>
        <v>16.17379</v>
      </c>
      <c r="AH429" s="96">
        <f t="shared" si="842"/>
        <v>16.17379</v>
      </c>
      <c r="AI429" s="96">
        <f t="shared" si="842"/>
        <v>16.17379</v>
      </c>
      <c r="AJ429" s="96">
        <f t="shared" si="842"/>
        <v>16.17379</v>
      </c>
      <c r="AK429" s="96">
        <f t="shared" si="842"/>
        <v>16.17379</v>
      </c>
      <c r="AL429" s="96">
        <f t="shared" si="842"/>
        <v>16.17379</v>
      </c>
      <c r="AM429" s="96">
        <f t="shared" si="842"/>
        <v>16.17379</v>
      </c>
      <c r="AN429" s="96">
        <f t="shared" si="842"/>
        <v>16.17379</v>
      </c>
      <c r="AO429" s="96">
        <f t="shared" si="842"/>
        <v>16.17379</v>
      </c>
      <c r="AP429" s="96">
        <f t="shared" si="842"/>
        <v>16.17379</v>
      </c>
      <c r="AQ429" s="96">
        <f t="shared" si="842"/>
        <v>16.17379</v>
      </c>
      <c r="AR429" s="96">
        <f t="shared" si="842"/>
        <v>16.17379</v>
      </c>
      <c r="AS429" s="96">
        <f t="shared" si="842"/>
        <v>16.17379</v>
      </c>
      <c r="AT429" s="96">
        <f t="shared" si="842"/>
        <v>16.17379</v>
      </c>
      <c r="AU429" s="96">
        <f t="shared" si="842"/>
        <v>16.17379</v>
      </c>
      <c r="AV429" s="96">
        <f t="shared" si="842"/>
        <v>16.17379</v>
      </c>
      <c r="AW429" s="96">
        <f t="shared" si="842"/>
        <v>16.17379</v>
      </c>
      <c r="AX429" s="96">
        <f t="shared" si="842"/>
        <v>16.17379</v>
      </c>
      <c r="AY429" s="96">
        <f t="shared" si="842"/>
        <v>16.17379</v>
      </c>
      <c r="AZ429" s="96">
        <f t="shared" si="842"/>
        <v>16.17379</v>
      </c>
      <c r="BA429" s="96">
        <f t="shared" si="842"/>
        <v>16.17379</v>
      </c>
      <c r="BB429" s="96">
        <f t="shared" si="842"/>
        <v>16.17379</v>
      </c>
      <c r="BC429" s="96">
        <f t="shared" si="842"/>
        <v>16.17379</v>
      </c>
      <c r="BD429" s="96">
        <f t="shared" ref="BD429:BM429" si="843">BD147</f>
        <v>0</v>
      </c>
      <c r="BE429" s="96">
        <f t="shared" si="843"/>
        <v>0</v>
      </c>
      <c r="BF429" s="96">
        <f t="shared" si="843"/>
        <v>0</v>
      </c>
      <c r="BG429" s="96">
        <f t="shared" si="843"/>
        <v>0</v>
      </c>
      <c r="BH429" s="96">
        <f t="shared" si="843"/>
        <v>0</v>
      </c>
      <c r="BI429" s="96">
        <f t="shared" si="843"/>
        <v>0</v>
      </c>
      <c r="BJ429" s="96">
        <f t="shared" si="843"/>
        <v>0</v>
      </c>
      <c r="BK429" s="96">
        <f t="shared" si="843"/>
        <v>0</v>
      </c>
      <c r="BL429" s="96">
        <f t="shared" si="843"/>
        <v>0</v>
      </c>
      <c r="BM429" s="96">
        <f t="shared" si="843"/>
        <v>0</v>
      </c>
    </row>
    <row r="430" spans="1:65">
      <c r="A430" s="79" t="s">
        <v>207</v>
      </c>
      <c r="B430" s="96">
        <f t="shared" si="841"/>
        <v>0</v>
      </c>
      <c r="C430" s="96">
        <f t="shared" si="841"/>
        <v>0</v>
      </c>
      <c r="D430" s="96">
        <f t="shared" si="841"/>
        <v>0</v>
      </c>
      <c r="E430" s="96">
        <f t="shared" si="841"/>
        <v>0</v>
      </c>
      <c r="F430" s="96">
        <f t="shared" ref="F430:Q430" si="844">F148</f>
        <v>0</v>
      </c>
      <c r="G430" s="96">
        <f t="shared" si="844"/>
        <v>0</v>
      </c>
      <c r="H430" s="163" t="str">
        <f t="shared" si="844"/>
        <v>0</v>
      </c>
      <c r="I430" s="96">
        <f t="shared" si="844"/>
        <v>0</v>
      </c>
      <c r="J430" s="96">
        <f t="shared" si="844"/>
        <v>0</v>
      </c>
      <c r="K430" s="96">
        <f t="shared" si="844"/>
        <v>0</v>
      </c>
      <c r="L430" s="96">
        <f t="shared" si="844"/>
        <v>1</v>
      </c>
      <c r="M430" s="96">
        <f t="shared" si="844"/>
        <v>1</v>
      </c>
      <c r="N430" s="96">
        <f t="shared" si="844"/>
        <v>1</v>
      </c>
      <c r="O430" s="96">
        <f t="shared" si="844"/>
        <v>3.2</v>
      </c>
      <c r="P430" s="96">
        <f t="shared" si="844"/>
        <v>3.2</v>
      </c>
      <c r="Q430" s="96">
        <f t="shared" si="844"/>
        <v>1.3</v>
      </c>
      <c r="R430" s="96">
        <f t="shared" ref="R430:BC430" si="845">R148</f>
        <v>1.3</v>
      </c>
      <c r="S430" s="96">
        <f t="shared" si="845"/>
        <v>1.6</v>
      </c>
      <c r="T430" s="96">
        <f t="shared" si="845"/>
        <v>1.6</v>
      </c>
      <c r="U430" s="96">
        <f t="shared" si="845"/>
        <v>1.6</v>
      </c>
      <c r="V430" s="96">
        <f t="shared" si="845"/>
        <v>1.6</v>
      </c>
      <c r="W430" s="96">
        <f t="shared" si="845"/>
        <v>1.6</v>
      </c>
      <c r="X430" s="96">
        <f t="shared" si="845"/>
        <v>1.6</v>
      </c>
      <c r="Y430" s="96">
        <f t="shared" si="845"/>
        <v>1.6</v>
      </c>
      <c r="Z430" s="96">
        <f t="shared" si="845"/>
        <v>1.6</v>
      </c>
      <c r="AA430" s="96">
        <f t="shared" si="845"/>
        <v>1.6</v>
      </c>
      <c r="AB430" s="96">
        <f t="shared" si="845"/>
        <v>1.6</v>
      </c>
      <c r="AC430" s="96">
        <f t="shared" si="845"/>
        <v>1.6</v>
      </c>
      <c r="AD430" s="96">
        <f t="shared" si="845"/>
        <v>1.6</v>
      </c>
      <c r="AE430" s="96">
        <f t="shared" si="845"/>
        <v>1.6</v>
      </c>
      <c r="AF430" s="96">
        <f t="shared" si="845"/>
        <v>1.6</v>
      </c>
      <c r="AG430" s="96">
        <f t="shared" si="845"/>
        <v>1.6</v>
      </c>
      <c r="AH430" s="96">
        <f t="shared" si="845"/>
        <v>1.6</v>
      </c>
      <c r="AI430" s="96">
        <f t="shared" si="845"/>
        <v>1.6</v>
      </c>
      <c r="AJ430" s="96">
        <f t="shared" si="845"/>
        <v>1.6</v>
      </c>
      <c r="AK430" s="96">
        <f t="shared" si="845"/>
        <v>1.6</v>
      </c>
      <c r="AL430" s="96">
        <f t="shared" si="845"/>
        <v>1.6</v>
      </c>
      <c r="AM430" s="96">
        <f t="shared" si="845"/>
        <v>1.6</v>
      </c>
      <c r="AN430" s="96">
        <f t="shared" si="845"/>
        <v>1.6</v>
      </c>
      <c r="AO430" s="96">
        <f t="shared" si="845"/>
        <v>1.6</v>
      </c>
      <c r="AP430" s="96">
        <f t="shared" si="845"/>
        <v>1.6</v>
      </c>
      <c r="AQ430" s="96">
        <f t="shared" si="845"/>
        <v>1.6</v>
      </c>
      <c r="AR430" s="96">
        <f t="shared" si="845"/>
        <v>1.6</v>
      </c>
      <c r="AS430" s="96">
        <f t="shared" si="845"/>
        <v>1.6</v>
      </c>
      <c r="AT430" s="96">
        <f t="shared" si="845"/>
        <v>1.6</v>
      </c>
      <c r="AU430" s="96">
        <f t="shared" si="845"/>
        <v>1.6</v>
      </c>
      <c r="AV430" s="96">
        <f t="shared" si="845"/>
        <v>1.6</v>
      </c>
      <c r="AW430" s="96">
        <f t="shared" si="845"/>
        <v>1.6</v>
      </c>
      <c r="AX430" s="96">
        <f t="shared" si="845"/>
        <v>1.6</v>
      </c>
      <c r="AY430" s="96">
        <f t="shared" si="845"/>
        <v>1.6</v>
      </c>
      <c r="AZ430" s="96">
        <f t="shared" si="845"/>
        <v>1.6</v>
      </c>
      <c r="BA430" s="96">
        <f t="shared" si="845"/>
        <v>1.6</v>
      </c>
      <c r="BB430" s="96">
        <f t="shared" si="845"/>
        <v>1.6</v>
      </c>
      <c r="BC430" s="96">
        <f t="shared" si="845"/>
        <v>1.6</v>
      </c>
      <c r="BD430" s="96">
        <f t="shared" ref="BD430:BM430" si="846">BD148</f>
        <v>0</v>
      </c>
      <c r="BE430" s="96">
        <f t="shared" si="846"/>
        <v>0</v>
      </c>
      <c r="BF430" s="96">
        <f t="shared" si="846"/>
        <v>0</v>
      </c>
      <c r="BG430" s="96">
        <f t="shared" si="846"/>
        <v>0</v>
      </c>
      <c r="BH430" s="96">
        <f t="shared" si="846"/>
        <v>0</v>
      </c>
      <c r="BI430" s="96">
        <f t="shared" si="846"/>
        <v>0</v>
      </c>
      <c r="BJ430" s="96">
        <f t="shared" si="846"/>
        <v>0</v>
      </c>
      <c r="BK430" s="96">
        <f t="shared" si="846"/>
        <v>0</v>
      </c>
      <c r="BL430" s="96">
        <f t="shared" si="846"/>
        <v>0</v>
      </c>
      <c r="BM430" s="96">
        <f t="shared" si="846"/>
        <v>0</v>
      </c>
    </row>
    <row r="431" spans="1:65">
      <c r="A431" s="79" t="s">
        <v>208</v>
      </c>
      <c r="B431" s="96">
        <f t="shared" si="841"/>
        <v>9.4499999999999993</v>
      </c>
      <c r="C431" s="96">
        <f t="shared" si="841"/>
        <v>8.99</v>
      </c>
      <c r="D431" s="96">
        <f t="shared" si="841"/>
        <v>9.19</v>
      </c>
      <c r="E431" s="96">
        <f t="shared" si="841"/>
        <v>10.94</v>
      </c>
      <c r="F431" s="96">
        <f t="shared" ref="F431:Q431" si="847">F149</f>
        <v>13.91</v>
      </c>
      <c r="G431" s="96">
        <f t="shared" si="847"/>
        <v>16.399999999999999</v>
      </c>
      <c r="H431" s="96">
        <f t="shared" si="847"/>
        <v>19.95</v>
      </c>
      <c r="I431" s="96">
        <f t="shared" si="847"/>
        <v>2.23</v>
      </c>
      <c r="J431" s="96">
        <f t="shared" si="847"/>
        <v>2.23</v>
      </c>
      <c r="K431" s="96">
        <f t="shared" si="847"/>
        <v>2.23</v>
      </c>
      <c r="L431" s="96">
        <f t="shared" si="847"/>
        <v>2.23</v>
      </c>
      <c r="M431" s="96">
        <f t="shared" si="847"/>
        <v>2.23</v>
      </c>
      <c r="N431" s="96">
        <f t="shared" si="847"/>
        <v>4.42</v>
      </c>
      <c r="O431" s="96">
        <f t="shared" si="847"/>
        <v>4.42</v>
      </c>
      <c r="P431" s="96">
        <f t="shared" si="847"/>
        <v>4.42</v>
      </c>
      <c r="Q431" s="96">
        <f t="shared" si="847"/>
        <v>4.42</v>
      </c>
      <c r="R431" s="96">
        <f t="shared" ref="R431:BC431" si="848">R149</f>
        <v>4.42</v>
      </c>
      <c r="S431" s="96">
        <f t="shared" si="848"/>
        <v>4.41</v>
      </c>
      <c r="T431" s="96">
        <f t="shared" si="848"/>
        <v>4.41</v>
      </c>
      <c r="U431" s="96">
        <f t="shared" si="848"/>
        <v>4.41</v>
      </c>
      <c r="V431" s="96">
        <f t="shared" si="848"/>
        <v>4.41</v>
      </c>
      <c r="W431" s="96">
        <f t="shared" si="848"/>
        <v>4.4126474</v>
      </c>
      <c r="X431" s="96">
        <f t="shared" si="848"/>
        <v>4.4126474</v>
      </c>
      <c r="Y431" s="96">
        <f t="shared" si="848"/>
        <v>4.4126474</v>
      </c>
      <c r="Z431" s="96">
        <f t="shared" si="848"/>
        <v>4.4126474</v>
      </c>
      <c r="AA431" s="96">
        <f t="shared" si="848"/>
        <v>4.4126474</v>
      </c>
      <c r="AB431" s="96">
        <f t="shared" si="848"/>
        <v>4.4126474</v>
      </c>
      <c r="AC431" s="96">
        <f t="shared" si="848"/>
        <v>4.4126474</v>
      </c>
      <c r="AD431" s="96">
        <f t="shared" si="848"/>
        <v>4.4126474</v>
      </c>
      <c r="AE431" s="96">
        <f t="shared" si="848"/>
        <v>4.4126474</v>
      </c>
      <c r="AF431" s="96">
        <f t="shared" si="848"/>
        <v>4.4126474</v>
      </c>
      <c r="AG431" s="96">
        <f t="shared" si="848"/>
        <v>4.4126474</v>
      </c>
      <c r="AH431" s="96">
        <f t="shared" si="848"/>
        <v>4.4126474</v>
      </c>
      <c r="AI431" s="96">
        <f t="shared" si="848"/>
        <v>4.4126474</v>
      </c>
      <c r="AJ431" s="96">
        <f t="shared" si="848"/>
        <v>4.4126474</v>
      </c>
      <c r="AK431" s="96">
        <f t="shared" si="848"/>
        <v>4.4126474</v>
      </c>
      <c r="AL431" s="96">
        <f t="shared" si="848"/>
        <v>4.4126474</v>
      </c>
      <c r="AM431" s="96">
        <f t="shared" si="848"/>
        <v>4.4126474</v>
      </c>
      <c r="AN431" s="96">
        <f t="shared" si="848"/>
        <v>4.4126474</v>
      </c>
      <c r="AO431" s="96">
        <f t="shared" si="848"/>
        <v>4.4126474</v>
      </c>
      <c r="AP431" s="96">
        <f t="shared" si="848"/>
        <v>4.4126474</v>
      </c>
      <c r="AQ431" s="96">
        <f t="shared" si="848"/>
        <v>4.4126474</v>
      </c>
      <c r="AR431" s="96">
        <f t="shared" si="848"/>
        <v>4.4126474</v>
      </c>
      <c r="AS431" s="96">
        <f t="shared" si="848"/>
        <v>4.4126474</v>
      </c>
      <c r="AT431" s="96">
        <f t="shared" si="848"/>
        <v>4.4126474</v>
      </c>
      <c r="AU431" s="96">
        <f t="shared" si="848"/>
        <v>4.4126474</v>
      </c>
      <c r="AV431" s="96">
        <f t="shared" si="848"/>
        <v>4.4126474</v>
      </c>
      <c r="AW431" s="96">
        <f t="shared" si="848"/>
        <v>4.4126474</v>
      </c>
      <c r="AX431" s="96">
        <f t="shared" si="848"/>
        <v>4.4126474</v>
      </c>
      <c r="AY431" s="96">
        <f t="shared" si="848"/>
        <v>4.4126474</v>
      </c>
      <c r="AZ431" s="96">
        <f t="shared" si="848"/>
        <v>4.4126474</v>
      </c>
      <c r="BA431" s="96">
        <f t="shared" si="848"/>
        <v>4.4126474</v>
      </c>
      <c r="BB431" s="96">
        <f t="shared" si="848"/>
        <v>4.4126474</v>
      </c>
      <c r="BC431" s="96">
        <f t="shared" si="848"/>
        <v>4.4126474</v>
      </c>
      <c r="BD431" s="96">
        <f t="shared" ref="BD431:BM431" si="849">BD149</f>
        <v>0</v>
      </c>
      <c r="BE431" s="96">
        <f t="shared" si="849"/>
        <v>0</v>
      </c>
      <c r="BF431" s="96">
        <f t="shared" si="849"/>
        <v>0</v>
      </c>
      <c r="BG431" s="96">
        <f t="shared" si="849"/>
        <v>0</v>
      </c>
      <c r="BH431" s="96">
        <f t="shared" si="849"/>
        <v>0</v>
      </c>
      <c r="BI431" s="96">
        <f t="shared" si="849"/>
        <v>0</v>
      </c>
      <c r="BJ431" s="96">
        <f t="shared" si="849"/>
        <v>0</v>
      </c>
      <c r="BK431" s="96">
        <f t="shared" si="849"/>
        <v>0</v>
      </c>
      <c r="BL431" s="96">
        <f t="shared" si="849"/>
        <v>0</v>
      </c>
      <c r="BM431" s="96">
        <f t="shared" si="849"/>
        <v>0</v>
      </c>
    </row>
    <row r="432" spans="1:65">
      <c r="A432" s="78" t="s">
        <v>209</v>
      </c>
      <c r="B432" s="96">
        <f>SUM(B429:B431)</f>
        <v>9.4499999999999993</v>
      </c>
      <c r="C432" s="96">
        <f t="shared" ref="C432:AI432" si="850">SUM(C429:C431)</f>
        <v>8.99</v>
      </c>
      <c r="D432" s="96">
        <f t="shared" si="850"/>
        <v>9.19</v>
      </c>
      <c r="E432" s="96">
        <f t="shared" si="850"/>
        <v>10.94</v>
      </c>
      <c r="F432" s="96" t="e">
        <f t="shared" si="850"/>
        <v>#REF!</v>
      </c>
      <c r="G432" s="96" t="e">
        <f t="shared" si="850"/>
        <v>#REF!</v>
      </c>
      <c r="H432" s="96" t="e">
        <f t="shared" si="850"/>
        <v>#REF!</v>
      </c>
      <c r="I432" s="96" t="e">
        <f t="shared" si="850"/>
        <v>#REF!</v>
      </c>
      <c r="J432" s="96" t="e">
        <f t="shared" si="850"/>
        <v>#REF!</v>
      </c>
      <c r="K432" s="96" t="e">
        <f t="shared" si="850"/>
        <v>#REF!</v>
      </c>
      <c r="L432" s="96" t="e">
        <f t="shared" si="850"/>
        <v>#REF!</v>
      </c>
      <c r="M432" s="96" t="e">
        <f t="shared" si="850"/>
        <v>#REF!</v>
      </c>
      <c r="N432" s="96" t="e">
        <f t="shared" si="850"/>
        <v>#REF!</v>
      </c>
      <c r="O432" s="96" t="e">
        <f t="shared" si="850"/>
        <v>#REF!</v>
      </c>
      <c r="P432" s="96" t="e">
        <f t="shared" si="850"/>
        <v>#REF!</v>
      </c>
      <c r="Q432" s="96" t="e">
        <f t="shared" si="850"/>
        <v>#REF!</v>
      </c>
      <c r="R432" s="96">
        <f t="shared" si="850"/>
        <v>22.619999999999997</v>
      </c>
      <c r="S432" s="96">
        <f t="shared" si="850"/>
        <v>22.21</v>
      </c>
      <c r="T432" s="96">
        <f t="shared" si="850"/>
        <v>22.21</v>
      </c>
      <c r="U432" s="96">
        <f t="shared" si="850"/>
        <v>22.21</v>
      </c>
      <c r="V432" s="96">
        <f t="shared" si="850"/>
        <v>22.21</v>
      </c>
      <c r="W432" s="96">
        <f t="shared" si="850"/>
        <v>22.186437400000003</v>
      </c>
      <c r="X432" s="96">
        <f t="shared" si="850"/>
        <v>22.186437400000003</v>
      </c>
      <c r="Y432" s="96">
        <f t="shared" si="850"/>
        <v>22.186437400000003</v>
      </c>
      <c r="Z432" s="96">
        <f t="shared" si="850"/>
        <v>22.186437400000003</v>
      </c>
      <c r="AA432" s="96">
        <f t="shared" si="850"/>
        <v>22.186437400000003</v>
      </c>
      <c r="AB432" s="96">
        <f t="shared" si="850"/>
        <v>22.186437400000003</v>
      </c>
      <c r="AC432" s="96">
        <f t="shared" si="850"/>
        <v>22.186437400000003</v>
      </c>
      <c r="AD432" s="96">
        <f t="shared" si="850"/>
        <v>22.186437400000003</v>
      </c>
      <c r="AE432" s="96">
        <f t="shared" si="850"/>
        <v>22.186437400000003</v>
      </c>
      <c r="AF432" s="96">
        <f t="shared" si="850"/>
        <v>22.186437400000003</v>
      </c>
      <c r="AG432" s="96">
        <f t="shared" si="850"/>
        <v>22.186437400000003</v>
      </c>
      <c r="AH432" s="96">
        <f t="shared" si="850"/>
        <v>22.186437400000003</v>
      </c>
      <c r="AI432" s="96">
        <f t="shared" si="850"/>
        <v>22.186437400000003</v>
      </c>
      <c r="AJ432" s="96">
        <f t="shared" ref="AJ432:BC432" si="851">SUM(AJ429:AJ431)</f>
        <v>22.186437400000003</v>
      </c>
      <c r="AK432" s="96">
        <f t="shared" si="851"/>
        <v>22.186437400000003</v>
      </c>
      <c r="AL432" s="96">
        <f t="shared" si="851"/>
        <v>22.186437400000003</v>
      </c>
      <c r="AM432" s="96">
        <f t="shared" si="851"/>
        <v>22.186437400000003</v>
      </c>
      <c r="AN432" s="96">
        <f t="shared" si="851"/>
        <v>22.186437400000003</v>
      </c>
      <c r="AO432" s="96">
        <f t="shared" si="851"/>
        <v>22.186437400000003</v>
      </c>
      <c r="AP432" s="96">
        <f t="shared" si="851"/>
        <v>22.186437400000003</v>
      </c>
      <c r="AQ432" s="96">
        <f t="shared" si="851"/>
        <v>22.186437400000003</v>
      </c>
      <c r="AR432" s="96">
        <f t="shared" si="851"/>
        <v>22.186437400000003</v>
      </c>
      <c r="AS432" s="96">
        <f t="shared" si="851"/>
        <v>22.186437400000003</v>
      </c>
      <c r="AT432" s="96">
        <f t="shared" si="851"/>
        <v>22.186437400000003</v>
      </c>
      <c r="AU432" s="96">
        <f t="shared" si="851"/>
        <v>22.186437400000003</v>
      </c>
      <c r="AV432" s="96">
        <f t="shared" si="851"/>
        <v>22.186437400000003</v>
      </c>
      <c r="AW432" s="96">
        <f t="shared" si="851"/>
        <v>22.186437400000003</v>
      </c>
      <c r="AX432" s="96">
        <f t="shared" si="851"/>
        <v>22.186437400000003</v>
      </c>
      <c r="AY432" s="96">
        <f t="shared" si="851"/>
        <v>22.186437400000003</v>
      </c>
      <c r="AZ432" s="96">
        <f t="shared" si="851"/>
        <v>22.186437400000003</v>
      </c>
      <c r="BA432" s="96">
        <f t="shared" si="851"/>
        <v>22.186437400000003</v>
      </c>
      <c r="BB432" s="96">
        <f t="shared" si="851"/>
        <v>22.186437400000003</v>
      </c>
      <c r="BC432" s="96">
        <f t="shared" si="851"/>
        <v>22.186437400000003</v>
      </c>
      <c r="BD432" s="96">
        <f t="shared" ref="BD432:BM432" si="852">SUM(BD429:BD431)</f>
        <v>0</v>
      </c>
      <c r="BE432" s="96">
        <f t="shared" si="852"/>
        <v>0</v>
      </c>
      <c r="BF432" s="96">
        <f t="shared" si="852"/>
        <v>0</v>
      </c>
      <c r="BG432" s="96">
        <f t="shared" si="852"/>
        <v>0</v>
      </c>
      <c r="BH432" s="96">
        <f t="shared" si="852"/>
        <v>0</v>
      </c>
      <c r="BI432" s="96">
        <f t="shared" si="852"/>
        <v>0</v>
      </c>
      <c r="BJ432" s="96">
        <f t="shared" si="852"/>
        <v>0</v>
      </c>
      <c r="BK432" s="96">
        <f t="shared" si="852"/>
        <v>0</v>
      </c>
      <c r="BL432" s="96">
        <f t="shared" si="852"/>
        <v>0</v>
      </c>
      <c r="BM432" s="96">
        <f t="shared" si="852"/>
        <v>0</v>
      </c>
    </row>
    <row r="434" spans="1:7">
      <c r="A434" s="78"/>
    </row>
    <row r="438" spans="1:7">
      <c r="A438" s="78"/>
      <c r="B438" s="78"/>
    </row>
    <row r="440" spans="1:7">
      <c r="A440" s="78"/>
      <c r="B440" s="164"/>
      <c r="C440" s="165"/>
      <c r="D440" s="165"/>
      <c r="E440" s="165"/>
      <c r="F440" s="165"/>
      <c r="G440" s="165"/>
    </row>
    <row r="441" spans="1:7">
      <c r="B441" s="165"/>
      <c r="C441" s="165"/>
      <c r="D441" s="165"/>
      <c r="E441" s="165"/>
      <c r="F441" s="165"/>
      <c r="G441" s="165"/>
    </row>
    <row r="442" spans="1:7">
      <c r="B442" s="166"/>
      <c r="C442" s="165"/>
      <c r="D442" s="165"/>
      <c r="E442" s="165"/>
      <c r="F442" s="165"/>
      <c r="G442" s="165"/>
    </row>
    <row r="443" spans="1:7">
      <c r="B443" s="165"/>
      <c r="C443" s="165"/>
      <c r="D443" s="165"/>
      <c r="E443" s="165"/>
      <c r="F443" s="165"/>
      <c r="G443" s="165"/>
    </row>
    <row r="444" spans="1:7">
      <c r="A444" s="100"/>
      <c r="B444" s="166"/>
      <c r="C444" s="165"/>
      <c r="D444" s="165"/>
      <c r="E444" s="165"/>
      <c r="F444" s="165"/>
      <c r="G444" s="165"/>
    </row>
    <row r="445" spans="1:7">
      <c r="B445" s="166"/>
      <c r="C445" s="165"/>
      <c r="D445" s="165"/>
      <c r="E445" s="165"/>
      <c r="F445" s="165"/>
      <c r="G445" s="165"/>
    </row>
    <row r="446" spans="1:7">
      <c r="B446" s="166"/>
      <c r="C446" s="165"/>
      <c r="D446" s="165"/>
      <c r="E446" s="165"/>
      <c r="F446" s="165"/>
      <c r="G446" s="165"/>
    </row>
    <row r="447" spans="1:7">
      <c r="B447" s="166"/>
      <c r="C447" s="165"/>
      <c r="D447" s="165"/>
      <c r="E447" s="165"/>
      <c r="F447" s="165"/>
      <c r="G447" s="165"/>
    </row>
    <row r="448" spans="1:7">
      <c r="B448" s="165"/>
      <c r="C448" s="165"/>
      <c r="D448" s="165"/>
      <c r="E448" s="165"/>
      <c r="F448" s="165"/>
      <c r="G448" s="165"/>
    </row>
    <row r="449" spans="2:7">
      <c r="B449" s="166"/>
      <c r="C449" s="165"/>
      <c r="D449" s="165"/>
      <c r="E449" s="165"/>
      <c r="F449" s="165"/>
      <c r="G449" s="165"/>
    </row>
    <row r="450" spans="2:7">
      <c r="B450" s="166"/>
      <c r="C450" s="165"/>
      <c r="D450" s="165"/>
      <c r="E450" s="165"/>
      <c r="F450" s="165"/>
      <c r="G450" s="165"/>
    </row>
    <row r="451" spans="2:7">
      <c r="B451" s="166"/>
      <c r="C451" s="165"/>
      <c r="D451" s="165"/>
      <c r="E451" s="165"/>
      <c r="F451" s="165"/>
      <c r="G451" s="165"/>
    </row>
    <row r="452" spans="2:7">
      <c r="B452" s="166"/>
      <c r="C452" s="165"/>
      <c r="D452" s="165"/>
      <c r="E452" s="165"/>
      <c r="F452" s="165"/>
      <c r="G452" s="165"/>
    </row>
  </sheetData>
  <dataConsolidate/>
  <phoneticPr fontId="54" type="noConversion"/>
  <printOptions gridLines="1"/>
  <pageMargins left="0.78740157499999996" right="0.78740157499999996" top="0.984251969" bottom="0.984251969" header="0.5" footer="0.5"/>
  <pageSetup paperSize="9" orientation="landscape" r:id="rId1"/>
  <headerFooter alignWithMargins="0"/>
  <rowBreaks count="1" manualBreakCount="1">
    <brk id="151" max="8" man="1"/>
  </rowBreaks>
  <ignoredErrors>
    <ignoredError sqref="BG351:BH353 AT350:BB351 BF352:BF353 BC351:BE353 AT353:BB355 BB352" unlockedFormula="1"/>
    <ignoredError sqref="B14:C14 K14 G14:J14 D14:F14 Q14:R14 U14:W14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8">
    <pageSetUpPr fitToPage="1"/>
  </sheetPr>
  <dimension ref="A1:CT103"/>
  <sheetViews>
    <sheetView zoomScaleNormal="100" workbookViewId="0">
      <pane xSplit="1" ySplit="1" topLeftCell="B2" activePane="bottomRight" state="frozen"/>
      <selection activeCell="C29" sqref="C29"/>
      <selection pane="topRight" activeCell="C29" sqref="C29"/>
      <selection pane="bottomLeft" activeCell="C29" sqref="C29"/>
      <selection pane="bottomRight" activeCell="B11" sqref="B11"/>
    </sheetView>
  </sheetViews>
  <sheetFormatPr baseColWidth="10" defaultColWidth="11.42578125" defaultRowHeight="12.75"/>
  <cols>
    <col min="1" max="1" width="55" customWidth="1"/>
    <col min="2" max="2" width="12.28515625" customWidth="1"/>
    <col min="3" max="3" width="13.140625" customWidth="1"/>
    <col min="4" max="4" width="12.140625" customWidth="1"/>
    <col min="5" max="8" width="11.5703125" customWidth="1"/>
    <col min="9" max="31" width="11.5703125" bestFit="1" customWidth="1"/>
    <col min="52" max="61" width="11.42578125" customWidth="1"/>
    <col min="62" max="71" width="11.42578125" style="31" customWidth="1"/>
    <col min="72" max="98" width="11.42578125" customWidth="1"/>
  </cols>
  <sheetData>
    <row r="1" spans="1:98" ht="13.5" thickBot="1">
      <c r="A1" s="12" t="s">
        <v>80</v>
      </c>
      <c r="B1" s="472">
        <v>2001</v>
      </c>
      <c r="C1" s="472">
        <v>2002</v>
      </c>
      <c r="D1" s="472">
        <v>2003</v>
      </c>
      <c r="E1" s="472">
        <v>2004</v>
      </c>
      <c r="F1" s="472">
        <v>2005</v>
      </c>
      <c r="G1" s="472">
        <v>2006</v>
      </c>
      <c r="H1" s="472">
        <v>2007</v>
      </c>
      <c r="I1" s="472">
        <v>2008</v>
      </c>
      <c r="J1" s="472">
        <v>2009</v>
      </c>
      <c r="K1" s="472">
        <v>2010</v>
      </c>
      <c r="L1" s="472">
        <v>2011</v>
      </c>
      <c r="M1" s="472">
        <v>2012</v>
      </c>
      <c r="N1" s="472">
        <v>2013</v>
      </c>
      <c r="O1" s="472">
        <v>2014</v>
      </c>
      <c r="P1" s="472">
        <v>2015</v>
      </c>
      <c r="Q1" s="472">
        <v>2016</v>
      </c>
      <c r="R1" s="472">
        <v>2017</v>
      </c>
      <c r="S1" s="472">
        <v>2018</v>
      </c>
      <c r="T1" s="472">
        <v>2019</v>
      </c>
      <c r="U1" s="472">
        <v>2020</v>
      </c>
      <c r="V1" s="472">
        <v>2021</v>
      </c>
      <c r="W1" s="472">
        <v>2022</v>
      </c>
      <c r="X1" s="472">
        <v>2023</v>
      </c>
      <c r="Y1" s="472">
        <v>2024</v>
      </c>
      <c r="Z1" s="472">
        <v>2025</v>
      </c>
      <c r="AA1" s="472">
        <v>2026</v>
      </c>
      <c r="AB1" s="472">
        <v>2027</v>
      </c>
      <c r="AC1" s="472">
        <v>2028</v>
      </c>
      <c r="AD1" s="472">
        <v>2029</v>
      </c>
      <c r="AE1" s="472">
        <v>2030</v>
      </c>
      <c r="AF1" s="472">
        <v>2031</v>
      </c>
      <c r="AG1" s="472">
        <v>2032</v>
      </c>
      <c r="AH1" s="472">
        <v>2033</v>
      </c>
      <c r="AI1" s="472">
        <v>2034</v>
      </c>
      <c r="AJ1" s="472">
        <v>2035</v>
      </c>
      <c r="AK1" s="472">
        <v>2036</v>
      </c>
      <c r="AL1" s="472">
        <v>2037</v>
      </c>
      <c r="AM1" s="472">
        <v>2038</v>
      </c>
      <c r="AN1" s="472">
        <v>2039</v>
      </c>
      <c r="AO1" s="472">
        <v>2040</v>
      </c>
      <c r="AP1" s="472">
        <v>2041</v>
      </c>
      <c r="AQ1" s="472">
        <v>2042</v>
      </c>
      <c r="AR1" s="472">
        <v>2043</v>
      </c>
      <c r="AS1" s="472">
        <v>2044</v>
      </c>
      <c r="AT1" s="472">
        <v>2045</v>
      </c>
      <c r="AU1" s="472">
        <v>2046</v>
      </c>
      <c r="AV1" s="472">
        <v>2047</v>
      </c>
      <c r="AW1" s="472">
        <v>2048</v>
      </c>
      <c r="AX1" s="472">
        <v>2049</v>
      </c>
      <c r="AY1" s="472">
        <v>2050</v>
      </c>
      <c r="AZ1" s="472">
        <v>2051</v>
      </c>
      <c r="BA1" s="472">
        <v>2052</v>
      </c>
      <c r="BB1" s="472">
        <v>2053</v>
      </c>
      <c r="BC1" s="472">
        <v>2054</v>
      </c>
      <c r="BD1" s="472">
        <v>2055</v>
      </c>
      <c r="BE1" s="472">
        <v>2056</v>
      </c>
      <c r="BF1" s="472">
        <v>2057</v>
      </c>
      <c r="BG1" s="472">
        <v>2058</v>
      </c>
      <c r="BH1" s="472">
        <v>2059</v>
      </c>
      <c r="BI1" s="472">
        <v>2060</v>
      </c>
      <c r="BJ1" s="472">
        <v>2061</v>
      </c>
      <c r="BK1" s="472">
        <v>2062</v>
      </c>
      <c r="BL1" s="472">
        <v>2063</v>
      </c>
      <c r="BM1" s="472">
        <v>2064</v>
      </c>
      <c r="BN1" s="472">
        <v>2065</v>
      </c>
      <c r="BO1" s="472">
        <v>2066</v>
      </c>
      <c r="BP1" s="472">
        <v>2067</v>
      </c>
      <c r="BQ1" s="472">
        <v>2068</v>
      </c>
      <c r="BR1" s="472">
        <v>2069</v>
      </c>
      <c r="BS1" s="472">
        <v>2070</v>
      </c>
      <c r="BT1" s="472">
        <v>2071</v>
      </c>
      <c r="BU1" s="472">
        <v>2072</v>
      </c>
      <c r="BV1" s="472">
        <v>2073</v>
      </c>
      <c r="BW1" s="472">
        <v>2074</v>
      </c>
      <c r="BX1" s="472">
        <v>2075</v>
      </c>
      <c r="BY1" s="472">
        <v>2076</v>
      </c>
      <c r="BZ1" s="472">
        <v>2077</v>
      </c>
      <c r="CA1" s="472">
        <v>2078</v>
      </c>
      <c r="CB1" s="472">
        <v>2079</v>
      </c>
      <c r="CC1" s="472">
        <v>2080</v>
      </c>
      <c r="CD1" s="472">
        <v>2081</v>
      </c>
      <c r="CE1" s="472">
        <v>2082</v>
      </c>
      <c r="CF1" s="472">
        <v>2083</v>
      </c>
      <c r="CG1" s="472">
        <v>2084</v>
      </c>
      <c r="CH1" s="472">
        <v>2085</v>
      </c>
      <c r="CI1" s="472">
        <v>2086</v>
      </c>
      <c r="CJ1" s="472">
        <v>2087</v>
      </c>
      <c r="CK1" s="472">
        <v>2088</v>
      </c>
      <c r="CL1" s="472">
        <v>2089</v>
      </c>
      <c r="CM1" s="472">
        <v>2090</v>
      </c>
      <c r="CN1" s="67"/>
      <c r="CO1" s="67"/>
      <c r="CP1" s="67"/>
      <c r="CQ1" s="67"/>
      <c r="CR1" s="67"/>
      <c r="CS1" s="67"/>
      <c r="CT1" s="67"/>
    </row>
    <row r="2" spans="1:98">
      <c r="A2" t="s">
        <v>81</v>
      </c>
      <c r="B2" s="5">
        <f>KVARTS!F5</f>
        <v>223</v>
      </c>
      <c r="C2" s="5">
        <f>KVARTS!G5</f>
        <v>198</v>
      </c>
      <c r="D2" s="5">
        <f>KVARTS!H5</f>
        <v>201</v>
      </c>
      <c r="E2" s="5">
        <f>KVARTS!I5</f>
        <v>255</v>
      </c>
      <c r="F2" s="5">
        <f>KVARTS!J5</f>
        <v>355</v>
      </c>
      <c r="G2" s="5">
        <f>KVARTS!K5</f>
        <v>423</v>
      </c>
      <c r="H2" s="5">
        <f>KVARTS!L5</f>
        <v>425</v>
      </c>
      <c r="I2" s="54">
        <f>KVARTS!M5</f>
        <v>556</v>
      </c>
      <c r="J2" s="54">
        <f>KVARTS!N5</f>
        <v>391</v>
      </c>
      <c r="K2" s="54">
        <f>KVARTS!O5</f>
        <v>485</v>
      </c>
      <c r="L2" s="54">
        <f>KVARTS!P5</f>
        <v>622</v>
      </c>
      <c r="M2" s="54">
        <f>KVARTS!Q5</f>
        <v>650</v>
      </c>
      <c r="N2" s="54">
        <f>KVARTS!R5</f>
        <v>639</v>
      </c>
      <c r="O2" s="54">
        <f>KVARTS!S5</f>
        <v>627</v>
      </c>
      <c r="P2" s="54">
        <f>KVARTS!T5</f>
        <v>431</v>
      </c>
      <c r="Q2" s="54">
        <f>KVARTS!U5</f>
        <v>379</v>
      </c>
      <c r="R2" s="54">
        <f>KVARTS!V5</f>
        <v>452</v>
      </c>
      <c r="S2" s="54">
        <f>KVARTS!W5</f>
        <v>583</v>
      </c>
      <c r="T2" s="54">
        <f>KVARTS!X5</f>
        <v>564</v>
      </c>
      <c r="U2" s="54">
        <f>KVARTS!Y5</f>
        <v>407</v>
      </c>
      <c r="V2" s="54">
        <f>KVARTS!Z5</f>
        <v>609</v>
      </c>
      <c r="W2" s="54">
        <f>KVARTS!AA5</f>
        <v>951</v>
      </c>
      <c r="X2" s="54">
        <f>KVARTS!AB5</f>
        <v>867</v>
      </c>
      <c r="Y2" s="54">
        <f>KVARTS!AC5</f>
        <v>856</v>
      </c>
      <c r="Z2" s="54">
        <f>KVARTS!AD5</f>
        <v>724.01362043224276</v>
      </c>
      <c r="AA2" s="54">
        <f>KVARTS!AE5</f>
        <v>674.49526567499993</v>
      </c>
      <c r="AB2" s="54">
        <f>KVARTS!AF5</f>
        <v>673.96430640000017</v>
      </c>
      <c r="AC2" s="54">
        <f>KVARTS!AG5</f>
        <v>677.74844472500013</v>
      </c>
      <c r="AD2" s="54">
        <f>KVARTS!AH5</f>
        <v>680.85834905000024</v>
      </c>
      <c r="AE2" s="54">
        <f>KVARTS!AI5</f>
        <v>681.30502907500022</v>
      </c>
      <c r="AF2" s="54">
        <f>KVARTS!AJ5</f>
        <v>713.68946473586277</v>
      </c>
      <c r="AG2" s="54">
        <f>KVARTS!AK5</f>
        <v>747.09675581152999</v>
      </c>
      <c r="AH2" s="54">
        <f>KVARTS!AL5</f>
        <v>781.55486274432951</v>
      </c>
      <c r="AI2" s="54">
        <f>KVARTS!AM5</f>
        <v>817.09245525211622</v>
      </c>
      <c r="AJ2" s="54">
        <f>KVARTS!AN5</f>
        <v>853.74053800133117</v>
      </c>
      <c r="AK2" s="54">
        <f>KVARTS!AO5</f>
        <v>870.81534876135777</v>
      </c>
      <c r="AL2" s="54">
        <f>KVARTS!AP5</f>
        <v>888.23165573658491</v>
      </c>
      <c r="AM2" s="54">
        <f>KVARTS!AQ5</f>
        <v>905.99628885131665</v>
      </c>
      <c r="AN2" s="54">
        <f>KVARTS!AR5</f>
        <v>924.11621462834307</v>
      </c>
      <c r="AO2" s="54">
        <f>KVARTS!AS5</f>
        <v>942.59853892090985</v>
      </c>
      <c r="AP2" s="54">
        <f>KVARTS!AT5</f>
        <v>961.45050969932811</v>
      </c>
      <c r="AQ2" s="54">
        <f>KVARTS!AU5</f>
        <v>980.6795198933147</v>
      </c>
      <c r="AR2" s="54">
        <f>KVARTS!AV5</f>
        <v>1000.2931102911811</v>
      </c>
      <c r="AS2" s="54">
        <f>KVARTS!AW5</f>
        <v>1020.2989724970047</v>
      </c>
      <c r="AT2" s="54">
        <f>KVARTS!AX5</f>
        <v>1040.7049519469447</v>
      </c>
      <c r="AU2" s="54">
        <f>KVARTS!AY5</f>
        <v>1061.5190509858837</v>
      </c>
      <c r="AV2" s="54">
        <f>KVARTS!AZ5</f>
        <v>1082.7494320056014</v>
      </c>
      <c r="AW2" s="54">
        <f>KVARTS!BA5</f>
        <v>1104.4044206457133</v>
      </c>
      <c r="AX2" s="54">
        <f>KVARTS!BB5</f>
        <v>1126.4925090586278</v>
      </c>
      <c r="AY2" s="54">
        <f>KVARTS!BC5</f>
        <v>1149.0223592398004</v>
      </c>
      <c r="AZ2" s="54">
        <f>KVARTS!BD5</f>
        <v>1172.0028064245962</v>
      </c>
      <c r="BA2" s="54">
        <f>KVARTS!BE5</f>
        <v>1195.4428625530882</v>
      </c>
      <c r="BB2" s="54">
        <f>KVARTS!BF5</f>
        <v>1219.35171980415</v>
      </c>
      <c r="BC2" s="54">
        <f>KVARTS!BG5</f>
        <v>1243.7387542002332</v>
      </c>
      <c r="BD2" s="54">
        <f>KVARTS!BH5</f>
        <v>1268.6135292842378</v>
      </c>
      <c r="BE2" s="54">
        <f>KVARTS!BI5</f>
        <v>1293.9857998699226</v>
      </c>
      <c r="BF2" s="54">
        <f>KVARTS!BJ5</f>
        <v>1319.8655158673212</v>
      </c>
      <c r="BG2" s="54">
        <f>KVARTS!BK5</f>
        <v>1346.2628261846676</v>
      </c>
      <c r="BH2" s="54">
        <f>KVARTS!BL5</f>
        <v>1373.188082708361</v>
      </c>
      <c r="BI2" s="54">
        <f>KVARTS!BM5</f>
        <v>1400.651844362528</v>
      </c>
      <c r="BJ2" s="55">
        <f>BI2*(1+Formue!BK43/100)</f>
        <v>1428.6648812497785</v>
      </c>
      <c r="BK2" s="55">
        <f>BJ2*(1+Formue!BL43/100)</f>
        <v>1457.2381788747741</v>
      </c>
      <c r="BL2" s="55">
        <f>BK2*(1+Formue!BM43/100)</f>
        <v>1486.3829424522696</v>
      </c>
      <c r="BM2" s="55">
        <f>BL2*(1+Formue!BN43/100)</f>
        <v>1516.110601301315</v>
      </c>
      <c r="BN2" s="55">
        <f>BM2*(1+Formue!BO43/100)</f>
        <v>1546.4328133273414</v>
      </c>
      <c r="BO2" s="55">
        <f>BN2*(1+Formue!BP43/100)</f>
        <v>1577.3614695938882</v>
      </c>
      <c r="BP2" s="55">
        <f>BO2*(1+Formue!BQ43/100)</f>
        <v>1608.908698985766</v>
      </c>
      <c r="BQ2" s="55">
        <f>BP2*(1+Formue!BR43/100)</f>
        <v>1641.0868729654815</v>
      </c>
      <c r="BR2" s="55">
        <f>BQ2*(1+Formue!BS43/100)</f>
        <v>1673.908610424791</v>
      </c>
      <c r="BS2" s="55">
        <f>BR2*(1+Formue!BT43/100)</f>
        <v>1707.3867826332869</v>
      </c>
      <c r="BT2" s="68">
        <f>BS2*(1+Formue!BU43/100)</f>
        <v>1741.5345182859526</v>
      </c>
      <c r="BU2" s="68">
        <f>BT2*(1+Formue!BV43/100)</f>
        <v>1776.3652086516718</v>
      </c>
      <c r="BV2" s="68">
        <f>BU2*(1+Formue!BW43/100)</f>
        <v>1811.8925128247051</v>
      </c>
      <c r="BW2" s="68">
        <f>BV2*(1+Formue!BX43/100)</f>
        <v>1848.1303630811992</v>
      </c>
      <c r="BX2" s="68">
        <f>BW2*(1+Formue!BY43/100)</f>
        <v>1885.0929703428233</v>
      </c>
      <c r="BY2" s="68">
        <f>BX2*(1+Formue!BZ43/100)</f>
        <v>1922.7948297496798</v>
      </c>
      <c r="BZ2" s="68">
        <f>BY2*(1+Formue!CA43/100)</f>
        <v>1961.2507263446735</v>
      </c>
      <c r="CA2" s="68">
        <f>BZ2*(1+Formue!CB43/100)</f>
        <v>2000.475740871567</v>
      </c>
      <c r="CB2" s="68">
        <f>CA2*(1+Formue!CC43/100)</f>
        <v>2040.4852556889984</v>
      </c>
      <c r="CC2" s="68">
        <f>CB2*(1+Formue!CD43/100)</f>
        <v>2081.2949608027784</v>
      </c>
      <c r="CD2" s="68">
        <f>CC2*(1+Formue!CE43/100)</f>
        <v>2122.920860018834</v>
      </c>
      <c r="CE2" s="68">
        <f>CD2*(1+Formue!CF43/100)</f>
        <v>2165.3792772192105</v>
      </c>
      <c r="CF2" s="68">
        <f>CE2*(1+Formue!CG43/100)</f>
        <v>2208.6868627635949</v>
      </c>
      <c r="CG2" s="68">
        <f>CF2*(1+Formue!CH43/100)</f>
        <v>2252.860600018867</v>
      </c>
      <c r="CH2" s="68">
        <f>CG2*(1+Formue!CI43/100)</f>
        <v>2297.9178120192446</v>
      </c>
      <c r="CI2" s="68">
        <f>CH2*(1+Formue!CJ43/100)</f>
        <v>2343.8761682596296</v>
      </c>
      <c r="CJ2" s="68">
        <f>CI2*(1+Formue!CK43/100)</f>
        <v>2390.7536916248223</v>
      </c>
      <c r="CK2" s="68">
        <f>CJ2*(1+Formue!CL43/100)</f>
        <v>2438.5687654573189</v>
      </c>
      <c r="CL2" s="68">
        <f>CK2*(1+Formue!CM43/100)</f>
        <v>2487.3401407664655</v>
      </c>
      <c r="CM2" s="68">
        <f>CL2*(1+Formue!CN43/100)</f>
        <v>2537.0869435817949</v>
      </c>
      <c r="CN2" s="68"/>
      <c r="CO2" s="68"/>
      <c r="CP2" s="68"/>
      <c r="CQ2" s="68"/>
      <c r="CR2" s="68"/>
      <c r="CS2" s="68"/>
      <c r="CT2" s="68"/>
    </row>
    <row r="3" spans="1:98">
      <c r="A3" s="2" t="s">
        <v>175</v>
      </c>
      <c r="B3" s="30"/>
      <c r="C3" s="19"/>
      <c r="D3" s="22"/>
      <c r="E3" s="19"/>
      <c r="F3" s="19"/>
      <c r="G3" s="38"/>
      <c r="H3" s="19"/>
      <c r="I3" s="56"/>
      <c r="J3" s="56"/>
      <c r="K3" s="56"/>
      <c r="L3" s="56"/>
      <c r="M3" s="56"/>
      <c r="N3" s="56"/>
      <c r="O3" s="56"/>
      <c r="P3" s="56"/>
      <c r="Q3" s="56">
        <v>0</v>
      </c>
      <c r="R3" s="56">
        <v>0</v>
      </c>
      <c r="S3" s="56">
        <v>0</v>
      </c>
      <c r="T3" s="56">
        <v>0</v>
      </c>
      <c r="U3" s="56">
        <v>0</v>
      </c>
      <c r="V3" s="56">
        <v>0</v>
      </c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</row>
    <row r="4" spans="1:98">
      <c r="A4" t="s">
        <v>82</v>
      </c>
      <c r="B4" s="5">
        <f>B2-B3</f>
        <v>223</v>
      </c>
      <c r="C4" s="5">
        <f>C2-C3</f>
        <v>198</v>
      </c>
      <c r="D4" s="5">
        <f>D2-D3</f>
        <v>201</v>
      </c>
      <c r="E4" s="5">
        <f t="shared" ref="E4:AE4" si="0">E2-E3</f>
        <v>255</v>
      </c>
      <c r="F4" s="5">
        <f t="shared" si="0"/>
        <v>355</v>
      </c>
      <c r="G4" s="5">
        <f t="shared" ref="G4:O4" si="1">G2-G3</f>
        <v>423</v>
      </c>
      <c r="H4" s="5">
        <f t="shared" si="1"/>
        <v>425</v>
      </c>
      <c r="I4" s="54">
        <f t="shared" si="1"/>
        <v>556</v>
      </c>
      <c r="J4" s="54">
        <f t="shared" si="1"/>
        <v>391</v>
      </c>
      <c r="K4" s="54">
        <f t="shared" si="1"/>
        <v>485</v>
      </c>
      <c r="L4" s="54">
        <f t="shared" si="1"/>
        <v>622</v>
      </c>
      <c r="M4" s="54">
        <f t="shared" si="1"/>
        <v>650</v>
      </c>
      <c r="N4" s="54">
        <f t="shared" si="1"/>
        <v>639</v>
      </c>
      <c r="O4" s="54">
        <f t="shared" si="1"/>
        <v>627</v>
      </c>
      <c r="P4" s="54">
        <f t="shared" si="0"/>
        <v>431</v>
      </c>
      <c r="Q4" s="54">
        <f t="shared" si="0"/>
        <v>379</v>
      </c>
      <c r="R4" s="54">
        <f t="shared" si="0"/>
        <v>452</v>
      </c>
      <c r="S4" s="54">
        <f t="shared" si="0"/>
        <v>583</v>
      </c>
      <c r="T4" s="54">
        <f t="shared" si="0"/>
        <v>564</v>
      </c>
      <c r="U4" s="54">
        <f t="shared" si="0"/>
        <v>407</v>
      </c>
      <c r="V4" s="54">
        <f t="shared" si="0"/>
        <v>609</v>
      </c>
      <c r="W4" s="54">
        <f t="shared" si="0"/>
        <v>951</v>
      </c>
      <c r="X4" s="54">
        <f t="shared" si="0"/>
        <v>867</v>
      </c>
      <c r="Y4" s="54">
        <f t="shared" si="0"/>
        <v>856</v>
      </c>
      <c r="Z4" s="54">
        <f t="shared" si="0"/>
        <v>724.01362043224276</v>
      </c>
      <c r="AA4" s="54">
        <f t="shared" si="0"/>
        <v>674.49526567499993</v>
      </c>
      <c r="AB4" s="54">
        <f t="shared" si="0"/>
        <v>673.96430640000017</v>
      </c>
      <c r="AC4" s="54">
        <f t="shared" si="0"/>
        <v>677.74844472500013</v>
      </c>
      <c r="AD4" s="54">
        <f t="shared" si="0"/>
        <v>680.85834905000024</v>
      </c>
      <c r="AE4" s="54">
        <f t="shared" si="0"/>
        <v>681.30502907500022</v>
      </c>
      <c r="AF4" s="54">
        <f t="shared" ref="AF4:AY4" si="2">AF2-AF3</f>
        <v>713.68946473586277</v>
      </c>
      <c r="AG4" s="54">
        <f t="shared" si="2"/>
        <v>747.09675581152999</v>
      </c>
      <c r="AH4" s="54">
        <f t="shared" si="2"/>
        <v>781.55486274432951</v>
      </c>
      <c r="AI4" s="54">
        <f t="shared" si="2"/>
        <v>817.09245525211622</v>
      </c>
      <c r="AJ4" s="54">
        <f t="shared" si="2"/>
        <v>853.74053800133117</v>
      </c>
      <c r="AK4" s="54">
        <f t="shared" si="2"/>
        <v>870.81534876135777</v>
      </c>
      <c r="AL4" s="54">
        <f t="shared" si="2"/>
        <v>888.23165573658491</v>
      </c>
      <c r="AM4" s="54">
        <f t="shared" si="2"/>
        <v>905.99628885131665</v>
      </c>
      <c r="AN4" s="54">
        <f t="shared" si="2"/>
        <v>924.11621462834307</v>
      </c>
      <c r="AO4" s="54">
        <f t="shared" si="2"/>
        <v>942.59853892090985</v>
      </c>
      <c r="AP4" s="54">
        <f t="shared" si="2"/>
        <v>961.45050969932811</v>
      </c>
      <c r="AQ4" s="54">
        <f t="shared" si="2"/>
        <v>980.6795198933147</v>
      </c>
      <c r="AR4" s="54">
        <f t="shared" si="2"/>
        <v>1000.2931102911811</v>
      </c>
      <c r="AS4" s="54">
        <f t="shared" si="2"/>
        <v>1020.2989724970047</v>
      </c>
      <c r="AT4" s="54">
        <f t="shared" si="2"/>
        <v>1040.7049519469447</v>
      </c>
      <c r="AU4" s="54">
        <f t="shared" si="2"/>
        <v>1061.5190509858837</v>
      </c>
      <c r="AV4" s="54">
        <f t="shared" si="2"/>
        <v>1082.7494320056014</v>
      </c>
      <c r="AW4" s="54">
        <f t="shared" si="2"/>
        <v>1104.4044206457133</v>
      </c>
      <c r="AX4" s="54">
        <f t="shared" si="2"/>
        <v>1126.4925090586278</v>
      </c>
      <c r="AY4" s="54">
        <f t="shared" si="2"/>
        <v>1149.0223592398004</v>
      </c>
      <c r="AZ4" s="54">
        <f t="shared" ref="AZ4:BI4" si="3">AZ2-AZ3</f>
        <v>1172.0028064245962</v>
      </c>
      <c r="BA4" s="54">
        <f t="shared" si="3"/>
        <v>1195.4428625530882</v>
      </c>
      <c r="BB4" s="54">
        <f t="shared" si="3"/>
        <v>1219.35171980415</v>
      </c>
      <c r="BC4" s="54">
        <f t="shared" si="3"/>
        <v>1243.7387542002332</v>
      </c>
      <c r="BD4" s="54">
        <f t="shared" si="3"/>
        <v>1268.6135292842378</v>
      </c>
      <c r="BE4" s="54">
        <f t="shared" si="3"/>
        <v>1293.9857998699226</v>
      </c>
      <c r="BF4" s="54">
        <f t="shared" si="3"/>
        <v>1319.8655158673212</v>
      </c>
      <c r="BG4" s="54">
        <f t="shared" si="3"/>
        <v>1346.2628261846676</v>
      </c>
      <c r="BH4" s="54">
        <f t="shared" si="3"/>
        <v>1373.188082708361</v>
      </c>
      <c r="BI4" s="54">
        <f t="shared" si="3"/>
        <v>1400.651844362528</v>
      </c>
      <c r="BJ4" s="55">
        <f t="shared" ref="BJ4:BS4" si="4">BJ2-BJ3</f>
        <v>1428.6648812497785</v>
      </c>
      <c r="BK4" s="55">
        <f t="shared" si="4"/>
        <v>1457.2381788747741</v>
      </c>
      <c r="BL4" s="55">
        <f t="shared" si="4"/>
        <v>1486.3829424522696</v>
      </c>
      <c r="BM4" s="55">
        <f t="shared" si="4"/>
        <v>1516.110601301315</v>
      </c>
      <c r="BN4" s="55">
        <f t="shared" si="4"/>
        <v>1546.4328133273414</v>
      </c>
      <c r="BO4" s="55">
        <f t="shared" si="4"/>
        <v>1577.3614695938882</v>
      </c>
      <c r="BP4" s="55">
        <f t="shared" si="4"/>
        <v>1608.908698985766</v>
      </c>
      <c r="BQ4" s="55">
        <f t="shared" si="4"/>
        <v>1641.0868729654815</v>
      </c>
      <c r="BR4" s="55">
        <f t="shared" si="4"/>
        <v>1673.908610424791</v>
      </c>
      <c r="BS4" s="55">
        <f t="shared" si="4"/>
        <v>1707.3867826332869</v>
      </c>
      <c r="BT4" s="68">
        <f t="shared" ref="BT4:CH4" si="5">BT2-BT3</f>
        <v>1741.5345182859526</v>
      </c>
      <c r="BU4" s="68">
        <f t="shared" si="5"/>
        <v>1776.3652086516718</v>
      </c>
      <c r="BV4" s="68">
        <f t="shared" si="5"/>
        <v>1811.8925128247051</v>
      </c>
      <c r="BW4" s="68">
        <f t="shared" si="5"/>
        <v>1848.1303630811992</v>
      </c>
      <c r="BX4" s="68">
        <f t="shared" si="5"/>
        <v>1885.0929703428233</v>
      </c>
      <c r="BY4" s="68">
        <f t="shared" si="5"/>
        <v>1922.7948297496798</v>
      </c>
      <c r="BZ4" s="68">
        <f t="shared" si="5"/>
        <v>1961.2507263446735</v>
      </c>
      <c r="CA4" s="68">
        <f t="shared" si="5"/>
        <v>2000.475740871567</v>
      </c>
      <c r="CB4" s="68">
        <f t="shared" si="5"/>
        <v>2040.4852556889984</v>
      </c>
      <c r="CC4" s="68">
        <f t="shared" si="5"/>
        <v>2081.2949608027784</v>
      </c>
      <c r="CD4" s="68">
        <f t="shared" si="5"/>
        <v>2122.920860018834</v>
      </c>
      <c r="CE4" s="68">
        <f t="shared" si="5"/>
        <v>2165.3792772192105</v>
      </c>
      <c r="CF4" s="68">
        <f t="shared" si="5"/>
        <v>2208.6868627635949</v>
      </c>
      <c r="CG4" s="68">
        <f t="shared" si="5"/>
        <v>2252.860600018867</v>
      </c>
      <c r="CH4" s="68">
        <f t="shared" si="5"/>
        <v>2297.9178120192446</v>
      </c>
      <c r="CI4" s="68">
        <f t="shared" ref="CI4:CM4" si="6">CI2-CI3</f>
        <v>2343.8761682596296</v>
      </c>
      <c r="CJ4" s="68">
        <f t="shared" si="6"/>
        <v>2390.7536916248223</v>
      </c>
      <c r="CK4" s="68">
        <f t="shared" si="6"/>
        <v>2438.5687654573189</v>
      </c>
      <c r="CL4" s="68">
        <f t="shared" si="6"/>
        <v>2487.3401407664655</v>
      </c>
      <c r="CM4" s="68">
        <f t="shared" si="6"/>
        <v>2537.0869435817949</v>
      </c>
      <c r="CN4" s="68"/>
      <c r="CO4" s="68"/>
      <c r="CP4" s="68"/>
      <c r="CQ4" s="68"/>
      <c r="CR4" s="68"/>
      <c r="CS4" s="68"/>
      <c r="CT4" s="68"/>
    </row>
    <row r="5" spans="1:98">
      <c r="A5" t="s">
        <v>83</v>
      </c>
      <c r="B5" s="4">
        <f>KVARTS!F6</f>
        <v>1.21</v>
      </c>
      <c r="C5" s="4">
        <f>KVARTS!G6</f>
        <v>0.92</v>
      </c>
      <c r="D5" s="4">
        <f>KVARTS!H6</f>
        <v>0.88</v>
      </c>
      <c r="E5" s="4">
        <f>KVARTS!I6</f>
        <v>0.97</v>
      </c>
      <c r="F5" s="4">
        <f>KVARTS!J6</f>
        <v>1.25</v>
      </c>
      <c r="G5" s="4">
        <f>KVARTS!K6</f>
        <v>1.74</v>
      </c>
      <c r="H5" s="4">
        <f>KVARTS!L6</f>
        <v>1.57</v>
      </c>
      <c r="I5" s="54">
        <f>KVARTS!M6</f>
        <v>2.2200000000000002</v>
      </c>
      <c r="J5" s="54">
        <f>KVARTS!N6</f>
        <v>1.67</v>
      </c>
      <c r="K5" s="54">
        <f>KVARTS!O6</f>
        <v>1.59</v>
      </c>
      <c r="L5" s="54">
        <f>KVARTS!P6</f>
        <v>2</v>
      </c>
      <c r="M5" s="54">
        <f>KVARTS!Q6</f>
        <v>2.21</v>
      </c>
      <c r="N5" s="54">
        <f>KVARTS!R6</f>
        <v>2.31</v>
      </c>
      <c r="O5" s="54">
        <f>KVARTS!S6</f>
        <v>2.0499999999999998</v>
      </c>
      <c r="P5" s="54">
        <f>KVARTS!T6</f>
        <v>1.92</v>
      </c>
      <c r="Q5" s="54">
        <f>KVARTS!U6</f>
        <v>1.4</v>
      </c>
      <c r="R5" s="54">
        <f>KVARTS!V6</f>
        <v>1.65</v>
      </c>
      <c r="S5" s="54">
        <f>KVARTS!W6</f>
        <v>2.2000000000000002</v>
      </c>
      <c r="T5" s="54">
        <f>KVARTS!X6</f>
        <v>1.57</v>
      </c>
      <c r="U5" s="54">
        <f>KVARTS!Y6</f>
        <v>1.1300307556703999</v>
      </c>
      <c r="V5" s="54">
        <f>KVARTS!Z6</f>
        <v>4.6073909850236996</v>
      </c>
      <c r="W5" s="54">
        <f>KVARTS!AA6</f>
        <v>12.048440218974299</v>
      </c>
      <c r="X5" s="54">
        <f>KVARTS!AB6</f>
        <v>5.4428395581100304</v>
      </c>
      <c r="Y5" s="54">
        <f>KVARTS!AC6</f>
        <v>4.4258198654952086</v>
      </c>
      <c r="Z5" s="54">
        <f>KVARTS!AD6</f>
        <v>5.1640215323355099</v>
      </c>
      <c r="AA5" s="54">
        <f>KVARTS!AE6</f>
        <v>3.98713055344958</v>
      </c>
      <c r="AB5" s="54">
        <f>KVARTS!AF6</f>
        <v>3.2488596585670932</v>
      </c>
      <c r="AC5" s="54">
        <f>KVARTS!AG6</f>
        <v>3.3170857113970018</v>
      </c>
      <c r="AD5" s="54">
        <f>KVARTS!AH6</f>
        <v>3.3867445113363384</v>
      </c>
      <c r="AE5" s="54">
        <f>KVARTS!AI6</f>
        <v>2.7459873620351436</v>
      </c>
      <c r="AF5" s="54">
        <f>KVARTS!AJ6</f>
        <v>2.7635615232499826</v>
      </c>
      <c r="AG5" s="54">
        <f>KVARTS!AK6</f>
        <v>2.7807402559686127</v>
      </c>
      <c r="AH5" s="54">
        <f>KVARTS!AL6</f>
        <v>2.7975007133866758</v>
      </c>
      <c r="AI5" s="54">
        <f>KVARTS!AM6</f>
        <v>2.8138192929990864</v>
      </c>
      <c r="AJ5" s="54">
        <f>KVARTS!AN6</f>
        <v>2.8296716155106378</v>
      </c>
      <c r="AK5" s="54">
        <f>KVARTS!AO6</f>
        <v>2.8450325032054407</v>
      </c>
      <c r="AL5" s="54">
        <f>KVARTS!AP6</f>
        <v>2.8598759577618429</v>
      </c>
      <c r="AM5" s="54">
        <f>KVARTS!AQ6</f>
        <v>2.8741751374992073</v>
      </c>
      <c r="AN5" s="54">
        <f>KVARTS!AR6</f>
        <v>2.8879023340429737</v>
      </c>
      <c r="AO5" s="54">
        <f>KVARTS!AS6</f>
        <v>2.9010308354706975</v>
      </c>
      <c r="AP5" s="54">
        <f>KVARTS!AT6</f>
        <v>2.9590514521801112</v>
      </c>
      <c r="AQ5" s="54">
        <f>KVARTS!AU6</f>
        <v>3.018232481223714</v>
      </c>
      <c r="AR5" s="54">
        <f>KVARTS!AV6</f>
        <v>3.0785971308481881</v>
      </c>
      <c r="AS5" s="54">
        <f>KVARTS!AW6</f>
        <v>3.1401690734651519</v>
      </c>
      <c r="AT5" s="54">
        <f>KVARTS!AX6</f>
        <v>3.2029724549344549</v>
      </c>
      <c r="AU5" s="54">
        <f>KVARTS!AY6</f>
        <v>3.2670319040331441</v>
      </c>
      <c r="AV5" s="54">
        <f>KVARTS!AZ6</f>
        <v>3.3323725421138075</v>
      </c>
      <c r="AW5" s="54">
        <f>KVARTS!BA6</f>
        <v>3.3990199929560836</v>
      </c>
      <c r="AX5" s="54">
        <f>KVARTS!BB6</f>
        <v>3.4670003928152049</v>
      </c>
      <c r="AY5" s="54">
        <f>KVARTS!BC6</f>
        <v>3.5363404006715093</v>
      </c>
      <c r="AZ5" s="54">
        <f>KVARTS!BD6</f>
        <v>3.6070672086849394</v>
      </c>
      <c r="BA5" s="54">
        <f>KVARTS!BE6</f>
        <v>3.679208552858638</v>
      </c>
      <c r="BB5" s="54">
        <f>KVARTS!BF6</f>
        <v>3.7527927239158112</v>
      </c>
      <c r="BC5" s="54">
        <f>KVARTS!BG6</f>
        <v>3.8278485783941276</v>
      </c>
      <c r="BD5" s="54">
        <f>KVARTS!BH6</f>
        <v>3.9044055499620103</v>
      </c>
      <c r="BE5" s="54">
        <f>KVARTS!BI6</f>
        <v>3.9824936609612509</v>
      </c>
      <c r="BF5" s="54">
        <f>KVARTS!BJ6</f>
        <v>4.0621435341804757</v>
      </c>
      <c r="BG5" s="54">
        <f>KVARTS!BK6</f>
        <v>4.1433864048640849</v>
      </c>
      <c r="BH5" s="54">
        <f>KVARTS!BL6</f>
        <v>4.2262541329613672</v>
      </c>
      <c r="BI5" s="54">
        <f>KVARTS!BM6</f>
        <v>4.3107792156205944</v>
      </c>
      <c r="BJ5" s="55">
        <f>BI5*(1+Formue!BK43/100)</f>
        <v>4.3969947999330063</v>
      </c>
      <c r="BK5" s="55">
        <f>BJ5*(1+Formue!BL43/100)</f>
        <v>4.4849346959316669</v>
      </c>
      <c r="BL5" s="55">
        <f>BK5*(1+Formue!BM43/100)</f>
        <v>4.5746333898503</v>
      </c>
      <c r="BM5" s="55">
        <f>BL5*(1+Formue!BN43/100)</f>
        <v>4.6661260576473058</v>
      </c>
      <c r="BN5" s="55">
        <f>BM5*(1+Formue!BO43/100)</f>
        <v>4.7594485788002521</v>
      </c>
      <c r="BO5" s="55">
        <f>BN5*(1+Formue!BP43/100)</f>
        <v>4.8546375503762569</v>
      </c>
      <c r="BP5" s="55">
        <f>BO5*(1+Formue!BQ43/100)</f>
        <v>4.9517303013837823</v>
      </c>
      <c r="BQ5" s="55">
        <f>BP5*(1+Formue!BR43/100)</f>
        <v>5.050764907411458</v>
      </c>
      <c r="BR5" s="55">
        <f>BQ5*(1+Formue!BS43/100)</f>
        <v>5.1517802055596871</v>
      </c>
      <c r="BS5" s="55">
        <f>BR5*(1+Formue!BT43/100)</f>
        <v>5.2548158096708812</v>
      </c>
      <c r="BT5" s="68">
        <f>BS5*(1+Formue!BU43/100)</f>
        <v>5.359912125864299</v>
      </c>
      <c r="BU5" s="68">
        <f>BT5*(1+Formue!BV43/100)</f>
        <v>5.4671103683815847</v>
      </c>
      <c r="BV5" s="68">
        <f>BU5*(1+Formue!BW43/100)</f>
        <v>5.5764525757492169</v>
      </c>
      <c r="BW5" s="68">
        <f>BV5*(1+Formue!BX43/100)</f>
        <v>5.6879816272642012</v>
      </c>
      <c r="BX5" s="68">
        <f>BW5*(1+Formue!BY43/100)</f>
        <v>5.8017412598094857</v>
      </c>
      <c r="BY5" s="68">
        <f>BX5*(1+Formue!BZ43/100)</f>
        <v>5.9177760850056753</v>
      </c>
      <c r="BZ5" s="68">
        <f>BY5*(1+Formue!CA43/100)</f>
        <v>6.0361316067057889</v>
      </c>
      <c r="CA5" s="68">
        <f>BZ5*(1+Formue!CB43/100)</f>
        <v>6.1568542388399043</v>
      </c>
      <c r="CB5" s="68">
        <f>CA5*(1+Formue!CC43/100)</f>
        <v>6.2799913236167022</v>
      </c>
      <c r="CC5" s="68">
        <f>CB5*(1+Formue!CD43/100)</f>
        <v>6.4055911500890366</v>
      </c>
      <c r="CD5" s="68">
        <f>CC5*(1+Formue!CE43/100)</f>
        <v>6.5337029730908176</v>
      </c>
      <c r="CE5" s="68">
        <f>CD5*(1+Formue!CF43/100)</f>
        <v>6.6643770325526344</v>
      </c>
      <c r="CF5" s="68">
        <f>CE5*(1+Formue!CG43/100)</f>
        <v>6.7976645732036873</v>
      </c>
      <c r="CG5" s="68">
        <f>CF5*(1+Formue!CH43/100)</f>
        <v>6.9336178646677613</v>
      </c>
      <c r="CH5" s="68">
        <f>CG5*(1+Formue!CI43/100)</f>
        <v>7.0722902219611168</v>
      </c>
      <c r="CI5" s="68">
        <f>CH5*(1+Formue!CJ43/100)</f>
        <v>7.2137360264003396</v>
      </c>
      <c r="CJ5" s="68">
        <f>CI5*(1+Formue!CK43/100)</f>
        <v>7.3580107469283469</v>
      </c>
      <c r="CK5" s="68">
        <f>CJ5*(1+Formue!CL43/100)</f>
        <v>7.5051709618669138</v>
      </c>
      <c r="CL5" s="68">
        <f>CK5*(1+Formue!CM43/100)</f>
        <v>7.6552743811042525</v>
      </c>
      <c r="CM5" s="68">
        <f>CL5*(1+Formue!CN43/100)</f>
        <v>7.8083798687263375</v>
      </c>
      <c r="CN5" s="68"/>
      <c r="CO5" s="68"/>
      <c r="CP5" s="68"/>
      <c r="CQ5" s="68"/>
      <c r="CR5" s="68"/>
      <c r="CS5" s="68"/>
      <c r="CT5" s="68"/>
    </row>
    <row r="6" spans="1:98">
      <c r="A6" t="s">
        <v>84</v>
      </c>
      <c r="B6" s="46">
        <f>KVARTS!F8</f>
        <v>1526.37</v>
      </c>
      <c r="C6" s="46">
        <f>KVARTS!G8</f>
        <v>1377.1</v>
      </c>
      <c r="D6" s="46">
        <f>KVARTS!H8</f>
        <v>1093.168880455408</v>
      </c>
      <c r="E6" s="46">
        <f>KVARTS!I8</f>
        <v>1332.1279554937412</v>
      </c>
      <c r="F6" s="46">
        <f>KVARTS!J8</f>
        <v>1847.0464135021098</v>
      </c>
      <c r="G6" s="46">
        <f>KVARTS!K8</f>
        <v>1965.5889145496537</v>
      </c>
      <c r="H6" s="46">
        <f>KVARTS!L8</f>
        <v>1814.6525679758308</v>
      </c>
      <c r="I6" s="54">
        <f>KVARTS!M8</f>
        <v>2521.089109</v>
      </c>
      <c r="J6" s="54">
        <f>KVARTS!N8</f>
        <v>1763.5173058933583</v>
      </c>
      <c r="K6" s="54">
        <f>KVARTS!O8</f>
        <v>2199.1357397051347</v>
      </c>
      <c r="L6" s="54">
        <f>KVARTS!P8</f>
        <v>2796</v>
      </c>
      <c r="M6" s="54">
        <f>KVARTS!Q8</f>
        <v>2896</v>
      </c>
      <c r="N6" s="54">
        <f>KVARTS!R8</f>
        <v>2814.8571428571427</v>
      </c>
      <c r="O6" s="54">
        <f>KVARTS!S8</f>
        <v>2352.3148148148148</v>
      </c>
      <c r="P6" s="54">
        <f>KVARTS!T8</f>
        <v>1629.3665158371039</v>
      </c>
      <c r="Q6" s="54">
        <f>KVARTS!U8</f>
        <v>1482.9411764705881</v>
      </c>
      <c r="R6" s="54">
        <f>KVARTS!V8</f>
        <v>1912.648243289148</v>
      </c>
      <c r="S6" s="54">
        <f>KVARTS!W8</f>
        <v>2249.6672970570885</v>
      </c>
      <c r="T6" s="54">
        <f>KVARTS!X8</f>
        <v>2119.4390364718961</v>
      </c>
      <c r="U6" s="54">
        <f>KVARTS!Y8</f>
        <v>1565.0008201623934</v>
      </c>
      <c r="V6" s="54">
        <f>KVARTS!Z8</f>
        <v>2189.4402544698478</v>
      </c>
      <c r="W6" s="54">
        <f>KVARTS!AA8</f>
        <v>3997.5777844693371</v>
      </c>
      <c r="X6" s="54">
        <f>KVARTS!AB8</f>
        <v>3735.5320071846963</v>
      </c>
      <c r="Y6" s="54">
        <f>KVARTS!AC8</f>
        <v>3257.9392335584689</v>
      </c>
      <c r="Z6" s="54">
        <f>KVARTS!AD8</f>
        <v>2753.619577819039</v>
      </c>
      <c r="AA6" s="54">
        <f>KVARTS!AE8</f>
        <v>2600.894571229383</v>
      </c>
      <c r="AB6" s="54">
        <f>KVARTS!AF8</f>
        <v>2599.9826149409701</v>
      </c>
      <c r="AC6" s="54">
        <f>KVARTS!AG8</f>
        <v>2612.5432378289061</v>
      </c>
      <c r="AD6" s="54">
        <f>KVARTS!AH8</f>
        <v>2633.4456543407628</v>
      </c>
      <c r="AE6" s="54">
        <f>KVARTS!AI8</f>
        <v>2645.4081839097844</v>
      </c>
      <c r="AF6" s="54">
        <f>KVARTS!AJ8</f>
        <v>2770.3475727055761</v>
      </c>
      <c r="AG6" s="54">
        <f>KVARTS!AK8</f>
        <v>2899.4132325623177</v>
      </c>
      <c r="AH6" s="54">
        <f>KVARTS!AL8</f>
        <v>3040.5100391145429</v>
      </c>
      <c r="AI6" s="54">
        <f>KVARTS!AM8</f>
        <v>3183.8804366594845</v>
      </c>
      <c r="AJ6" s="54">
        <f>KVARTS!AN8</f>
        <v>3342.8223587181874</v>
      </c>
      <c r="AK6" s="54">
        <f>KVARTS!AO8</f>
        <v>3439.1886355841784</v>
      </c>
      <c r="AL6" s="54">
        <f>KVARTS!AP8</f>
        <v>3541.3229742118929</v>
      </c>
      <c r="AM6" s="54">
        <f>KVARTS!AQ8</f>
        <v>3653.2207199937156</v>
      </c>
      <c r="AN6" s="54">
        <f>KVARTS!AR8</f>
        <v>3746.1660460368284</v>
      </c>
      <c r="AO6" s="54">
        <f>KVARTS!AS8</f>
        <v>3827.3329056736761</v>
      </c>
      <c r="AP6" s="54">
        <f>KVARTS!AT8</f>
        <v>3847.4155129319984</v>
      </c>
      <c r="AQ6" s="54">
        <f>KVARTS!AU8</f>
        <v>3955.3670813373474</v>
      </c>
      <c r="AR6" s="54">
        <f>KVARTS!AV8</f>
        <v>4083.7542797920105</v>
      </c>
      <c r="AS6" s="54">
        <f>KVARTS!AW8</f>
        <v>4238.7768991037792</v>
      </c>
      <c r="AT6" s="54">
        <f>KVARTS!AX8</f>
        <v>4361.0718513470219</v>
      </c>
      <c r="AU6" s="54">
        <f>KVARTS!AY8</f>
        <v>4546.2958406868756</v>
      </c>
      <c r="AV6" s="54">
        <f>KVARTS!AZ8</f>
        <v>4697.6805241495067</v>
      </c>
      <c r="AW6" s="54">
        <f>KVARTS!BA8</f>
        <v>4930.9582977080781</v>
      </c>
      <c r="AX6" s="54">
        <f>KVARTS!BB8</f>
        <v>5138.0869040623429</v>
      </c>
      <c r="AY6" s="54">
        <f>KVARTS!BC8</f>
        <v>5167.5008284776004</v>
      </c>
      <c r="AZ6" s="54">
        <f>KVARTS!BD8</f>
        <v>5209.7747075960888</v>
      </c>
      <c r="BA6" s="54">
        <f>KVARTS!BE8</f>
        <v>5366.1531934633458</v>
      </c>
      <c r="BB6" s="54">
        <f>KVARTS!BF8</f>
        <v>5406.9253159230066</v>
      </c>
      <c r="BC6" s="54">
        <f>KVARTS!BG8</f>
        <v>5430.8373646684122</v>
      </c>
      <c r="BD6" s="54">
        <f>KVARTS!BH8</f>
        <v>5402.4369854675278</v>
      </c>
      <c r="BE6" s="54">
        <f>KVARTS!BI8</f>
        <v>5473.3324210275114</v>
      </c>
      <c r="BF6" s="54">
        <f>KVARTS!BJ8</f>
        <v>4816.6444516674801</v>
      </c>
      <c r="BG6" s="54">
        <f>KVARTS!BK8</f>
        <v>4912.9773407008288</v>
      </c>
      <c r="BH6" s="54">
        <f>KVARTS!BL8</f>
        <v>5011.2368875148395</v>
      </c>
      <c r="BI6" s="54">
        <f>KVARTS!BM8</f>
        <v>5111.4616252651495</v>
      </c>
      <c r="BJ6" s="55">
        <f>BI6*(1+Formue!BK43/100)</f>
        <v>5213.6908577704526</v>
      </c>
      <c r="BK6" s="55">
        <f>BJ6*(1+Formue!BL43/100)</f>
        <v>5317.9646749258618</v>
      </c>
      <c r="BL6" s="55">
        <f>BK6*(1+Formue!BM43/100)</f>
        <v>5424.323968424379</v>
      </c>
      <c r="BM6" s="55">
        <f>BL6*(1+Formue!BN43/100)</f>
        <v>5532.8104477928664</v>
      </c>
      <c r="BN6" s="55">
        <f>BM6*(1+Formue!BO43/100)</f>
        <v>5643.4666567487238</v>
      </c>
      <c r="BO6" s="55">
        <f>BN6*(1+Formue!BP43/100)</f>
        <v>5756.3359898836989</v>
      </c>
      <c r="BP6" s="55">
        <f>BO6*(1+Formue!BQ43/100)</f>
        <v>5871.4627096813729</v>
      </c>
      <c r="BQ6" s="55">
        <f>BP6*(1+Formue!BR43/100)</f>
        <v>5988.8919638750003</v>
      </c>
      <c r="BR6" s="55">
        <f>BQ6*(1+Formue!BS43/100)</f>
        <v>6108.6698031525002</v>
      </c>
      <c r="BS6" s="55">
        <f>BR6*(1+Formue!BT43/100)</f>
        <v>6230.8431992155502</v>
      </c>
      <c r="BT6" s="68">
        <f>BS6*(1+Formue!BU43/100)</f>
        <v>6355.460063199861</v>
      </c>
      <c r="BU6" s="68">
        <f>BT6*(1+Formue!BV43/100)</f>
        <v>6482.5692644638584</v>
      </c>
      <c r="BV6" s="68">
        <f>BU6*(1+Formue!BW43/100)</f>
        <v>6612.2206497531361</v>
      </c>
      <c r="BW6" s="68">
        <f>BV6*(1+Formue!BX43/100)</f>
        <v>6744.4650627481988</v>
      </c>
      <c r="BX6" s="68">
        <f>BW6*(1+Formue!BY43/100)</f>
        <v>6879.354364003163</v>
      </c>
      <c r="BY6" s="68">
        <f>BX6*(1+Formue!BZ43/100)</f>
        <v>7016.9414512832263</v>
      </c>
      <c r="BZ6" s="68">
        <f>BY6*(1+Formue!CA43/100)</f>
        <v>7157.2802803088907</v>
      </c>
      <c r="CA6" s="68">
        <f>BZ6*(1+Formue!CB43/100)</f>
        <v>7300.4258859150686</v>
      </c>
      <c r="CB6" s="68">
        <f>CA6*(1+Formue!CC43/100)</f>
        <v>7446.4344036333705</v>
      </c>
      <c r="CC6" s="68">
        <f>CB6*(1+Formue!CD43/100)</f>
        <v>7595.3630917060382</v>
      </c>
      <c r="CD6" s="68">
        <f>CC6*(1+Formue!CE43/100)</f>
        <v>7747.2703535401588</v>
      </c>
      <c r="CE6" s="68">
        <f>CD6*(1+Formue!CF43/100)</f>
        <v>7902.2157606109622</v>
      </c>
      <c r="CF6" s="68">
        <f>CE6*(1+Formue!CG43/100)</f>
        <v>8060.260075823182</v>
      </c>
      <c r="CG6" s="68">
        <f>CF6*(1+Formue!CH43/100)</f>
        <v>8221.4652773396465</v>
      </c>
      <c r="CH6" s="68">
        <f>CG6*(1+Formue!CI43/100)</f>
        <v>8385.8945828864398</v>
      </c>
      <c r="CI6" s="68">
        <f>CH6*(1+Formue!CJ43/100)</f>
        <v>8553.6124745441684</v>
      </c>
      <c r="CJ6" s="68">
        <f>CI6*(1+Formue!CK43/100)</f>
        <v>8724.6847240350526</v>
      </c>
      <c r="CK6" s="68">
        <f>CJ6*(1+Formue!CL43/100)</f>
        <v>8899.1784185157539</v>
      </c>
      <c r="CL6" s="68">
        <f>CK6*(1+Formue!CM43/100)</f>
        <v>9077.1619868860689</v>
      </c>
      <c r="CM6" s="68">
        <f>CL6*(1+Formue!CN43/100)</f>
        <v>9258.7052266237897</v>
      </c>
      <c r="CN6" s="68"/>
      <c r="CO6" s="68"/>
      <c r="CP6" s="68"/>
      <c r="CQ6" s="68"/>
      <c r="CR6" s="68"/>
      <c r="CS6" s="68"/>
      <c r="CT6" s="68"/>
    </row>
    <row r="7" spans="1:98">
      <c r="A7" t="s">
        <v>85</v>
      </c>
      <c r="B7" s="2">
        <v>0.76</v>
      </c>
      <c r="C7" s="2">
        <v>0.78</v>
      </c>
      <c r="D7" s="2">
        <v>0.78</v>
      </c>
      <c r="E7" s="2">
        <v>0.78</v>
      </c>
      <c r="F7" s="2">
        <v>0.78</v>
      </c>
      <c r="G7" s="2">
        <v>0.78</v>
      </c>
      <c r="H7" s="2">
        <v>0.78</v>
      </c>
      <c r="I7" s="56">
        <v>0.78</v>
      </c>
      <c r="J7" s="56">
        <v>0.78</v>
      </c>
      <c r="K7" s="56">
        <v>0.78</v>
      </c>
      <c r="L7" s="56">
        <v>0.78</v>
      </c>
      <c r="M7" s="56">
        <v>0.78</v>
      </c>
      <c r="N7" s="56">
        <v>0.78</v>
      </c>
      <c r="O7" s="56">
        <v>0.78</v>
      </c>
      <c r="P7" s="56">
        <v>0.78</v>
      </c>
      <c r="Q7" s="56">
        <v>0.78</v>
      </c>
      <c r="R7" s="56">
        <v>0.78</v>
      </c>
      <c r="S7" s="56">
        <v>0.78</v>
      </c>
      <c r="T7" s="56">
        <v>0.78</v>
      </c>
      <c r="U7" s="56">
        <v>0.78</v>
      </c>
      <c r="V7" s="56">
        <v>0.78</v>
      </c>
      <c r="W7" s="56">
        <v>0.78</v>
      </c>
      <c r="X7" s="56">
        <v>0.78</v>
      </c>
      <c r="Y7" s="56">
        <v>0.78</v>
      </c>
      <c r="Z7" s="56">
        <v>0.78</v>
      </c>
      <c r="AA7" s="56">
        <v>0.78</v>
      </c>
      <c r="AB7" s="56">
        <v>0.78</v>
      </c>
      <c r="AC7" s="56">
        <v>0.78</v>
      </c>
      <c r="AD7" s="56">
        <v>0.78</v>
      </c>
      <c r="AE7" s="56">
        <v>0.78</v>
      </c>
      <c r="AF7" s="56">
        <v>0.78</v>
      </c>
      <c r="AG7" s="56">
        <v>0.78</v>
      </c>
      <c r="AH7" s="56">
        <v>0.78</v>
      </c>
      <c r="AI7" s="56">
        <v>0.78</v>
      </c>
      <c r="AJ7" s="56">
        <v>0.78</v>
      </c>
      <c r="AK7" s="56">
        <v>0.78</v>
      </c>
      <c r="AL7" s="56">
        <v>0.78</v>
      </c>
      <c r="AM7" s="56">
        <v>0.78</v>
      </c>
      <c r="AN7" s="56">
        <v>0.78</v>
      </c>
      <c r="AO7" s="56">
        <v>0.78</v>
      </c>
      <c r="AP7" s="56">
        <v>0.78</v>
      </c>
      <c r="AQ7" s="56">
        <v>0.78</v>
      </c>
      <c r="AR7" s="56">
        <v>0.78</v>
      </c>
      <c r="AS7" s="56">
        <v>0.78</v>
      </c>
      <c r="AT7" s="56">
        <v>0.78</v>
      </c>
      <c r="AU7" s="56">
        <v>0.78</v>
      </c>
      <c r="AV7" s="56">
        <v>0.78</v>
      </c>
      <c r="AW7" s="56">
        <v>0.78</v>
      </c>
      <c r="AX7" s="56">
        <v>0.78</v>
      </c>
      <c r="AY7" s="56">
        <v>0.78</v>
      </c>
      <c r="AZ7" s="56">
        <v>0.78</v>
      </c>
      <c r="BA7" s="56">
        <v>0.78</v>
      </c>
      <c r="BB7" s="56">
        <v>0.78</v>
      </c>
      <c r="BC7" s="56">
        <v>0.78</v>
      </c>
      <c r="BD7" s="56">
        <v>0.78</v>
      </c>
      <c r="BE7" s="56">
        <v>0.78</v>
      </c>
      <c r="BF7" s="56">
        <v>0.78</v>
      </c>
      <c r="BG7" s="56">
        <v>0.78</v>
      </c>
      <c r="BH7" s="56">
        <v>0.78</v>
      </c>
      <c r="BI7" s="56">
        <v>0.78</v>
      </c>
      <c r="BJ7" s="57">
        <v>0.78</v>
      </c>
      <c r="BK7" s="57">
        <v>0.78</v>
      </c>
      <c r="BL7" s="57">
        <v>0.78</v>
      </c>
      <c r="BM7" s="57">
        <v>0.78</v>
      </c>
      <c r="BN7" s="57">
        <v>0.78</v>
      </c>
      <c r="BO7" s="57">
        <v>0.78</v>
      </c>
      <c r="BP7" s="57">
        <v>0.78</v>
      </c>
      <c r="BQ7" s="57">
        <v>0.78</v>
      </c>
      <c r="BR7" s="57">
        <v>0.78</v>
      </c>
      <c r="BS7" s="57">
        <v>0.78</v>
      </c>
      <c r="BT7" s="69">
        <v>0.78</v>
      </c>
      <c r="BU7" s="69">
        <v>0.78</v>
      </c>
      <c r="BV7" s="69">
        <v>0.78</v>
      </c>
      <c r="BW7" s="69">
        <v>0.78</v>
      </c>
      <c r="BX7" s="69">
        <v>0.78</v>
      </c>
      <c r="BY7" s="69">
        <v>0.78</v>
      </c>
      <c r="BZ7" s="69">
        <v>0.78</v>
      </c>
      <c r="CA7" s="69">
        <v>0.78</v>
      </c>
      <c r="CB7" s="69">
        <v>0.78</v>
      </c>
      <c r="CC7" s="69">
        <v>0.78</v>
      </c>
      <c r="CD7" s="69">
        <v>0.78</v>
      </c>
      <c r="CE7" s="69">
        <v>0.78</v>
      </c>
      <c r="CF7" s="69">
        <v>0.78</v>
      </c>
      <c r="CG7" s="69">
        <v>0.78</v>
      </c>
      <c r="CH7" s="69">
        <v>0.78</v>
      </c>
      <c r="CI7" s="69">
        <v>0.78</v>
      </c>
      <c r="CJ7" s="69">
        <v>0.78</v>
      </c>
      <c r="CK7" s="69">
        <v>0.78</v>
      </c>
      <c r="CL7" s="69">
        <v>0.78</v>
      </c>
      <c r="CM7" s="69">
        <v>0.78</v>
      </c>
      <c r="CN7" s="69"/>
      <c r="CO7" s="69"/>
      <c r="CP7" s="69"/>
      <c r="CQ7" s="69"/>
      <c r="CR7" s="69"/>
      <c r="CS7" s="69"/>
      <c r="CT7" s="69"/>
    </row>
    <row r="8" spans="1:98">
      <c r="A8" t="s">
        <v>102</v>
      </c>
      <c r="B8" s="5"/>
      <c r="C8" s="5"/>
      <c r="D8" s="5"/>
      <c r="E8" s="5"/>
      <c r="F8" s="5"/>
      <c r="G8" s="5"/>
      <c r="H8" s="5">
        <f>SNKS!B9</f>
        <v>0</v>
      </c>
      <c r="I8" s="54">
        <f>SNKS!C9</f>
        <v>0</v>
      </c>
      <c r="J8" s="54">
        <f>SNKS!D9</f>
        <v>0</v>
      </c>
      <c r="K8" s="54">
        <f>SNKS!E9</f>
        <v>0</v>
      </c>
      <c r="L8" s="54">
        <f>SNKS!F9</f>
        <v>0</v>
      </c>
      <c r="M8" s="54">
        <f>SNKS!G9</f>
        <v>0</v>
      </c>
      <c r="N8" s="54">
        <f>SNKS!H9</f>
        <v>0</v>
      </c>
      <c r="O8" s="54">
        <f>SNKS!I9</f>
        <v>0</v>
      </c>
      <c r="P8" s="54">
        <f>SNKS!J9</f>
        <v>0</v>
      </c>
      <c r="Q8" s="54">
        <f>SNKS!K9</f>
        <v>0</v>
      </c>
      <c r="R8" s="54">
        <f>SNKS!L9</f>
        <v>0</v>
      </c>
      <c r="S8" s="54">
        <f>SNKS!M9</f>
        <v>0</v>
      </c>
      <c r="T8" s="54">
        <f>SNKS!N9</f>
        <v>0</v>
      </c>
      <c r="U8" s="54">
        <f>SNKS!O9</f>
        <v>0</v>
      </c>
      <c r="V8" s="54">
        <f>SNKS!P9</f>
        <v>0</v>
      </c>
      <c r="W8" s="54">
        <f>SNKS!Q9</f>
        <v>0</v>
      </c>
      <c r="X8" s="54">
        <f>SNKS!R9</f>
        <v>0</v>
      </c>
      <c r="Y8" s="54">
        <f>SNKS!S9</f>
        <v>0</v>
      </c>
      <c r="Z8" s="54">
        <f>SNKS!T9</f>
        <v>0</v>
      </c>
      <c r="AA8" s="54">
        <f>SNKS!U9</f>
        <v>0</v>
      </c>
      <c r="AB8" s="54">
        <f>SNKS!V9</f>
        <v>0</v>
      </c>
      <c r="AC8" s="54">
        <f>SNKS!W9</f>
        <v>0</v>
      </c>
      <c r="AD8" s="54">
        <f>SNKS!X9</f>
        <v>0</v>
      </c>
      <c r="AE8" s="54">
        <f>SNKS!Y9</f>
        <v>0</v>
      </c>
      <c r="AF8" s="54">
        <f>SNKS!Z9</f>
        <v>0</v>
      </c>
      <c r="AG8" s="54">
        <f>SNKS!AA9</f>
        <v>0</v>
      </c>
      <c r="AH8" s="54">
        <f>SNKS!AB9</f>
        <v>0</v>
      </c>
      <c r="AI8" s="54">
        <f>SNKS!AC9</f>
        <v>0</v>
      </c>
      <c r="AJ8" s="54">
        <f>SNKS!AD9</f>
        <v>0</v>
      </c>
      <c r="AK8" s="54">
        <f>SNKS!AE9</f>
        <v>0</v>
      </c>
      <c r="AL8" s="54">
        <f>SNKS!AF9</f>
        <v>0</v>
      </c>
      <c r="AM8" s="54">
        <f>SNKS!AG9</f>
        <v>0</v>
      </c>
      <c r="AN8" s="54">
        <f>SNKS!AH9</f>
        <v>0</v>
      </c>
      <c r="AO8" s="54">
        <f>SNKS!AI9</f>
        <v>0</v>
      </c>
      <c r="AP8" s="54">
        <f>SNKS!AJ9</f>
        <v>0</v>
      </c>
      <c r="AQ8" s="54">
        <f>SNKS!AK9</f>
        <v>0</v>
      </c>
      <c r="AR8" s="54">
        <f>SNKS!AL9</f>
        <v>0</v>
      </c>
      <c r="AS8" s="54">
        <f>SNKS!AM9</f>
        <v>0</v>
      </c>
      <c r="AT8" s="54">
        <f>SNKS!AN9</f>
        <v>0</v>
      </c>
      <c r="AU8" s="54">
        <f>SNKS!AO9</f>
        <v>0</v>
      </c>
      <c r="AV8" s="54">
        <f>SNKS!AP9</f>
        <v>0</v>
      </c>
      <c r="AW8" s="54">
        <f>SNKS!AQ9</f>
        <v>0</v>
      </c>
      <c r="AX8" s="54">
        <f>SNKS!AR9</f>
        <v>0</v>
      </c>
      <c r="AY8" s="54">
        <f>SNKS!AS9</f>
        <v>0</v>
      </c>
      <c r="AZ8" s="54">
        <f>SNKS!AT9</f>
        <v>0</v>
      </c>
      <c r="BA8" s="54">
        <f>SNKS!AU9</f>
        <v>0</v>
      </c>
      <c r="BB8" s="54">
        <f>SNKS!AV9</f>
        <v>0</v>
      </c>
      <c r="BC8" s="54">
        <f>SNKS!AW9</f>
        <v>0</v>
      </c>
      <c r="BD8" s="54">
        <f>SNKS!AX9</f>
        <v>0</v>
      </c>
      <c r="BE8" s="54">
        <f>SNKS!AY9</f>
        <v>0</v>
      </c>
      <c r="BF8" s="54">
        <f>SNKS!AZ9</f>
        <v>0</v>
      </c>
      <c r="BG8" s="54">
        <f>SNKS!BA9</f>
        <v>0</v>
      </c>
      <c r="BH8" s="54">
        <f>SNKS!BB9</f>
        <v>0</v>
      </c>
      <c r="BI8" s="54">
        <f>SNKS!BC9</f>
        <v>0</v>
      </c>
      <c r="BJ8" s="57">
        <v>0</v>
      </c>
      <c r="BK8" s="57">
        <v>0</v>
      </c>
      <c r="BL8" s="57">
        <v>0</v>
      </c>
      <c r="BM8" s="57">
        <v>0</v>
      </c>
      <c r="BN8" s="57">
        <v>0</v>
      </c>
      <c r="BO8" s="57">
        <v>0</v>
      </c>
      <c r="BP8" s="57">
        <v>0</v>
      </c>
      <c r="BQ8" s="57">
        <v>0</v>
      </c>
      <c r="BR8" s="57">
        <v>0</v>
      </c>
      <c r="BS8" s="57">
        <v>0</v>
      </c>
      <c r="BT8" s="69">
        <v>0</v>
      </c>
      <c r="BU8" s="69">
        <v>0</v>
      </c>
      <c r="BV8" s="69">
        <v>0</v>
      </c>
      <c r="BW8" s="69">
        <v>0</v>
      </c>
      <c r="BX8" s="69">
        <v>0</v>
      </c>
      <c r="BY8" s="69">
        <v>0</v>
      </c>
      <c r="BZ8" s="69">
        <v>0</v>
      </c>
      <c r="CA8" s="69">
        <v>0</v>
      </c>
      <c r="CB8" s="69">
        <v>0</v>
      </c>
      <c r="CC8" s="69">
        <v>0</v>
      </c>
      <c r="CD8" s="69">
        <v>0</v>
      </c>
      <c r="CE8" s="69">
        <v>0</v>
      </c>
      <c r="CF8" s="69">
        <v>0</v>
      </c>
      <c r="CG8" s="69">
        <v>0</v>
      </c>
      <c r="CH8" s="69">
        <v>0</v>
      </c>
      <c r="CI8" s="69">
        <v>0</v>
      </c>
      <c r="CJ8" s="69">
        <v>0</v>
      </c>
      <c r="CK8" s="69">
        <v>0</v>
      </c>
      <c r="CL8" s="69">
        <v>0</v>
      </c>
      <c r="CM8" s="69">
        <v>0</v>
      </c>
      <c r="CN8" s="69"/>
      <c r="CO8" s="69"/>
      <c r="CP8" s="69"/>
      <c r="CQ8" s="69"/>
      <c r="CR8" s="69"/>
      <c r="CS8" s="69"/>
      <c r="CT8" s="69"/>
    </row>
    <row r="9" spans="1:98">
      <c r="A9" t="s">
        <v>230</v>
      </c>
      <c r="B9" s="6">
        <f>KVARTS!F62</f>
        <v>180.88</v>
      </c>
      <c r="C9" s="6">
        <f>KVARTS!G62</f>
        <v>173.65</v>
      </c>
      <c r="D9" s="6">
        <f>KVARTS!H62</f>
        <v>165.48</v>
      </c>
      <c r="E9" s="6">
        <f>KVARTS!I62</f>
        <v>162.78</v>
      </c>
      <c r="F9" s="6">
        <f>KVARTS!J62</f>
        <v>148.13999999999999</v>
      </c>
      <c r="G9" s="6">
        <f>KVARTS!K62</f>
        <v>136.58000000000001</v>
      </c>
      <c r="H9" s="6">
        <f>KVARTS!L62</f>
        <v>128.28</v>
      </c>
      <c r="I9" s="54">
        <f>KVARTS!M62</f>
        <v>122.66</v>
      </c>
      <c r="J9" s="54">
        <f>KVARTS!N62</f>
        <v>114.94</v>
      </c>
      <c r="K9" s="54">
        <f>KVARTS!O62</f>
        <v>104.39</v>
      </c>
      <c r="L9" s="54">
        <f>KVARTS!P62</f>
        <v>97.46</v>
      </c>
      <c r="M9" s="54">
        <f>KVARTS!Q62</f>
        <v>89.2</v>
      </c>
      <c r="N9" s="54">
        <f>KVARTS!R62</f>
        <v>84.94</v>
      </c>
      <c r="O9" s="54">
        <f>KVARTS!S62</f>
        <v>87.7</v>
      </c>
      <c r="P9" s="54">
        <f>KVARTS!T62</f>
        <v>90.85</v>
      </c>
      <c r="Q9" s="54">
        <f>KVARTS!U62</f>
        <v>93.9</v>
      </c>
      <c r="R9" s="54">
        <f>KVARTS!V62</f>
        <v>92.28</v>
      </c>
      <c r="S9" s="54">
        <f>KVARTS!W62</f>
        <v>86.27</v>
      </c>
      <c r="T9" s="54">
        <f>KVARTS!X62</f>
        <v>83.21</v>
      </c>
      <c r="U9" s="54">
        <f>KVARTS!Y62</f>
        <v>98.49</v>
      </c>
      <c r="V9" s="54">
        <f>KVARTS!Z62</f>
        <v>102.36</v>
      </c>
      <c r="W9" s="54">
        <f>KVARTS!AA62</f>
        <v>97.81</v>
      </c>
      <c r="X9" s="54">
        <f>KVARTS!AB62</f>
        <v>104.14</v>
      </c>
      <c r="Y9" s="54">
        <f>KVARTS!AC62</f>
        <v>102.88638281259</v>
      </c>
      <c r="Z9" s="54">
        <f>KVARTS!AD62</f>
        <v>105.18980898457799</v>
      </c>
      <c r="AA9" s="54">
        <f>KVARTS!AE62</f>
        <v>101.045761449213</v>
      </c>
      <c r="AB9" s="54">
        <f>KVARTS!AF62</f>
        <v>96.575066729448693</v>
      </c>
      <c r="AC9" s="54">
        <f>KVARTS!AG62</f>
        <v>87.047892082627996</v>
      </c>
      <c r="AD9" s="54">
        <f>KVARTS!AH62</f>
        <v>78.845847543704807</v>
      </c>
      <c r="AE9" s="54">
        <f>KVARTS!AI62</f>
        <v>73.793908506930094</v>
      </c>
      <c r="AF9" s="54">
        <f>KVARTS!AJ62</f>
        <v>71.649846538435597</v>
      </c>
      <c r="AG9" s="54">
        <f>KVARTS!AK62</f>
        <v>70.715986239141799</v>
      </c>
      <c r="AH9" s="54">
        <f>KVARTS!AL62</f>
        <v>69.386447109542203</v>
      </c>
      <c r="AI9" s="54">
        <f>KVARTS!AM62</f>
        <v>69.474901314808406</v>
      </c>
      <c r="AJ9" s="54">
        <f>KVARTS!AN62</f>
        <v>69.035837323349497</v>
      </c>
      <c r="AK9" s="54">
        <f>KVARTS!AO62</f>
        <v>67.882734389063302</v>
      </c>
      <c r="AL9" s="54">
        <f>KVARTS!AP62</f>
        <v>66.422217238456199</v>
      </c>
      <c r="AM9" s="54">
        <f>KVARTS!AQ62</f>
        <v>63.920650066007603</v>
      </c>
      <c r="AN9" s="54">
        <f>KVARTS!AR62</f>
        <v>61.744994652282898</v>
      </c>
      <c r="AO9" s="54">
        <f>KVARTS!AS62</f>
        <v>59.765761492930402</v>
      </c>
      <c r="AP9" s="54">
        <f>KVARTS!AT62</f>
        <v>58.160948087532198</v>
      </c>
      <c r="AQ9" s="54">
        <f>KVARTS!AU62</f>
        <v>56.304564567923002</v>
      </c>
      <c r="AR9" s="54">
        <f>KVARTS!AV62</f>
        <v>54.5807199205301</v>
      </c>
      <c r="AS9" s="54">
        <f>KVARTS!AW62</f>
        <v>53.233861304295701</v>
      </c>
      <c r="AT9" s="54">
        <f>KVARTS!AX62</f>
        <v>51.418462866102303</v>
      </c>
      <c r="AU9" s="54">
        <f>KVARTS!AY62</f>
        <v>49.851933117199302</v>
      </c>
      <c r="AV9" s="54">
        <f>KVARTS!AZ62</f>
        <v>48.074596180958899</v>
      </c>
      <c r="AW9" s="54">
        <f>KVARTS!BA62</f>
        <v>46.7917568132398</v>
      </c>
      <c r="AX9" s="54">
        <f>KVARTS!BB62</f>
        <v>45.026558890705999</v>
      </c>
      <c r="AY9" s="54">
        <f>KVARTS!BC62</f>
        <v>43.367769223710603</v>
      </c>
      <c r="AZ9" s="54">
        <f>KVARTS!BD62</f>
        <v>42.037652389517497</v>
      </c>
      <c r="BA9" s="54">
        <f>KVARTS!BE62</f>
        <v>40.516113098128699</v>
      </c>
      <c r="BB9" s="54">
        <f>KVARTS!BF62</f>
        <v>39.141344857402203</v>
      </c>
      <c r="BC9" s="54">
        <f>KVARTS!BG62</f>
        <v>37.644952559843603</v>
      </c>
      <c r="BD9" s="54">
        <f>KVARTS!BH62</f>
        <v>36.054581090807901</v>
      </c>
      <c r="BE9" s="54">
        <f>KVARTS!BI62</f>
        <v>34.609852540656</v>
      </c>
      <c r="BF9" s="54">
        <f>KVARTS!BJ62</f>
        <v>33.132615728303797</v>
      </c>
      <c r="BG9" s="54">
        <f>KVARTS!BK62</f>
        <v>31.356614947318999</v>
      </c>
      <c r="BH9" s="54">
        <f>KVARTS!BL62</f>
        <v>29.729547090828401</v>
      </c>
      <c r="BI9" s="54">
        <f>KVARTS!BM62</f>
        <v>28.071746988221999</v>
      </c>
      <c r="BJ9" s="55">
        <f>BI9*(1+Formue!$C$8)</f>
        <v>28.738930180315048</v>
      </c>
      <c r="BK9" s="55">
        <f>BJ9*(1+Formue!$C$8)</f>
        <v>29.421970362427217</v>
      </c>
      <c r="BL9" s="55">
        <f>BK9*(1+Formue!$C$8)</f>
        <v>30.121244408759544</v>
      </c>
      <c r="BM9" s="55">
        <f>BL9*(1+Formue!$C$8)</f>
        <v>30.837138150708803</v>
      </c>
      <c r="BN9" s="55">
        <f>BM9*(1+Formue!$C$8)</f>
        <v>31.570046589753812</v>
      </c>
      <c r="BO9" s="55">
        <f>BN9*(1+Formue!$C$8)</f>
        <v>32.320374115401414</v>
      </c>
      <c r="BP9" s="55">
        <f>BO9*(1+Formue!$C$8)</f>
        <v>33.08853472831241</v>
      </c>
      <c r="BQ9" s="55">
        <f>BP9*(1+Formue!$C$8)</f>
        <v>33.874952268730524</v>
      </c>
      <c r="BR9" s="55">
        <f>BQ9*(1+Formue!$C$8)</f>
        <v>34.680060650340472</v>
      </c>
      <c r="BS9" s="55">
        <f>BR9*(1+Formue!$C$8)</f>
        <v>35.504304099684134</v>
      </c>
      <c r="BT9" s="68">
        <f>BS9*(1+Formue!$C$8)</f>
        <v>36.348137401266975</v>
      </c>
      <c r="BU9" s="68">
        <f>BT9*(1+Formue!$C$8)</f>
        <v>37.212026148489898</v>
      </c>
      <c r="BV9" s="68">
        <f>BU9*(1+Formue!$C$8)</f>
        <v>38.096447000545034</v>
      </c>
      <c r="BW9" s="68">
        <f>BV9*(1+Formue!$C$8)</f>
        <v>39.001887945417174</v>
      </c>
      <c r="BX9" s="68">
        <f>BW9*(1+Formue!$C$8)</f>
        <v>39.92884856913598</v>
      </c>
      <c r="BY9" s="68">
        <f>BX9*(1+Formue!$C$8)</f>
        <v>40.877840331427556</v>
      </c>
      <c r="BZ9" s="68">
        <f>BY9*(1+Formue!$C$8)</f>
        <v>41.849386847917415</v>
      </c>
      <c r="CA9" s="68">
        <f>BZ9*(1+Formue!$C$8)</f>
        <v>42.844024179040602</v>
      </c>
      <c r="CB9" s="68">
        <f>CA9*(1+Formue!$C$8)</f>
        <v>43.862301125818348</v>
      </c>
      <c r="CC9" s="68">
        <f>CB9*(1+Formue!$C$8)</f>
        <v>44.904779532664506</v>
      </c>
      <c r="CD9" s="68">
        <f>CC9*(1+Formue!$C$8)</f>
        <v>45.972034597388756</v>
      </c>
      <c r="CE9" s="68">
        <f>CD9*(1+Formue!$C$8)</f>
        <v>47.064655188567741</v>
      </c>
      <c r="CF9" s="68">
        <f>CE9*(1+Formue!$C$8)</f>
        <v>48.183244170459112</v>
      </c>
      <c r="CG9" s="68">
        <f>CF9*(1+Formue!$C$8)</f>
        <v>49.328418735637889</v>
      </c>
      <c r="CH9" s="68">
        <f>CG9*(1+Formue!$C$8)</f>
        <v>50.500810745538587</v>
      </c>
      <c r="CI9" s="68">
        <f>CH9*(1+Formue!$C$8)</f>
        <v>51.70106707909104</v>
      </c>
      <c r="CJ9" s="68">
        <f>CI9*(1+Formue!$C$8)</f>
        <v>52.929849989642257</v>
      </c>
      <c r="CK9" s="68">
        <f>CJ9*(1+Formue!$C$8)</f>
        <v>54.187837470361302</v>
      </c>
      <c r="CL9" s="68">
        <f>CK9*(1+Formue!$C$8)</f>
        <v>55.47572362832873</v>
      </c>
      <c r="CM9" s="68">
        <f>CL9*(1+Formue!$C$8)</f>
        <v>56.794219067517083</v>
      </c>
      <c r="CN9" s="68"/>
      <c r="CO9" s="68"/>
      <c r="CP9" s="68"/>
      <c r="CQ9" s="68"/>
      <c r="CR9" s="68"/>
      <c r="CS9" s="68"/>
      <c r="CT9" s="68"/>
    </row>
    <row r="10" spans="1:98">
      <c r="A10" t="s">
        <v>86</v>
      </c>
      <c r="B10" s="7">
        <f>KVARTS!F63</f>
        <v>54.15</v>
      </c>
      <c r="C10" s="7">
        <f>KVARTS!G63</f>
        <v>65.53</v>
      </c>
      <c r="D10" s="7">
        <f>KVARTS!H63</f>
        <v>72.930000000000007</v>
      </c>
      <c r="E10" s="7">
        <f>KVARTS!I63</f>
        <v>79.099999999999994</v>
      </c>
      <c r="F10" s="7">
        <f>KVARTS!J63</f>
        <v>85.67</v>
      </c>
      <c r="G10" s="7">
        <f>KVARTS!K63</f>
        <v>88.23</v>
      </c>
      <c r="H10" s="7">
        <f>KVARTS!L63</f>
        <v>89.51</v>
      </c>
      <c r="I10" s="54">
        <f>KVARTS!M63</f>
        <v>99.46</v>
      </c>
      <c r="J10" s="54">
        <f>KVARTS!N63</f>
        <v>103.68</v>
      </c>
      <c r="K10" s="54">
        <f>KVARTS!O63</f>
        <v>106.53</v>
      </c>
      <c r="L10" s="54">
        <f>KVARTS!P63</f>
        <v>100.3</v>
      </c>
      <c r="M10" s="54">
        <f>KVARTS!Q63</f>
        <v>113.06</v>
      </c>
      <c r="N10" s="54">
        <f>KVARTS!R63</f>
        <v>107.05</v>
      </c>
      <c r="O10" s="54">
        <f>KVARTS!S63</f>
        <v>106.8</v>
      </c>
      <c r="P10" s="54">
        <f>KVARTS!T63</f>
        <v>114.92</v>
      </c>
      <c r="Q10" s="54">
        <f>KVARTS!U63</f>
        <v>114.65</v>
      </c>
      <c r="R10" s="54">
        <f>KVARTS!V63</f>
        <v>122.37</v>
      </c>
      <c r="S10" s="54">
        <f>KVARTS!W63</f>
        <v>119.89</v>
      </c>
      <c r="T10" s="54">
        <f>KVARTS!X63</f>
        <v>113.12</v>
      </c>
      <c r="U10" s="54">
        <f>KVARTS!Y63</f>
        <v>110.11</v>
      </c>
      <c r="V10" s="54">
        <f>KVARTS!Z63</f>
        <v>113.08</v>
      </c>
      <c r="W10" s="54">
        <f>KVARTS!AA63</f>
        <v>122.85</v>
      </c>
      <c r="X10" s="54">
        <f>KVARTS!AB63</f>
        <v>116.02</v>
      </c>
      <c r="Y10" s="54">
        <f>KVARTS!AC63</f>
        <v>124.23875195111999</v>
      </c>
      <c r="Z10" s="54">
        <f>KVARTS!AD63</f>
        <v>118.452074931315</v>
      </c>
      <c r="AA10" s="54">
        <f>KVARTS!AE63</f>
        <v>120.086121418196</v>
      </c>
      <c r="AB10" s="54">
        <f>KVARTS!AF63</f>
        <v>120.094642530738</v>
      </c>
      <c r="AC10" s="54">
        <f>KVARTS!AG63</f>
        <v>116.166092510014</v>
      </c>
      <c r="AD10" s="54">
        <f>KVARTS!AH63</f>
        <v>110.636270971982</v>
      </c>
      <c r="AE10" s="54">
        <f>KVARTS!AI63</f>
        <v>104.941576370565</v>
      </c>
      <c r="AF10" s="54">
        <f>KVARTS!AJ63</f>
        <v>100.130445581107</v>
      </c>
      <c r="AG10" s="54">
        <f>KVARTS!AK63</f>
        <v>93.491734289047798</v>
      </c>
      <c r="AH10" s="54">
        <f>KVARTS!AL63</f>
        <v>89.335084783925794</v>
      </c>
      <c r="AI10" s="54">
        <f>KVARTS!AM63</f>
        <v>86.735572945646098</v>
      </c>
      <c r="AJ10" s="54">
        <f>KVARTS!AN63</f>
        <v>84.333941951932403</v>
      </c>
      <c r="AK10" s="54">
        <f>KVARTS!AO63</f>
        <v>82.153770465193006</v>
      </c>
      <c r="AL10" s="54">
        <f>KVARTS!AP63</f>
        <v>78.840469550338696</v>
      </c>
      <c r="AM10" s="54">
        <f>KVARTS!AQ63</f>
        <v>73.883116241559094</v>
      </c>
      <c r="AN10" s="54">
        <f>KVARTS!AR63</f>
        <v>68.539686645509505</v>
      </c>
      <c r="AO10" s="54">
        <f>KVARTS!AS63</f>
        <v>64.692185788338307</v>
      </c>
      <c r="AP10" s="54">
        <f>KVARTS!AT63</f>
        <v>61.2290977700995</v>
      </c>
      <c r="AQ10" s="54">
        <f>KVARTS!AU63</f>
        <v>58.607326135775999</v>
      </c>
      <c r="AR10" s="54">
        <f>KVARTS!AV63</f>
        <v>55.8623403806005</v>
      </c>
      <c r="AS10" s="54">
        <f>KVARTS!AW63</f>
        <v>52.7872782740288</v>
      </c>
      <c r="AT10" s="54">
        <f>KVARTS!AX63</f>
        <v>50.282890109274298</v>
      </c>
      <c r="AU10" s="54">
        <f>KVARTS!AY63</f>
        <v>48.339968322707897</v>
      </c>
      <c r="AV10" s="54">
        <f>KVARTS!AZ63</f>
        <v>46.446472786406297</v>
      </c>
      <c r="AW10" s="54">
        <f>KVARTS!BA63</f>
        <v>44.699381400699799</v>
      </c>
      <c r="AX10" s="54">
        <f>KVARTS!BB63</f>
        <v>43.293508537680601</v>
      </c>
      <c r="AY10" s="54">
        <f>KVARTS!BC63</f>
        <v>41.648785780853402</v>
      </c>
      <c r="AZ10" s="54">
        <f>KVARTS!BD63</f>
        <v>40.118689809552301</v>
      </c>
      <c r="BA10" s="54">
        <f>KVARTS!BE63</f>
        <v>38.369959232385099</v>
      </c>
      <c r="BB10" s="54">
        <f>KVARTS!BF63</f>
        <v>36.9035212621121</v>
      </c>
      <c r="BC10" s="54">
        <f>KVARTS!BG63</f>
        <v>35.812746227007899</v>
      </c>
      <c r="BD10" s="54">
        <f>KVARTS!BH63</f>
        <v>35.2091385576473</v>
      </c>
      <c r="BE10" s="54">
        <f>KVARTS!BI63</f>
        <v>34.416161845962002</v>
      </c>
      <c r="BF10" s="54">
        <f>KVARTS!BJ63</f>
        <v>33.891618791822097</v>
      </c>
      <c r="BG10" s="54">
        <f>KVARTS!BK63</f>
        <v>33.466268432734097</v>
      </c>
      <c r="BH10" s="54">
        <f>KVARTS!BL63</f>
        <v>32.995546425285298</v>
      </c>
      <c r="BI10" s="54">
        <f>KVARTS!BM63</f>
        <v>32.602377394214301</v>
      </c>
      <c r="BJ10" s="55">
        <f>BI10*(1+Formue!$C$9)</f>
        <v>32.893795210317933</v>
      </c>
      <c r="BK10" s="55">
        <f>BJ10*(1+Formue!$C$9)</f>
        <v>33.187817877672622</v>
      </c>
      <c r="BL10" s="55">
        <f>BK10*(1+Formue!$C$9)</f>
        <v>33.484468679858381</v>
      </c>
      <c r="BM10" s="55">
        <f>BL10*(1+Formue!$C$9)</f>
        <v>33.783771108576559</v>
      </c>
      <c r="BN10" s="55">
        <f>BM10*(1+Formue!$C$9)</f>
        <v>34.085748865510126</v>
      </c>
      <c r="BO10" s="55">
        <f>BN10*(1+Formue!$C$9)</f>
        <v>34.390425864200616</v>
      </c>
      <c r="BP10" s="55">
        <f>BO10*(1+Formue!$C$9)</f>
        <v>34.697826231941832</v>
      </c>
      <c r="BQ10" s="55">
        <f>BP10*(1+Formue!$C$9)</f>
        <v>35.007974311690468</v>
      </c>
      <c r="BR10" s="55">
        <f>BQ10*(1+Formue!$C$9)</f>
        <v>35.32089466399384</v>
      </c>
      <c r="BS10" s="55">
        <f>BR10*(1+Formue!$C$9)</f>
        <v>35.636612068934816</v>
      </c>
      <c r="BT10" s="68">
        <f>BS10*(1+Formue!$C$9)</f>
        <v>35.955151528094149</v>
      </c>
      <c r="BU10" s="68">
        <f>BT10*(1+Formue!$C$9)</f>
        <v>36.276538266530345</v>
      </c>
      <c r="BV10" s="68">
        <f>BU10*(1+Formue!$C$9)</f>
        <v>36.600797734777231</v>
      </c>
      <c r="BW10" s="68">
        <f>BV10*(1+Formue!$C$9)</f>
        <v>36.927955610859378</v>
      </c>
      <c r="BX10" s="68">
        <f>BW10*(1+Formue!$C$9)</f>
        <v>37.258037802325525</v>
      </c>
      <c r="BY10" s="68">
        <f>BX10*(1+Formue!$C$9)</f>
        <v>37.591070448300208</v>
      </c>
      <c r="BZ10" s="68">
        <f>BY10*(1+Formue!$C$9)</f>
        <v>37.927079921553698</v>
      </c>
      <c r="CA10" s="68">
        <f>BZ10*(1+Formue!$C$9)</f>
        <v>38.266092830590466</v>
      </c>
      <c r="CB10" s="68">
        <f>CA10*(1+Formue!$C$9)</f>
        <v>38.608136021756295</v>
      </c>
      <c r="CC10" s="68">
        <f>CB10*(1+Formue!$C$9)</f>
        <v>38.953236581364223</v>
      </c>
      <c r="CD10" s="68">
        <f>CC10*(1+Formue!$C$9)</f>
        <v>39.301421837839534</v>
      </c>
      <c r="CE10" s="68">
        <f>CD10*(1+Formue!$C$9)</f>
        <v>39.652719363883861</v>
      </c>
      <c r="CF10" s="68">
        <f>CE10*(1+Formue!$C$9)</f>
        <v>40.007156978658664</v>
      </c>
      <c r="CG10" s="68">
        <f>CF10*(1+Formue!$C$9)</f>
        <v>40.364762749988245</v>
      </c>
      <c r="CH10" s="68">
        <f>CG10*(1+Formue!$C$9)</f>
        <v>40.725564996582399</v>
      </c>
      <c r="CI10" s="68">
        <f>CH10*(1+Formue!$C$9)</f>
        <v>41.089592290278986</v>
      </c>
      <c r="CJ10" s="68">
        <f>CI10*(1+Formue!$C$9)</f>
        <v>41.456873458306532</v>
      </c>
      <c r="CK10" s="68">
        <f>CJ10*(1+Formue!$C$9)</f>
        <v>41.827437585567033</v>
      </c>
      <c r="CL10" s="68">
        <f>CK10*(1+Formue!$C$9)</f>
        <v>42.201314016939186</v>
      </c>
      <c r="CM10" s="68">
        <f>CL10*(1+Formue!$C$9)</f>
        <v>42.578532359602214</v>
      </c>
      <c r="CN10" s="68"/>
      <c r="CO10" s="68"/>
      <c r="CP10" s="68"/>
      <c r="CQ10" s="68"/>
      <c r="CR10" s="68"/>
      <c r="CS10" s="68"/>
      <c r="CT10" s="68"/>
    </row>
    <row r="11" spans="1:98">
      <c r="A11" t="s">
        <v>87</v>
      </c>
      <c r="B11" s="6">
        <f>KVARTS!F64</f>
        <v>16.59</v>
      </c>
      <c r="C11" s="6">
        <f>KVARTS!G64</f>
        <v>19.12</v>
      </c>
      <c r="D11" s="6">
        <f>KVARTS!H64</f>
        <v>23.27</v>
      </c>
      <c r="E11" s="6">
        <f>KVARTS!I64</f>
        <v>22.310000000000002</v>
      </c>
      <c r="F11" s="6">
        <f>KVARTS!J64</f>
        <v>23.76</v>
      </c>
      <c r="G11" s="6">
        <f>KVARTS!K64</f>
        <v>24.33</v>
      </c>
      <c r="H11" s="6">
        <f>KVARTS!L64</f>
        <v>19.759999999999998</v>
      </c>
      <c r="I11" s="54">
        <f>KVARTS!M64</f>
        <v>20.86</v>
      </c>
      <c r="J11" s="54">
        <f>KVARTS!N64</f>
        <v>21.400000000000002</v>
      </c>
      <c r="K11" s="54">
        <f>KVARTS!O64</f>
        <v>19.72</v>
      </c>
      <c r="L11" s="54">
        <f>KVARTS!P64</f>
        <v>20.89</v>
      </c>
      <c r="M11" s="54">
        <f>KVARTS!Q64</f>
        <v>22.380000000000003</v>
      </c>
      <c r="N11" s="54">
        <f>KVARTS!R64</f>
        <v>21.71</v>
      </c>
      <c r="O11" s="54">
        <f>KVARTS!S64</f>
        <v>21.86</v>
      </c>
      <c r="P11" s="54">
        <f>KVARTS!T64</f>
        <v>22.07</v>
      </c>
      <c r="Q11" s="54">
        <f>KVARTS!U64</f>
        <v>22.11</v>
      </c>
      <c r="R11" s="54">
        <f>KVARTS!V64</f>
        <v>22.1</v>
      </c>
      <c r="S11" s="54">
        <f>KVARTS!W64</f>
        <v>21.17</v>
      </c>
      <c r="T11" s="54">
        <f>KVARTS!X64</f>
        <v>19.080000000000002</v>
      </c>
      <c r="U11" s="54">
        <f>KVARTS!Y64</f>
        <v>18.25</v>
      </c>
      <c r="V11" s="54">
        <f>KVARTS!Z64</f>
        <v>15.309999999999999</v>
      </c>
      <c r="W11" s="54">
        <f>KVARTS!AA64</f>
        <v>12.53</v>
      </c>
      <c r="X11" s="54">
        <f>KVARTS!AB64</f>
        <v>12.99</v>
      </c>
      <c r="Y11" s="54">
        <f>KVARTS!AC64</f>
        <v>14.090805668825199</v>
      </c>
      <c r="Z11" s="54">
        <f>KVARTS!AD64</f>
        <v>14.5264171933746</v>
      </c>
      <c r="AA11" s="54">
        <f>KVARTS!AE64</f>
        <v>15.2825943649325</v>
      </c>
      <c r="AB11" s="54">
        <f>KVARTS!AF64</f>
        <v>15.4169352290532</v>
      </c>
      <c r="AC11" s="54">
        <f>KVARTS!AG64</f>
        <v>15.381716184560201</v>
      </c>
      <c r="AD11" s="54">
        <f>KVARTS!AH64</f>
        <v>15.1238272946275</v>
      </c>
      <c r="AE11" s="54">
        <f>KVARTS!AI64</f>
        <v>14.458167543187299</v>
      </c>
      <c r="AF11" s="54">
        <f>KVARTS!AJ64</f>
        <v>12.999656846400301</v>
      </c>
      <c r="AG11" s="54">
        <f>KVARTS!AK64</f>
        <v>12.1010429740265</v>
      </c>
      <c r="AH11" s="54">
        <f>KVARTS!AL64</f>
        <v>10.7036492009246</v>
      </c>
      <c r="AI11" s="54">
        <f>KVARTS!AM64</f>
        <v>9.5442071522411407</v>
      </c>
      <c r="AJ11" s="54">
        <f>KVARTS!AN64</f>
        <v>8.4064845679676008</v>
      </c>
      <c r="AK11" s="54">
        <f>KVARTS!AO64</f>
        <v>7.6252250618180204</v>
      </c>
      <c r="AL11" s="54">
        <f>KVARTS!AP64</f>
        <v>6.5501176409275104</v>
      </c>
      <c r="AM11" s="54">
        <f>KVARTS!AQ64</f>
        <v>5.5222163666163597</v>
      </c>
      <c r="AN11" s="54">
        <f>KVARTS!AR64</f>
        <v>4.8854317326599297</v>
      </c>
      <c r="AO11" s="54">
        <f>KVARTS!AS64</f>
        <v>4.4192166560990804</v>
      </c>
      <c r="AP11" s="54">
        <f>KVARTS!AT64</f>
        <v>3.9106154586444402</v>
      </c>
      <c r="AQ11" s="54">
        <f>KVARTS!AU64</f>
        <v>3.5138655571550999</v>
      </c>
      <c r="AR11" s="54">
        <f>KVARTS!AV64</f>
        <v>3.1591642798824502</v>
      </c>
      <c r="AS11" s="54">
        <f>KVARTS!AW64</f>
        <v>2.7467847078208401</v>
      </c>
      <c r="AT11" s="54">
        <f>KVARTS!AX64</f>
        <v>2.4737210810597499</v>
      </c>
      <c r="AU11" s="54">
        <f>KVARTS!AY64</f>
        <v>2.0487444447745702</v>
      </c>
      <c r="AV11" s="54">
        <f>KVARTS!AZ64</f>
        <v>1.9173434812521499</v>
      </c>
      <c r="AW11" s="54">
        <f>KVARTS!BA64</f>
        <v>1.4773356022698201</v>
      </c>
      <c r="AX11" s="54">
        <f>KVARTS!BB64</f>
        <v>1.1472303341380401</v>
      </c>
      <c r="AY11" s="54">
        <f>KVARTS!BC64</f>
        <v>0.95530164193360201</v>
      </c>
      <c r="AZ11" s="54">
        <f>KVARTS!BD64</f>
        <v>0.78101941680904496</v>
      </c>
      <c r="BA11" s="54">
        <f>KVARTS!BE64</f>
        <v>0.53412031437233098</v>
      </c>
      <c r="BB11" s="54">
        <f>KVARTS!BF64</f>
        <v>0.42513031815542501</v>
      </c>
      <c r="BC11" s="54">
        <f>KVARTS!BG64</f>
        <v>0.30469153579019798</v>
      </c>
      <c r="BD11" s="54">
        <f>KVARTS!BH64</f>
        <v>0.20867618493161899</v>
      </c>
      <c r="BE11" s="54">
        <f>KVARTS!BI64</f>
        <v>0.13997563850716699</v>
      </c>
      <c r="BF11" s="54">
        <f>KVARTS!BJ64</f>
        <v>7.6948321395320804E-2</v>
      </c>
      <c r="BG11" s="54">
        <f>KVARTS!BK64</f>
        <v>7.25227032817196E-2</v>
      </c>
      <c r="BH11" s="54">
        <f>KVARTS!BL64</f>
        <v>6.7570852599601494E-2</v>
      </c>
      <c r="BI11" s="54">
        <f>KVARTS!BM64</f>
        <v>4.6981570863863398E-2</v>
      </c>
      <c r="BJ11" s="55">
        <f>BI11*(1+Formue!$C$10)</f>
        <v>0.1028202343039445</v>
      </c>
      <c r="BK11" s="55">
        <f>BJ11*(1+Formue!$C$10)</f>
        <v>0.22502441676443954</v>
      </c>
      <c r="BL11" s="55">
        <f>BK11*(1+Formue!$C$10)</f>
        <v>0.49247104407963427</v>
      </c>
      <c r="BM11" s="55">
        <f>BL11*(1+Formue!$C$10)</f>
        <v>1.0777840589217853</v>
      </c>
      <c r="BN11" s="55">
        <f>BM11*(1+Formue!$C$10)</f>
        <v>2.3587548783438335</v>
      </c>
      <c r="BO11" s="55">
        <f>BN11*(1+Formue!$C$10)</f>
        <v>5.162188594324526</v>
      </c>
      <c r="BP11" s="55">
        <f>BO11*(1+Formue!$C$10)</f>
        <v>11.297566918901245</v>
      </c>
      <c r="BQ11" s="55">
        <f>BP11*(1+Formue!$C$10)</f>
        <v>24.724981653591222</v>
      </c>
      <c r="BR11" s="55">
        <f>BQ11*(1+Formue!$C$10)</f>
        <v>54.111183598979508</v>
      </c>
      <c r="BS11" s="55">
        <f>BR11*(1+Formue!$C$10)</f>
        <v>118.42355361494005</v>
      </c>
      <c r="BT11" s="68">
        <f>BS11*(1+Formue!$C$10)</f>
        <v>259.17263526749144</v>
      </c>
      <c r="BU11" s="68">
        <f>BT11*(1+Formue!$C$10)</f>
        <v>567.20519542847148</v>
      </c>
      <c r="BV11" s="68">
        <f>BU11*(1+Formue!$C$10)</f>
        <v>1241.3414455928278</v>
      </c>
      <c r="BW11" s="68">
        <f>BV11*(1+Formue!$C$10)</f>
        <v>2716.7039317798585</v>
      </c>
      <c r="BX11" s="68">
        <f>BW11*(1+Formue!$C$10)</f>
        <v>5945.568223111607</v>
      </c>
      <c r="BY11" s="68">
        <f>BX11*(1+Formue!$C$10)</f>
        <v>13012.011018997926</v>
      </c>
      <c r="BZ11" s="68">
        <f>BY11*(1+Formue!$C$10)</f>
        <v>28477.0814840493</v>
      </c>
      <c r="CA11" s="68">
        <f>BZ11*(1+Formue!$C$10)</f>
        <v>62322.739249542654</v>
      </c>
      <c r="CB11" s="68">
        <f>CA11*(1+Formue!$C$10)</f>
        <v>136394.72955618979</v>
      </c>
      <c r="CC11" s="68">
        <f>CB11*(1+Formue!$C$10)</f>
        <v>298502.96175553085</v>
      </c>
      <c r="CD11" s="68">
        <f>CC11*(1+Formue!$C$10)</f>
        <v>653280.5077348405</v>
      </c>
      <c r="CE11" s="68">
        <f>CD11*(1+Formue!$C$10)</f>
        <v>1429719.2204605769</v>
      </c>
      <c r="CF11" s="68">
        <f>CE11*(1+Formue!$C$10)</f>
        <v>3128972.9682001728</v>
      </c>
      <c r="CG11" s="68">
        <f>CF11*(1+Formue!$C$10)</f>
        <v>6847828.3677080646</v>
      </c>
      <c r="CH11" s="68">
        <f>CG11*(1+Formue!$C$10)</f>
        <v>14986627.826497536</v>
      </c>
      <c r="CI11" s="68">
        <f>CH11*(1+Formue!$C$10)</f>
        <v>32798575.190505613</v>
      </c>
      <c r="CJ11" s="68">
        <f>CI11*(1+Formue!$C$10)</f>
        <v>71780426.322807983</v>
      </c>
      <c r="CK11" s="68">
        <f>CJ11*(1+Formue!$C$10)</f>
        <v>157093092.40285435</v>
      </c>
      <c r="CL11" s="68">
        <f>CK11*(1+Formue!$C$10)</f>
        <v>343801798.6924426</v>
      </c>
      <c r="CM11" s="68">
        <f>CL11*(1+Formue!$C$10)</f>
        <v>752418040.64206684</v>
      </c>
      <c r="CN11" s="68"/>
      <c r="CO11" s="68"/>
      <c r="CP11" s="68"/>
      <c r="CQ11" s="68"/>
      <c r="CR11" s="68"/>
      <c r="CS11" s="68"/>
      <c r="CT11" s="68"/>
    </row>
    <row r="12" spans="1:98">
      <c r="A12" t="s">
        <v>231</v>
      </c>
      <c r="B12" s="6">
        <f>KVARTS!F168</f>
        <v>172.94334362043705</v>
      </c>
      <c r="C12" s="6">
        <f>KVARTS!G168</f>
        <v>165.71334362043706</v>
      </c>
      <c r="D12" s="6">
        <f>KVARTS!H168</f>
        <v>157.54334362043704</v>
      </c>
      <c r="E12" s="6">
        <f>KVARTS!I168</f>
        <v>154.84334362043705</v>
      </c>
      <c r="F12" s="6">
        <f>KVARTS!J168</f>
        <v>140.20334362043704</v>
      </c>
      <c r="G12" s="6">
        <f>KVARTS!K168</f>
        <v>121.83889211010319</v>
      </c>
      <c r="H12" s="6">
        <f>KVARTS!L168</f>
        <v>113.69725116119579</v>
      </c>
      <c r="I12" s="54">
        <f>KVARTS!M168</f>
        <v>109.80878804089843</v>
      </c>
      <c r="J12" s="54">
        <f>KVARTS!N168</f>
        <v>97.887807020848555</v>
      </c>
      <c r="K12" s="54">
        <f>KVARTS!O168</f>
        <v>83.875604924690521</v>
      </c>
      <c r="L12" s="54">
        <f>KVARTS!P168</f>
        <v>72.867063042970486</v>
      </c>
      <c r="M12" s="54">
        <f>KVARTS!Q168</f>
        <v>72.311843829690289</v>
      </c>
      <c r="N12" s="54">
        <f>KVARTS!R168</f>
        <v>68.039999999999992</v>
      </c>
      <c r="O12" s="54">
        <f>KVARTS!S168</f>
        <v>71.5</v>
      </c>
      <c r="P12" s="54">
        <f>KVARTS!T168</f>
        <v>74.649999999999991</v>
      </c>
      <c r="Q12" s="54">
        <f>KVARTS!U168</f>
        <v>77.7</v>
      </c>
      <c r="R12" s="54">
        <f>KVARTS!V168</f>
        <v>76.08</v>
      </c>
      <c r="S12" s="54">
        <f>KVARTS!W168</f>
        <v>70.096209999999999</v>
      </c>
      <c r="T12" s="54">
        <f>KVARTS!X168</f>
        <v>67.036209999999997</v>
      </c>
      <c r="U12" s="54">
        <f>KVARTS!Y168</f>
        <v>82.316209999999998</v>
      </c>
      <c r="V12" s="54">
        <f>KVARTS!Z168</f>
        <v>86.186210000000003</v>
      </c>
      <c r="W12" s="54">
        <f>KVARTS!AA168</f>
        <v>81.636210000000005</v>
      </c>
      <c r="X12" s="54">
        <f>KVARTS!AB168</f>
        <v>87.966210000000004</v>
      </c>
      <c r="Y12" s="54">
        <f>KVARTS!AC168</f>
        <v>86.712592812590003</v>
      </c>
      <c r="Z12" s="54">
        <f>KVARTS!AD168</f>
        <v>89.016018984577997</v>
      </c>
      <c r="AA12" s="54">
        <f>KVARTS!AE168</f>
        <v>84.871971449213007</v>
      </c>
      <c r="AB12" s="54">
        <f>KVARTS!AF168</f>
        <v>80.401276729448696</v>
      </c>
      <c r="AC12" s="54">
        <f>KVARTS!AG168</f>
        <v>70.874102082627999</v>
      </c>
      <c r="AD12" s="54">
        <f>KVARTS!AH168</f>
        <v>62.67205754370481</v>
      </c>
      <c r="AE12" s="54">
        <f>KVARTS!AI168</f>
        <v>57.620118506930098</v>
      </c>
      <c r="AF12" s="54">
        <f>KVARTS!AJ168</f>
        <v>55.4760565384356</v>
      </c>
      <c r="AG12" s="54">
        <f>KVARTS!AK168</f>
        <v>54.542196239141802</v>
      </c>
      <c r="AH12" s="54">
        <f>KVARTS!AL168</f>
        <v>53.212657109542207</v>
      </c>
      <c r="AI12" s="54">
        <f>KVARTS!AM168</f>
        <v>53.301111314808409</v>
      </c>
      <c r="AJ12" s="54">
        <f>KVARTS!AN168</f>
        <v>52.862047323349501</v>
      </c>
      <c r="AK12" s="54">
        <f>KVARTS!AO168</f>
        <v>51.708944389063305</v>
      </c>
      <c r="AL12" s="54">
        <f>KVARTS!AP168</f>
        <v>50.248427238456202</v>
      </c>
      <c r="AM12" s="54">
        <f>KVARTS!AQ168</f>
        <v>47.746860066007599</v>
      </c>
      <c r="AN12" s="54">
        <f>KVARTS!AR168</f>
        <v>45.571204652282901</v>
      </c>
      <c r="AO12" s="54">
        <f>KVARTS!AS168</f>
        <v>43.591971492930398</v>
      </c>
      <c r="AP12" s="54">
        <f>KVARTS!AT168</f>
        <v>41.987158087532194</v>
      </c>
      <c r="AQ12" s="54">
        <f>KVARTS!AU168</f>
        <v>40.130774567922998</v>
      </c>
      <c r="AR12" s="54">
        <f>KVARTS!AV168</f>
        <v>38.406929920530104</v>
      </c>
      <c r="AS12" s="54">
        <f>KVARTS!AW168</f>
        <v>37.060071304295704</v>
      </c>
      <c r="AT12" s="54">
        <f>KVARTS!AX168</f>
        <v>35.244672866102306</v>
      </c>
      <c r="AU12" s="54">
        <f>KVARTS!AY168</f>
        <v>33.678143117199298</v>
      </c>
      <c r="AV12" s="54">
        <f>KVARTS!AZ168</f>
        <v>31.900806180958899</v>
      </c>
      <c r="AW12" s="54">
        <f>KVARTS!BA168</f>
        <v>30.6179668132398</v>
      </c>
      <c r="AX12" s="54">
        <f>KVARTS!BB168</f>
        <v>28.852768890705999</v>
      </c>
      <c r="AY12" s="54">
        <f>KVARTS!BC168</f>
        <v>27.193979223710603</v>
      </c>
      <c r="AZ12" s="54">
        <f>KVARTS!BD168</f>
        <v>42.037652389517497</v>
      </c>
      <c r="BA12" s="54">
        <f>KVARTS!BE168</f>
        <v>40.516113098128699</v>
      </c>
      <c r="BB12" s="54">
        <f>KVARTS!BF168</f>
        <v>39.141344857402203</v>
      </c>
      <c r="BC12" s="54">
        <f>KVARTS!BG168</f>
        <v>37.644952559843603</v>
      </c>
      <c r="BD12" s="54">
        <f>KVARTS!BH168</f>
        <v>36.054581090807901</v>
      </c>
      <c r="BE12" s="54">
        <f>KVARTS!BI168</f>
        <v>34.609852540656</v>
      </c>
      <c r="BF12" s="54">
        <f>KVARTS!BJ168</f>
        <v>33.132615728303797</v>
      </c>
      <c r="BG12" s="54">
        <f>KVARTS!BK168</f>
        <v>31.356614947318999</v>
      </c>
      <c r="BH12" s="54">
        <f>KVARTS!BL168</f>
        <v>29.729547090828401</v>
      </c>
      <c r="BI12" s="54">
        <f>KVARTS!BM168</f>
        <v>28.071746988221999</v>
      </c>
      <c r="BJ12" s="55">
        <f t="shared" ref="BJ12:BS12" si="7">BJ9*($AE$12/$AE$9)</f>
        <v>22.44007122344836</v>
      </c>
      <c r="BK12" s="55">
        <f t="shared" si="7"/>
        <v>22.97340598013227</v>
      </c>
      <c r="BL12" s="55">
        <f t="shared" si="7"/>
        <v>23.519416541623333</v>
      </c>
      <c r="BM12" s="55">
        <f t="shared" si="7"/>
        <v>24.078404174669117</v>
      </c>
      <c r="BN12" s="55">
        <f t="shared" si="7"/>
        <v>24.650677306245235</v>
      </c>
      <c r="BO12" s="55">
        <f t="shared" si="7"/>
        <v>25.236551693733009</v>
      </c>
      <c r="BP12" s="55">
        <f t="shared" si="7"/>
        <v>25.836350599141728</v>
      </c>
      <c r="BQ12" s="55">
        <f t="shared" si="7"/>
        <v>26.450404967471666</v>
      </c>
      <c r="BR12" s="55">
        <f t="shared" si="7"/>
        <v>27.079053609316286</v>
      </c>
      <c r="BS12" s="55">
        <f t="shared" si="7"/>
        <v>27.722643387804339</v>
      </c>
      <c r="BT12" s="68">
        <f t="shared" ref="BT12:CH12" si="8">BT9*($AE$12/$AE$9)</f>
        <v>28.381529409985035</v>
      </c>
      <c r="BU12" s="68">
        <f t="shared" si="8"/>
        <v>29.056075222761891</v>
      </c>
      <c r="BV12" s="68">
        <f t="shared" si="8"/>
        <v>29.746653013483346</v>
      </c>
      <c r="BW12" s="68">
        <f t="shared" si="8"/>
        <v>30.453643815300815</v>
      </c>
      <c r="BX12" s="68">
        <f t="shared" si="8"/>
        <v>31.177437717407511</v>
      </c>
      <c r="BY12" s="68">
        <f t="shared" si="8"/>
        <v>31.918434080274046</v>
      </c>
      <c r="BZ12" s="68">
        <f t="shared" si="8"/>
        <v>32.677041755999525</v>
      </c>
      <c r="CA12" s="68">
        <f t="shared" si="8"/>
        <v>33.453679313899748</v>
      </c>
      <c r="CB12" s="68">
        <f t="shared" si="8"/>
        <v>34.248775271456985</v>
      </c>
      <c r="CC12" s="68">
        <f t="shared" si="8"/>
        <v>35.062768330758757</v>
      </c>
      <c r="CD12" s="68">
        <f t="shared" si="8"/>
        <v>35.896107620556066</v>
      </c>
      <c r="CE12" s="68">
        <f t="shared" si="8"/>
        <v>36.749252944074641</v>
      </c>
      <c r="CF12" s="68">
        <f t="shared" si="8"/>
        <v>37.622675032715932</v>
      </c>
      <c r="CG12" s="68">
        <f t="shared" si="8"/>
        <v>38.516855805787827</v>
      </c>
      <c r="CH12" s="68">
        <f t="shared" si="8"/>
        <v>39.432288636408423</v>
      </c>
      <c r="CI12" s="68">
        <f t="shared" ref="CI12:CM12" si="9">CI9*($AE$12/$AE$9)</f>
        <v>40.369478623729542</v>
      </c>
      <c r="CJ12" s="68">
        <f t="shared" si="9"/>
        <v>41.328942871630197</v>
      </c>
      <c r="CK12" s="68">
        <f t="shared" si="9"/>
        <v>42.311210774033803</v>
      </c>
      <c r="CL12" s="68">
        <f t="shared" si="9"/>
        <v>43.316824307006506</v>
      </c>
      <c r="CM12" s="68">
        <f t="shared" si="9"/>
        <v>44.346338327797866</v>
      </c>
      <c r="CN12" s="68"/>
      <c r="CO12" s="68"/>
      <c r="CP12" s="68"/>
      <c r="CQ12" s="68"/>
      <c r="CR12" s="68"/>
      <c r="CS12" s="68"/>
      <c r="CT12" s="68"/>
    </row>
    <row r="13" spans="1:98">
      <c r="A13" t="s">
        <v>176</v>
      </c>
      <c r="B13" s="6">
        <f>KVARTS!F169</f>
        <v>54.15</v>
      </c>
      <c r="C13" s="6">
        <f>KVARTS!G169</f>
        <v>65.53</v>
      </c>
      <c r="D13" s="6">
        <f>KVARTS!H169</f>
        <v>72.930000000000007</v>
      </c>
      <c r="E13" s="6">
        <f>KVARTS!I169</f>
        <v>79.099999999999994</v>
      </c>
      <c r="F13" s="6">
        <f>KVARTS!J169</f>
        <v>85.67</v>
      </c>
      <c r="G13" s="6">
        <f>KVARTS!K169</f>
        <v>88.23</v>
      </c>
      <c r="H13" s="6">
        <f>KVARTS!L169</f>
        <v>88.51</v>
      </c>
      <c r="I13" s="54">
        <f>KVARTS!M169</f>
        <v>98.46</v>
      </c>
      <c r="J13" s="54">
        <f>KVARTS!N169</f>
        <v>102.68</v>
      </c>
      <c r="K13" s="54">
        <f>KVARTS!O169</f>
        <v>103.33</v>
      </c>
      <c r="L13" s="54">
        <f>KVARTS!P169</f>
        <v>97.1</v>
      </c>
      <c r="M13" s="54">
        <f>KVARTS!Q169</f>
        <v>111.76</v>
      </c>
      <c r="N13" s="54">
        <f>KVARTS!R169</f>
        <v>105.75</v>
      </c>
      <c r="O13" s="54">
        <f>KVARTS!S169</f>
        <v>105.2</v>
      </c>
      <c r="P13" s="54">
        <f>KVARTS!T169</f>
        <v>113.32000000000001</v>
      </c>
      <c r="Q13" s="54">
        <f>KVARTS!U169</f>
        <v>113.05000000000001</v>
      </c>
      <c r="R13" s="54">
        <f>KVARTS!V169</f>
        <v>120.77000000000001</v>
      </c>
      <c r="S13" s="54">
        <f>KVARTS!W169</f>
        <v>118.29</v>
      </c>
      <c r="T13" s="54">
        <f>KVARTS!X169</f>
        <v>111.52000000000001</v>
      </c>
      <c r="U13" s="54">
        <f>KVARTS!Y169</f>
        <v>108.51</v>
      </c>
      <c r="V13" s="54">
        <f>KVARTS!Z169</f>
        <v>111.48</v>
      </c>
      <c r="W13" s="54">
        <f>KVARTS!AA169</f>
        <v>121.25</v>
      </c>
      <c r="X13" s="54">
        <f>KVARTS!AB169</f>
        <v>114.42</v>
      </c>
      <c r="Y13" s="54">
        <f>KVARTS!AC169</f>
        <v>122.63875195112</v>
      </c>
      <c r="Z13" s="54">
        <f>KVARTS!AD169</f>
        <v>116.852074931315</v>
      </c>
      <c r="AA13" s="54">
        <f>KVARTS!AE169</f>
        <v>118.48612141819601</v>
      </c>
      <c r="AB13" s="54">
        <f>KVARTS!AF169</f>
        <v>118.49464253073801</v>
      </c>
      <c r="AC13" s="54">
        <f>KVARTS!AG169</f>
        <v>114.566092510014</v>
      </c>
      <c r="AD13" s="54">
        <f>KVARTS!AH169</f>
        <v>109.03627097198201</v>
      </c>
      <c r="AE13" s="54">
        <f>KVARTS!AI169</f>
        <v>103.34157637056501</v>
      </c>
      <c r="AF13" s="54">
        <f>KVARTS!AJ169</f>
        <v>98.530445581107003</v>
      </c>
      <c r="AG13" s="54">
        <f>KVARTS!AK169</f>
        <v>91.891734289047804</v>
      </c>
      <c r="AH13" s="54">
        <f>KVARTS!AL169</f>
        <v>87.735084783925799</v>
      </c>
      <c r="AI13" s="54">
        <f>KVARTS!AM169</f>
        <v>85.135572945646103</v>
      </c>
      <c r="AJ13" s="54">
        <f>KVARTS!AN169</f>
        <v>82.733941951932408</v>
      </c>
      <c r="AK13" s="54">
        <f>KVARTS!AO169</f>
        <v>80.553770465193011</v>
      </c>
      <c r="AL13" s="54">
        <f>KVARTS!AP169</f>
        <v>77.240469550338702</v>
      </c>
      <c r="AM13" s="54">
        <f>KVARTS!AQ169</f>
        <v>72.2831162415591</v>
      </c>
      <c r="AN13" s="54">
        <f>KVARTS!AR169</f>
        <v>66.939686645509511</v>
      </c>
      <c r="AO13" s="54">
        <f>KVARTS!AS169</f>
        <v>63.092185788338305</v>
      </c>
      <c r="AP13" s="54">
        <f>KVARTS!AT169</f>
        <v>59.629097770099499</v>
      </c>
      <c r="AQ13" s="54">
        <f>KVARTS!AU169</f>
        <v>57.007326135775997</v>
      </c>
      <c r="AR13" s="54">
        <f>KVARTS!AV169</f>
        <v>54.262340380600499</v>
      </c>
      <c r="AS13" s="54">
        <f>KVARTS!AW169</f>
        <v>51.187278274028799</v>
      </c>
      <c r="AT13" s="54">
        <f>KVARTS!AX169</f>
        <v>48.682890109274297</v>
      </c>
      <c r="AU13" s="54">
        <f>KVARTS!AY169</f>
        <v>46.739968322707895</v>
      </c>
      <c r="AV13" s="54">
        <f>KVARTS!AZ169</f>
        <v>44.846472786406295</v>
      </c>
      <c r="AW13" s="54">
        <f>KVARTS!BA169</f>
        <v>43.099381400699798</v>
      </c>
      <c r="AX13" s="54">
        <f>KVARTS!BB169</f>
        <v>41.6935085376806</v>
      </c>
      <c r="AY13" s="54">
        <f>KVARTS!BC169</f>
        <v>40.0487857808534</v>
      </c>
      <c r="AZ13" s="54">
        <f>KVARTS!BD169</f>
        <v>40.118689809552301</v>
      </c>
      <c r="BA13" s="54">
        <f>KVARTS!BE169</f>
        <v>38.369959232385099</v>
      </c>
      <c r="BB13" s="54">
        <f>KVARTS!BF169</f>
        <v>36.9035212621121</v>
      </c>
      <c r="BC13" s="54">
        <f>KVARTS!BG169</f>
        <v>35.812746227007899</v>
      </c>
      <c r="BD13" s="54">
        <f>KVARTS!BH169</f>
        <v>35.2091385576473</v>
      </c>
      <c r="BE13" s="54">
        <f>KVARTS!BI169</f>
        <v>34.416161845962002</v>
      </c>
      <c r="BF13" s="54">
        <f>KVARTS!BJ169</f>
        <v>33.891618791822097</v>
      </c>
      <c r="BG13" s="54">
        <f>KVARTS!BK169</f>
        <v>33.466268432734097</v>
      </c>
      <c r="BH13" s="54">
        <f>KVARTS!BL169</f>
        <v>32.995546425285298</v>
      </c>
      <c r="BI13" s="54">
        <f>KVARTS!BM169</f>
        <v>32.602377394214301</v>
      </c>
      <c r="BJ13" s="55">
        <f t="shared" ref="BJ13:BS13" si="10">BJ10*($AE$13/$AE$10)</f>
        <v>32.39227737385373</v>
      </c>
      <c r="BK13" s="55">
        <f t="shared" si="10"/>
        <v>32.681817201479518</v>
      </c>
      <c r="BL13" s="55">
        <f t="shared" si="10"/>
        <v>32.973945093871919</v>
      </c>
      <c r="BM13" s="55">
        <f t="shared" si="10"/>
        <v>33.268684184564201</v>
      </c>
      <c r="BN13" s="55">
        <f t="shared" si="10"/>
        <v>33.566057813869769</v>
      </c>
      <c r="BO13" s="55">
        <f t="shared" si="10"/>
        <v>33.866089530730456</v>
      </c>
      <c r="BP13" s="55">
        <f t="shared" si="10"/>
        <v>34.168803094581392</v>
      </c>
      <c r="BQ13" s="55">
        <f t="shared" si="10"/>
        <v>34.474222477232459</v>
      </c>
      <c r="BR13" s="55">
        <f t="shared" si="10"/>
        <v>34.78237186476666</v>
      </c>
      <c r="BS13" s="55">
        <f t="shared" si="10"/>
        <v>35.093275659455372</v>
      </c>
      <c r="BT13" s="68">
        <f t="shared" ref="BT13:CH13" si="11">BT10*($AE$13/$AE$10)</f>
        <v>35.406958481690793</v>
      </c>
      <c r="BU13" s="68">
        <f t="shared" si="11"/>
        <v>35.72344517193558</v>
      </c>
      <c r="BV13" s="68">
        <f t="shared" si="11"/>
        <v>36.042760792690004</v>
      </c>
      <c r="BW13" s="68">
        <f t="shared" si="11"/>
        <v>36.3649306304766</v>
      </c>
      <c r="BX13" s="68">
        <f t="shared" si="11"/>
        <v>36.689980197842644</v>
      </c>
      <c r="BY13" s="68">
        <f t="shared" si="11"/>
        <v>37.017935235380435</v>
      </c>
      <c r="BZ13" s="68">
        <f t="shared" si="11"/>
        <v>37.348821713765744</v>
      </c>
      <c r="CA13" s="68">
        <f t="shared" si="11"/>
        <v>37.682665835814376</v>
      </c>
      <c r="CB13" s="68">
        <f t="shared" si="11"/>
        <v>38.019494038557191</v>
      </c>
      <c r="CC13" s="68">
        <f t="shared" si="11"/>
        <v>38.359332995333624</v>
      </c>
      <c r="CD13" s="68">
        <f t="shared" si="11"/>
        <v>38.702209617903975</v>
      </c>
      <c r="CE13" s="68">
        <f t="shared" si="11"/>
        <v>39.048151058580515</v>
      </c>
      <c r="CF13" s="68">
        <f t="shared" si="11"/>
        <v>39.397184712377666</v>
      </c>
      <c r="CG13" s="68">
        <f t="shared" si="11"/>
        <v>39.749338219181446</v>
      </c>
      <c r="CH13" s="68">
        <f t="shared" si="11"/>
        <v>40.104639465938199</v>
      </c>
      <c r="CI13" s="68">
        <f t="shared" ref="CI13:CM13" si="12">CI10*($AE$13/$AE$10)</f>
        <v>40.463116588863031</v>
      </c>
      <c r="CJ13" s="68">
        <f t="shared" si="12"/>
        <v>40.824797975667842</v>
      </c>
      <c r="CK13" s="68">
        <f t="shared" si="12"/>
        <v>41.189712267809384</v>
      </c>
      <c r="CL13" s="68">
        <f t="shared" si="12"/>
        <v>41.55788836275736</v>
      </c>
      <c r="CM13" s="68">
        <f t="shared" si="12"/>
        <v>41.92935541628281</v>
      </c>
      <c r="CN13" s="68"/>
      <c r="CO13" s="68"/>
      <c r="CP13" s="68"/>
      <c r="CQ13" s="68"/>
      <c r="CR13" s="68"/>
      <c r="CS13" s="68"/>
      <c r="CT13" s="68"/>
    </row>
    <row r="14" spans="1:98">
      <c r="A14" t="s">
        <v>177</v>
      </c>
      <c r="B14" s="6">
        <f>KVARTS!F170</f>
        <v>2.6799999999999997</v>
      </c>
      <c r="C14" s="6">
        <f>KVARTS!G170</f>
        <v>2.7200000000000024</v>
      </c>
      <c r="D14" s="6">
        <f>KVARTS!H170</f>
        <v>3.3200000000000003</v>
      </c>
      <c r="E14" s="6">
        <f>KVARTS!I170</f>
        <v>20.080000000000002</v>
      </c>
      <c r="F14" s="6">
        <f>KVARTS!J170</f>
        <v>21.53</v>
      </c>
      <c r="G14" s="6">
        <f>KVARTS!K170</f>
        <v>22.099999999999998</v>
      </c>
      <c r="H14" s="6">
        <f>KVARTS!L170</f>
        <v>17.529999999999998</v>
      </c>
      <c r="I14" s="54">
        <f>KVARTS!M170</f>
        <v>18.63</v>
      </c>
      <c r="J14" s="54">
        <f>KVARTS!N170</f>
        <v>16.980000000000004</v>
      </c>
      <c r="K14" s="54">
        <f>KVARTS!O170</f>
        <v>15.299999999999999</v>
      </c>
      <c r="L14" s="54">
        <f>KVARTS!P170</f>
        <v>16.47</v>
      </c>
      <c r="M14" s="54">
        <f>KVARTS!Q170</f>
        <v>17.96</v>
      </c>
      <c r="N14" s="54">
        <f>KVARTS!R170</f>
        <v>17.29</v>
      </c>
      <c r="O14" s="54">
        <f>KVARTS!S170</f>
        <v>17.45</v>
      </c>
      <c r="P14" s="54">
        <f>KVARTS!T170</f>
        <v>17.66</v>
      </c>
      <c r="Q14" s="54">
        <f>KVARTS!U170</f>
        <v>17.7</v>
      </c>
      <c r="R14" s="54">
        <f>KVARTS!V170</f>
        <v>17.690000000000001</v>
      </c>
      <c r="S14" s="54">
        <f>KVARTS!W170</f>
        <v>16.757352600000001</v>
      </c>
      <c r="T14" s="54">
        <f>KVARTS!X170</f>
        <v>14.667352600000001</v>
      </c>
      <c r="U14" s="54">
        <f>KVARTS!Y170</f>
        <v>13.837352599999999</v>
      </c>
      <c r="V14" s="54">
        <f>KVARTS!Z170</f>
        <v>10.897352599999998</v>
      </c>
      <c r="W14" s="54">
        <f>KVARTS!AA170</f>
        <v>8.1173526000000003</v>
      </c>
      <c r="X14" s="54">
        <f>KVARTS!AB170</f>
        <v>8.5773526000000011</v>
      </c>
      <c r="Y14" s="54">
        <f>KVARTS!AC170</f>
        <v>9.6781582688252001</v>
      </c>
      <c r="Z14" s="54">
        <f>KVARTS!AD170</f>
        <v>10.113769793374601</v>
      </c>
      <c r="AA14" s="54">
        <f>KVARTS!AE170</f>
        <v>10.869946964932499</v>
      </c>
      <c r="AB14" s="54">
        <f>KVARTS!AF170</f>
        <v>11.004287829053201</v>
      </c>
      <c r="AC14" s="54">
        <f>KVARTS!AG170</f>
        <v>10.9690687845602</v>
      </c>
      <c r="AD14" s="54">
        <f>KVARTS!AH170</f>
        <v>10.711179894627499</v>
      </c>
      <c r="AE14" s="54">
        <f>KVARTS!AI170</f>
        <v>10.0455201431873</v>
      </c>
      <c r="AF14" s="54">
        <f>KVARTS!AJ170</f>
        <v>8.5870094464003017</v>
      </c>
      <c r="AG14" s="54">
        <f>KVARTS!AK170</f>
        <v>7.6883955740265</v>
      </c>
      <c r="AH14" s="54">
        <f>KVARTS!AL170</f>
        <v>6.2910018009246</v>
      </c>
      <c r="AI14" s="54">
        <f>KVARTS!AM170</f>
        <v>5.1315597522411407</v>
      </c>
      <c r="AJ14" s="54">
        <f>KVARTS!AN170</f>
        <v>3.9938371679676008</v>
      </c>
      <c r="AK14" s="54">
        <f>KVARTS!AO170</f>
        <v>3.2125776618180204</v>
      </c>
      <c r="AL14" s="54">
        <f>KVARTS!AP170</f>
        <v>2.1374702409275104</v>
      </c>
      <c r="AM14" s="54">
        <f>KVARTS!AQ170</f>
        <v>1.1095689666163597</v>
      </c>
      <c r="AN14" s="54">
        <f>KVARTS!AR170</f>
        <v>0.4727843326599297</v>
      </c>
      <c r="AO14" s="54">
        <f>KVARTS!AS170</f>
        <v>6.5692560990804338E-3</v>
      </c>
      <c r="AP14" s="54">
        <f>KVARTS!AT170</f>
        <v>-0.50203194135555984</v>
      </c>
      <c r="AQ14" s="54">
        <f>KVARTS!AU170</f>
        <v>-0.89878184284490015</v>
      </c>
      <c r="AR14" s="54">
        <f>KVARTS!AV170</f>
        <v>-1.2534831201175498</v>
      </c>
      <c r="AS14" s="54">
        <f>KVARTS!AW170</f>
        <v>-1.6658626921791599</v>
      </c>
      <c r="AT14" s="54">
        <f>KVARTS!AX170</f>
        <v>-1.9389263189402501</v>
      </c>
      <c r="AU14" s="54">
        <f>KVARTS!AY170</f>
        <v>-2.3639029552254298</v>
      </c>
      <c r="AV14" s="54">
        <f>KVARTS!AZ170</f>
        <v>-2.4953039187478501</v>
      </c>
      <c r="AW14" s="54">
        <f>KVARTS!BA170</f>
        <v>-2.9353117977301801</v>
      </c>
      <c r="AX14" s="54">
        <f>KVARTS!BB170</f>
        <v>-3.2654170658619597</v>
      </c>
      <c r="AY14" s="54">
        <f>KVARTS!BC170</f>
        <v>-3.4573457580663982</v>
      </c>
      <c r="AZ14" s="54">
        <f>KVARTS!BD170</f>
        <v>0.78101941680904496</v>
      </c>
      <c r="BA14" s="54">
        <f>KVARTS!BE170</f>
        <v>0.53412031437233098</v>
      </c>
      <c r="BB14" s="54">
        <f>KVARTS!BF170</f>
        <v>0.42513031815542501</v>
      </c>
      <c r="BC14" s="54">
        <f>KVARTS!BG170</f>
        <v>0.30469153579019798</v>
      </c>
      <c r="BD14" s="54">
        <f>KVARTS!BH170</f>
        <v>0.20867618493161899</v>
      </c>
      <c r="BE14" s="54">
        <f>KVARTS!BI170</f>
        <v>0.13997563850716699</v>
      </c>
      <c r="BF14" s="54">
        <f>KVARTS!BJ170</f>
        <v>7.6948321395320804E-2</v>
      </c>
      <c r="BG14" s="54">
        <f>KVARTS!BK170</f>
        <v>7.25227032817196E-2</v>
      </c>
      <c r="BH14" s="54">
        <f>KVARTS!BL170</f>
        <v>6.7570852599601494E-2</v>
      </c>
      <c r="BI14" s="54">
        <f>KVARTS!BM170</f>
        <v>4.6981570863863398E-2</v>
      </c>
      <c r="BJ14" s="55">
        <f t="shared" ref="BJ14:BS14" si="13">BJ11*($AE$14/$AE$11)</f>
        <v>7.1439394497417319E-2</v>
      </c>
      <c r="BK14" s="55">
        <f t="shared" si="13"/>
        <v>0.15634673651166084</v>
      </c>
      <c r="BL14" s="55">
        <f t="shared" si="13"/>
        <v>0.34216838188249782</v>
      </c>
      <c r="BM14" s="55">
        <f t="shared" si="13"/>
        <v>0.7488432708754027</v>
      </c>
      <c r="BN14" s="55">
        <f t="shared" si="13"/>
        <v>1.6388604968414102</v>
      </c>
      <c r="BO14" s="55">
        <f t="shared" si="13"/>
        <v>3.5866833990074878</v>
      </c>
      <c r="BP14" s="55">
        <f t="shared" si="13"/>
        <v>7.8495380354272832</v>
      </c>
      <c r="BQ14" s="55">
        <f t="shared" si="13"/>
        <v>17.178892172827375</v>
      </c>
      <c r="BR14" s="55">
        <f t="shared" si="13"/>
        <v>37.596395476229482</v>
      </c>
      <c r="BS14" s="55">
        <f t="shared" si="13"/>
        <v>82.280564927279073</v>
      </c>
      <c r="BT14" s="68">
        <f t="shared" ref="BT14:CH14" si="14">BT11*($AE$14/$AE$11)</f>
        <v>180.07288408891785</v>
      </c>
      <c r="BU14" s="68">
        <f t="shared" si="14"/>
        <v>394.09359443216863</v>
      </c>
      <c r="BV14" s="68">
        <f t="shared" si="14"/>
        <v>862.48277722800572</v>
      </c>
      <c r="BW14" s="68">
        <f t="shared" si="14"/>
        <v>1887.5631360787563</v>
      </c>
      <c r="BX14" s="68">
        <f t="shared" si="14"/>
        <v>4130.9747704580359</v>
      </c>
      <c r="BY14" s="68">
        <f t="shared" si="14"/>
        <v>9040.7320571070977</v>
      </c>
      <c r="BZ14" s="68">
        <f t="shared" si="14"/>
        <v>19785.847329041251</v>
      </c>
      <c r="CA14" s="68">
        <f t="shared" si="14"/>
        <v>43301.776012748764</v>
      </c>
      <c r="CB14" s="68">
        <f t="shared" si="14"/>
        <v>94766.919741977094</v>
      </c>
      <c r="CC14" s="68">
        <f t="shared" si="14"/>
        <v>207399.55503760951</v>
      </c>
      <c r="CD14" s="68">
        <f t="shared" si="14"/>
        <v>453898.63411108713</v>
      </c>
      <c r="CE14" s="68">
        <f t="shared" si="14"/>
        <v>993367.46412281587</v>
      </c>
      <c r="CF14" s="68">
        <f t="shared" si="14"/>
        <v>2174007.2443934469</v>
      </c>
      <c r="CG14" s="68">
        <f t="shared" si="14"/>
        <v>4757864.2037050324</v>
      </c>
      <c r="CH14" s="68">
        <f t="shared" si="14"/>
        <v>10412693.811981095</v>
      </c>
      <c r="CI14" s="68">
        <f t="shared" ref="CI14:CM14" si="15">CI11*($AE$14/$AE$11)</f>
        <v>22788416.772727057</v>
      </c>
      <c r="CJ14" s="68">
        <f t="shared" si="15"/>
        <v>49872967.397732854</v>
      </c>
      <c r="CK14" s="68">
        <f t="shared" si="15"/>
        <v>109148121.2522019</v>
      </c>
      <c r="CL14" s="68">
        <f t="shared" si="15"/>
        <v>238873140.99194601</v>
      </c>
      <c r="CM14" s="68">
        <f t="shared" si="15"/>
        <v>522779291.4136579</v>
      </c>
      <c r="CN14" s="68"/>
      <c r="CO14" s="68"/>
      <c r="CP14" s="68"/>
      <c r="CQ14" s="68"/>
      <c r="CR14" s="68"/>
      <c r="CS14" s="68"/>
      <c r="CT14" s="68"/>
    </row>
    <row r="15" spans="1:98">
      <c r="A15" t="s">
        <v>88</v>
      </c>
      <c r="B15" s="8">
        <f>KVARTS!F16</f>
        <v>6.2898100000000001</v>
      </c>
      <c r="C15" s="8">
        <f>KVARTS!G16</f>
        <v>6.2898100000000001</v>
      </c>
      <c r="D15" s="8">
        <f>KVARTS!H16</f>
        <v>6.2898100000000001</v>
      </c>
      <c r="E15" s="8">
        <f>KVARTS!I16</f>
        <v>6.2898100000000001</v>
      </c>
      <c r="F15" s="8">
        <f>KVARTS!J16</f>
        <v>6.2898100000000001</v>
      </c>
      <c r="G15" s="8">
        <f>KVARTS!K16</f>
        <v>6.2898100000000001</v>
      </c>
      <c r="H15" s="8">
        <f>KVARTS!L16</f>
        <v>6.2898100000000001</v>
      </c>
      <c r="I15" s="54">
        <f>KVARTS!M16</f>
        <v>6.2898100000000001</v>
      </c>
      <c r="J15" s="54">
        <f>KVARTS!N16</f>
        <v>6.2898100000000001</v>
      </c>
      <c r="K15" s="54">
        <f>KVARTS!O16</f>
        <v>6.2898100000000001</v>
      </c>
      <c r="L15" s="54">
        <f>KVARTS!P16</f>
        <v>6.2898100000000001</v>
      </c>
      <c r="M15" s="54">
        <f>KVARTS!Q16</f>
        <v>6.2898100000000001</v>
      </c>
      <c r="N15" s="54">
        <f>KVARTS!R16</f>
        <v>6.2898100000000001</v>
      </c>
      <c r="O15" s="54">
        <f>KVARTS!S16</f>
        <v>6.2898100000000001</v>
      </c>
      <c r="P15" s="54">
        <f>KVARTS!T16</f>
        <v>6.2898100000000001</v>
      </c>
      <c r="Q15" s="54">
        <f>KVARTS!U16</f>
        <v>6.2898100000000001</v>
      </c>
      <c r="R15" s="54">
        <f>KVARTS!V16</f>
        <v>6.2898100000000001</v>
      </c>
      <c r="S15" s="54">
        <f>KVARTS!W16</f>
        <v>6.2898100000000001</v>
      </c>
      <c r="T15" s="54">
        <f>KVARTS!X16</f>
        <v>6.2898100000000001</v>
      </c>
      <c r="U15" s="54">
        <f>KVARTS!Y16</f>
        <v>6.2898100000000001</v>
      </c>
      <c r="V15" s="54">
        <f>KVARTS!Z16</f>
        <v>6.2898100000000001</v>
      </c>
      <c r="W15" s="54">
        <f>KVARTS!AA16</f>
        <v>6.2898100000000001</v>
      </c>
      <c r="X15" s="54">
        <f>KVARTS!AB16</f>
        <v>6.2898100000000001</v>
      </c>
      <c r="Y15" s="54">
        <f>KVARTS!AC16</f>
        <v>6.2898100000000001</v>
      </c>
      <c r="Z15" s="54">
        <f>KVARTS!AD16</f>
        <v>6.2898100000000001</v>
      </c>
      <c r="AA15" s="54">
        <f>KVARTS!AE16</f>
        <v>6.2898100000000001</v>
      </c>
      <c r="AB15" s="54">
        <f>KVARTS!AF16</f>
        <v>6.2898100000000001</v>
      </c>
      <c r="AC15" s="54">
        <f>KVARTS!AG16</f>
        <v>6.2898100000000001</v>
      </c>
      <c r="AD15" s="54">
        <f>KVARTS!AH16</f>
        <v>6.2898100000000001</v>
      </c>
      <c r="AE15" s="54">
        <f>KVARTS!AI16</f>
        <v>6.2898100000000001</v>
      </c>
      <c r="AF15" s="54">
        <f>KVARTS!AJ16</f>
        <v>6.2898100000000001</v>
      </c>
      <c r="AG15" s="54">
        <f>KVARTS!AK16</f>
        <v>6.2898100000000001</v>
      </c>
      <c r="AH15" s="54">
        <f>KVARTS!AL16</f>
        <v>6.2898100000000001</v>
      </c>
      <c r="AI15" s="54">
        <f>KVARTS!AM16</f>
        <v>6.2898100000000001</v>
      </c>
      <c r="AJ15" s="54">
        <f>KVARTS!AN16</f>
        <v>6.2898100000000001</v>
      </c>
      <c r="AK15" s="54">
        <f>KVARTS!AO16</f>
        <v>6.2898100000000001</v>
      </c>
      <c r="AL15" s="54">
        <f>KVARTS!AP16</f>
        <v>6.2898100000000001</v>
      </c>
      <c r="AM15" s="54">
        <f>KVARTS!AQ16</f>
        <v>6.2898100000000001</v>
      </c>
      <c r="AN15" s="54">
        <f>KVARTS!AR16</f>
        <v>6.2898100000000001</v>
      </c>
      <c r="AO15" s="54">
        <f>KVARTS!AS16</f>
        <v>6.2898100000000001</v>
      </c>
      <c r="AP15" s="54">
        <f>KVARTS!AT16</f>
        <v>6.2898100000000001</v>
      </c>
      <c r="AQ15" s="54">
        <f>KVARTS!AU16</f>
        <v>6.2898100000000001</v>
      </c>
      <c r="AR15" s="54">
        <f>KVARTS!AV16</f>
        <v>6.2898100000000001</v>
      </c>
      <c r="AS15" s="54">
        <f>KVARTS!AW16</f>
        <v>6.2898100000000001</v>
      </c>
      <c r="AT15" s="54">
        <f>KVARTS!AX16</f>
        <v>6.2898100000000001</v>
      </c>
      <c r="AU15" s="54">
        <f>KVARTS!AY16</f>
        <v>6.2898100000000001</v>
      </c>
      <c r="AV15" s="54">
        <f>KVARTS!AZ16</f>
        <v>6.2898100000000001</v>
      </c>
      <c r="AW15" s="54">
        <f>KVARTS!BA16</f>
        <v>6.2898100000000001</v>
      </c>
      <c r="AX15" s="54">
        <f>KVARTS!BB16</f>
        <v>6.2898100000000001</v>
      </c>
      <c r="AY15" s="54">
        <f>KVARTS!BC16</f>
        <v>6.2898100000000001</v>
      </c>
      <c r="AZ15" s="54">
        <f>KVARTS!BD16</f>
        <v>6.2898100000000001</v>
      </c>
      <c r="BA15" s="54">
        <f>KVARTS!BE16</f>
        <v>6.2898100000000001</v>
      </c>
      <c r="BB15" s="54">
        <f>KVARTS!BF16</f>
        <v>6.2898100000000001</v>
      </c>
      <c r="BC15" s="54">
        <f>KVARTS!BG16</f>
        <v>6.2898100000000001</v>
      </c>
      <c r="BD15" s="54">
        <f>KVARTS!BH16</f>
        <v>6.2898100000000001</v>
      </c>
      <c r="BE15" s="54">
        <f>KVARTS!BI16</f>
        <v>6.2898100000000001</v>
      </c>
      <c r="BF15" s="54">
        <f>KVARTS!BJ16</f>
        <v>6.2898100000000001</v>
      </c>
      <c r="BG15" s="54">
        <f>KVARTS!BK16</f>
        <v>6.2898100000000001</v>
      </c>
      <c r="BH15" s="54">
        <f>KVARTS!BL16</f>
        <v>6.2898100000000001</v>
      </c>
      <c r="BI15" s="54">
        <f>KVARTS!BM16</f>
        <v>6.2898100000000001</v>
      </c>
      <c r="BJ15" s="55">
        <f t="shared" ref="BJ15:BS15" si="16">BI15</f>
        <v>6.2898100000000001</v>
      </c>
      <c r="BK15" s="55">
        <f t="shared" si="16"/>
        <v>6.2898100000000001</v>
      </c>
      <c r="BL15" s="55">
        <f t="shared" si="16"/>
        <v>6.2898100000000001</v>
      </c>
      <c r="BM15" s="55">
        <f t="shared" si="16"/>
        <v>6.2898100000000001</v>
      </c>
      <c r="BN15" s="55">
        <f t="shared" si="16"/>
        <v>6.2898100000000001</v>
      </c>
      <c r="BO15" s="55">
        <f t="shared" si="16"/>
        <v>6.2898100000000001</v>
      </c>
      <c r="BP15" s="55">
        <f t="shared" si="16"/>
        <v>6.2898100000000001</v>
      </c>
      <c r="BQ15" s="55">
        <f t="shared" si="16"/>
        <v>6.2898100000000001</v>
      </c>
      <c r="BR15" s="55">
        <f t="shared" si="16"/>
        <v>6.2898100000000001</v>
      </c>
      <c r="BS15" s="55">
        <f t="shared" si="16"/>
        <v>6.2898100000000001</v>
      </c>
      <c r="BT15" s="68">
        <f t="shared" ref="BT15:CH15" si="17">BS15</f>
        <v>6.2898100000000001</v>
      </c>
      <c r="BU15" s="68">
        <f t="shared" si="17"/>
        <v>6.2898100000000001</v>
      </c>
      <c r="BV15" s="68">
        <f t="shared" si="17"/>
        <v>6.2898100000000001</v>
      </c>
      <c r="BW15" s="68">
        <f t="shared" si="17"/>
        <v>6.2898100000000001</v>
      </c>
      <c r="BX15" s="68">
        <f t="shared" si="17"/>
        <v>6.2898100000000001</v>
      </c>
      <c r="BY15" s="68">
        <f t="shared" si="17"/>
        <v>6.2898100000000001</v>
      </c>
      <c r="BZ15" s="68">
        <f t="shared" si="17"/>
        <v>6.2898100000000001</v>
      </c>
      <c r="CA15" s="68">
        <f t="shared" si="17"/>
        <v>6.2898100000000001</v>
      </c>
      <c r="CB15" s="68">
        <f t="shared" si="17"/>
        <v>6.2898100000000001</v>
      </c>
      <c r="CC15" s="68">
        <f t="shared" si="17"/>
        <v>6.2898100000000001</v>
      </c>
      <c r="CD15" s="68">
        <f t="shared" si="17"/>
        <v>6.2898100000000001</v>
      </c>
      <c r="CE15" s="68">
        <f t="shared" si="17"/>
        <v>6.2898100000000001</v>
      </c>
      <c r="CF15" s="68">
        <f t="shared" si="17"/>
        <v>6.2898100000000001</v>
      </c>
      <c r="CG15" s="68">
        <f t="shared" si="17"/>
        <v>6.2898100000000001</v>
      </c>
      <c r="CH15" s="68">
        <f t="shared" si="17"/>
        <v>6.2898100000000001</v>
      </c>
      <c r="CI15" s="68">
        <f t="shared" ref="CI15" si="18">CH15</f>
        <v>6.2898100000000001</v>
      </c>
      <c r="CJ15" s="68">
        <f t="shared" ref="CJ15" si="19">CI15</f>
        <v>6.2898100000000001</v>
      </c>
      <c r="CK15" s="68">
        <f t="shared" ref="CK15" si="20">CJ15</f>
        <v>6.2898100000000001</v>
      </c>
      <c r="CL15" s="68">
        <f t="shared" ref="CL15" si="21">CK15</f>
        <v>6.2898100000000001</v>
      </c>
      <c r="CM15" s="68">
        <f t="shared" ref="CM15" si="22">CL15</f>
        <v>6.2898100000000001</v>
      </c>
      <c r="CN15" s="68"/>
      <c r="CO15" s="68"/>
      <c r="CP15" s="68"/>
      <c r="CQ15" s="68"/>
      <c r="CR15" s="68"/>
      <c r="CS15" s="68"/>
      <c r="CT15" s="68"/>
    </row>
    <row r="16" spans="1:98">
      <c r="A16" t="s">
        <v>89</v>
      </c>
      <c r="B16" s="2">
        <v>1000</v>
      </c>
      <c r="C16" s="2">
        <v>1000</v>
      </c>
      <c r="D16" s="2">
        <v>1000</v>
      </c>
      <c r="E16" s="2">
        <v>1000</v>
      </c>
      <c r="F16" s="2">
        <v>1000</v>
      </c>
      <c r="G16" s="2">
        <v>1000</v>
      </c>
      <c r="H16" s="2">
        <v>1000</v>
      </c>
      <c r="I16" s="56">
        <v>1000</v>
      </c>
      <c r="J16" s="56">
        <v>1000</v>
      </c>
      <c r="K16" s="56">
        <v>1000</v>
      </c>
      <c r="L16" s="56">
        <v>1000</v>
      </c>
      <c r="M16" s="56">
        <v>1000</v>
      </c>
      <c r="N16" s="56">
        <v>1000</v>
      </c>
      <c r="O16" s="56">
        <v>1000</v>
      </c>
      <c r="P16" s="56">
        <v>1000</v>
      </c>
      <c r="Q16" s="56">
        <v>1000</v>
      </c>
      <c r="R16" s="56">
        <v>1000</v>
      </c>
      <c r="S16" s="56">
        <v>1000</v>
      </c>
      <c r="T16" s="56">
        <v>1000</v>
      </c>
      <c r="U16" s="56">
        <v>1000</v>
      </c>
      <c r="V16" s="56">
        <v>1000</v>
      </c>
      <c r="W16" s="56">
        <v>1000</v>
      </c>
      <c r="X16" s="56">
        <v>1000</v>
      </c>
      <c r="Y16" s="56">
        <v>1000</v>
      </c>
      <c r="Z16" s="56">
        <v>1000</v>
      </c>
      <c r="AA16" s="56">
        <v>1000</v>
      </c>
      <c r="AB16" s="56">
        <v>1000</v>
      </c>
      <c r="AC16" s="56">
        <v>1000</v>
      </c>
      <c r="AD16" s="56">
        <v>1000</v>
      </c>
      <c r="AE16" s="56">
        <v>1000</v>
      </c>
      <c r="AF16" s="56">
        <v>1000</v>
      </c>
      <c r="AG16" s="56">
        <v>1000</v>
      </c>
      <c r="AH16" s="56">
        <v>1000</v>
      </c>
      <c r="AI16" s="56">
        <v>1000</v>
      </c>
      <c r="AJ16" s="56">
        <v>1000</v>
      </c>
      <c r="AK16" s="56">
        <v>1000</v>
      </c>
      <c r="AL16" s="56">
        <v>1000</v>
      </c>
      <c r="AM16" s="56">
        <v>1000</v>
      </c>
      <c r="AN16" s="56">
        <v>1000</v>
      </c>
      <c r="AO16" s="56">
        <v>1000</v>
      </c>
      <c r="AP16" s="56">
        <v>1000</v>
      </c>
      <c r="AQ16" s="56">
        <v>1000</v>
      </c>
      <c r="AR16" s="56">
        <v>1000</v>
      </c>
      <c r="AS16" s="56">
        <v>1000</v>
      </c>
      <c r="AT16" s="56">
        <v>1000</v>
      </c>
      <c r="AU16" s="56">
        <v>1000</v>
      </c>
      <c r="AV16" s="56">
        <v>1000</v>
      </c>
      <c r="AW16" s="56">
        <v>1000</v>
      </c>
      <c r="AX16" s="56">
        <v>1000</v>
      </c>
      <c r="AY16" s="56">
        <v>1000</v>
      </c>
      <c r="AZ16" s="56">
        <v>1000</v>
      </c>
      <c r="BA16" s="56">
        <v>1000</v>
      </c>
      <c r="BB16" s="56">
        <v>1000</v>
      </c>
      <c r="BC16" s="56">
        <v>1000</v>
      </c>
      <c r="BD16" s="56">
        <v>1000</v>
      </c>
      <c r="BE16" s="56">
        <v>1000</v>
      </c>
      <c r="BF16" s="56">
        <v>1000</v>
      </c>
      <c r="BG16" s="56">
        <v>1000</v>
      </c>
      <c r="BH16" s="56">
        <v>1000</v>
      </c>
      <c r="BI16" s="56">
        <v>1000</v>
      </c>
      <c r="BJ16" s="57">
        <v>1000</v>
      </c>
      <c r="BK16" s="57">
        <v>1000</v>
      </c>
      <c r="BL16" s="57">
        <v>1000</v>
      </c>
      <c r="BM16" s="57">
        <v>1000</v>
      </c>
      <c r="BN16" s="57">
        <v>1000</v>
      </c>
      <c r="BO16" s="57">
        <v>1000</v>
      </c>
      <c r="BP16" s="57">
        <v>1000</v>
      </c>
      <c r="BQ16" s="57">
        <v>1000</v>
      </c>
      <c r="BR16" s="57">
        <v>1000</v>
      </c>
      <c r="BS16" s="57">
        <v>1000</v>
      </c>
      <c r="BT16" s="69">
        <v>1000</v>
      </c>
      <c r="BU16" s="69">
        <v>1000</v>
      </c>
      <c r="BV16" s="69">
        <v>1000</v>
      </c>
      <c r="BW16" s="69">
        <v>1000</v>
      </c>
      <c r="BX16" s="69">
        <v>1000</v>
      </c>
      <c r="BY16" s="69">
        <v>1000</v>
      </c>
      <c r="BZ16" s="69">
        <v>1000</v>
      </c>
      <c r="CA16" s="69">
        <v>1000</v>
      </c>
      <c r="CB16" s="69">
        <v>1000</v>
      </c>
      <c r="CC16" s="69">
        <v>1000</v>
      </c>
      <c r="CD16" s="69">
        <v>1000</v>
      </c>
      <c r="CE16" s="69">
        <v>1000</v>
      </c>
      <c r="CF16" s="69">
        <v>1000</v>
      </c>
      <c r="CG16" s="69">
        <v>1000</v>
      </c>
      <c r="CH16" s="69">
        <v>1000</v>
      </c>
      <c r="CI16" s="69">
        <v>1000</v>
      </c>
      <c r="CJ16" s="69">
        <v>1000</v>
      </c>
      <c r="CK16" s="69">
        <v>1000</v>
      </c>
      <c r="CL16" s="69">
        <v>1000</v>
      </c>
      <c r="CM16" s="69">
        <v>1000</v>
      </c>
      <c r="CN16" s="69"/>
      <c r="CO16" s="69"/>
      <c r="CP16" s="69"/>
      <c r="CQ16" s="69"/>
      <c r="CR16" s="69"/>
      <c r="CS16" s="69"/>
      <c r="CT16" s="69"/>
    </row>
    <row r="17" spans="1:98">
      <c r="A17" t="s">
        <v>90</v>
      </c>
      <c r="B17" s="2">
        <v>0.5</v>
      </c>
      <c r="C17" s="2">
        <v>0.5</v>
      </c>
      <c r="D17" s="2">
        <v>0.5</v>
      </c>
      <c r="E17" s="2">
        <v>0.5</v>
      </c>
      <c r="F17" s="2">
        <v>0.5</v>
      </c>
      <c r="G17" s="2">
        <v>0.5</v>
      </c>
      <c r="H17" s="2">
        <v>0.5</v>
      </c>
      <c r="I17" s="56">
        <v>0.5</v>
      </c>
      <c r="J17" s="56">
        <v>0.5</v>
      </c>
      <c r="K17" s="56">
        <v>0.5</v>
      </c>
      <c r="L17" s="56">
        <v>0.5</v>
      </c>
      <c r="M17" s="56">
        <v>0.5</v>
      </c>
      <c r="N17" s="56">
        <v>0.5</v>
      </c>
      <c r="O17" s="56">
        <v>0.5</v>
      </c>
      <c r="P17" s="56">
        <v>0.5</v>
      </c>
      <c r="Q17" s="56">
        <v>0.5</v>
      </c>
      <c r="R17" s="56">
        <v>0.5</v>
      </c>
      <c r="S17" s="56">
        <v>0.5</v>
      </c>
      <c r="T17" s="56">
        <v>0.5</v>
      </c>
      <c r="U17" s="56">
        <v>0.5</v>
      </c>
      <c r="V17" s="56">
        <v>0.5</v>
      </c>
      <c r="W17" s="56">
        <v>0.5</v>
      </c>
      <c r="X17" s="56">
        <v>0.5</v>
      </c>
      <c r="Y17" s="56">
        <v>0.5</v>
      </c>
      <c r="Z17" s="56">
        <v>0.5</v>
      </c>
      <c r="AA17" s="56">
        <v>0.5</v>
      </c>
      <c r="AB17" s="56">
        <v>0.5</v>
      </c>
      <c r="AC17" s="56">
        <v>0.5</v>
      </c>
      <c r="AD17" s="56">
        <v>0.5</v>
      </c>
      <c r="AE17" s="56">
        <v>0.5</v>
      </c>
      <c r="AF17" s="56">
        <v>0.5</v>
      </c>
      <c r="AG17" s="56">
        <v>0.5</v>
      </c>
      <c r="AH17" s="56">
        <v>0.5</v>
      </c>
      <c r="AI17" s="56">
        <v>0.5</v>
      </c>
      <c r="AJ17" s="56">
        <v>0.5</v>
      </c>
      <c r="AK17" s="56">
        <v>0.5</v>
      </c>
      <c r="AL17" s="56">
        <v>0.5</v>
      </c>
      <c r="AM17" s="56">
        <v>0.5</v>
      </c>
      <c r="AN17" s="56">
        <v>0.5</v>
      </c>
      <c r="AO17" s="56">
        <v>0.5</v>
      </c>
      <c r="AP17" s="56">
        <v>0.5</v>
      </c>
      <c r="AQ17" s="56">
        <v>0.5</v>
      </c>
      <c r="AR17" s="56">
        <v>0.5</v>
      </c>
      <c r="AS17" s="56">
        <v>0.5</v>
      </c>
      <c r="AT17" s="56">
        <v>0.5</v>
      </c>
      <c r="AU17" s="56">
        <v>0.5</v>
      </c>
      <c r="AV17" s="56">
        <v>0.5</v>
      </c>
      <c r="AW17" s="56">
        <v>0.5</v>
      </c>
      <c r="AX17" s="56">
        <v>0.5</v>
      </c>
      <c r="AY17" s="56">
        <v>0.5</v>
      </c>
      <c r="AZ17" s="56">
        <v>0.5</v>
      </c>
      <c r="BA17" s="56">
        <v>0.5</v>
      </c>
      <c r="BB17" s="56">
        <v>0.5</v>
      </c>
      <c r="BC17" s="56">
        <v>0.5</v>
      </c>
      <c r="BD17" s="56">
        <v>0.5</v>
      </c>
      <c r="BE17" s="56">
        <v>0.5</v>
      </c>
      <c r="BF17" s="56">
        <v>0.5</v>
      </c>
      <c r="BG17" s="56">
        <v>0.5</v>
      </c>
      <c r="BH17" s="56">
        <v>0.5</v>
      </c>
      <c r="BI17" s="56">
        <v>0.5</v>
      </c>
      <c r="BJ17" s="57">
        <v>0.5</v>
      </c>
      <c r="BK17" s="57">
        <v>0.5</v>
      </c>
      <c r="BL17" s="57">
        <v>0.5</v>
      </c>
      <c r="BM17" s="57">
        <v>0.5</v>
      </c>
      <c r="BN17" s="57">
        <v>0.5</v>
      </c>
      <c r="BO17" s="57">
        <v>0.5</v>
      </c>
      <c r="BP17" s="57">
        <v>0.5</v>
      </c>
      <c r="BQ17" s="57">
        <v>0.5</v>
      </c>
      <c r="BR17" s="57">
        <v>0.5</v>
      </c>
      <c r="BS17" s="57">
        <v>0.5</v>
      </c>
      <c r="BT17" s="69">
        <v>0.5</v>
      </c>
      <c r="BU17" s="69">
        <v>0.5</v>
      </c>
      <c r="BV17" s="69">
        <v>0.5</v>
      </c>
      <c r="BW17" s="69">
        <v>0.5</v>
      </c>
      <c r="BX17" s="69">
        <v>0.5</v>
      </c>
      <c r="BY17" s="69">
        <v>0.5</v>
      </c>
      <c r="BZ17" s="69">
        <v>0.5</v>
      </c>
      <c r="CA17" s="69">
        <v>0.5</v>
      </c>
      <c r="CB17" s="69">
        <v>0.5</v>
      </c>
      <c r="CC17" s="69">
        <v>0.5</v>
      </c>
      <c r="CD17" s="69">
        <v>0.5</v>
      </c>
      <c r="CE17" s="69">
        <v>0.5</v>
      </c>
      <c r="CF17" s="69">
        <v>0.5</v>
      </c>
      <c r="CG17" s="69">
        <v>0.5</v>
      </c>
      <c r="CH17" s="69">
        <v>0.5</v>
      </c>
      <c r="CI17" s="69">
        <v>0.5</v>
      </c>
      <c r="CJ17" s="69">
        <v>0.5</v>
      </c>
      <c r="CK17" s="69">
        <v>0.5</v>
      </c>
      <c r="CL17" s="69">
        <v>0.5</v>
      </c>
      <c r="CM17" s="69">
        <v>0.5</v>
      </c>
      <c r="CN17" s="69"/>
      <c r="CO17" s="69"/>
      <c r="CP17" s="69"/>
      <c r="CQ17" s="69"/>
      <c r="CR17" s="69"/>
      <c r="CS17" s="69"/>
      <c r="CT17" s="69"/>
    </row>
    <row r="18" spans="1:98">
      <c r="A18" s="14" t="s">
        <v>91</v>
      </c>
      <c r="B18" s="2"/>
      <c r="C18" s="2"/>
      <c r="D18" s="2"/>
      <c r="E18" s="2"/>
      <c r="F18" s="2"/>
      <c r="G18" s="2"/>
      <c r="H18" s="2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</row>
    <row r="19" spans="1:98">
      <c r="A19" t="s">
        <v>227</v>
      </c>
      <c r="B19" s="7">
        <f>Petoro!G87</f>
        <v>65</v>
      </c>
      <c r="C19" s="7">
        <f>Petoro!H87</f>
        <v>56</v>
      </c>
      <c r="D19" s="7">
        <f>Petoro!I87</f>
        <v>50.24</v>
      </c>
      <c r="E19" s="7">
        <f>Petoro!J87</f>
        <v>48.98</v>
      </c>
      <c r="F19" s="7">
        <f>Petoro!K87</f>
        <v>42.86</v>
      </c>
      <c r="G19" s="7">
        <f>Petoro!L87</f>
        <v>37.6</v>
      </c>
      <c r="H19" s="7">
        <f>Petoro!M87</f>
        <v>33.6</v>
      </c>
      <c r="I19" s="54">
        <f>Petoro!N87</f>
        <v>30.2</v>
      </c>
      <c r="J19" s="54">
        <f>Petoro!O87</f>
        <v>27.23</v>
      </c>
      <c r="K19" s="54">
        <f>Petoro!P87</f>
        <v>23.2</v>
      </c>
      <c r="L19" s="54">
        <f>Petoro!Q87</f>
        <v>21.4</v>
      </c>
      <c r="M19" s="54">
        <f>Petoro!R87</f>
        <v>19.7</v>
      </c>
      <c r="N19" s="54">
        <f>Petoro!S87</f>
        <v>18.8</v>
      </c>
      <c r="O19" s="54">
        <f>Petoro!T87</f>
        <v>18.600000000000001</v>
      </c>
      <c r="P19" s="54">
        <f>Petoro!U87</f>
        <v>19.2</v>
      </c>
      <c r="Q19" s="54">
        <f>Petoro!V87</f>
        <v>18.8</v>
      </c>
      <c r="R19" s="54">
        <f>Petoro!W87</f>
        <v>17.600000000000001</v>
      </c>
      <c r="S19" s="54">
        <f>Petoro!X87</f>
        <v>16.600000000000001</v>
      </c>
      <c r="T19" s="54">
        <f>Petoro!Y87</f>
        <v>15.17979401871</v>
      </c>
      <c r="U19" s="54">
        <f>Petoro!Z87</f>
        <v>17.441832088067201</v>
      </c>
      <c r="V19" s="54">
        <f>Petoro!AA87</f>
        <v>18.8617119748471</v>
      </c>
      <c r="W19" s="54">
        <f>Petoro!AB87</f>
        <v>17.866654979368398</v>
      </c>
      <c r="X19" s="54">
        <f>Petoro!AC87</f>
        <v>17.565510594505099</v>
      </c>
      <c r="Y19" s="54">
        <f>Petoro!AD87</f>
        <v>15.779605106785001</v>
      </c>
      <c r="Z19" s="54">
        <f>Petoro!AE87</f>
        <v>17.715409461137401</v>
      </c>
      <c r="AA19" s="54">
        <f>Petoro!AF87</f>
        <v>17.948733356118701</v>
      </c>
      <c r="AB19" s="54">
        <f>Petoro!AG87</f>
        <v>16.406326786001902</v>
      </c>
      <c r="AC19" s="54">
        <f>Petoro!AH87</f>
        <v>14.997435396197201</v>
      </c>
      <c r="AD19" s="54">
        <f>Petoro!AI87</f>
        <v>12.958050936633301</v>
      </c>
      <c r="AE19" s="54">
        <f>Petoro!AJ87</f>
        <v>12.045540162544301</v>
      </c>
      <c r="AF19" s="54">
        <f>Petoro!AK87</f>
        <v>10.966561474301001</v>
      </c>
      <c r="AG19" s="54">
        <f>Petoro!AL87</f>
        <v>10.5009920416949</v>
      </c>
      <c r="AH19" s="54">
        <f>Petoro!AM87</f>
        <v>10.3004873305721</v>
      </c>
      <c r="AI19" s="54">
        <f>Petoro!AN87</f>
        <v>10.2864274310233</v>
      </c>
      <c r="AJ19" s="54">
        <f>Petoro!AO87</f>
        <v>9.6791285506161309</v>
      </c>
      <c r="AK19" s="54">
        <f>Petoro!AP87</f>
        <v>9.4496687161925603</v>
      </c>
      <c r="AL19" s="54">
        <f>Petoro!AQ87</f>
        <v>9.1122837218698294</v>
      </c>
      <c r="AM19" s="54">
        <f>Petoro!AR87</f>
        <v>8.7858505066866304</v>
      </c>
      <c r="AN19" s="54">
        <f>Petoro!AS87</f>
        <v>8.4638827345730796</v>
      </c>
      <c r="AO19" s="54">
        <f>Petoro!AT87</f>
        <v>8.0808393575765098</v>
      </c>
      <c r="AP19" s="54">
        <f>Petoro!AU87</f>
        <v>7.31430044450103</v>
      </c>
      <c r="AQ19" s="54">
        <f>Petoro!AV87</f>
        <v>6.8727205477733504</v>
      </c>
      <c r="AR19" s="54">
        <f>Petoro!AW87</f>
        <v>6.4922563083065201</v>
      </c>
      <c r="AS19" s="54">
        <f>Petoro!AX87</f>
        <v>6.1261490056323398</v>
      </c>
      <c r="AT19" s="54">
        <f>Petoro!AY87</f>
        <v>5.7027728320658397</v>
      </c>
      <c r="AU19" s="54">
        <f>Petoro!AZ87</f>
        <v>5.4401774504109097</v>
      </c>
      <c r="AV19" s="54">
        <f>Petoro!BA87</f>
        <v>5.10735838196375</v>
      </c>
      <c r="AW19" s="54">
        <f>Petoro!BB87</f>
        <v>4.8729088021131899</v>
      </c>
      <c r="AX19" s="54">
        <f>Petoro!BC87</f>
        <v>4.9045719107574097</v>
      </c>
      <c r="AY19" s="54">
        <f>Petoro!BD87</f>
        <v>4.7034301318171297</v>
      </c>
      <c r="AZ19" s="54">
        <f>Petoro!BE87</f>
        <v>4.2268974919355502</v>
      </c>
      <c r="BA19" s="54">
        <f>Petoro!BF87</f>
        <v>4.1163055368558403</v>
      </c>
      <c r="BB19" s="54">
        <f>Petoro!BG87</f>
        <v>3.9350099730707502</v>
      </c>
      <c r="BC19" s="54">
        <f>Petoro!BH87</f>
        <v>3.8411150962348599</v>
      </c>
      <c r="BD19" s="54">
        <f>Petoro!BI87</f>
        <v>3.6831265339683599</v>
      </c>
      <c r="BE19" s="54">
        <f>Petoro!BJ87</f>
        <v>3.5752508610610501</v>
      </c>
      <c r="BF19" s="54">
        <f>Petoro!BK87</f>
        <v>3.44590341001601</v>
      </c>
      <c r="BG19" s="54">
        <f>Petoro!BL87</f>
        <v>3.3301616184760001</v>
      </c>
      <c r="BH19" s="54">
        <f>Petoro!BM87</f>
        <v>3.21559240190581</v>
      </c>
      <c r="BI19" s="54">
        <f>Petoro!BN87</f>
        <v>3.1099786548717598</v>
      </c>
      <c r="BJ19" s="55">
        <f t="shared" ref="BJ19:BS19" si="23">BJ9*($AE$19/$AE$9)</f>
        <v>4.6911180708504077</v>
      </c>
      <c r="BK19" s="55">
        <f t="shared" si="23"/>
        <v>4.8026122051594893</v>
      </c>
      <c r="BL19" s="55">
        <f t="shared" si="23"/>
        <v>4.9167562284284267</v>
      </c>
      <c r="BM19" s="55">
        <f t="shared" si="23"/>
        <v>5.0336131207551711</v>
      </c>
      <c r="BN19" s="55">
        <f t="shared" si="23"/>
        <v>5.1532473590901038</v>
      </c>
      <c r="BO19" s="55">
        <f t="shared" si="23"/>
        <v>5.2757249528118395</v>
      </c>
      <c r="BP19" s="55">
        <f t="shared" si="23"/>
        <v>5.4011134801485516</v>
      </c>
      <c r="BQ19" s="55">
        <f t="shared" si="23"/>
        <v>5.5294821254649342</v>
      </c>
      <c r="BR19" s="55">
        <f t="shared" si="23"/>
        <v>5.66090171743536</v>
      </c>
      <c r="BS19" s="55">
        <f t="shared" si="23"/>
        <v>5.7954447681243026</v>
      </c>
      <c r="BT19" s="68">
        <f t="shared" ref="BT19:CH19" si="24">BT9*($AE$19/$AE$9)</f>
        <v>5.9331855129955935</v>
      </c>
      <c r="BU19" s="68">
        <f t="shared" si="24"/>
        <v>6.074199951872572</v>
      </c>
      <c r="BV19" s="68">
        <f t="shared" si="24"/>
        <v>6.2185658908717416</v>
      </c>
      <c r="BW19" s="68">
        <f t="shared" si="24"/>
        <v>6.3663629853330708</v>
      </c>
      <c r="BX19" s="68">
        <f t="shared" si="24"/>
        <v>6.517672783770613</v>
      </c>
      <c r="BY19" s="68">
        <f t="shared" si="24"/>
        <v>6.6725787728677126</v>
      </c>
      <c r="BZ19" s="68">
        <f t="shared" si="24"/>
        <v>6.8311664235416103</v>
      </c>
      <c r="CA19" s="68">
        <f t="shared" si="24"/>
        <v>6.9935232381028696</v>
      </c>
      <c r="CB19" s="68">
        <f t="shared" si="24"/>
        <v>7.1597387985356447</v>
      </c>
      <c r="CC19" s="68">
        <f t="shared" si="24"/>
        <v>7.3299048159254321</v>
      </c>
      <c r="CD19" s="68">
        <f t="shared" si="24"/>
        <v>7.5041151810615663</v>
      </c>
      <c r="CE19" s="68">
        <f t="shared" si="24"/>
        <v>7.6824660162424045</v>
      </c>
      <c r="CF19" s="68">
        <f t="shared" si="24"/>
        <v>7.8650557283117504</v>
      </c>
      <c r="CG19" s="68">
        <f t="shared" si="24"/>
        <v>8.0519850629558114</v>
      </c>
      <c r="CH19" s="68">
        <f t="shared" si="24"/>
        <v>8.2433571602906301</v>
      </c>
      <c r="CI19" s="68">
        <f t="shared" ref="CI19:CM19" si="25">CI9*($AE$19/$AE$9)</f>
        <v>8.4392776117706667</v>
      </c>
      <c r="CJ19" s="68">
        <f t="shared" si="25"/>
        <v>8.6398545184499316</v>
      </c>
      <c r="CK19" s="68">
        <f t="shared" si="25"/>
        <v>8.8451985506278188</v>
      </c>
      <c r="CL19" s="68">
        <f t="shared" si="25"/>
        <v>9.0554230089125394</v>
      </c>
      <c r="CM19" s="68">
        <f t="shared" si="25"/>
        <v>9.2706438867358525</v>
      </c>
      <c r="CN19" s="68"/>
      <c r="CO19" s="68"/>
      <c r="CP19" s="68"/>
      <c r="CQ19" s="68"/>
      <c r="CR19" s="68"/>
      <c r="CS19" s="68"/>
      <c r="CT19" s="68"/>
    </row>
    <row r="20" spans="1:98">
      <c r="A20" t="s">
        <v>9</v>
      </c>
      <c r="B20" s="7">
        <f>Petoro!G88</f>
        <v>22</v>
      </c>
      <c r="C20" s="7">
        <f>Petoro!H88</f>
        <v>22</v>
      </c>
      <c r="D20" s="7">
        <f>Petoro!I88</f>
        <v>24</v>
      </c>
      <c r="E20" s="7">
        <f>Petoro!J88</f>
        <v>24.96</v>
      </c>
      <c r="F20" s="7">
        <f>Petoro!K88</f>
        <v>28.1</v>
      </c>
      <c r="G20" s="7">
        <f>Petoro!L88</f>
        <v>33.799999999999997</v>
      </c>
      <c r="H20" s="7">
        <f>Petoro!M88</f>
        <v>32.5</v>
      </c>
      <c r="I20" s="54">
        <f>Petoro!N88</f>
        <v>34.700000000000003</v>
      </c>
      <c r="J20" s="54">
        <f>Petoro!O88</f>
        <v>35.369999999999997</v>
      </c>
      <c r="K20" s="54">
        <f>Petoro!P88</f>
        <v>39.5</v>
      </c>
      <c r="L20" s="54">
        <f>Petoro!Q88</f>
        <v>32.9</v>
      </c>
      <c r="M20" s="54">
        <f>Petoro!R88</f>
        <v>36</v>
      </c>
      <c r="N20" s="54">
        <f>Petoro!S88</f>
        <v>36.1</v>
      </c>
      <c r="O20" s="54">
        <f>Petoro!T88</f>
        <v>35.4</v>
      </c>
      <c r="P20" s="54">
        <f>Petoro!U88</f>
        <v>36</v>
      </c>
      <c r="Q20" s="54">
        <f>Petoro!V88</f>
        <v>39</v>
      </c>
      <c r="R20" s="54">
        <f>Petoro!W88</f>
        <v>37.700000000000003</v>
      </c>
      <c r="S20" s="54">
        <f>Petoro!X88</f>
        <v>37.6</v>
      </c>
      <c r="T20" s="54">
        <f>Petoro!Y88</f>
        <v>36.539206849959498</v>
      </c>
      <c r="U20" s="54">
        <f>Petoro!Z88</f>
        <v>35.360923009788998</v>
      </c>
      <c r="V20" s="54">
        <f>Petoro!AA88</f>
        <v>36.6252644076216</v>
      </c>
      <c r="W20" s="54">
        <f>Petoro!AB88</f>
        <v>38.886194369748097</v>
      </c>
      <c r="X20" s="54">
        <f>Petoro!AC88</f>
        <v>36.426429497990199</v>
      </c>
      <c r="Y20" s="54">
        <f>Petoro!AD88</f>
        <v>38.018383910225097</v>
      </c>
      <c r="Z20" s="54">
        <f>Petoro!AE88</f>
        <v>37.862590182517899</v>
      </c>
      <c r="AA20" s="54">
        <f>Petoro!AF88</f>
        <v>39.1613073533997</v>
      </c>
      <c r="AB20" s="54">
        <f>Petoro!AG88</f>
        <v>39.333856128198498</v>
      </c>
      <c r="AC20" s="54">
        <f>Petoro!AH88</f>
        <v>38.577351947843802</v>
      </c>
      <c r="AD20" s="54">
        <f>Petoro!AI88</f>
        <v>36.484965662540098</v>
      </c>
      <c r="AE20" s="54">
        <f>Petoro!AJ88</f>
        <v>34.633923179807397</v>
      </c>
      <c r="AF20" s="54">
        <f>Petoro!AK88</f>
        <v>32.9169821696279</v>
      </c>
      <c r="AG20" s="54">
        <f>Petoro!AL88</f>
        <v>31.654231726470901</v>
      </c>
      <c r="AH20" s="54">
        <f>Petoro!AM88</f>
        <v>30.142182248972599</v>
      </c>
      <c r="AI20" s="54">
        <f>Petoro!AN88</f>
        <v>28.689060281647802</v>
      </c>
      <c r="AJ20" s="54">
        <f>Petoro!AO88</f>
        <v>26.402398676099999</v>
      </c>
      <c r="AK20" s="54">
        <f>Petoro!AP88</f>
        <v>24.8661965064118</v>
      </c>
      <c r="AL20" s="54">
        <f>Petoro!AQ88</f>
        <v>23.105524373606599</v>
      </c>
      <c r="AM20" s="54">
        <f>Petoro!AR88</f>
        <v>20.847348885411101</v>
      </c>
      <c r="AN20" s="54">
        <f>Petoro!AS88</f>
        <v>18.505079270031601</v>
      </c>
      <c r="AO20" s="54">
        <f>Petoro!AT88</f>
        <v>17.050676276115901</v>
      </c>
      <c r="AP20" s="54">
        <f>Petoro!AU88</f>
        <v>15.1118646784121</v>
      </c>
      <c r="AQ20" s="54">
        <f>Petoro!AV88</f>
        <v>14.0305911530725</v>
      </c>
      <c r="AR20" s="54">
        <f>Petoro!AW88</f>
        <v>12.876075672840599</v>
      </c>
      <c r="AS20" s="54">
        <f>Petoro!AX88</f>
        <v>11.8463748289468</v>
      </c>
      <c r="AT20" s="54">
        <f>Petoro!AY88</f>
        <v>10.6423861360147</v>
      </c>
      <c r="AU20" s="54">
        <f>Petoro!AZ88</f>
        <v>9.4441902557953608</v>
      </c>
      <c r="AV20" s="54">
        <f>Petoro!BA88</f>
        <v>8.4529570867624404</v>
      </c>
      <c r="AW20" s="54">
        <f>Petoro!BB88</f>
        <v>7.5951746797779203</v>
      </c>
      <c r="AX20" s="54">
        <f>Petoro!BC88</f>
        <v>6.7412078447125801</v>
      </c>
      <c r="AY20" s="54">
        <f>Petoro!BD88</f>
        <v>5.7171618715822197</v>
      </c>
      <c r="AZ20" s="54">
        <f>Petoro!BE88</f>
        <v>4.7713374122641801</v>
      </c>
      <c r="BA20" s="54">
        <f>Petoro!BF88</f>
        <v>4.2277512666637698</v>
      </c>
      <c r="BB20" s="54">
        <f>Petoro!BG88</f>
        <v>3.94321807045434</v>
      </c>
      <c r="BC20" s="54">
        <f>Petoro!BH88</f>
        <v>3.8133477942004301</v>
      </c>
      <c r="BD20" s="54">
        <f>Petoro!BI88</f>
        <v>3.7369100285392101</v>
      </c>
      <c r="BE20" s="54">
        <f>Petoro!BJ88</f>
        <v>3.63207035960346</v>
      </c>
      <c r="BF20" s="54">
        <f>Petoro!BK88</f>
        <v>3.5309486511510002</v>
      </c>
      <c r="BG20" s="54">
        <f>Petoro!BL88</f>
        <v>3.4052873410778202</v>
      </c>
      <c r="BH20" s="54">
        <f>Petoro!BM88</f>
        <v>3.30914498029765</v>
      </c>
      <c r="BI20" s="54">
        <f>Petoro!BN88</f>
        <v>3.2076142937102801</v>
      </c>
      <c r="BJ20" s="55">
        <f t="shared" ref="BJ20:BS20" si="26">BJ10*($AE$20/$AE$10)</f>
        <v>10.855956388377761</v>
      </c>
      <c r="BK20" s="55">
        <f t="shared" si="26"/>
        <v>10.952992842626609</v>
      </c>
      <c r="BL20" s="55">
        <f t="shared" si="26"/>
        <v>11.050896661584408</v>
      </c>
      <c r="BM20" s="55">
        <f t="shared" si="26"/>
        <v>11.149675598229605</v>
      </c>
      <c r="BN20" s="55">
        <f t="shared" si="26"/>
        <v>11.249337474840992</v>
      </c>
      <c r="BO20" s="55">
        <f t="shared" si="26"/>
        <v>11.349890183617154</v>
      </c>
      <c r="BP20" s="55">
        <f t="shared" si="26"/>
        <v>11.451341687301445</v>
      </c>
      <c r="BQ20" s="55">
        <f t="shared" si="26"/>
        <v>11.553700019812563</v>
      </c>
      <c r="BR20" s="55">
        <f t="shared" si="26"/>
        <v>11.656973286880744</v>
      </c>
      <c r="BS20" s="55">
        <f t="shared" si="26"/>
        <v>11.761169666689661</v>
      </c>
      <c r="BT20" s="68">
        <f t="shared" ref="BT20:CH20" si="27">BT10*($AE$20/$AE$10)</f>
        <v>11.86629741052405</v>
      </c>
      <c r="BU20" s="68">
        <f t="shared" si="27"/>
        <v>11.972364843423126</v>
      </c>
      <c r="BV20" s="68">
        <f t="shared" si="27"/>
        <v>12.079380364839839</v>
      </c>
      <c r="BW20" s="68">
        <f t="shared" si="27"/>
        <v>12.187352449306031</v>
      </c>
      <c r="BX20" s="68">
        <f t="shared" si="27"/>
        <v>12.296289647103524</v>
      </c>
      <c r="BY20" s="68">
        <f t="shared" si="27"/>
        <v>12.406200584941223</v>
      </c>
      <c r="BZ20" s="68">
        <f t="shared" si="27"/>
        <v>12.517093966638249</v>
      </c>
      <c r="CA20" s="68">
        <f t="shared" si="27"/>
        <v>12.628978573813217</v>
      </c>
      <c r="CB20" s="68">
        <f t="shared" si="27"/>
        <v>12.741863266579623</v>
      </c>
      <c r="CC20" s="68">
        <f t="shared" si="27"/>
        <v>12.855756984247485</v>
      </c>
      <c r="CD20" s="68">
        <f t="shared" si="27"/>
        <v>12.970668746031253</v>
      </c>
      <c r="CE20" s="68">
        <f t="shared" si="27"/>
        <v>13.086607651764027</v>
      </c>
      <c r="CF20" s="68">
        <f t="shared" si="27"/>
        <v>13.203582882618171</v>
      </c>
      <c r="CG20" s="68">
        <f t="shared" si="27"/>
        <v>13.321603701832379</v>
      </c>
      <c r="CH20" s="68">
        <f t="shared" si="27"/>
        <v>13.440679455445213</v>
      </c>
      <c r="CI20" s="68">
        <f t="shared" ref="CI20:CM20" si="28">CI10*($AE$20/$AE$10)</f>
        <v>13.560819573035225</v>
      </c>
      <c r="CJ20" s="68">
        <f t="shared" si="28"/>
        <v>13.682033568467677</v>
      </c>
      <c r="CK20" s="68">
        <f t="shared" si="28"/>
        <v>13.804331040647943</v>
      </c>
      <c r="CL20" s="68">
        <f t="shared" si="28"/>
        <v>13.927721674281647</v>
      </c>
      <c r="CM20" s="68">
        <f t="shared" si="28"/>
        <v>14.052215240641587</v>
      </c>
      <c r="CN20" s="68"/>
      <c r="CO20" s="68"/>
      <c r="CP20" s="68"/>
      <c r="CQ20" s="68"/>
      <c r="CR20" s="68"/>
      <c r="CS20" s="68"/>
      <c r="CT20" s="68"/>
    </row>
    <row r="21" spans="1:98" ht="13.5" thickBot="1">
      <c r="A21" s="9" t="s">
        <v>10</v>
      </c>
      <c r="B21" s="18">
        <f>Petoro!G89</f>
        <v>3.8</v>
      </c>
      <c r="C21" s="18">
        <f>Petoro!H89</f>
        <v>3.9</v>
      </c>
      <c r="D21" s="18">
        <f>Petoro!I89</f>
        <v>4.3899999999999997</v>
      </c>
      <c r="E21" s="18">
        <f>Petoro!J89</f>
        <v>4.22</v>
      </c>
      <c r="F21" s="18">
        <f>Petoro!K89</f>
        <v>4.49</v>
      </c>
      <c r="G21" s="18">
        <f>Petoro!L89</f>
        <v>5.4</v>
      </c>
      <c r="H21" s="18">
        <f>Petoro!M89</f>
        <v>4</v>
      </c>
      <c r="I21" s="60">
        <f>Petoro!N89</f>
        <v>4</v>
      </c>
      <c r="J21" s="60">
        <f>Petoro!O89</f>
        <v>4.7319999999999993</v>
      </c>
      <c r="K21" s="60">
        <f>Petoro!P89</f>
        <v>4.5999999999999996</v>
      </c>
      <c r="L21" s="60">
        <f>Petoro!Q89</f>
        <v>4.8</v>
      </c>
      <c r="M21" s="60">
        <f>Petoro!R89</f>
        <v>5.4</v>
      </c>
      <c r="N21" s="60">
        <f>Petoro!S89</f>
        <v>4.8</v>
      </c>
      <c r="O21" s="60">
        <f>Petoro!T89</f>
        <v>5.6</v>
      </c>
      <c r="P21" s="60">
        <f>Petoro!U89</f>
        <v>5.2</v>
      </c>
      <c r="Q21" s="60">
        <f>Petoro!V89</f>
        <v>5.2</v>
      </c>
      <c r="R21" s="60">
        <f>Petoro!W89</f>
        <v>4.8</v>
      </c>
      <c r="S21" s="60">
        <f>Petoro!X89</f>
        <v>4.9000000000000004</v>
      </c>
      <c r="T21" s="60">
        <f>Petoro!Y89</f>
        <v>4.5944199052488797</v>
      </c>
      <c r="U21" s="60">
        <f>Petoro!Z89</f>
        <v>4.2099223663668202</v>
      </c>
      <c r="V21" s="60">
        <f>Petoro!AA89</f>
        <v>3.4439169496601498</v>
      </c>
      <c r="W21" s="60">
        <f>Petoro!AB89</f>
        <v>2.8218265470211601</v>
      </c>
      <c r="X21" s="60">
        <f>Petoro!AC89</f>
        <v>2.94970163711888</v>
      </c>
      <c r="Y21" s="60">
        <f>Petoro!AD89</f>
        <v>3.0887218132085201</v>
      </c>
      <c r="Z21" s="60">
        <f>Petoro!AE89</f>
        <v>2.6109751059272299</v>
      </c>
      <c r="AA21" s="60">
        <f>Petoro!AF89</f>
        <v>2.6784610615751698</v>
      </c>
      <c r="AB21" s="60">
        <f>Petoro!AG89</f>
        <v>2.55724857746441</v>
      </c>
      <c r="AC21" s="60">
        <f>Petoro!AH89</f>
        <v>2.2439141052249201</v>
      </c>
      <c r="AD21" s="60">
        <f>Petoro!AI89</f>
        <v>2.1310550557230301</v>
      </c>
      <c r="AE21" s="60">
        <f>Petoro!AJ89</f>
        <v>2.03062163428035</v>
      </c>
      <c r="AF21" s="60">
        <f>Petoro!AK89</f>
        <v>2.08111380897367</v>
      </c>
      <c r="AG21" s="60">
        <f>Petoro!AL89</f>
        <v>2.12029767962464</v>
      </c>
      <c r="AH21" s="60">
        <f>Petoro!AM89</f>
        <v>1.89351660754427</v>
      </c>
      <c r="AI21" s="60">
        <f>Petoro!AN89</f>
        <v>1.5587772553822601</v>
      </c>
      <c r="AJ21" s="60">
        <f>Petoro!AO89</f>
        <v>1.28899444984066</v>
      </c>
      <c r="AK21" s="60">
        <f>Petoro!AP89</f>
        <v>1.25277438513499</v>
      </c>
      <c r="AL21" s="60">
        <f>Petoro!AQ89</f>
        <v>1.2042176800889299</v>
      </c>
      <c r="AM21" s="60">
        <f>Petoro!AR89</f>
        <v>1.1308098557425199</v>
      </c>
      <c r="AN21" s="60">
        <f>Petoro!AS89</f>
        <v>1.0535176135845199</v>
      </c>
      <c r="AO21" s="60">
        <f>Petoro!AT89</f>
        <v>0.99043305597811904</v>
      </c>
      <c r="AP21" s="60">
        <f>Petoro!AU89</f>
        <v>0.956173527509107</v>
      </c>
      <c r="AQ21" s="60">
        <f>Petoro!AV89</f>
        <v>0.93486634503972998</v>
      </c>
      <c r="AR21" s="60">
        <f>Petoro!AW89</f>
        <v>0.89191726094153301</v>
      </c>
      <c r="AS21" s="60">
        <f>Petoro!AX89</f>
        <v>0.836238567807427</v>
      </c>
      <c r="AT21" s="60">
        <f>Petoro!AY89</f>
        <v>0.79189874229304202</v>
      </c>
      <c r="AU21" s="60">
        <f>Petoro!AZ89</f>
        <v>0.74843053139294302</v>
      </c>
      <c r="AV21" s="60">
        <f>Petoro!BA89</f>
        <v>0.68171574946491498</v>
      </c>
      <c r="AW21" s="60">
        <f>Petoro!BB89</f>
        <v>0.64024244677818898</v>
      </c>
      <c r="AX21" s="60">
        <f>Petoro!BC89</f>
        <v>0.58420278215319699</v>
      </c>
      <c r="AY21" s="60">
        <f>Petoro!BD89</f>
        <v>0.498316300458295</v>
      </c>
      <c r="AZ21" s="60">
        <f>Petoro!BE89</f>
        <v>0.43535389866207203</v>
      </c>
      <c r="BA21" s="60">
        <f>Petoro!BF89</f>
        <v>0.39573997977291903</v>
      </c>
      <c r="BB21" s="60">
        <f>Petoro!BG89</f>
        <v>0.34309183200411902</v>
      </c>
      <c r="BC21" s="60">
        <f>Petoro!BH89</f>
        <v>0.29034667991643298</v>
      </c>
      <c r="BD21" s="60">
        <f>Petoro!BI89</f>
        <v>0.246364635941695</v>
      </c>
      <c r="BE21" s="60">
        <f>Petoro!BJ89</f>
        <v>0.185503695194702</v>
      </c>
      <c r="BF21" s="60">
        <f>Petoro!BK89</f>
        <v>0.13620385428874199</v>
      </c>
      <c r="BG21" s="60">
        <f>Petoro!BL89</f>
        <v>7.9059315487970905E-2</v>
      </c>
      <c r="BH21" s="60">
        <f>Petoro!BM89</f>
        <v>2.5807919642889299E-2</v>
      </c>
      <c r="BI21" s="60">
        <f>Petoro!BN89</f>
        <v>1.9557774152360201E-9</v>
      </c>
      <c r="BJ21" s="61">
        <f t="shared" ref="BJ21:BS21" si="29">BJ11*($AE$21/$AE$11)</f>
        <v>1.4440902804293887E-2</v>
      </c>
      <c r="BK21" s="61">
        <f t="shared" si="29"/>
        <v>3.1604243591609169E-2</v>
      </c>
      <c r="BL21" s="61">
        <f t="shared" si="29"/>
        <v>6.9166604507633386E-2</v>
      </c>
      <c r="BM21" s="61">
        <f t="shared" si="29"/>
        <v>0.15137268402732834</v>
      </c>
      <c r="BN21" s="61">
        <f t="shared" si="29"/>
        <v>0.33128255511095062</v>
      </c>
      <c r="BO21" s="61">
        <f t="shared" si="29"/>
        <v>0.72501939188068087</v>
      </c>
      <c r="BP21" s="61">
        <f t="shared" si="29"/>
        <v>1.586721396866142</v>
      </c>
      <c r="BQ21" s="61">
        <f t="shared" si="29"/>
        <v>3.4725757951687801</v>
      </c>
      <c r="BR21" s="61">
        <f t="shared" si="29"/>
        <v>7.5998109542159158</v>
      </c>
      <c r="BS21" s="61">
        <f t="shared" si="29"/>
        <v>16.632358786862138</v>
      </c>
      <c r="BT21" s="71">
        <f t="shared" ref="BT21:CH21" si="30">BT11*($AE$21/$AE$11)</f>
        <v>36.400294754891185</v>
      </c>
      <c r="BU21" s="71">
        <f t="shared" si="30"/>
        <v>79.662871347481897</v>
      </c>
      <c r="BV21" s="71">
        <f t="shared" si="30"/>
        <v>174.34400226862732</v>
      </c>
      <c r="BW21" s="71">
        <f t="shared" si="30"/>
        <v>381.5558065244648</v>
      </c>
      <c r="BX21" s="71">
        <f t="shared" si="30"/>
        <v>835.04354378775417</v>
      </c>
      <c r="BY21" s="71">
        <f t="shared" si="30"/>
        <v>1827.5117508319222</v>
      </c>
      <c r="BZ21" s="71">
        <f t="shared" si="30"/>
        <v>3999.550950695867</v>
      </c>
      <c r="CA21" s="71">
        <f t="shared" si="30"/>
        <v>8753.1080442740295</v>
      </c>
      <c r="CB21" s="71">
        <f t="shared" si="30"/>
        <v>19156.375647972287</v>
      </c>
      <c r="CC21" s="71">
        <f t="shared" si="30"/>
        <v>41924.162949900085</v>
      </c>
      <c r="CD21" s="71">
        <f t="shared" si="30"/>
        <v>91751.982282505618</v>
      </c>
      <c r="CE21" s="71">
        <f t="shared" si="30"/>
        <v>200801.29596932803</v>
      </c>
      <c r="CF21" s="71">
        <f t="shared" si="30"/>
        <v>439458.19436153723</v>
      </c>
      <c r="CG21" s="71">
        <f t="shared" si="30"/>
        <v>961764.23393702507</v>
      </c>
      <c r="CH21" s="71">
        <f t="shared" si="30"/>
        <v>2104842.8577474509</v>
      </c>
      <c r="CI21" s="71">
        <f t="shared" ref="CI21:CM21" si="31">CI11*($AE$21/$AE$11)</f>
        <v>4606496.3735182425</v>
      </c>
      <c r="CJ21" s="71">
        <f t="shared" si="31"/>
        <v>10081421.879610347</v>
      </c>
      <c r="CK21" s="71">
        <f t="shared" si="31"/>
        <v>22063420.62895444</v>
      </c>
      <c r="CL21" s="71">
        <f t="shared" si="31"/>
        <v>48286296.879878931</v>
      </c>
      <c r="CM21" s="71">
        <f t="shared" si="31"/>
        <v>105675656.80690631</v>
      </c>
      <c r="CN21" s="71"/>
      <c r="CO21" s="71"/>
      <c r="CP21" s="71"/>
      <c r="CQ21" s="71"/>
      <c r="CR21" s="71"/>
      <c r="CS21" s="71"/>
      <c r="CT21" s="71"/>
    </row>
    <row r="22" spans="1:98">
      <c r="B22" s="6"/>
      <c r="C22" s="6"/>
      <c r="D22" s="6"/>
      <c r="E22" s="6"/>
      <c r="F22" s="6"/>
      <c r="G22" s="6"/>
      <c r="H22" s="6"/>
      <c r="I22" s="54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</row>
    <row r="23" spans="1:98" ht="13.5" thickBot="1">
      <c r="A23" s="9"/>
      <c r="B23" s="10"/>
      <c r="C23" s="10"/>
      <c r="D23" s="10"/>
      <c r="E23" s="10"/>
      <c r="F23" s="10"/>
      <c r="G23" s="6"/>
      <c r="H23" s="6"/>
      <c r="I23" s="54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</row>
    <row r="24" spans="1:98" ht="13.5" thickBot="1">
      <c r="A24" s="12" t="s">
        <v>92</v>
      </c>
      <c r="B24" s="9"/>
      <c r="C24" s="9"/>
      <c r="D24" s="9"/>
      <c r="E24" s="9"/>
      <c r="F24" s="9"/>
      <c r="G24" s="9"/>
      <c r="H24" s="9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</row>
    <row r="25" spans="1:98">
      <c r="A25" t="s">
        <v>180</v>
      </c>
      <c r="B25" s="13">
        <f>B4/B2-1</f>
        <v>0</v>
      </c>
      <c r="C25" s="13">
        <f>C4/C2-1</f>
        <v>0</v>
      </c>
      <c r="D25" s="13">
        <f>D4/D2-1</f>
        <v>0</v>
      </c>
      <c r="E25" s="13">
        <f>E4/E2-1</f>
        <v>0</v>
      </c>
      <c r="F25" s="13">
        <f>F4/F2-1</f>
        <v>0</v>
      </c>
      <c r="G25" s="13">
        <f t="shared" ref="G25:V25" si="32">G4/G2-1</f>
        <v>0</v>
      </c>
      <c r="H25" s="13">
        <f t="shared" si="32"/>
        <v>0</v>
      </c>
      <c r="I25" s="63">
        <f t="shared" si="32"/>
        <v>0</v>
      </c>
      <c r="J25" s="63">
        <f t="shared" si="32"/>
        <v>0</v>
      </c>
      <c r="K25" s="63">
        <f t="shared" si="32"/>
        <v>0</v>
      </c>
      <c r="L25" s="63">
        <f t="shared" si="32"/>
        <v>0</v>
      </c>
      <c r="M25" s="63">
        <f t="shared" si="32"/>
        <v>0</v>
      </c>
      <c r="N25" s="63">
        <f t="shared" si="32"/>
        <v>0</v>
      </c>
      <c r="O25" s="63">
        <f t="shared" si="32"/>
        <v>0</v>
      </c>
      <c r="P25" s="63">
        <f t="shared" si="32"/>
        <v>0</v>
      </c>
      <c r="Q25" s="63">
        <f t="shared" si="32"/>
        <v>0</v>
      </c>
      <c r="R25" s="63">
        <f t="shared" si="32"/>
        <v>0</v>
      </c>
      <c r="S25" s="63">
        <f t="shared" si="32"/>
        <v>0</v>
      </c>
      <c r="T25" s="63">
        <f t="shared" si="32"/>
        <v>0</v>
      </c>
      <c r="U25" s="63">
        <f t="shared" si="32"/>
        <v>0</v>
      </c>
      <c r="V25" s="63">
        <f t="shared" si="32"/>
        <v>0</v>
      </c>
      <c r="W25" s="63">
        <f t="shared" ref="W25:AE25" si="33">W4/W2-1</f>
        <v>0</v>
      </c>
      <c r="X25" s="63">
        <f t="shared" si="33"/>
        <v>0</v>
      </c>
      <c r="Y25" s="63">
        <f t="shared" si="33"/>
        <v>0</v>
      </c>
      <c r="Z25" s="63">
        <f t="shared" si="33"/>
        <v>0</v>
      </c>
      <c r="AA25" s="63">
        <f t="shared" si="33"/>
        <v>0</v>
      </c>
      <c r="AB25" s="63">
        <f t="shared" si="33"/>
        <v>0</v>
      </c>
      <c r="AC25" s="63">
        <f t="shared" si="33"/>
        <v>0</v>
      </c>
      <c r="AD25" s="63">
        <f t="shared" si="33"/>
        <v>0</v>
      </c>
      <c r="AE25" s="63">
        <f t="shared" si="33"/>
        <v>0</v>
      </c>
      <c r="AF25" s="63">
        <f t="shared" ref="AF25:AY25" si="34">AF4/AF2-1</f>
        <v>0</v>
      </c>
      <c r="AG25" s="63">
        <f t="shared" si="34"/>
        <v>0</v>
      </c>
      <c r="AH25" s="63">
        <f t="shared" si="34"/>
        <v>0</v>
      </c>
      <c r="AI25" s="63">
        <f t="shared" si="34"/>
        <v>0</v>
      </c>
      <c r="AJ25" s="63">
        <f t="shared" si="34"/>
        <v>0</v>
      </c>
      <c r="AK25" s="63">
        <f t="shared" si="34"/>
        <v>0</v>
      </c>
      <c r="AL25" s="63">
        <f t="shared" si="34"/>
        <v>0</v>
      </c>
      <c r="AM25" s="63">
        <f t="shared" si="34"/>
        <v>0</v>
      </c>
      <c r="AN25" s="63">
        <f t="shared" si="34"/>
        <v>0</v>
      </c>
      <c r="AO25" s="63">
        <f t="shared" si="34"/>
        <v>0</v>
      </c>
      <c r="AP25" s="63">
        <f t="shared" si="34"/>
        <v>0</v>
      </c>
      <c r="AQ25" s="63">
        <f t="shared" si="34"/>
        <v>0</v>
      </c>
      <c r="AR25" s="63">
        <f t="shared" si="34"/>
        <v>0</v>
      </c>
      <c r="AS25" s="63">
        <f t="shared" si="34"/>
        <v>0</v>
      </c>
      <c r="AT25" s="63">
        <f t="shared" si="34"/>
        <v>0</v>
      </c>
      <c r="AU25" s="63">
        <f t="shared" si="34"/>
        <v>0</v>
      </c>
      <c r="AV25" s="63">
        <f t="shared" si="34"/>
        <v>0</v>
      </c>
      <c r="AW25" s="63">
        <f t="shared" si="34"/>
        <v>0</v>
      </c>
      <c r="AX25" s="63">
        <f t="shared" si="34"/>
        <v>0</v>
      </c>
      <c r="AY25" s="63">
        <f t="shared" si="34"/>
        <v>0</v>
      </c>
      <c r="AZ25" s="63">
        <f t="shared" ref="AZ25:BI25" si="35">AZ4/AZ2-1</f>
        <v>0</v>
      </c>
      <c r="BA25" s="63">
        <f t="shared" si="35"/>
        <v>0</v>
      </c>
      <c r="BB25" s="63">
        <f t="shared" si="35"/>
        <v>0</v>
      </c>
      <c r="BC25" s="63">
        <f t="shared" si="35"/>
        <v>0</v>
      </c>
      <c r="BD25" s="63">
        <f t="shared" si="35"/>
        <v>0</v>
      </c>
      <c r="BE25" s="63">
        <f t="shared" si="35"/>
        <v>0</v>
      </c>
      <c r="BF25" s="63">
        <f t="shared" si="35"/>
        <v>0</v>
      </c>
      <c r="BG25" s="63">
        <f t="shared" si="35"/>
        <v>0</v>
      </c>
      <c r="BH25" s="63">
        <f t="shared" si="35"/>
        <v>0</v>
      </c>
      <c r="BI25" s="63">
        <f t="shared" si="35"/>
        <v>0</v>
      </c>
      <c r="BJ25" s="64">
        <f t="shared" ref="BJ25:BS25" si="36">BJ4/BJ2-1</f>
        <v>0</v>
      </c>
      <c r="BK25" s="64">
        <f t="shared" si="36"/>
        <v>0</v>
      </c>
      <c r="BL25" s="64">
        <f t="shared" si="36"/>
        <v>0</v>
      </c>
      <c r="BM25" s="64">
        <f t="shared" si="36"/>
        <v>0</v>
      </c>
      <c r="BN25" s="64">
        <f t="shared" si="36"/>
        <v>0</v>
      </c>
      <c r="BO25" s="64">
        <f t="shared" si="36"/>
        <v>0</v>
      </c>
      <c r="BP25" s="64">
        <f t="shared" si="36"/>
        <v>0</v>
      </c>
      <c r="BQ25" s="64">
        <f t="shared" si="36"/>
        <v>0</v>
      </c>
      <c r="BR25" s="64">
        <f t="shared" si="36"/>
        <v>0</v>
      </c>
      <c r="BS25" s="64">
        <f t="shared" si="36"/>
        <v>0</v>
      </c>
      <c r="BT25" s="72">
        <f t="shared" ref="BT25:CH25" si="37">BT4/BT2-1</f>
        <v>0</v>
      </c>
      <c r="BU25" s="72">
        <f t="shared" si="37"/>
        <v>0</v>
      </c>
      <c r="BV25" s="72">
        <f t="shared" si="37"/>
        <v>0</v>
      </c>
      <c r="BW25" s="72">
        <f t="shared" si="37"/>
        <v>0</v>
      </c>
      <c r="BX25" s="72">
        <f t="shared" si="37"/>
        <v>0</v>
      </c>
      <c r="BY25" s="72">
        <f t="shared" si="37"/>
        <v>0</v>
      </c>
      <c r="BZ25" s="72">
        <f t="shared" si="37"/>
        <v>0</v>
      </c>
      <c r="CA25" s="72">
        <f t="shared" si="37"/>
        <v>0</v>
      </c>
      <c r="CB25" s="72">
        <f t="shared" si="37"/>
        <v>0</v>
      </c>
      <c r="CC25" s="72">
        <f t="shared" si="37"/>
        <v>0</v>
      </c>
      <c r="CD25" s="72">
        <f t="shared" si="37"/>
        <v>0</v>
      </c>
      <c r="CE25" s="72">
        <f t="shared" si="37"/>
        <v>0</v>
      </c>
      <c r="CF25" s="72">
        <f t="shared" si="37"/>
        <v>0</v>
      </c>
      <c r="CG25" s="72">
        <f t="shared" si="37"/>
        <v>0</v>
      </c>
      <c r="CH25" s="72">
        <f t="shared" si="37"/>
        <v>0</v>
      </c>
      <c r="CI25" s="72">
        <f t="shared" ref="CI25:CM25" si="38">CI4/CI2-1</f>
        <v>0</v>
      </c>
      <c r="CJ25" s="72">
        <f t="shared" si="38"/>
        <v>0</v>
      </c>
      <c r="CK25" s="72">
        <f t="shared" si="38"/>
        <v>0</v>
      </c>
      <c r="CL25" s="72">
        <f t="shared" si="38"/>
        <v>0</v>
      </c>
      <c r="CM25" s="72">
        <f t="shared" si="38"/>
        <v>0</v>
      </c>
      <c r="CN25" s="72"/>
      <c r="CO25" s="72"/>
      <c r="CP25" s="72"/>
      <c r="CQ25" s="72"/>
      <c r="CR25" s="72"/>
      <c r="CS25" s="72"/>
      <c r="CT25" s="72"/>
    </row>
    <row r="26" spans="1:98">
      <c r="A26" t="s">
        <v>106</v>
      </c>
      <c r="B26" s="13">
        <f>B25*B17</f>
        <v>0</v>
      </c>
      <c r="C26" s="13">
        <f>B25*B17+C25*C17</f>
        <v>0</v>
      </c>
      <c r="D26" s="13">
        <f>C25*C17+D25*D17</f>
        <v>0</v>
      </c>
      <c r="E26" s="13">
        <f>D25*D17+E25*E17</f>
        <v>0</v>
      </c>
      <c r="F26" s="13">
        <f>E25*E17+F25*F17</f>
        <v>0</v>
      </c>
      <c r="G26" s="13">
        <f t="shared" ref="G26:V26" si="39">F25*F17+G25*G17</f>
        <v>0</v>
      </c>
      <c r="H26" s="13">
        <f t="shared" si="39"/>
        <v>0</v>
      </c>
      <c r="I26" s="63">
        <f t="shared" si="39"/>
        <v>0</v>
      </c>
      <c r="J26" s="63">
        <f>I25*I17+J25*J17</f>
        <v>0</v>
      </c>
      <c r="K26" s="63">
        <f t="shared" si="39"/>
        <v>0</v>
      </c>
      <c r="L26" s="63">
        <f t="shared" si="39"/>
        <v>0</v>
      </c>
      <c r="M26" s="63">
        <f t="shared" si="39"/>
        <v>0</v>
      </c>
      <c r="N26" s="63">
        <f t="shared" si="39"/>
        <v>0</v>
      </c>
      <c r="O26" s="63">
        <f t="shared" si="39"/>
        <v>0</v>
      </c>
      <c r="P26" s="63">
        <f t="shared" si="39"/>
        <v>0</v>
      </c>
      <c r="Q26" s="63">
        <f t="shared" si="39"/>
        <v>0</v>
      </c>
      <c r="R26" s="63">
        <f t="shared" si="39"/>
        <v>0</v>
      </c>
      <c r="S26" s="63">
        <f t="shared" si="39"/>
        <v>0</v>
      </c>
      <c r="T26" s="63">
        <f t="shared" si="39"/>
        <v>0</v>
      </c>
      <c r="U26" s="63">
        <f t="shared" si="39"/>
        <v>0</v>
      </c>
      <c r="V26" s="63">
        <f t="shared" si="39"/>
        <v>0</v>
      </c>
      <c r="W26" s="63">
        <f t="shared" ref="W26:AE26" si="40">V25*V17+W25*W17</f>
        <v>0</v>
      </c>
      <c r="X26" s="63">
        <f t="shared" si="40"/>
        <v>0</v>
      </c>
      <c r="Y26" s="63">
        <f t="shared" si="40"/>
        <v>0</v>
      </c>
      <c r="Z26" s="63">
        <f t="shared" si="40"/>
        <v>0</v>
      </c>
      <c r="AA26" s="63">
        <f t="shared" si="40"/>
        <v>0</v>
      </c>
      <c r="AB26" s="63">
        <f t="shared" si="40"/>
        <v>0</v>
      </c>
      <c r="AC26" s="63">
        <f t="shared" si="40"/>
        <v>0</v>
      </c>
      <c r="AD26" s="63">
        <f t="shared" si="40"/>
        <v>0</v>
      </c>
      <c r="AE26" s="63">
        <f t="shared" si="40"/>
        <v>0</v>
      </c>
      <c r="AF26" s="63">
        <f t="shared" ref="AF26:AY26" si="41">AE25*AE17+AF25*AF17</f>
        <v>0</v>
      </c>
      <c r="AG26" s="63">
        <f t="shared" si="41"/>
        <v>0</v>
      </c>
      <c r="AH26" s="63">
        <f t="shared" si="41"/>
        <v>0</v>
      </c>
      <c r="AI26" s="63">
        <f t="shared" si="41"/>
        <v>0</v>
      </c>
      <c r="AJ26" s="63">
        <f t="shared" si="41"/>
        <v>0</v>
      </c>
      <c r="AK26" s="63">
        <f t="shared" si="41"/>
        <v>0</v>
      </c>
      <c r="AL26" s="63">
        <f t="shared" si="41"/>
        <v>0</v>
      </c>
      <c r="AM26" s="63">
        <f t="shared" si="41"/>
        <v>0</v>
      </c>
      <c r="AN26" s="63">
        <f t="shared" si="41"/>
        <v>0</v>
      </c>
      <c r="AO26" s="63">
        <f t="shared" si="41"/>
        <v>0</v>
      </c>
      <c r="AP26" s="63">
        <f t="shared" si="41"/>
        <v>0</v>
      </c>
      <c r="AQ26" s="63">
        <f t="shared" si="41"/>
        <v>0</v>
      </c>
      <c r="AR26" s="63">
        <f t="shared" si="41"/>
        <v>0</v>
      </c>
      <c r="AS26" s="63">
        <f t="shared" si="41"/>
        <v>0</v>
      </c>
      <c r="AT26" s="63">
        <f t="shared" si="41"/>
        <v>0</v>
      </c>
      <c r="AU26" s="63">
        <f t="shared" si="41"/>
        <v>0</v>
      </c>
      <c r="AV26" s="63">
        <f t="shared" si="41"/>
        <v>0</v>
      </c>
      <c r="AW26" s="63">
        <f t="shared" si="41"/>
        <v>0</v>
      </c>
      <c r="AX26" s="63">
        <f t="shared" si="41"/>
        <v>0</v>
      </c>
      <c r="AY26" s="63">
        <f t="shared" si="41"/>
        <v>0</v>
      </c>
      <c r="AZ26" s="63">
        <f t="shared" ref="AZ26" si="42">AY25*AY17+AZ25*AZ17</f>
        <v>0</v>
      </c>
      <c r="BA26" s="63">
        <f t="shared" ref="BA26" si="43">AZ25*AZ17+BA25*BA17</f>
        <v>0</v>
      </c>
      <c r="BB26" s="63">
        <f t="shared" ref="BB26" si="44">BA25*BA17+BB25*BB17</f>
        <v>0</v>
      </c>
      <c r="BC26" s="63">
        <f t="shared" ref="BC26" si="45">BB25*BB17+BC25*BC17</f>
        <v>0</v>
      </c>
      <c r="BD26" s="63">
        <f t="shared" ref="BD26" si="46">BC25*BC17+BD25*BD17</f>
        <v>0</v>
      </c>
      <c r="BE26" s="63">
        <f t="shared" ref="BE26" si="47">BD25*BD17+BE25*BE17</f>
        <v>0</v>
      </c>
      <c r="BF26" s="63">
        <f t="shared" ref="BF26" si="48">BE25*BE17+BF25*BF17</f>
        <v>0</v>
      </c>
      <c r="BG26" s="63">
        <f t="shared" ref="BG26" si="49">BF25*BF17+BG25*BG17</f>
        <v>0</v>
      </c>
      <c r="BH26" s="63">
        <f t="shared" ref="BH26" si="50">BG25*BG17+BH25*BH17</f>
        <v>0</v>
      </c>
      <c r="BI26" s="63">
        <f t="shared" ref="BI26" si="51">BH25*BH17+BI25*BI17</f>
        <v>0</v>
      </c>
      <c r="BJ26" s="64">
        <f t="shared" ref="BJ26:BS26" si="52">BI25*BI17+BJ25*BJ17</f>
        <v>0</v>
      </c>
      <c r="BK26" s="64">
        <f t="shared" si="52"/>
        <v>0</v>
      </c>
      <c r="BL26" s="64">
        <f t="shared" si="52"/>
        <v>0</v>
      </c>
      <c r="BM26" s="64">
        <f t="shared" si="52"/>
        <v>0</v>
      </c>
      <c r="BN26" s="64">
        <f t="shared" si="52"/>
        <v>0</v>
      </c>
      <c r="BO26" s="64">
        <f t="shared" si="52"/>
        <v>0</v>
      </c>
      <c r="BP26" s="64">
        <f t="shared" si="52"/>
        <v>0</v>
      </c>
      <c r="BQ26" s="64">
        <f t="shared" si="52"/>
        <v>0</v>
      </c>
      <c r="BR26" s="64">
        <f t="shared" si="52"/>
        <v>0</v>
      </c>
      <c r="BS26" s="64">
        <f t="shared" si="52"/>
        <v>0</v>
      </c>
      <c r="BT26" s="72">
        <f t="shared" ref="BT26:CH26" si="53">BS25*BS17+BT25*BT17</f>
        <v>0</v>
      </c>
      <c r="BU26" s="72">
        <f t="shared" si="53"/>
        <v>0</v>
      </c>
      <c r="BV26" s="72">
        <f t="shared" si="53"/>
        <v>0</v>
      </c>
      <c r="BW26" s="72">
        <f t="shared" si="53"/>
        <v>0</v>
      </c>
      <c r="BX26" s="72">
        <f t="shared" si="53"/>
        <v>0</v>
      </c>
      <c r="BY26" s="72">
        <f t="shared" si="53"/>
        <v>0</v>
      </c>
      <c r="BZ26" s="72">
        <f t="shared" si="53"/>
        <v>0</v>
      </c>
      <c r="CA26" s="72">
        <f t="shared" si="53"/>
        <v>0</v>
      </c>
      <c r="CB26" s="72">
        <f t="shared" si="53"/>
        <v>0</v>
      </c>
      <c r="CC26" s="72">
        <f t="shared" si="53"/>
        <v>0</v>
      </c>
      <c r="CD26" s="72">
        <f t="shared" si="53"/>
        <v>0</v>
      </c>
      <c r="CE26" s="72">
        <f t="shared" si="53"/>
        <v>0</v>
      </c>
      <c r="CF26" s="72">
        <f t="shared" si="53"/>
        <v>0</v>
      </c>
      <c r="CG26" s="72">
        <f t="shared" si="53"/>
        <v>0</v>
      </c>
      <c r="CH26" s="72">
        <f t="shared" si="53"/>
        <v>0</v>
      </c>
      <c r="CI26" s="72">
        <f t="shared" ref="CI26" si="54">CH25*CH17+CI25*CI17</f>
        <v>0</v>
      </c>
      <c r="CJ26" s="72">
        <f t="shared" ref="CJ26" si="55">CI25*CI17+CJ25*CJ17</f>
        <v>0</v>
      </c>
      <c r="CK26" s="72">
        <f t="shared" ref="CK26" si="56">CJ25*CJ17+CK25*CK17</f>
        <v>0</v>
      </c>
      <c r="CL26" s="72">
        <f t="shared" ref="CL26" si="57">CK25*CK17+CL25*CL17</f>
        <v>0</v>
      </c>
      <c r="CM26" s="72">
        <f t="shared" ref="CM26" si="58">CL25*CL17+CM25*CM17</f>
        <v>0</v>
      </c>
      <c r="CN26" s="72"/>
      <c r="CO26" s="72"/>
      <c r="CP26" s="72"/>
      <c r="CQ26" s="72"/>
      <c r="CR26" s="72"/>
      <c r="CS26" s="72"/>
      <c r="CT26" s="72"/>
    </row>
    <row r="27" spans="1:98">
      <c r="B27" s="13"/>
      <c r="C27" s="13"/>
      <c r="D27" s="13"/>
      <c r="E27" s="13"/>
      <c r="F27" s="13"/>
      <c r="G27" s="13"/>
      <c r="H27" s="1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</row>
    <row r="28" spans="1:98">
      <c r="A28" t="s">
        <v>93</v>
      </c>
      <c r="B28" s="5">
        <f>B9*$B$15</f>
        <v>1137.7008327999999</v>
      </c>
      <c r="C28" s="5">
        <f>C9*$B$15</f>
        <v>1092.2255065000002</v>
      </c>
      <c r="D28" s="5">
        <f>D9*$B$15</f>
        <v>1040.8377587999998</v>
      </c>
      <c r="E28" s="5">
        <f>E9*$B$15</f>
        <v>1023.8552718000001</v>
      </c>
      <c r="F28" s="5">
        <f>F9*$B$15</f>
        <v>931.7724533999999</v>
      </c>
      <c r="G28" s="5">
        <f t="shared" ref="G28:V28" si="59">G9*$B$15</f>
        <v>859.06224980000013</v>
      </c>
      <c r="H28" s="5">
        <f t="shared" si="59"/>
        <v>806.85682680000002</v>
      </c>
      <c r="I28" s="54">
        <f t="shared" si="59"/>
        <v>771.50809460000005</v>
      </c>
      <c r="J28" s="54">
        <f t="shared" si="59"/>
        <v>722.95076140000003</v>
      </c>
      <c r="K28" s="54">
        <f t="shared" si="59"/>
        <v>656.59326590000001</v>
      </c>
      <c r="L28" s="54">
        <f t="shared" si="59"/>
        <v>613.00488259999997</v>
      </c>
      <c r="M28" s="54">
        <f t="shared" si="59"/>
        <v>561.05105200000003</v>
      </c>
      <c r="N28" s="54">
        <f t="shared" si="59"/>
        <v>534.25646140000003</v>
      </c>
      <c r="O28" s="54">
        <f t="shared" si="59"/>
        <v>551.61633700000004</v>
      </c>
      <c r="P28" s="54">
        <f t="shared" si="59"/>
        <v>571.4292385</v>
      </c>
      <c r="Q28" s="54">
        <f t="shared" si="59"/>
        <v>590.613159</v>
      </c>
      <c r="R28" s="54">
        <f t="shared" si="59"/>
        <v>580.42366679999998</v>
      </c>
      <c r="S28" s="54">
        <f t="shared" si="59"/>
        <v>542.62190869999995</v>
      </c>
      <c r="T28" s="54">
        <f t="shared" si="59"/>
        <v>523.37509009999997</v>
      </c>
      <c r="U28" s="54">
        <f t="shared" si="59"/>
        <v>619.48338690000003</v>
      </c>
      <c r="V28" s="54">
        <f t="shared" si="59"/>
        <v>643.82495159999996</v>
      </c>
      <c r="W28" s="54">
        <f t="shared" ref="W28:AD28" si="60">W9*$B$15</f>
        <v>615.20631609999998</v>
      </c>
      <c r="X28" s="54">
        <f t="shared" si="60"/>
        <v>655.02081340000007</v>
      </c>
      <c r="Y28" s="54">
        <f t="shared" si="60"/>
        <v>647.13579947845676</v>
      </c>
      <c r="Z28" s="54">
        <f t="shared" si="60"/>
        <v>661.62391244928847</v>
      </c>
      <c r="AA28" s="54">
        <f t="shared" si="60"/>
        <v>635.55864082087442</v>
      </c>
      <c r="AB28" s="54">
        <f t="shared" si="60"/>
        <v>607.4388204655537</v>
      </c>
      <c r="AC28" s="54">
        <f t="shared" si="60"/>
        <v>547.51470210023444</v>
      </c>
      <c r="AD28" s="54">
        <f t="shared" si="60"/>
        <v>495.92540033886996</v>
      </c>
      <c r="AE28" s="54">
        <f>AE9*$B$15</f>
        <v>464.149663665974</v>
      </c>
      <c r="AF28" s="54">
        <f t="shared" ref="AF28:AY28" si="61">AF9*$B$15</f>
        <v>450.66392125591761</v>
      </c>
      <c r="AG28" s="54">
        <f t="shared" si="61"/>
        <v>444.79011740681648</v>
      </c>
      <c r="AH28" s="54">
        <f t="shared" si="61"/>
        <v>436.42756889406968</v>
      </c>
      <c r="AI28" s="54">
        <f t="shared" si="61"/>
        <v>436.98392903889504</v>
      </c>
      <c r="AJ28" s="54">
        <f t="shared" si="61"/>
        <v>434.22229995477693</v>
      </c>
      <c r="AK28" s="54">
        <f t="shared" si="61"/>
        <v>426.96950158767424</v>
      </c>
      <c r="AL28" s="54">
        <f t="shared" si="61"/>
        <v>417.78312620861419</v>
      </c>
      <c r="AM28" s="54">
        <f t="shared" si="61"/>
        <v>402.04874399167528</v>
      </c>
      <c r="AN28" s="54">
        <f t="shared" si="61"/>
        <v>388.36428481387549</v>
      </c>
      <c r="AO28" s="54">
        <f t="shared" si="61"/>
        <v>375.91528429584855</v>
      </c>
      <c r="AP28" s="54">
        <f t="shared" si="61"/>
        <v>365.82131289044088</v>
      </c>
      <c r="AQ28" s="54">
        <f t="shared" si="61"/>
        <v>354.14501326496776</v>
      </c>
      <c r="AR28" s="54">
        <f t="shared" si="61"/>
        <v>343.30235796334944</v>
      </c>
      <c r="AS28" s="54">
        <f t="shared" si="61"/>
        <v>334.83087317037217</v>
      </c>
      <c r="AT28" s="54">
        <f t="shared" si="61"/>
        <v>323.41236191983893</v>
      </c>
      <c r="AU28" s="54">
        <f t="shared" si="61"/>
        <v>313.55918743989133</v>
      </c>
      <c r="AV28" s="54">
        <f t="shared" si="61"/>
        <v>302.38007580495707</v>
      </c>
      <c r="AW28" s="54">
        <f t="shared" si="61"/>
        <v>294.31125992148384</v>
      </c>
      <c r="AX28" s="54">
        <f t="shared" si="61"/>
        <v>283.20850037635148</v>
      </c>
      <c r="AY28" s="54">
        <f t="shared" si="61"/>
        <v>272.77502854098719</v>
      </c>
      <c r="AZ28" s="54">
        <f t="shared" ref="AZ28:BI28" si="62">AZ9*$B$15</f>
        <v>264.40884637611106</v>
      </c>
      <c r="BA28" s="54">
        <f t="shared" si="62"/>
        <v>254.83865332574086</v>
      </c>
      <c r="BB28" s="54">
        <f t="shared" si="62"/>
        <v>246.19162229753695</v>
      </c>
      <c r="BC28" s="54">
        <f t="shared" si="62"/>
        <v>236.77959906042989</v>
      </c>
      <c r="BD28" s="54">
        <f t="shared" si="62"/>
        <v>226.77646469077445</v>
      </c>
      <c r="BE28" s="54">
        <f t="shared" si="62"/>
        <v>217.68939660874352</v>
      </c>
      <c r="BF28" s="54">
        <f t="shared" si="62"/>
        <v>208.3978577340425</v>
      </c>
      <c r="BG28" s="54">
        <f t="shared" si="62"/>
        <v>197.22715026179651</v>
      </c>
      <c r="BH28" s="54">
        <f t="shared" si="62"/>
        <v>186.99320258736338</v>
      </c>
      <c r="BI28" s="54">
        <f t="shared" si="62"/>
        <v>176.56595492398861</v>
      </c>
      <c r="BJ28" s="55">
        <f t="shared" ref="BJ28:BS28" si="63">BJ9*$B$15</f>
        <v>180.76241043744739</v>
      </c>
      <c r="BK28" s="55">
        <f t="shared" si="63"/>
        <v>185.05860340529833</v>
      </c>
      <c r="BL28" s="55">
        <f t="shared" si="63"/>
        <v>189.45690429465986</v>
      </c>
      <c r="BM28" s="55">
        <f t="shared" si="63"/>
        <v>193.95973991170973</v>
      </c>
      <c r="BN28" s="55">
        <f t="shared" si="63"/>
        <v>198.56959474069942</v>
      </c>
      <c r="BO28" s="55">
        <f t="shared" si="63"/>
        <v>203.28901231479298</v>
      </c>
      <c r="BP28" s="55">
        <f t="shared" si="63"/>
        <v>208.12059661948669</v>
      </c>
      <c r="BQ28" s="55">
        <f t="shared" si="63"/>
        <v>213.06701352938396</v>
      </c>
      <c r="BR28" s="55">
        <f t="shared" si="63"/>
        <v>218.130992279118</v>
      </c>
      <c r="BS28" s="55">
        <f t="shared" si="63"/>
        <v>223.31532696923426</v>
      </c>
      <c r="BT28" s="68">
        <f t="shared" ref="BT28:CH28" si="64">BT9*$B$15</f>
        <v>228.62287810786304</v>
      </c>
      <c r="BU28" s="68">
        <f t="shared" si="64"/>
        <v>234.05657418903326</v>
      </c>
      <c r="BV28" s="68">
        <f t="shared" si="64"/>
        <v>239.61941330849817</v>
      </c>
      <c r="BW28" s="68">
        <f t="shared" si="64"/>
        <v>245.31446481796439</v>
      </c>
      <c r="BX28" s="68">
        <f t="shared" si="64"/>
        <v>251.14487101863719</v>
      </c>
      <c r="BY28" s="68">
        <f t="shared" si="64"/>
        <v>257.11384889501636</v>
      </c>
      <c r="BZ28" s="68">
        <f t="shared" si="64"/>
        <v>263.22469188989942</v>
      </c>
      <c r="CA28" s="68">
        <f t="shared" si="64"/>
        <v>269.48077172157139</v>
      </c>
      <c r="CB28" s="68">
        <f t="shared" si="64"/>
        <v>275.88554024418352</v>
      </c>
      <c r="CC28" s="68">
        <f t="shared" si="64"/>
        <v>282.44253135234857</v>
      </c>
      <c r="CD28" s="68">
        <f t="shared" si="64"/>
        <v>289.15536293100178</v>
      </c>
      <c r="CE28" s="68">
        <f t="shared" si="64"/>
        <v>296.02773885160525</v>
      </c>
      <c r="CF28" s="68">
        <f t="shared" si="64"/>
        <v>303.06345101579541</v>
      </c>
      <c r="CG28" s="68">
        <f t="shared" si="64"/>
        <v>310.26638144760255</v>
      </c>
      <c r="CH28" s="68">
        <f t="shared" si="64"/>
        <v>317.64050443539605</v>
      </c>
      <c r="CI28" s="68">
        <f t="shared" ref="CI28:CM28" si="65">CI9*$B$15</f>
        <v>325.18988872473761</v>
      </c>
      <c r="CJ28" s="68">
        <f t="shared" si="65"/>
        <v>332.91869976335175</v>
      </c>
      <c r="CK28" s="68">
        <f t="shared" si="65"/>
        <v>340.83120199945324</v>
      </c>
      <c r="CL28" s="68">
        <f t="shared" si="65"/>
        <v>348.93176123469834</v>
      </c>
      <c r="CM28" s="68">
        <f t="shared" si="65"/>
        <v>357.22484703305963</v>
      </c>
      <c r="CN28" s="68"/>
      <c r="CO28" s="68"/>
      <c r="CP28" s="68"/>
      <c r="CQ28" s="68"/>
      <c r="CR28" s="68"/>
      <c r="CS28" s="68"/>
      <c r="CT28" s="68"/>
    </row>
    <row r="29" spans="1:98">
      <c r="B29" s="6"/>
      <c r="C29" s="6"/>
      <c r="D29" s="6"/>
      <c r="E29" s="6"/>
      <c r="F29" s="6"/>
      <c r="G29" s="6"/>
      <c r="H29" s="6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</row>
    <row r="30" spans="1:98">
      <c r="A30" s="14" t="s">
        <v>94</v>
      </c>
      <c r="B30" s="6"/>
      <c r="C30" s="6"/>
      <c r="D30" s="6"/>
      <c r="E30" s="6"/>
      <c r="F30" s="6"/>
      <c r="G30" s="6"/>
      <c r="H30" s="6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</row>
    <row r="31" spans="1:98">
      <c r="A31" t="s">
        <v>8</v>
      </c>
      <c r="B31" s="46">
        <f>B2*B28</f>
        <v>253707.2857144</v>
      </c>
      <c r="C31" s="46">
        <f>C2*C28</f>
        <v>216260.65028700003</v>
      </c>
      <c r="D31" s="46">
        <f>D2*D28</f>
        <v>209208.38951879996</v>
      </c>
      <c r="E31" s="46">
        <f>E2*E28</f>
        <v>261083.09430900001</v>
      </c>
      <c r="F31" s="46">
        <f>F2*F28</f>
        <v>330779.22095699998</v>
      </c>
      <c r="G31" s="46">
        <f t="shared" ref="G31:V31" si="66">G2*G28</f>
        <v>363383.33166540007</v>
      </c>
      <c r="H31" s="46">
        <f t="shared" si="66"/>
        <v>342914.15139000001</v>
      </c>
      <c r="I31" s="54">
        <f t="shared" si="66"/>
        <v>428958.50059760001</v>
      </c>
      <c r="J31" s="54">
        <f t="shared" si="66"/>
        <v>282673.74770740001</v>
      </c>
      <c r="K31" s="54">
        <f t="shared" si="66"/>
        <v>318447.73396149999</v>
      </c>
      <c r="L31" s="54">
        <f t="shared" si="66"/>
        <v>381289.03697720001</v>
      </c>
      <c r="M31" s="54">
        <f t="shared" si="66"/>
        <v>364683.1838</v>
      </c>
      <c r="N31" s="54">
        <f t="shared" si="66"/>
        <v>341389.87883460004</v>
      </c>
      <c r="O31" s="54">
        <f t="shared" si="66"/>
        <v>345863.44329900004</v>
      </c>
      <c r="P31" s="54">
        <f t="shared" si="66"/>
        <v>246286.00179350001</v>
      </c>
      <c r="Q31" s="54">
        <f t="shared" si="66"/>
        <v>223842.387261</v>
      </c>
      <c r="R31" s="54">
        <f t="shared" si="66"/>
        <v>262351.4973936</v>
      </c>
      <c r="S31" s="54">
        <f t="shared" si="66"/>
        <v>316348.57277209999</v>
      </c>
      <c r="T31" s="54">
        <f t="shared" si="66"/>
        <v>295183.55081639998</v>
      </c>
      <c r="U31" s="54">
        <f t="shared" si="66"/>
        <v>252129.7384683</v>
      </c>
      <c r="V31" s="54">
        <f t="shared" si="66"/>
        <v>392089.3955244</v>
      </c>
      <c r="W31" s="54">
        <f t="shared" ref="W31:AC31" si="67">W2*W28</f>
        <v>585061.2066111</v>
      </c>
      <c r="X31" s="54">
        <f t="shared" si="67"/>
        <v>567903.04521780007</v>
      </c>
      <c r="Y31" s="54">
        <f t="shared" si="67"/>
        <v>553948.24435355898</v>
      </c>
      <c r="Z31" s="54">
        <f t="shared" si="67"/>
        <v>479024.72421695455</v>
      </c>
      <c r="AA31" s="54">
        <f t="shared" si="67"/>
        <v>428681.29429251753</v>
      </c>
      <c r="AB31" s="54">
        <f t="shared" si="67"/>
        <v>409392.08331550111</v>
      </c>
      <c r="AC31" s="54">
        <f t="shared" si="67"/>
        <v>371077.23781250563</v>
      </c>
      <c r="AD31" s="54">
        <f>AD2*AD28</f>
        <v>337654.94932668342</v>
      </c>
      <c r="AE31" s="54">
        <f>AE2*AE28</f>
        <v>316227.50009909802</v>
      </c>
      <c r="AF31" s="54">
        <f t="shared" ref="AF31:AY31" si="68">AF2*AF28</f>
        <v>321634.09273690084</v>
      </c>
      <c r="AG31" s="54">
        <f t="shared" si="68"/>
        <v>332301.25373166212</v>
      </c>
      <c r="AH31" s="54">
        <f t="shared" si="68"/>
        <v>341092.08870484604</v>
      </c>
      <c r="AI31" s="54">
        <f t="shared" si="68"/>
        <v>357056.2714841073</v>
      </c>
      <c r="AJ31" s="54">
        <f t="shared" si="68"/>
        <v>370713.17997556663</v>
      </c>
      <c r="AK31" s="54">
        <f t="shared" si="68"/>
        <v>371811.59543553367</v>
      </c>
      <c r="AL31" s="54">
        <f t="shared" si="68"/>
        <v>371088.19793108403</v>
      </c>
      <c r="AM31" s="54">
        <f t="shared" si="68"/>
        <v>364254.66999379091</v>
      </c>
      <c r="AN31" s="54">
        <f t="shared" si="68"/>
        <v>358893.73277904233</v>
      </c>
      <c r="AO31" s="54">
        <f t="shared" si="68"/>
        <v>354337.19773530529</v>
      </c>
      <c r="AP31" s="54">
        <f t="shared" si="68"/>
        <v>351719.08773739176</v>
      </c>
      <c r="AQ31" s="54">
        <f t="shared" si="68"/>
        <v>347302.76158130018</v>
      </c>
      <c r="AR31" s="54">
        <f t="shared" si="68"/>
        <v>343402.98341745522</v>
      </c>
      <c r="AS31" s="54">
        <f t="shared" si="68"/>
        <v>341627.59585600562</v>
      </c>
      <c r="AT31" s="54">
        <f t="shared" si="68"/>
        <v>336576.84657083388</v>
      </c>
      <c r="AU31" s="54">
        <f t="shared" si="68"/>
        <v>332849.05107909825</v>
      </c>
      <c r="AV31" s="54">
        <f t="shared" si="68"/>
        <v>327401.85532762797</v>
      </c>
      <c r="AW31" s="54">
        <f t="shared" si="68"/>
        <v>325038.65650309634</v>
      </c>
      <c r="AX31" s="54">
        <f t="shared" si="68"/>
        <v>319032.2541756875</v>
      </c>
      <c r="AY31" s="54">
        <f t="shared" si="68"/>
        <v>313424.60683586897</v>
      </c>
      <c r="AZ31" s="54">
        <f t="shared" ref="AZ31:BI31" si="69">AZ2*AZ28</f>
        <v>309887.90999629209</v>
      </c>
      <c r="BA31" s="54">
        <f t="shared" si="69"/>
        <v>304645.04922089772</v>
      </c>
      <c r="BB31" s="54">
        <f t="shared" si="69"/>
        <v>300194.17804987542</v>
      </c>
      <c r="BC31" s="54">
        <f t="shared" si="69"/>
        <v>294491.96355544979</v>
      </c>
      <c r="BD31" s="54">
        <f t="shared" si="69"/>
        <v>287691.69122996571</v>
      </c>
      <c r="BE31" s="54">
        <f t="shared" si="69"/>
        <v>281686.9879939658</v>
      </c>
      <c r="BF31" s="54">
        <f t="shared" si="69"/>
        <v>275057.14600378659</v>
      </c>
      <c r="BG31" s="54">
        <f t="shared" si="69"/>
        <v>265519.58071179426</v>
      </c>
      <c r="BH31" s="54">
        <f t="shared" si="69"/>
        <v>256776.83734043766</v>
      </c>
      <c r="BI31" s="54">
        <f t="shared" si="69"/>
        <v>247307.43041591562</v>
      </c>
      <c r="BJ31" s="55">
        <f t="shared" ref="BJ31:BS31" si="70">BJ2*BJ28</f>
        <v>258248.9076420395</v>
      </c>
      <c r="BK31" s="55">
        <f t="shared" si="70"/>
        <v>269674.46221144602</v>
      </c>
      <c r="BL31" s="55">
        <f t="shared" si="70"/>
        <v>281605.51087339455</v>
      </c>
      <c r="BM31" s="55">
        <f t="shared" si="70"/>
        <v>294064.41790578893</v>
      </c>
      <c r="BN31" s="55">
        <f t="shared" si="70"/>
        <v>307074.53703612986</v>
      </c>
      <c r="BO31" s="55">
        <f t="shared" si="70"/>
        <v>320660.25521715189</v>
      </c>
      <c r="BP31" s="55">
        <f t="shared" si="70"/>
        <v>334847.03833919973</v>
      </c>
      <c r="BQ31" s="55">
        <f t="shared" si="70"/>
        <v>349661.47896503063</v>
      </c>
      <c r="BR31" s="55">
        <f t="shared" si="70"/>
        <v>365131.34617651923</v>
      </c>
      <c r="BS31" s="55">
        <f t="shared" si="70"/>
        <v>381285.63762670138</v>
      </c>
      <c r="BT31" s="68">
        <f t="shared" ref="BT31:CH31" si="71">BT2*BT28</f>
        <v>398154.6338947253</v>
      </c>
      <c r="BU31" s="68">
        <f t="shared" si="71"/>
        <v>415769.95524559758</v>
      </c>
      <c r="BV31" s="68">
        <f t="shared" si="71"/>
        <v>434164.62090111634</v>
      </c>
      <c r="BW31" s="68">
        <f t="shared" si="71"/>
        <v>453373.11093309458</v>
      </c>
      <c r="BX31" s="68">
        <f t="shared" si="71"/>
        <v>473431.43089488801</v>
      </c>
      <c r="BY31" s="68">
        <f t="shared" si="71"/>
        <v>494377.17931237788</v>
      </c>
      <c r="BZ31" s="68">
        <f t="shared" si="71"/>
        <v>516249.61816091812</v>
      </c>
      <c r="CA31" s="68">
        <f t="shared" si="71"/>
        <v>539089.74646035221</v>
      </c>
      <c r="CB31" s="68">
        <f t="shared" si="71"/>
        <v>562940.3771260503</v>
      </c>
      <c r="CC31" s="68">
        <f t="shared" si="71"/>
        <v>587846.21722002386</v>
      </c>
      <c r="CD31" s="68">
        <f t="shared" si="71"/>
        <v>613853.95175254031</v>
      </c>
      <c r="CE31" s="68">
        <f t="shared" si="71"/>
        <v>641012.33119132614</v>
      </c>
      <c r="CF31" s="68">
        <f t="shared" si="71"/>
        <v>669372.26284238556</v>
      </c>
      <c r="CG31" s="68">
        <f t="shared" si="71"/>
        <v>698986.90627372859</v>
      </c>
      <c r="CH31" s="68">
        <f t="shared" si="71"/>
        <v>729911.77296087448</v>
      </c>
      <c r="CI31" s="68">
        <f t="shared" ref="CI31:CM31" si="72">CI2*CI28</f>
        <v>762204.83034091338</v>
      </c>
      <c r="CJ31" s="68">
        <f t="shared" si="72"/>
        <v>795926.61047016911</v>
      </c>
      <c r="CK31" s="68">
        <f t="shared" si="72"/>
        <v>831140.32348914084</v>
      </c>
      <c r="CL31" s="68">
        <f t="shared" si="72"/>
        <v>867911.97610740527</v>
      </c>
      <c r="CM31" s="68">
        <f t="shared" si="72"/>
        <v>906310.49533057946</v>
      </c>
      <c r="CN31" s="68"/>
      <c r="CO31" s="68"/>
      <c r="CP31" s="68"/>
      <c r="CQ31" s="68"/>
      <c r="CR31" s="68"/>
      <c r="CS31" s="68"/>
      <c r="CT31" s="68"/>
    </row>
    <row r="32" spans="1:98">
      <c r="A32" t="s">
        <v>10</v>
      </c>
      <c r="B32" s="46">
        <f>B6*B11</f>
        <v>25322.478299999999</v>
      </c>
      <c r="C32" s="46">
        <f>C6*C11</f>
        <v>26330.151999999998</v>
      </c>
      <c r="D32" s="46">
        <f>D6*D11</f>
        <v>25438.039848197346</v>
      </c>
      <c r="E32" s="46">
        <f>E6*E11</f>
        <v>29719.774687065368</v>
      </c>
      <c r="F32" s="46">
        <f>F6*F11</f>
        <v>43885.822784810131</v>
      </c>
      <c r="G32" s="46">
        <f t="shared" ref="G32:V32" si="73">G6*G11</f>
        <v>47822.778290993076</v>
      </c>
      <c r="H32" s="46">
        <f t="shared" si="73"/>
        <v>35857.534743202414</v>
      </c>
      <c r="I32" s="54">
        <f t="shared" si="73"/>
        <v>52589.918813739998</v>
      </c>
      <c r="J32" s="54">
        <f t="shared" si="73"/>
        <v>37739.270346117868</v>
      </c>
      <c r="K32" s="54">
        <f t="shared" si="73"/>
        <v>43366.956786985254</v>
      </c>
      <c r="L32" s="54">
        <f t="shared" si="73"/>
        <v>58408.44</v>
      </c>
      <c r="M32" s="54">
        <f t="shared" si="73"/>
        <v>64812.48000000001</v>
      </c>
      <c r="N32" s="54">
        <f t="shared" si="73"/>
        <v>61110.548571428568</v>
      </c>
      <c r="O32" s="54">
        <f t="shared" si="73"/>
        <v>51421.601851851847</v>
      </c>
      <c r="P32" s="54">
        <f t="shared" si="73"/>
        <v>35960.11900452488</v>
      </c>
      <c r="Q32" s="54">
        <f t="shared" si="73"/>
        <v>32787.829411764702</v>
      </c>
      <c r="R32" s="54">
        <f t="shared" si="73"/>
        <v>42269.526176690175</v>
      </c>
      <c r="S32" s="54">
        <f t="shared" si="73"/>
        <v>47625.456678698567</v>
      </c>
      <c r="T32" s="54">
        <f t="shared" si="73"/>
        <v>40438.896815883782</v>
      </c>
      <c r="U32" s="54">
        <f t="shared" si="73"/>
        <v>28561.264967963682</v>
      </c>
      <c r="V32" s="54">
        <f t="shared" si="73"/>
        <v>33520.330295933367</v>
      </c>
      <c r="W32" s="54">
        <f t="shared" ref="W32:AD32" si="74">W6*W11</f>
        <v>50089.649639400792</v>
      </c>
      <c r="X32" s="54">
        <f t="shared" si="74"/>
        <v>48524.560773329205</v>
      </c>
      <c r="Y32" s="54">
        <f t="shared" si="74"/>
        <v>45906.988620913697</v>
      </c>
      <c r="Z32" s="54">
        <f t="shared" si="74"/>
        <v>40000.2267792434</v>
      </c>
      <c r="AA32" s="54">
        <f t="shared" si="74"/>
        <v>39748.416718053697</v>
      </c>
      <c r="AB32" s="54">
        <f t="shared" si="74"/>
        <v>40083.763571209303</v>
      </c>
      <c r="AC32" s="54">
        <f t="shared" si="74"/>
        <v>40185.398604176196</v>
      </c>
      <c r="AD32" s="54">
        <f t="shared" si="74"/>
        <v>39827.777266037003</v>
      </c>
      <c r="AE32" s="54">
        <f>AE6*AE11</f>
        <v>38247.754743086502</v>
      </c>
      <c r="AF32" s="54">
        <f t="shared" ref="AF32:AY32" si="75">AF6*AF11</f>
        <v>36013.567790430498</v>
      </c>
      <c r="AG32" s="54">
        <f t="shared" si="75"/>
        <v>35085.924126697697</v>
      </c>
      <c r="AH32" s="54">
        <f t="shared" si="75"/>
        <v>32544.552850571603</v>
      </c>
      <c r="AI32" s="54">
        <f t="shared" si="75"/>
        <v>30387.614435446099</v>
      </c>
      <c r="AJ32" s="54">
        <f t="shared" si="75"/>
        <v>28101.384572021499</v>
      </c>
      <c r="AK32" s="54">
        <f t="shared" si="75"/>
        <v>26224.587376376199</v>
      </c>
      <c r="AL32" s="54">
        <f t="shared" si="75"/>
        <v>23196.082085607199</v>
      </c>
      <c r="AM32" s="54">
        <f t="shared" si="75"/>
        <v>20173.875250811299</v>
      </c>
      <c r="AN32" s="54">
        <f t="shared" si="75"/>
        <v>18301.638477121502</v>
      </c>
      <c r="AO32" s="54">
        <f t="shared" si="75"/>
        <v>16913.8133251892</v>
      </c>
      <c r="AP32" s="54">
        <f t="shared" si="75"/>
        <v>15045.762580700301</v>
      </c>
      <c r="AQ32" s="54">
        <f t="shared" si="75"/>
        <v>13898.6281530164</v>
      </c>
      <c r="AR32" s="54">
        <f t="shared" si="75"/>
        <v>12901.250648536001</v>
      </c>
      <c r="AS32" s="54">
        <f t="shared" si="75"/>
        <v>11643.0075663225</v>
      </c>
      <c r="AT32" s="54">
        <f t="shared" si="75"/>
        <v>10788.075374693401</v>
      </c>
      <c r="AU32" s="54">
        <f t="shared" si="75"/>
        <v>9314.1983479089704</v>
      </c>
      <c r="AV32" s="54">
        <f t="shared" si="75"/>
        <v>9007.0671299832393</v>
      </c>
      <c r="AW32" s="54">
        <f t="shared" si="75"/>
        <v>7284.6802465119308</v>
      </c>
      <c r="AX32" s="54">
        <f t="shared" si="75"/>
        <v>5894.56915577773</v>
      </c>
      <c r="AY32" s="54">
        <f t="shared" si="75"/>
        <v>4936.5220261379</v>
      </c>
      <c r="AZ32" s="54">
        <f t="shared" ref="AZ32:BI32" si="76">AZ6*AZ11</f>
        <v>4068.9352038332099</v>
      </c>
      <c r="BA32" s="54">
        <f t="shared" si="76"/>
        <v>2866.17143066273</v>
      </c>
      <c r="BB32" s="54">
        <f t="shared" si="76"/>
        <v>2298.6478798009698</v>
      </c>
      <c r="BC32" s="54">
        <f t="shared" si="76"/>
        <v>1654.7301772676099</v>
      </c>
      <c r="BD32" s="54">
        <f t="shared" si="76"/>
        <v>1127.35993946084</v>
      </c>
      <c r="BE32" s="54">
        <f t="shared" si="76"/>
        <v>766.13320039530402</v>
      </c>
      <c r="BF32" s="54">
        <f t="shared" si="76"/>
        <v>370.63270531389799</v>
      </c>
      <c r="BG32" s="54">
        <f t="shared" si="76"/>
        <v>356.30239790945802</v>
      </c>
      <c r="BH32" s="54">
        <f t="shared" si="76"/>
        <v>338.613549067951</v>
      </c>
      <c r="BI32" s="54">
        <f t="shared" si="76"/>
        <v>240.14449656531301</v>
      </c>
      <c r="BJ32" s="55">
        <f t="shared" ref="BJ32:BS32" si="77">BJ6*BJ11</f>
        <v>536.07291558429131</v>
      </c>
      <c r="BK32" s="55">
        <f t="shared" si="77"/>
        <v>1196.6718993490845</v>
      </c>
      <c r="BL32" s="55">
        <f t="shared" si="77"/>
        <v>2671.3224881561391</v>
      </c>
      <c r="BM32" s="55">
        <f t="shared" si="77"/>
        <v>5963.1749016670565</v>
      </c>
      <c r="BN32" s="55">
        <f t="shared" si="77"/>
        <v>13311.554507376817</v>
      </c>
      <c r="BO32" s="55">
        <f t="shared" si="77"/>
        <v>29715.291992077411</v>
      </c>
      <c r="BP32" s="55">
        <f t="shared" si="77"/>
        <v>66333.242874458534</v>
      </c>
      <c r="BQ32" s="55">
        <f t="shared" si="77"/>
        <v>148075.24393214929</v>
      </c>
      <c r="BR32" s="55">
        <f t="shared" si="77"/>
        <v>330547.35326392693</v>
      </c>
      <c r="BS32" s="55">
        <f t="shared" si="77"/>
        <v>737878.59366858727</v>
      </c>
      <c r="BT32" s="68">
        <f t="shared" ref="BT32:CH32" si="78">BT6*BT11</f>
        <v>1647161.3329168058</v>
      </c>
      <c r="BU32" s="68">
        <f t="shared" si="78"/>
        <v>3676946.9665288255</v>
      </c>
      <c r="BV32" s="68">
        <f t="shared" si="78"/>
        <v>8208023.5399433048</v>
      </c>
      <c r="BW32" s="68">
        <f t="shared" si="78"/>
        <v>18322714.753719922</v>
      </c>
      <c r="BX32" s="68">
        <f t="shared" si="78"/>
        <v>40901670.702141367</v>
      </c>
      <c r="BY32" s="68">
        <f t="shared" si="78"/>
        <v>91304519.48376064</v>
      </c>
      <c r="BZ32" s="68">
        <f t="shared" si="78"/>
        <v>203818453.74653551</v>
      </c>
      <c r="CA32" s="68">
        <f t="shared" si="78"/>
        <v>454982538.89849627</v>
      </c>
      <c r="CB32" s="68">
        <f t="shared" si="78"/>
        <v>1015654406.641481</v>
      </c>
      <c r="CC32" s="68">
        <f t="shared" si="78"/>
        <v>2267238378.4828982</v>
      </c>
      <c r="CD32" s="68">
        <f t="shared" si="78"/>
        <v>5061140710.119792</v>
      </c>
      <c r="CE32" s="68">
        <f t="shared" si="78"/>
        <v>11297949757.171989</v>
      </c>
      <c r="CF32" s="68">
        <f t="shared" si="78"/>
        <v>25220335893.913811</v>
      </c>
      <c r="CG32" s="68">
        <f t="shared" si="78"/>
        <v>56299183150.293282</v>
      </c>
      <c r="CH32" s="68">
        <f t="shared" si="78"/>
        <v>125676281105.96086</v>
      </c>
      <c r="CI32" s="68">
        <f t="shared" ref="CI32:CM32" si="79">CI6*CI11</f>
        <v>280546301896.78369</v>
      </c>
      <c r="CJ32" s="68">
        <f t="shared" si="79"/>
        <v>626261589023.32642</v>
      </c>
      <c r="CK32" s="68">
        <f t="shared" si="79"/>
        <v>1397999457609.3826</v>
      </c>
      <c r="CL32" s="68">
        <f t="shared" si="79"/>
        <v>3120744618114.0967</v>
      </c>
      <c r="CM32" s="68">
        <f t="shared" si="79"/>
        <v>6966416845498.7354</v>
      </c>
      <c r="CN32" s="68"/>
      <c r="CO32" s="68"/>
      <c r="CP32" s="68"/>
      <c r="CQ32" s="68"/>
      <c r="CR32" s="68"/>
      <c r="CS32" s="68"/>
      <c r="CT32" s="68"/>
    </row>
    <row r="33" spans="1:98">
      <c r="A33" t="s">
        <v>14</v>
      </c>
      <c r="B33" s="46">
        <f>SUM(B31:B32)</f>
        <v>279029.76401440002</v>
      </c>
      <c r="C33" s="46">
        <f>SUM(C31:C32)</f>
        <v>242590.80228700003</v>
      </c>
      <c r="D33" s="46">
        <f>SUM(D31:D32)</f>
        <v>234646.4293669973</v>
      </c>
      <c r="E33" s="46">
        <f>SUM(E31:E32)</f>
        <v>290802.8689960654</v>
      </c>
      <c r="F33" s="46">
        <f>SUM(F31:F32)</f>
        <v>374665.04374181014</v>
      </c>
      <c r="G33" s="46">
        <f t="shared" ref="G33:V33" si="80">SUM(G31:G32)</f>
        <v>411206.10995639313</v>
      </c>
      <c r="H33" s="46">
        <f t="shared" si="80"/>
        <v>378771.6861332024</v>
      </c>
      <c r="I33" s="54">
        <f t="shared" si="80"/>
        <v>481548.41941134003</v>
      </c>
      <c r="J33" s="54">
        <f t="shared" si="80"/>
        <v>320413.01805351785</v>
      </c>
      <c r="K33" s="54">
        <f t="shared" si="80"/>
        <v>361814.69074848527</v>
      </c>
      <c r="L33" s="54">
        <f t="shared" si="80"/>
        <v>439697.47697720001</v>
      </c>
      <c r="M33" s="54">
        <f t="shared" si="80"/>
        <v>429495.66379999998</v>
      </c>
      <c r="N33" s="54">
        <f t="shared" si="80"/>
        <v>402500.42740602861</v>
      </c>
      <c r="O33" s="54">
        <f t="shared" si="80"/>
        <v>397285.04515085189</v>
      </c>
      <c r="P33" s="54">
        <f t="shared" si="80"/>
        <v>282246.12079802487</v>
      </c>
      <c r="Q33" s="54">
        <f t="shared" si="80"/>
        <v>256630.21667276468</v>
      </c>
      <c r="R33" s="54">
        <f t="shared" si="80"/>
        <v>304621.02357029018</v>
      </c>
      <c r="S33" s="54">
        <f t="shared" si="80"/>
        <v>363974.02945079852</v>
      </c>
      <c r="T33" s="54">
        <f t="shared" si="80"/>
        <v>335622.44763228379</v>
      </c>
      <c r="U33" s="54">
        <f t="shared" si="80"/>
        <v>280691.00343626365</v>
      </c>
      <c r="V33" s="54">
        <f t="shared" si="80"/>
        <v>425609.72582033335</v>
      </c>
      <c r="W33" s="54">
        <f t="shared" ref="W33:AE33" si="81">SUM(W31:W32)</f>
        <v>635150.85625050077</v>
      </c>
      <c r="X33" s="54">
        <f t="shared" si="81"/>
        <v>616427.6059911293</v>
      </c>
      <c r="Y33" s="54">
        <f t="shared" si="81"/>
        <v>599855.23297447269</v>
      </c>
      <c r="Z33" s="54">
        <f t="shared" si="81"/>
        <v>519024.95099619793</v>
      </c>
      <c r="AA33" s="54">
        <f t="shared" si="81"/>
        <v>468429.71101057122</v>
      </c>
      <c r="AB33" s="54">
        <f t="shared" si="81"/>
        <v>449475.84688671038</v>
      </c>
      <c r="AC33" s="54">
        <f t="shared" si="81"/>
        <v>411262.63641668181</v>
      </c>
      <c r="AD33" s="54">
        <f t="shared" si="81"/>
        <v>377482.72659272043</v>
      </c>
      <c r="AE33" s="54">
        <f t="shared" si="81"/>
        <v>354475.25484218454</v>
      </c>
      <c r="AF33" s="54">
        <f t="shared" ref="AF33:AY33" si="82">SUM(AF31:AF32)</f>
        <v>357647.66052733135</v>
      </c>
      <c r="AG33" s="54">
        <f t="shared" si="82"/>
        <v>367387.17785835982</v>
      </c>
      <c r="AH33" s="54">
        <f t="shared" si="82"/>
        <v>373636.64155541762</v>
      </c>
      <c r="AI33" s="54">
        <f t="shared" si="82"/>
        <v>387443.8859195534</v>
      </c>
      <c r="AJ33" s="54">
        <f t="shared" si="82"/>
        <v>398814.56454758812</v>
      </c>
      <c r="AK33" s="54">
        <f t="shared" si="82"/>
        <v>398036.18281190988</v>
      </c>
      <c r="AL33" s="54">
        <f t="shared" si="82"/>
        <v>394284.28001669125</v>
      </c>
      <c r="AM33" s="54">
        <f t="shared" si="82"/>
        <v>384428.5452446022</v>
      </c>
      <c r="AN33" s="54">
        <f t="shared" si="82"/>
        <v>377195.37125616381</v>
      </c>
      <c r="AO33" s="54">
        <f t="shared" si="82"/>
        <v>371251.01106049446</v>
      </c>
      <c r="AP33" s="54">
        <f t="shared" si="82"/>
        <v>366764.85031809204</v>
      </c>
      <c r="AQ33" s="54">
        <f t="shared" si="82"/>
        <v>361201.38973431656</v>
      </c>
      <c r="AR33" s="54">
        <f t="shared" si="82"/>
        <v>356304.23406599124</v>
      </c>
      <c r="AS33" s="54">
        <f t="shared" si="82"/>
        <v>353270.60342232813</v>
      </c>
      <c r="AT33" s="54">
        <f t="shared" si="82"/>
        <v>347364.92194552725</v>
      </c>
      <c r="AU33" s="54">
        <f t="shared" si="82"/>
        <v>342163.24942700722</v>
      </c>
      <c r="AV33" s="54">
        <f t="shared" si="82"/>
        <v>336408.92245761119</v>
      </c>
      <c r="AW33" s="54">
        <f t="shared" si="82"/>
        <v>332323.33674960828</v>
      </c>
      <c r="AX33" s="54">
        <f t="shared" si="82"/>
        <v>324926.82333146525</v>
      </c>
      <c r="AY33" s="54">
        <f t="shared" si="82"/>
        <v>318361.12886200688</v>
      </c>
      <c r="AZ33" s="54">
        <f t="shared" ref="AZ33:BI33" si="83">SUM(AZ31:AZ32)</f>
        <v>313956.8452001253</v>
      </c>
      <c r="BA33" s="54">
        <f t="shared" si="83"/>
        <v>307511.22065156046</v>
      </c>
      <c r="BB33" s="54">
        <f t="shared" si="83"/>
        <v>302492.82592967642</v>
      </c>
      <c r="BC33" s="54">
        <f t="shared" si="83"/>
        <v>296146.69373271742</v>
      </c>
      <c r="BD33" s="54">
        <f t="shared" si="83"/>
        <v>288819.05116942653</v>
      </c>
      <c r="BE33" s="54">
        <f t="shared" si="83"/>
        <v>282453.12119436113</v>
      </c>
      <c r="BF33" s="54">
        <f t="shared" si="83"/>
        <v>275427.7787091005</v>
      </c>
      <c r="BG33" s="54">
        <f t="shared" si="83"/>
        <v>265875.88310970372</v>
      </c>
      <c r="BH33" s="54">
        <f t="shared" si="83"/>
        <v>257115.45088950562</v>
      </c>
      <c r="BI33" s="54">
        <f t="shared" si="83"/>
        <v>247547.57491248092</v>
      </c>
      <c r="BJ33" s="55">
        <f t="shared" ref="BJ33:BS33" si="84">SUM(BJ31:BJ32)</f>
        <v>258784.98055762378</v>
      </c>
      <c r="BK33" s="55">
        <f t="shared" si="84"/>
        <v>270871.1341107951</v>
      </c>
      <c r="BL33" s="55">
        <f t="shared" si="84"/>
        <v>284276.8333615507</v>
      </c>
      <c r="BM33" s="55">
        <f t="shared" si="84"/>
        <v>300027.59280745598</v>
      </c>
      <c r="BN33" s="55">
        <f t="shared" si="84"/>
        <v>320386.09154350666</v>
      </c>
      <c r="BO33" s="55">
        <f t="shared" si="84"/>
        <v>350375.54720922932</v>
      </c>
      <c r="BP33" s="55">
        <f t="shared" si="84"/>
        <v>401180.28121365828</v>
      </c>
      <c r="BQ33" s="55">
        <f t="shared" si="84"/>
        <v>497736.72289717989</v>
      </c>
      <c r="BR33" s="55">
        <f t="shared" si="84"/>
        <v>695678.69944044622</v>
      </c>
      <c r="BS33" s="55">
        <f t="shared" si="84"/>
        <v>1119164.2312952885</v>
      </c>
      <c r="BT33" s="68">
        <f t="shared" ref="BT33:CH33" si="85">SUM(BT31:BT32)</f>
        <v>2045315.966811531</v>
      </c>
      <c r="BU33" s="68">
        <f t="shared" si="85"/>
        <v>4092716.9217744232</v>
      </c>
      <c r="BV33" s="68">
        <f t="shared" si="85"/>
        <v>8642188.160844421</v>
      </c>
      <c r="BW33" s="68">
        <f t="shared" si="85"/>
        <v>18776087.864653017</v>
      </c>
      <c r="BX33" s="68">
        <f t="shared" si="85"/>
        <v>41375102.133036256</v>
      </c>
      <c r="BY33" s="68">
        <f t="shared" si="85"/>
        <v>91798896.663073018</v>
      </c>
      <c r="BZ33" s="68">
        <f t="shared" si="85"/>
        <v>204334703.36469641</v>
      </c>
      <c r="CA33" s="68">
        <f t="shared" si="85"/>
        <v>455521628.64495665</v>
      </c>
      <c r="CB33" s="68">
        <f t="shared" si="85"/>
        <v>1016217347.0186071</v>
      </c>
      <c r="CC33" s="68">
        <f t="shared" si="85"/>
        <v>2267826224.7001181</v>
      </c>
      <c r="CD33" s="68">
        <f t="shared" si="85"/>
        <v>5061754564.0715446</v>
      </c>
      <c r="CE33" s="68">
        <f t="shared" si="85"/>
        <v>11298590769.503181</v>
      </c>
      <c r="CF33" s="68">
        <f t="shared" si="85"/>
        <v>25221005266.176655</v>
      </c>
      <c r="CG33" s="68">
        <f t="shared" si="85"/>
        <v>56299882137.199554</v>
      </c>
      <c r="CH33" s="68">
        <f t="shared" si="85"/>
        <v>125677011017.73383</v>
      </c>
      <c r="CI33" s="68">
        <f t="shared" ref="CI33:CM33" si="86">SUM(CI31:CI32)</f>
        <v>280547064101.61401</v>
      </c>
      <c r="CJ33" s="68">
        <f t="shared" si="86"/>
        <v>626262384949.93689</v>
      </c>
      <c r="CK33" s="68">
        <f t="shared" si="86"/>
        <v>1398000288749.7061</v>
      </c>
      <c r="CL33" s="68">
        <f t="shared" si="86"/>
        <v>3120745486026.0728</v>
      </c>
      <c r="CM33" s="68">
        <f t="shared" si="86"/>
        <v>6966417751809.2305</v>
      </c>
      <c r="CN33" s="68"/>
      <c r="CO33" s="68"/>
      <c r="CP33" s="68"/>
      <c r="CQ33" s="68"/>
      <c r="CR33" s="68"/>
      <c r="CS33" s="68"/>
      <c r="CT33" s="68"/>
    </row>
    <row r="34" spans="1:98">
      <c r="A34" t="s">
        <v>9</v>
      </c>
      <c r="B34" s="46">
        <f>B5*B10*B16</f>
        <v>65521.5</v>
      </c>
      <c r="C34" s="46">
        <f>C5*C10*C16</f>
        <v>60287.600000000006</v>
      </c>
      <c r="D34" s="46">
        <f>D5*D10*D16</f>
        <v>64178.400000000009</v>
      </c>
      <c r="E34" s="46">
        <f>E5*E10*E16</f>
        <v>76726.999999999985</v>
      </c>
      <c r="F34" s="46">
        <f>F5*F10*F16</f>
        <v>107087.5</v>
      </c>
      <c r="G34" s="46">
        <f t="shared" ref="G34:V34" si="87">G5*G10*G16</f>
        <v>153520.20000000001</v>
      </c>
      <c r="H34" s="46">
        <f t="shared" si="87"/>
        <v>140530.70000000001</v>
      </c>
      <c r="I34" s="54">
        <f t="shared" si="87"/>
        <v>220801.19999999998</v>
      </c>
      <c r="J34" s="54">
        <f t="shared" si="87"/>
        <v>173145.60000000001</v>
      </c>
      <c r="K34" s="54">
        <f t="shared" si="87"/>
        <v>169382.7</v>
      </c>
      <c r="L34" s="54">
        <f t="shared" si="87"/>
        <v>200600</v>
      </c>
      <c r="M34" s="54">
        <f t="shared" si="87"/>
        <v>249862.6</v>
      </c>
      <c r="N34" s="54">
        <f t="shared" si="87"/>
        <v>247285.5</v>
      </c>
      <c r="O34" s="54">
        <f t="shared" si="87"/>
        <v>218939.99999999997</v>
      </c>
      <c r="P34" s="54">
        <f t="shared" si="87"/>
        <v>220646.39999999999</v>
      </c>
      <c r="Q34" s="54">
        <f t="shared" si="87"/>
        <v>160510</v>
      </c>
      <c r="R34" s="54">
        <f t="shared" si="87"/>
        <v>201910.49999999997</v>
      </c>
      <c r="S34" s="54">
        <f t="shared" si="87"/>
        <v>263758.00000000006</v>
      </c>
      <c r="T34" s="54">
        <f t="shared" si="87"/>
        <v>177598.40000000002</v>
      </c>
      <c r="U34" s="54">
        <f t="shared" si="87"/>
        <v>124427.68650686773</v>
      </c>
      <c r="V34" s="54">
        <f t="shared" si="87"/>
        <v>521003.77258647996</v>
      </c>
      <c r="W34" s="54">
        <f t="shared" ref="W34:AD34" si="88">W5*W10*W16</f>
        <v>1480150.8809009925</v>
      </c>
      <c r="X34" s="54">
        <f t="shared" si="88"/>
        <v>631478.2455319257</v>
      </c>
      <c r="Y34" s="54">
        <f t="shared" si="88"/>
        <v>549858.33644959843</v>
      </c>
      <c r="Z34" s="54">
        <f t="shared" si="88"/>
        <v>611689.06549512991</v>
      </c>
      <c r="AA34" s="54">
        <f t="shared" si="88"/>
        <v>478799.04375174525</v>
      </c>
      <c r="AB34" s="54">
        <f t="shared" si="88"/>
        <v>390170.63932815054</v>
      </c>
      <c r="AC34" s="54">
        <f t="shared" si="88"/>
        <v>385332.88561378972</v>
      </c>
      <c r="AD34" s="54">
        <f t="shared" si="88"/>
        <v>374696.78346907988</v>
      </c>
      <c r="AE34" s="54">
        <f>AE5*AE10*AE16</f>
        <v>288168.24246561737</v>
      </c>
      <c r="AF34" s="54">
        <f t="shared" ref="AF34:AY34" si="89">AF5*AF10*AF16</f>
        <v>276716.64671382355</v>
      </c>
      <c r="AG34" s="54">
        <f t="shared" si="89"/>
        <v>259976.2291378763</v>
      </c>
      <c r="AH34" s="54">
        <f t="shared" si="89"/>
        <v>249914.96341349155</v>
      </c>
      <c r="AI34" s="54">
        <f t="shared" si="89"/>
        <v>244058.2285437886</v>
      </c>
      <c r="AJ34" s="54">
        <f t="shared" si="89"/>
        <v>238637.36176550493</v>
      </c>
      <c r="AK34" s="54">
        <f t="shared" si="89"/>
        <v>233730.14723435327</v>
      </c>
      <c r="AL34" s="54">
        <f t="shared" si="89"/>
        <v>225473.96336566829</v>
      </c>
      <c r="AM34" s="54">
        <f t="shared" si="89"/>
        <v>212353.015782453</v>
      </c>
      <c r="AN34" s="54">
        <f t="shared" si="89"/>
        <v>197935.92103814095</v>
      </c>
      <c r="AO34" s="54">
        <f t="shared" si="89"/>
        <v>187674.02578596867</v>
      </c>
      <c r="AP34" s="54">
        <f t="shared" si="89"/>
        <v>181180.05067229093</v>
      </c>
      <c r="AQ34" s="54">
        <f t="shared" si="89"/>
        <v>176890.53538067063</v>
      </c>
      <c r="AR34" s="54">
        <f t="shared" si="89"/>
        <v>171977.64081818159</v>
      </c>
      <c r="AS34" s="54">
        <f t="shared" si="89"/>
        <v>165760.97870850415</v>
      </c>
      <c r="AT34" s="54">
        <f t="shared" si="89"/>
        <v>161054.71197450173</v>
      </c>
      <c r="AU34" s="54">
        <f t="shared" si="89"/>
        <v>157928.21875023824</v>
      </c>
      <c r="AV34" s="54">
        <f t="shared" si="89"/>
        <v>154776.95059145655</v>
      </c>
      <c r="AW34" s="54">
        <f t="shared" si="89"/>
        <v>151934.09105374792</v>
      </c>
      <c r="AX34" s="54">
        <f t="shared" si="89"/>
        <v>150098.61110648708</v>
      </c>
      <c r="AY34" s="54">
        <f t="shared" si="89"/>
        <v>147284.283795745</v>
      </c>
      <c r="AZ34" s="54">
        <f t="shared" ref="AZ34:BI34" si="90">AZ5*AZ10*AZ16</f>
        <v>144710.81046743874</v>
      </c>
      <c r="BA34" s="54">
        <f t="shared" si="90"/>
        <v>141171.08218062852</v>
      </c>
      <c r="BB34" s="54">
        <f t="shared" si="90"/>
        <v>138491.26607932671</v>
      </c>
      <c r="BC34" s="54">
        <f t="shared" si="90"/>
        <v>137085.76973344185</v>
      </c>
      <c r="BD34" s="54">
        <f t="shared" si="90"/>
        <v>137470.75599385955</v>
      </c>
      <c r="BE34" s="54">
        <f t="shared" si="90"/>
        <v>137062.14638616014</v>
      </c>
      <c r="BF34" s="54">
        <f t="shared" si="90"/>
        <v>137672.62013810963</v>
      </c>
      <c r="BG34" s="54">
        <f t="shared" si="90"/>
        <v>138663.68164572254</v>
      </c>
      <c r="BH34" s="54">
        <f t="shared" si="90"/>
        <v>139447.56444918065</v>
      </c>
      <c r="BI34" s="54">
        <f t="shared" si="90"/>
        <v>140541.65085079774</v>
      </c>
      <c r="BJ34" s="55">
        <f t="shared" ref="BJ34:BS34" si="91">BJ5*BJ10*BJ16</f>
        <v>144633.84648982919</v>
      </c>
      <c r="BK34" s="55">
        <f t="shared" si="91"/>
        <v>148845.19588183518</v>
      </c>
      <c r="BL34" s="55">
        <f t="shared" si="91"/>
        <v>153179.16846427677</v>
      </c>
      <c r="BM34" s="55">
        <f t="shared" si="91"/>
        <v>157639.33469532127</v>
      </c>
      <c r="BN34" s="55">
        <f t="shared" si="91"/>
        <v>162229.36899529447</v>
      </c>
      <c r="BO34" s="55">
        <f t="shared" si="91"/>
        <v>166953.05277377914</v>
      </c>
      <c r="BP34" s="55">
        <f t="shared" si="91"/>
        <v>171814.27754485543</v>
      </c>
      <c r="BQ34" s="55">
        <f t="shared" si="91"/>
        <v>176817.04813304803</v>
      </c>
      <c r="BR34" s="55">
        <f t="shared" si="91"/>
        <v>181965.48597262223</v>
      </c>
      <c r="BS34" s="55">
        <f t="shared" si="91"/>
        <v>187263.83250294681</v>
      </c>
      <c r="BT34" s="68">
        <f t="shared" ref="BT34:CH34" si="92">BT5*BT10*BT16</f>
        <v>192716.45266272011</v>
      </c>
      <c r="BU34" s="68">
        <f t="shared" si="92"/>
        <v>198327.83848593937</v>
      </c>
      <c r="BV34" s="68">
        <f t="shared" si="92"/>
        <v>204102.61280257459</v>
      </c>
      <c r="BW34" s="68">
        <f t="shared" si="92"/>
        <v>210045.53304699613</v>
      </c>
      <c r="BX34" s="68">
        <f t="shared" si="92"/>
        <v>216161.49517729355</v>
      </c>
      <c r="BY34" s="68">
        <f t="shared" si="92"/>
        <v>222455.53770871452</v>
      </c>
      <c r="BZ34" s="68">
        <f t="shared" si="92"/>
        <v>228932.84586454678</v>
      </c>
      <c r="CA34" s="68">
        <f t="shared" si="92"/>
        <v>235598.75584786216</v>
      </c>
      <c r="CB34" s="68">
        <f t="shared" si="92"/>
        <v>242458.75923764298</v>
      </c>
      <c r="CC34" s="68">
        <f t="shared" si="92"/>
        <v>249518.50751291119</v>
      </c>
      <c r="CD34" s="68">
        <f t="shared" si="92"/>
        <v>256783.81670858857</v>
      </c>
      <c r="CE34" s="68">
        <f t="shared" si="92"/>
        <v>264260.67220692273</v>
      </c>
      <c r="CF34" s="68">
        <f t="shared" si="92"/>
        <v>271955.23366842669</v>
      </c>
      <c r="CG34" s="68">
        <f t="shared" si="92"/>
        <v>279873.84010639432</v>
      </c>
      <c r="CH34" s="68">
        <f t="shared" si="92"/>
        <v>288023.01510917163</v>
      </c>
      <c r="CI34" s="68">
        <f t="shared" ref="CI34:CM34" si="93">CI5*CI10*CI16</f>
        <v>296409.47221448715</v>
      </c>
      <c r="CJ34" s="68">
        <f t="shared" si="93"/>
        <v>305040.12044026802</v>
      </c>
      <c r="CK34" s="68">
        <f t="shared" si="93"/>
        <v>313922.06997649843</v>
      </c>
      <c r="CL34" s="68">
        <f t="shared" si="93"/>
        <v>323062.63804281037</v>
      </c>
      <c r="CM34" s="68">
        <f t="shared" si="93"/>
        <v>332469.35491663084</v>
      </c>
      <c r="CN34" s="68"/>
      <c r="CO34" s="68"/>
      <c r="CP34" s="68"/>
      <c r="CQ34" s="68"/>
      <c r="CR34" s="68"/>
      <c r="CS34" s="68"/>
      <c r="CT34" s="68"/>
    </row>
    <row r="35" spans="1:98">
      <c r="B35" s="5"/>
      <c r="C35" s="5"/>
      <c r="D35" s="5"/>
      <c r="E35" s="5"/>
      <c r="F35" s="5"/>
      <c r="G35" s="5"/>
      <c r="H35" s="5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</row>
    <row r="36" spans="1:98">
      <c r="A36" s="14" t="s">
        <v>95</v>
      </c>
      <c r="B36" s="6"/>
      <c r="C36" s="6"/>
      <c r="D36" s="6"/>
      <c r="E36" s="6"/>
      <c r="F36" s="6"/>
      <c r="G36" s="6"/>
      <c r="H36" s="6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</row>
    <row r="37" spans="1:98">
      <c r="A37" t="s">
        <v>8</v>
      </c>
      <c r="B37" s="4">
        <f t="shared" ref="B37:F39" si="94">B19/B9</f>
        <v>0.35935426802299869</v>
      </c>
      <c r="C37" s="4">
        <f t="shared" si="94"/>
        <v>0.32248776274114599</v>
      </c>
      <c r="D37" s="4">
        <f t="shared" si="94"/>
        <v>0.30360164370316656</v>
      </c>
      <c r="E37" s="4">
        <f t="shared" si="94"/>
        <v>0.30089691608305685</v>
      </c>
      <c r="F37" s="4">
        <f t="shared" si="94"/>
        <v>0.28932091265019577</v>
      </c>
      <c r="G37" s="4">
        <f t="shared" ref="G37:V37" si="95">G19/G9</f>
        <v>0.27529652950651629</v>
      </c>
      <c r="H37" s="4">
        <f t="shared" si="95"/>
        <v>0.26192703461178674</v>
      </c>
      <c r="I37" s="54">
        <f t="shared" si="95"/>
        <v>0.24620903309962497</v>
      </c>
      <c r="J37" s="54">
        <f t="shared" si="95"/>
        <v>0.23690621193666261</v>
      </c>
      <c r="K37" s="54">
        <f t="shared" si="95"/>
        <v>0.22224350991474279</v>
      </c>
      <c r="L37" s="54">
        <f t="shared" si="95"/>
        <v>0.21957726246665299</v>
      </c>
      <c r="M37" s="54">
        <f t="shared" si="95"/>
        <v>0.2208520179372197</v>
      </c>
      <c r="N37" s="54">
        <f t="shared" si="95"/>
        <v>0.22133270543913353</v>
      </c>
      <c r="O37" s="54">
        <f t="shared" si="95"/>
        <v>0.2120866590649943</v>
      </c>
      <c r="P37" s="54">
        <f t="shared" si="95"/>
        <v>0.21133736929003852</v>
      </c>
      <c r="Q37" s="54">
        <f t="shared" si="95"/>
        <v>0.2002129925452609</v>
      </c>
      <c r="R37" s="471">
        <f t="shared" si="95"/>
        <v>0.19072388383181624</v>
      </c>
      <c r="S37" s="54">
        <f t="shared" si="95"/>
        <v>0.1924191491827982</v>
      </c>
      <c r="T37" s="54">
        <f t="shared" si="95"/>
        <v>0.18242752095553422</v>
      </c>
      <c r="U37" s="54">
        <f t="shared" si="95"/>
        <v>0.17709241636782619</v>
      </c>
      <c r="V37" s="54">
        <f t="shared" si="95"/>
        <v>0.18426838584258598</v>
      </c>
      <c r="W37" s="54">
        <f t="shared" ref="W37:AD37" si="96">W19/W9</f>
        <v>0.18266695613299661</v>
      </c>
      <c r="X37" s="54">
        <f t="shared" si="96"/>
        <v>0.16867208176017956</v>
      </c>
      <c r="Y37" s="54">
        <f t="shared" si="96"/>
        <v>0.1533692280301848</v>
      </c>
      <c r="Z37" s="54">
        <f t="shared" si="96"/>
        <v>0.16841374304363152</v>
      </c>
      <c r="AA37" s="54">
        <f t="shared" si="96"/>
        <v>0.17762975011218043</v>
      </c>
      <c r="AB37" s="54">
        <f t="shared" si="96"/>
        <v>0.1698815992741024</v>
      </c>
      <c r="AC37" s="54">
        <f t="shared" si="96"/>
        <v>0.17228947235116579</v>
      </c>
      <c r="AD37" s="54">
        <f t="shared" si="96"/>
        <v>0.16434665033501686</v>
      </c>
      <c r="AE37" s="54">
        <f>AE19/AE9</f>
        <v>0.16323217466402509</v>
      </c>
      <c r="AF37" s="54">
        <f>AF19/AF9</f>
        <v>0.15305771057608805</v>
      </c>
      <c r="AG37" s="54">
        <f t="shared" ref="AG37:AY37" si="97">AG19/AG9</f>
        <v>0.14849530636797548</v>
      </c>
      <c r="AH37" s="54">
        <f t="shared" si="97"/>
        <v>0.14845099813671755</v>
      </c>
      <c r="AI37" s="54">
        <f t="shared" si="97"/>
        <v>0.14805961917690083</v>
      </c>
      <c r="AJ37" s="54">
        <f t="shared" si="97"/>
        <v>0.14020440579696464</v>
      </c>
      <c r="AK37" s="54">
        <f t="shared" si="97"/>
        <v>0.1392057759788034</v>
      </c>
      <c r="AL37" s="54">
        <f t="shared" si="97"/>
        <v>0.13718728613284123</v>
      </c>
      <c r="AM37" s="54">
        <f t="shared" si="97"/>
        <v>0.13744932971760973</v>
      </c>
      <c r="AN37" s="54">
        <f t="shared" si="97"/>
        <v>0.13707803818329661</v>
      </c>
      <c r="AO37" s="54">
        <f t="shared" si="97"/>
        <v>0.13520850660511335</v>
      </c>
      <c r="AP37" s="54">
        <f t="shared" si="97"/>
        <v>0.12575964947292489</v>
      </c>
      <c r="AQ37" s="54">
        <f t="shared" si="97"/>
        <v>0.1220632927456964</v>
      </c>
      <c r="AR37" s="54">
        <f t="shared" si="97"/>
        <v>0.11894779544423909</v>
      </c>
      <c r="AS37" s="54">
        <f t="shared" si="97"/>
        <v>0.11507992949476296</v>
      </c>
      <c r="AT37" s="54">
        <f t="shared" si="97"/>
        <v>0.11090904928286764</v>
      </c>
      <c r="AU37" s="54">
        <f t="shared" si="97"/>
        <v>0.10912671004394825</v>
      </c>
      <c r="AV37" s="54">
        <f t="shared" si="97"/>
        <v>0.10623819621363023</v>
      </c>
      <c r="AW37" s="54">
        <f t="shared" si="97"/>
        <v>0.10414032586043857</v>
      </c>
      <c r="AX37" s="54">
        <f t="shared" si="97"/>
        <v>0.10892619892766822</v>
      </c>
      <c r="AY37" s="54">
        <f t="shared" si="97"/>
        <v>0.10845450932822268</v>
      </c>
      <c r="AZ37" s="54">
        <f t="shared" ref="AZ37:BI37" si="98">AZ19/AZ9</f>
        <v>0.10055027461499179</v>
      </c>
      <c r="BA37" s="54">
        <f t="shared" si="98"/>
        <v>0.10159675304702312</v>
      </c>
      <c r="BB37" s="54">
        <f t="shared" si="98"/>
        <v>0.1005333359752094</v>
      </c>
      <c r="BC37" s="54">
        <f t="shared" si="98"/>
        <v>0.10203532837845122</v>
      </c>
      <c r="BD37" s="54">
        <f t="shared" si="98"/>
        <v>0.10215419018992211</v>
      </c>
      <c r="BE37" s="54">
        <f t="shared" si="98"/>
        <v>0.10330153406060379</v>
      </c>
      <c r="BF37" s="54">
        <f t="shared" si="98"/>
        <v>0.10400336146935479</v>
      </c>
      <c r="BG37" s="54">
        <f t="shared" si="98"/>
        <v>0.10620284185875523</v>
      </c>
      <c r="BH37" s="54">
        <f t="shared" si="98"/>
        <v>0.10816149980629285</v>
      </c>
      <c r="BI37" s="54">
        <f t="shared" si="98"/>
        <v>0.11078678702029505</v>
      </c>
      <c r="BJ37" s="55">
        <f t="shared" ref="BJ37:BS37" si="99">BJ19/BJ9</f>
        <v>0.16323217466402506</v>
      </c>
      <c r="BK37" s="55">
        <f t="shared" si="99"/>
        <v>0.16323217466402509</v>
      </c>
      <c r="BL37" s="55">
        <f t="shared" si="99"/>
        <v>0.16323217466402506</v>
      </c>
      <c r="BM37" s="55">
        <f t="shared" si="99"/>
        <v>0.16323217466402509</v>
      </c>
      <c r="BN37" s="55">
        <f t="shared" si="99"/>
        <v>0.16323217466402509</v>
      </c>
      <c r="BO37" s="55">
        <f t="shared" si="99"/>
        <v>0.16323217466402509</v>
      </c>
      <c r="BP37" s="55">
        <f t="shared" si="99"/>
        <v>0.16323217466402509</v>
      </c>
      <c r="BQ37" s="55">
        <f t="shared" si="99"/>
        <v>0.16323217466402509</v>
      </c>
      <c r="BR37" s="55">
        <f t="shared" si="99"/>
        <v>0.16323217466402509</v>
      </c>
      <c r="BS37" s="55">
        <f t="shared" si="99"/>
        <v>0.16323217466402509</v>
      </c>
      <c r="BT37" s="68">
        <f t="shared" ref="BT37:CH37" si="100">BT19/BT9</f>
        <v>0.16323217466402509</v>
      </c>
      <c r="BU37" s="68">
        <f t="shared" si="100"/>
        <v>0.16323217466402509</v>
      </c>
      <c r="BV37" s="68">
        <f t="shared" si="100"/>
        <v>0.16323217466402509</v>
      </c>
      <c r="BW37" s="68">
        <f t="shared" si="100"/>
        <v>0.16323217466402509</v>
      </c>
      <c r="BX37" s="68">
        <f t="shared" si="100"/>
        <v>0.16323217466402509</v>
      </c>
      <c r="BY37" s="68">
        <f t="shared" si="100"/>
        <v>0.16323217466402509</v>
      </c>
      <c r="BZ37" s="68">
        <f t="shared" si="100"/>
        <v>0.16323217466402509</v>
      </c>
      <c r="CA37" s="68">
        <f t="shared" si="100"/>
        <v>0.16323217466402509</v>
      </c>
      <c r="CB37" s="68">
        <f t="shared" si="100"/>
        <v>0.16323217466402509</v>
      </c>
      <c r="CC37" s="68">
        <f t="shared" si="100"/>
        <v>0.16323217466402509</v>
      </c>
      <c r="CD37" s="68">
        <f t="shared" si="100"/>
        <v>0.16323217466402509</v>
      </c>
      <c r="CE37" s="68">
        <f t="shared" si="100"/>
        <v>0.16323217466402509</v>
      </c>
      <c r="CF37" s="68">
        <f t="shared" si="100"/>
        <v>0.16323217466402509</v>
      </c>
      <c r="CG37" s="68">
        <f t="shared" si="100"/>
        <v>0.16323217466402509</v>
      </c>
      <c r="CH37" s="68">
        <f t="shared" si="100"/>
        <v>0.16323217466402509</v>
      </c>
      <c r="CI37" s="68">
        <f t="shared" ref="CI37:CM37" si="101">CI19/CI9</f>
        <v>0.16323217466402509</v>
      </c>
      <c r="CJ37" s="68">
        <f t="shared" si="101"/>
        <v>0.16323217466402509</v>
      </c>
      <c r="CK37" s="68">
        <f t="shared" si="101"/>
        <v>0.16323217466402506</v>
      </c>
      <c r="CL37" s="68">
        <f t="shared" si="101"/>
        <v>0.16323217466402509</v>
      </c>
      <c r="CM37" s="68">
        <f t="shared" si="101"/>
        <v>0.16323217466402509</v>
      </c>
      <c r="CN37" s="68"/>
      <c r="CO37" s="68"/>
      <c r="CP37" s="68"/>
      <c r="CQ37" s="68"/>
      <c r="CR37" s="68"/>
      <c r="CS37" s="68"/>
      <c r="CT37" s="68"/>
    </row>
    <row r="38" spans="1:98">
      <c r="A38" t="s">
        <v>9</v>
      </c>
      <c r="B38" s="4">
        <f t="shared" si="94"/>
        <v>0.40627885503231764</v>
      </c>
      <c r="C38" s="4">
        <f t="shared" si="94"/>
        <v>0.33572409583396917</v>
      </c>
      <c r="D38" s="4">
        <f t="shared" si="94"/>
        <v>0.32908268202385849</v>
      </c>
      <c r="E38" s="4">
        <f t="shared" si="94"/>
        <v>0.31554993678887489</v>
      </c>
      <c r="F38" s="4">
        <f t="shared" si="94"/>
        <v>0.3280028014474145</v>
      </c>
      <c r="G38" s="4">
        <f t="shared" ref="G38:V38" si="102">G20/G10</f>
        <v>0.38308965204578938</v>
      </c>
      <c r="H38" s="4">
        <f t="shared" si="102"/>
        <v>0.36308792313707966</v>
      </c>
      <c r="I38" s="54">
        <f t="shared" si="102"/>
        <v>0.34888397345666605</v>
      </c>
      <c r="J38" s="54">
        <f t="shared" si="102"/>
        <v>0.34114583333333326</v>
      </c>
      <c r="K38" s="54">
        <f t="shared" si="102"/>
        <v>0.37078757157608183</v>
      </c>
      <c r="L38" s="54">
        <f t="shared" si="102"/>
        <v>0.32801595214356927</v>
      </c>
      <c r="M38" s="54">
        <f t="shared" si="102"/>
        <v>0.3184150008844861</v>
      </c>
      <c r="N38" s="54">
        <f t="shared" si="102"/>
        <v>0.33722559551611397</v>
      </c>
      <c r="O38" s="54">
        <f t="shared" si="102"/>
        <v>0.33146067415730335</v>
      </c>
      <c r="P38" s="54">
        <f t="shared" si="102"/>
        <v>0.31326139923424989</v>
      </c>
      <c r="Q38" s="54">
        <f t="shared" si="102"/>
        <v>0.34016572176188398</v>
      </c>
      <c r="R38" s="54">
        <f t="shared" si="102"/>
        <v>0.30808204625316665</v>
      </c>
      <c r="S38" s="54">
        <f t="shared" si="102"/>
        <v>0.31362081908416051</v>
      </c>
      <c r="T38" s="54">
        <f t="shared" si="102"/>
        <v>0.3230127903992176</v>
      </c>
      <c r="U38" s="54">
        <f t="shared" si="102"/>
        <v>0.32114179465796927</v>
      </c>
      <c r="V38" s="54">
        <f t="shared" si="102"/>
        <v>0.32388808284065795</v>
      </c>
      <c r="W38" s="54">
        <f t="shared" ref="W38:AE38" si="103">W20/W10</f>
        <v>0.31653393870368823</v>
      </c>
      <c r="X38" s="54">
        <f t="shared" si="103"/>
        <v>0.31396681173927082</v>
      </c>
      <c r="Y38" s="54">
        <f t="shared" si="103"/>
        <v>0.30601067149469513</v>
      </c>
      <c r="Z38" s="54">
        <f t="shared" si="103"/>
        <v>0.31964480322081906</v>
      </c>
      <c r="AA38" s="54">
        <f t="shared" si="103"/>
        <v>0.32611018568100575</v>
      </c>
      <c r="AB38" s="54">
        <f t="shared" si="103"/>
        <v>0.32752382037467714</v>
      </c>
      <c r="AC38" s="54">
        <f t="shared" si="103"/>
        <v>0.33208788480613027</v>
      </c>
      <c r="AD38" s="54">
        <f t="shared" si="103"/>
        <v>0.32977400035273879</v>
      </c>
      <c r="AE38" s="54">
        <f t="shared" si="103"/>
        <v>0.33003052153047174</v>
      </c>
      <c r="AF38" s="54">
        <f t="shared" ref="AF38:AY38" si="104">AF20/AF10</f>
        <v>0.32874099359684467</v>
      </c>
      <c r="AG38" s="54">
        <f t="shared" si="104"/>
        <v>0.33857786431264303</v>
      </c>
      <c r="AH38" s="54">
        <f t="shared" si="104"/>
        <v>0.33740587275287537</v>
      </c>
      <c r="AI38" s="54">
        <f t="shared" si="104"/>
        <v>0.33076463678433471</v>
      </c>
      <c r="AJ38" s="54">
        <f t="shared" si="104"/>
        <v>0.31306966169266115</v>
      </c>
      <c r="AK38" s="54">
        <f t="shared" si="104"/>
        <v>0.30267870075357206</v>
      </c>
      <c r="AL38" s="54">
        <f t="shared" si="104"/>
        <v>0.29306680319621892</v>
      </c>
      <c r="AM38" s="54">
        <f t="shared" si="104"/>
        <v>0.28216661594580267</v>
      </c>
      <c r="AN38" s="54">
        <f t="shared" si="104"/>
        <v>0.26999071889168014</v>
      </c>
      <c r="AO38" s="54">
        <f t="shared" si="104"/>
        <v>0.26356624170812187</v>
      </c>
      <c r="AP38" s="54">
        <f t="shared" si="104"/>
        <v>0.24680854738630167</v>
      </c>
      <c r="AQ38" s="54">
        <f t="shared" si="104"/>
        <v>0.23939995352403098</v>
      </c>
      <c r="AR38" s="54">
        <f t="shared" si="104"/>
        <v>0.23049653102812206</v>
      </c>
      <c r="AS38" s="54">
        <f t="shared" si="104"/>
        <v>0.22441723112621975</v>
      </c>
      <c r="AT38" s="54">
        <f t="shared" si="104"/>
        <v>0.21165024748750058</v>
      </c>
      <c r="AU38" s="54">
        <f t="shared" si="104"/>
        <v>0.19537022020262504</v>
      </c>
      <c r="AV38" s="54">
        <f t="shared" si="104"/>
        <v>0.18199352027515869</v>
      </c>
      <c r="AW38" s="54">
        <f t="shared" si="104"/>
        <v>0.16991677382942513</v>
      </c>
      <c r="AX38" s="54">
        <f t="shared" si="104"/>
        <v>0.15570943710522686</v>
      </c>
      <c r="AY38" s="54">
        <f t="shared" si="104"/>
        <v>0.137270793479182</v>
      </c>
      <c r="AZ38" s="54">
        <f t="shared" ref="AZ38:BI38" si="105">AZ20/AZ10</f>
        <v>0.11893053923032451</v>
      </c>
      <c r="BA38" s="54">
        <f t="shared" si="105"/>
        <v>0.11018388737550322</v>
      </c>
      <c r="BB38" s="54">
        <f t="shared" si="105"/>
        <v>0.10685208174166136</v>
      </c>
      <c r="BC38" s="54">
        <f t="shared" si="105"/>
        <v>0.10648018362033973</v>
      </c>
      <c r="BD38" s="54">
        <f t="shared" si="105"/>
        <v>0.1061346622389194</v>
      </c>
      <c r="BE38" s="54">
        <f t="shared" si="105"/>
        <v>0.10553385865221358</v>
      </c>
      <c r="BF38" s="54">
        <f t="shared" si="105"/>
        <v>0.10418353495711462</v>
      </c>
      <c r="BG38" s="54">
        <f t="shared" si="105"/>
        <v>0.10175282457685164</v>
      </c>
      <c r="BH38" s="54">
        <f t="shared" si="105"/>
        <v>0.10029065552197587</v>
      </c>
      <c r="BI38" s="54">
        <f t="shared" si="105"/>
        <v>9.8385901583959684E-2</v>
      </c>
      <c r="BJ38" s="55">
        <f t="shared" ref="BJ38:BS38" si="106">BJ20/BJ10</f>
        <v>0.33003052153047174</v>
      </c>
      <c r="BK38" s="55">
        <f t="shared" si="106"/>
        <v>0.33003052153047174</v>
      </c>
      <c r="BL38" s="55">
        <f t="shared" si="106"/>
        <v>0.33003052153047174</v>
      </c>
      <c r="BM38" s="55">
        <f t="shared" si="106"/>
        <v>0.33003052153047174</v>
      </c>
      <c r="BN38" s="55">
        <f t="shared" si="106"/>
        <v>0.33003052153047174</v>
      </c>
      <c r="BO38" s="55">
        <f t="shared" si="106"/>
        <v>0.33003052153047174</v>
      </c>
      <c r="BP38" s="55">
        <f t="shared" si="106"/>
        <v>0.33003052153047174</v>
      </c>
      <c r="BQ38" s="55">
        <f t="shared" si="106"/>
        <v>0.33003052153047174</v>
      </c>
      <c r="BR38" s="55">
        <f t="shared" si="106"/>
        <v>0.33003052153047174</v>
      </c>
      <c r="BS38" s="55">
        <f t="shared" si="106"/>
        <v>0.33003052153047174</v>
      </c>
      <c r="BT38" s="68">
        <f t="shared" ref="BT38:CH38" si="107">BT20/BT10</f>
        <v>0.33003052153047174</v>
      </c>
      <c r="BU38" s="68">
        <f t="shared" si="107"/>
        <v>0.33003052153047174</v>
      </c>
      <c r="BV38" s="68">
        <f t="shared" si="107"/>
        <v>0.33003052153047174</v>
      </c>
      <c r="BW38" s="68">
        <f t="shared" si="107"/>
        <v>0.33003052153047174</v>
      </c>
      <c r="BX38" s="68">
        <f t="shared" si="107"/>
        <v>0.33003052153047174</v>
      </c>
      <c r="BY38" s="68">
        <f t="shared" si="107"/>
        <v>0.33003052153047174</v>
      </c>
      <c r="BZ38" s="68">
        <f t="shared" si="107"/>
        <v>0.33003052153047174</v>
      </c>
      <c r="CA38" s="68">
        <f t="shared" si="107"/>
        <v>0.33003052153047174</v>
      </c>
      <c r="CB38" s="68">
        <f t="shared" si="107"/>
        <v>0.33003052153047174</v>
      </c>
      <c r="CC38" s="68">
        <f t="shared" si="107"/>
        <v>0.33003052153047174</v>
      </c>
      <c r="CD38" s="68">
        <f t="shared" si="107"/>
        <v>0.33003052153047174</v>
      </c>
      <c r="CE38" s="68">
        <f t="shared" si="107"/>
        <v>0.33003052153047174</v>
      </c>
      <c r="CF38" s="68">
        <f t="shared" si="107"/>
        <v>0.33003052153047174</v>
      </c>
      <c r="CG38" s="68">
        <f t="shared" si="107"/>
        <v>0.33003052153047174</v>
      </c>
      <c r="CH38" s="68">
        <f t="shared" si="107"/>
        <v>0.33003052153047174</v>
      </c>
      <c r="CI38" s="68">
        <f t="shared" ref="CI38:CM38" si="108">CI20/CI10</f>
        <v>0.33003052153047174</v>
      </c>
      <c r="CJ38" s="68">
        <f t="shared" si="108"/>
        <v>0.33003052153047174</v>
      </c>
      <c r="CK38" s="68">
        <f t="shared" si="108"/>
        <v>0.33003052153047174</v>
      </c>
      <c r="CL38" s="68">
        <f t="shared" si="108"/>
        <v>0.33003052153047174</v>
      </c>
      <c r="CM38" s="68">
        <f t="shared" si="108"/>
        <v>0.33003052153047174</v>
      </c>
      <c r="CN38" s="68"/>
      <c r="CO38" s="68"/>
      <c r="CP38" s="68"/>
      <c r="CQ38" s="68"/>
      <c r="CR38" s="68"/>
      <c r="CS38" s="68"/>
      <c r="CT38" s="68"/>
    </row>
    <row r="39" spans="1:98">
      <c r="A39" t="s">
        <v>10</v>
      </c>
      <c r="B39" s="4">
        <f t="shared" si="94"/>
        <v>0.22905364677516576</v>
      </c>
      <c r="C39" s="4">
        <f>C21/C11</f>
        <v>0.20397489539748953</v>
      </c>
      <c r="D39" s="4">
        <f t="shared" si="94"/>
        <v>0.18865492049849591</v>
      </c>
      <c r="E39" s="4">
        <f t="shared" si="94"/>
        <v>0.18915284625728371</v>
      </c>
      <c r="F39" s="4">
        <f t="shared" si="94"/>
        <v>0.18897306397306396</v>
      </c>
      <c r="G39" s="4">
        <f t="shared" ref="G39:V39" si="109">G21/G11</f>
        <v>0.22194821208384713</v>
      </c>
      <c r="H39" s="4">
        <f t="shared" si="109"/>
        <v>0.20242914979757087</v>
      </c>
      <c r="I39" s="54">
        <f t="shared" si="109"/>
        <v>0.19175455417066156</v>
      </c>
      <c r="J39" s="54">
        <f t="shared" si="109"/>
        <v>0.22112149532710276</v>
      </c>
      <c r="K39" s="54">
        <f t="shared" si="109"/>
        <v>0.23326572008113589</v>
      </c>
      <c r="L39" s="54">
        <f t="shared" si="109"/>
        <v>0.22977501196744851</v>
      </c>
      <c r="M39" s="54">
        <f t="shared" si="109"/>
        <v>0.24128686327077747</v>
      </c>
      <c r="N39" s="54">
        <f t="shared" si="109"/>
        <v>0.22109626900046059</v>
      </c>
      <c r="O39" s="54">
        <f t="shared" si="109"/>
        <v>0.25617566331198532</v>
      </c>
      <c r="P39" s="54">
        <f t="shared" si="109"/>
        <v>0.23561395559583145</v>
      </c>
      <c r="Q39" s="54">
        <f t="shared" si="109"/>
        <v>0.23518769787426505</v>
      </c>
      <c r="R39" s="54">
        <f t="shared" si="109"/>
        <v>0.21719457013574658</v>
      </c>
      <c r="S39" s="54">
        <f t="shared" si="109"/>
        <v>0.23145961265942372</v>
      </c>
      <c r="T39" s="54">
        <f t="shared" si="109"/>
        <v>0.24079768895434378</v>
      </c>
      <c r="U39" s="54">
        <f t="shared" si="109"/>
        <v>0.23068067760914082</v>
      </c>
      <c r="V39" s="54">
        <f t="shared" si="109"/>
        <v>0.22494558782887983</v>
      </c>
      <c r="W39" s="54">
        <f t="shared" ref="W39:AE39" si="110">W21/W11</f>
        <v>0.22520563024909498</v>
      </c>
      <c r="X39" s="54">
        <f t="shared" si="110"/>
        <v>0.22707479885441725</v>
      </c>
      <c r="Y39" s="54">
        <f t="shared" si="110"/>
        <v>0.21920122140652856</v>
      </c>
      <c r="Z39" s="54">
        <f t="shared" si="110"/>
        <v>0.17973978519067163</v>
      </c>
      <c r="AA39" s="54">
        <f t="shared" si="110"/>
        <v>0.17526219682445912</v>
      </c>
      <c r="AB39" s="54">
        <f t="shared" si="110"/>
        <v>0.16587269385716025</v>
      </c>
      <c r="AC39" s="54">
        <f t="shared" si="110"/>
        <v>0.14588190799394071</v>
      </c>
      <c r="AD39" s="54">
        <f t="shared" si="110"/>
        <v>0.14090712715821965</v>
      </c>
      <c r="AE39" s="54">
        <f t="shared" si="110"/>
        <v>0.14044806357477721</v>
      </c>
      <c r="AF39" s="54">
        <f t="shared" ref="AF39:AY39" si="111">AF21/AF11</f>
        <v>0.16008990341540788</v>
      </c>
      <c r="AG39" s="54">
        <f t="shared" si="111"/>
        <v>0.17521611022914435</v>
      </c>
      <c r="AH39" s="54">
        <f t="shared" si="111"/>
        <v>0.17690383643932434</v>
      </c>
      <c r="AI39" s="54">
        <f t="shared" si="111"/>
        <v>0.1633218171523271</v>
      </c>
      <c r="AJ39" s="54">
        <f t="shared" si="111"/>
        <v>0.15333335110758367</v>
      </c>
      <c r="AK39" s="54">
        <f t="shared" si="111"/>
        <v>0.16429343068285793</v>
      </c>
      <c r="AL39" s="54">
        <f t="shared" si="111"/>
        <v>0.18384672552513273</v>
      </c>
      <c r="AM39" s="54">
        <f t="shared" si="111"/>
        <v>0.20477463769414084</v>
      </c>
      <c r="AN39" s="54">
        <f t="shared" si="111"/>
        <v>0.21564473136357185</v>
      </c>
      <c r="AO39" s="54">
        <f t="shared" si="111"/>
        <v>0.22411959699038417</v>
      </c>
      <c r="AP39" s="54">
        <f t="shared" si="111"/>
        <v>0.24450717223946922</v>
      </c>
      <c r="AQ39" s="54">
        <f t="shared" si="111"/>
        <v>0.26605068686709166</v>
      </c>
      <c r="AR39" s="54">
        <f t="shared" si="111"/>
        <v>0.28232696432447651</v>
      </c>
      <c r="AS39" s="54">
        <f t="shared" si="111"/>
        <v>0.30444270547539792</v>
      </c>
      <c r="AT39" s="54">
        <f t="shared" si="111"/>
        <v>0.32012450730855646</v>
      </c>
      <c r="AU39" s="54">
        <f t="shared" si="111"/>
        <v>0.36531180514087747</v>
      </c>
      <c r="AV39" s="54">
        <f t="shared" si="111"/>
        <v>0.35555222949396126</v>
      </c>
      <c r="AW39" s="54">
        <f t="shared" si="111"/>
        <v>0.43337644188260432</v>
      </c>
      <c r="AX39" s="54">
        <f t="shared" si="111"/>
        <v>0.50922884861838302</v>
      </c>
      <c r="AY39" s="54">
        <f t="shared" si="111"/>
        <v>0.52163241282582273</v>
      </c>
      <c r="AZ39" s="54">
        <f t="shared" ref="AZ39:BI39" si="112">AZ21/AZ11</f>
        <v>0.55741751010591545</v>
      </c>
      <c r="BA39" s="54">
        <f t="shared" si="112"/>
        <v>0.7409191695657017</v>
      </c>
      <c r="BB39" s="54">
        <f t="shared" si="112"/>
        <v>0.80702743923967046</v>
      </c>
      <c r="BC39" s="54">
        <f t="shared" si="112"/>
        <v>0.95292007099389053</v>
      </c>
      <c r="BD39" s="54">
        <f t="shared" si="112"/>
        <v>1.180607341572907</v>
      </c>
      <c r="BE39" s="54">
        <f t="shared" si="112"/>
        <v>1.3252570030977491</v>
      </c>
      <c r="BF39" s="54">
        <f t="shared" si="112"/>
        <v>1.7700692077348485</v>
      </c>
      <c r="BG39" s="54">
        <f t="shared" si="112"/>
        <v>1.090131943659896</v>
      </c>
      <c r="BH39" s="54">
        <f t="shared" si="112"/>
        <v>0.38193864144081413</v>
      </c>
      <c r="BI39" s="54">
        <f t="shared" si="112"/>
        <v>4.1628608394197748E-8</v>
      </c>
      <c r="BJ39" s="55">
        <f t="shared" ref="BJ39:BS39" si="113">BJ21/BJ11</f>
        <v>0.14044806357477721</v>
      </c>
      <c r="BK39" s="55">
        <f t="shared" si="113"/>
        <v>0.14044806357477721</v>
      </c>
      <c r="BL39" s="55">
        <f t="shared" si="113"/>
        <v>0.14044806357477721</v>
      </c>
      <c r="BM39" s="55">
        <f t="shared" si="113"/>
        <v>0.14044806357477721</v>
      </c>
      <c r="BN39" s="55">
        <f t="shared" si="113"/>
        <v>0.14044806357477721</v>
      </c>
      <c r="BO39" s="55">
        <f t="shared" si="113"/>
        <v>0.14044806357477721</v>
      </c>
      <c r="BP39" s="55">
        <f t="shared" si="113"/>
        <v>0.14044806357477721</v>
      </c>
      <c r="BQ39" s="55">
        <f t="shared" si="113"/>
        <v>0.14044806357477721</v>
      </c>
      <c r="BR39" s="55">
        <f t="shared" si="113"/>
        <v>0.14044806357477721</v>
      </c>
      <c r="BS39" s="55">
        <f t="shared" si="113"/>
        <v>0.14044806357477721</v>
      </c>
      <c r="BT39" s="68">
        <f t="shared" ref="BT39:CH39" si="114">BT21/BT11</f>
        <v>0.14044806357477721</v>
      </c>
      <c r="BU39" s="68">
        <f t="shared" si="114"/>
        <v>0.14044806357477721</v>
      </c>
      <c r="BV39" s="68">
        <f t="shared" si="114"/>
        <v>0.14044806357477721</v>
      </c>
      <c r="BW39" s="68">
        <f t="shared" si="114"/>
        <v>0.14044806357477721</v>
      </c>
      <c r="BX39" s="68">
        <f t="shared" si="114"/>
        <v>0.14044806357477721</v>
      </c>
      <c r="BY39" s="68">
        <f t="shared" si="114"/>
        <v>0.14044806357477721</v>
      </c>
      <c r="BZ39" s="68">
        <f t="shared" si="114"/>
        <v>0.14044806357477721</v>
      </c>
      <c r="CA39" s="68">
        <f t="shared" si="114"/>
        <v>0.14044806357477721</v>
      </c>
      <c r="CB39" s="68">
        <f t="shared" si="114"/>
        <v>0.14044806357477721</v>
      </c>
      <c r="CC39" s="68">
        <f t="shared" si="114"/>
        <v>0.14044806357477721</v>
      </c>
      <c r="CD39" s="68">
        <f t="shared" si="114"/>
        <v>0.14044806357477721</v>
      </c>
      <c r="CE39" s="68">
        <f t="shared" si="114"/>
        <v>0.14044806357477721</v>
      </c>
      <c r="CF39" s="68">
        <f t="shared" si="114"/>
        <v>0.14044806357477721</v>
      </c>
      <c r="CG39" s="68">
        <f t="shared" si="114"/>
        <v>0.14044806357477721</v>
      </c>
      <c r="CH39" s="68">
        <f t="shared" si="114"/>
        <v>0.14044806357477718</v>
      </c>
      <c r="CI39" s="68">
        <f t="shared" ref="CI39:CM39" si="115">CI21/CI11</f>
        <v>0.14044806357477721</v>
      </c>
      <c r="CJ39" s="68">
        <f t="shared" si="115"/>
        <v>0.14044806357477721</v>
      </c>
      <c r="CK39" s="68">
        <f t="shared" si="115"/>
        <v>0.14044806357477721</v>
      </c>
      <c r="CL39" s="68">
        <f t="shared" si="115"/>
        <v>0.14044806357477721</v>
      </c>
      <c r="CM39" s="68">
        <f t="shared" si="115"/>
        <v>0.14044806357477721</v>
      </c>
      <c r="CN39" s="68"/>
      <c r="CO39" s="68"/>
      <c r="CP39" s="68"/>
      <c r="CQ39" s="68"/>
      <c r="CR39" s="68"/>
      <c r="CS39" s="68"/>
      <c r="CT39" s="68"/>
    </row>
    <row r="40" spans="1:98">
      <c r="B40" s="15"/>
      <c r="C40" s="15"/>
      <c r="D40" s="15"/>
      <c r="E40" s="15"/>
      <c r="F40" s="15"/>
      <c r="G40" s="15"/>
      <c r="H40" s="15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</row>
    <row r="41" spans="1:98">
      <c r="A41" s="14" t="s">
        <v>163</v>
      </c>
      <c r="B41" s="15"/>
      <c r="C41" s="15"/>
      <c r="D41" s="15"/>
      <c r="E41" s="15"/>
      <c r="F41" s="15"/>
      <c r="G41" s="15"/>
      <c r="H41" s="15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</row>
    <row r="42" spans="1:98">
      <c r="A42" t="s">
        <v>14</v>
      </c>
      <c r="B42" s="46">
        <f>KVARTS!F359+KVARTS!F361</f>
        <v>259606.96961991681</v>
      </c>
      <c r="C42" s="46">
        <f>KVARTS!G359+KVARTS!G361</f>
        <v>219459.05283924454</v>
      </c>
      <c r="D42" s="46">
        <f>KVARTS!H359+KVARTS!H361</f>
        <v>248373.21919785239</v>
      </c>
      <c r="E42" s="46">
        <f>KVARTS!I359+KVARTS!I361</f>
        <v>284267.81855844625</v>
      </c>
      <c r="F42" s="46">
        <f>KVARTS!J359+KVARTS!J361</f>
        <v>351347.68602038611</v>
      </c>
      <c r="G42" s="46">
        <f>KVARTS!K359+KVARTS!K361</f>
        <v>420882.6860283491</v>
      </c>
      <c r="H42" s="46">
        <f>KVARTS!L359+KVARTS!L361</f>
        <v>393341.58392531553</v>
      </c>
      <c r="I42" s="54">
        <f>KVARTS!M359+KVARTS!M361</f>
        <v>461868.69601403904</v>
      </c>
      <c r="J42" s="54">
        <f>KVARTS!N359+KVARTS!N361</f>
        <v>291783.67320505896</v>
      </c>
      <c r="K42" s="54">
        <f>KVARTS!O359+KVARTS!O361</f>
        <v>338413.56849671266</v>
      </c>
      <c r="L42" s="54">
        <f>KVARTS!P359+KVARTS!P361</f>
        <v>409968.68247110862</v>
      </c>
      <c r="M42" s="54">
        <f>KVARTS!Q359+KVARTS!Q361</f>
        <v>404406.94081999187</v>
      </c>
      <c r="N42" s="54">
        <f>KVARTS!R359+KVARTS!R361</f>
        <v>387888.62656475883</v>
      </c>
      <c r="O42" s="54">
        <f>KVARTS!S359+KVARTS!S361</f>
        <v>369659.67534525553</v>
      </c>
      <c r="P42" s="54">
        <f>KVARTS!T359+KVARTS!T361</f>
        <v>63826166.709582917</v>
      </c>
      <c r="Q42" s="54">
        <f>KVARTS!U359+KVARTS!U361</f>
        <v>46426722546.610954</v>
      </c>
      <c r="R42" s="54">
        <f>KVARTS!V359+KVARTS!V361</f>
        <v>47232618976835.313</v>
      </c>
      <c r="S42" s="54">
        <f>KVARTS!W359+KVARTS!W361</f>
        <v>4.2110037676397712E+16</v>
      </c>
      <c r="T42" s="54">
        <f>KVARTS!X359+KVARTS!X361</f>
        <v>2.6636636023229837E+19</v>
      </c>
      <c r="U42" s="54">
        <f>KVARTS!Y359+KVARTS!Y361</f>
        <v>1.2492272129190262E+22</v>
      </c>
      <c r="V42" s="54">
        <f>KVARTS!Z359+KVARTS!Z361</f>
        <v>1.3731960205378077E+25</v>
      </c>
      <c r="W42" s="54">
        <f>KVARTS!AA359+KVARTS!AA361</f>
        <v>5.0889362374208022E+28</v>
      </c>
      <c r="X42" s="54">
        <f>KVARTS!AB359+KVARTS!AB361</f>
        <v>2.5869274268089787E+32</v>
      </c>
      <c r="Y42" s="54">
        <f>KVARTS!AC359+KVARTS!AC361</f>
        <v>1.6161279395735047E+36</v>
      </c>
      <c r="Z42" s="54">
        <f>KVARTS!AD359+KVARTS!AD361</f>
        <v>1.395590548540903E+36</v>
      </c>
      <c r="AA42" s="54">
        <f>KVARTS!AE359+KVARTS!AE361</f>
        <v>1.2478466190726701E+36</v>
      </c>
      <c r="AB42" s="54">
        <f>KVARTS!AF359+KVARTS!AF361</f>
        <v>1.1915170754680811E+36</v>
      </c>
      <c r="AC42" s="54">
        <f>KVARTS!AG359+KVARTS!AG361</f>
        <v>1.0795782607764201E+36</v>
      </c>
      <c r="AD42" s="54">
        <f>KVARTS!AH359+KVARTS!AH361</f>
        <v>9.8313164815895295E+35</v>
      </c>
      <c r="AE42" s="54">
        <f>KVARTS!AI359+KVARTS!AI361</f>
        <v>9.2044924278577392E+35</v>
      </c>
      <c r="AF42" s="54">
        <f>KVARTS!AJ359+KVARTS!AJ361</f>
        <v>9.3611118578902101E+35</v>
      </c>
      <c r="AG42" s="54">
        <f>KVARTS!AK359+KVARTS!AK361</f>
        <v>9.671025979683484E+35</v>
      </c>
      <c r="AH42" s="54">
        <f>KVARTS!AL359+KVARTS!AL361</f>
        <v>9.9259647982995047E+35</v>
      </c>
      <c r="AI42" s="54">
        <f>KVARTS!AM359+KVARTS!AM361</f>
        <v>1.0389573893294608E+36</v>
      </c>
      <c r="AJ42" s="54">
        <f>KVARTS!AN359+KVARTS!AN361</f>
        <v>1.0786063687649369E+36</v>
      </c>
      <c r="AK42" s="54">
        <f>KVARTS!AO359+KVARTS!AO361</f>
        <v>1.0817512714724282E+36</v>
      </c>
      <c r="AL42" s="54">
        <f>KVARTS!AP359+KVARTS!AP361</f>
        <v>1.079569162683084E+36</v>
      </c>
      <c r="AM42" s="54">
        <f>KVARTS!AQ359+KVARTS!AQ361</f>
        <v>1.0596215714809847E+36</v>
      </c>
      <c r="AN42" s="54">
        <f>KVARTS!AR359+KVARTS!AR361</f>
        <v>1.0439855576340419E+36</v>
      </c>
      <c r="AO42" s="54">
        <f>KVARTS!AS359+KVARTS!AS361</f>
        <v>1.0307010019234888E+36</v>
      </c>
      <c r="AP42" s="54">
        <f>KVARTS!AT359+KVARTS!AT361</f>
        <v>1.0230400655178358E+36</v>
      </c>
      <c r="AQ42" s="54">
        <f>KVARTS!AU359+KVARTS!AU361</f>
        <v>1.01016943819648E+36</v>
      </c>
      <c r="AR42" s="54">
        <f>KVARTS!AV359+KVARTS!AV361</f>
        <v>9.9880460704383132E+35</v>
      </c>
      <c r="AS42" s="54">
        <f>KVARTS!AW359+KVARTS!AW361</f>
        <v>9.9360980955070858E+35</v>
      </c>
      <c r="AT42" s="54">
        <f>KVARTS!AX359+KVARTS!AX361</f>
        <v>9.789021519217764E+35</v>
      </c>
      <c r="AU42" s="54">
        <f>KVARTS!AY359+KVARTS!AY361</f>
        <v>9.6802497800874037E+35</v>
      </c>
      <c r="AV42" s="54">
        <f>KVARTS!AZ359+KVARTS!AZ361</f>
        <v>9.5217887313116578E+35</v>
      </c>
      <c r="AW42" s="54">
        <f>KVARTS!BA359+KVARTS!BA361</f>
        <v>9.4526289844643561E+35</v>
      </c>
      <c r="AX42" s="54">
        <f>KVARTS!BB359+KVARTS!BB361</f>
        <v>9.2776268926058538E+35</v>
      </c>
      <c r="AY42" s="54">
        <f>KVARTS!BC359+KVARTS!BC361</f>
        <v>9.1143312800015307E+35</v>
      </c>
      <c r="AZ42" s="54">
        <f>KVARTS!BD359+KVARTS!BD361</f>
        <v>9.0112735821034923E+35</v>
      </c>
      <c r="BA42" s="54">
        <f>KVARTS!BE359+KVARTS!BE361</f>
        <v>8.8585207464657129E+35</v>
      </c>
      <c r="BB42" s="54">
        <f>KVARTS!BF359+KVARTS!BF361</f>
        <v>8.7289608217383999E+35</v>
      </c>
      <c r="BC42" s="54">
        <f>KVARTS!BG359+KVARTS!BG361</f>
        <v>8.5629973128102972E+35</v>
      </c>
      <c r="BD42" s="54">
        <f>KVARTS!BH359+KVARTS!BH361</f>
        <v>8.3651372947011945E+35</v>
      </c>
      <c r="BE42" s="54">
        <f>KVARTS!BI359+KVARTS!BI361</f>
        <v>8.1904522410452296E+35</v>
      </c>
      <c r="BF42" s="54">
        <f>KVARTS!BJ359+KVARTS!BJ361</f>
        <v>7.9975819105040562E+35</v>
      </c>
      <c r="BG42" s="54">
        <f>KVARTS!BK359+KVARTS!BK361</f>
        <v>7.7202665723837834E+35</v>
      </c>
      <c r="BH42" s="54">
        <f>KVARTS!BL359+KVARTS!BL361</f>
        <v>7.4660603829604527E+35</v>
      </c>
      <c r="BI42" s="54">
        <f>KVARTS!BM359+KVARTS!BM361</f>
        <v>7.1907049123069369E+35</v>
      </c>
      <c r="BJ42" s="58">
        <f t="shared" ref="BJ42:BS42" si="116">BJ12*BJ15*BJ2+BJ6*BJ11</f>
        <v>202183.24086877829</v>
      </c>
      <c r="BK42" s="58">
        <f t="shared" si="116"/>
        <v>211765.19693494742</v>
      </c>
      <c r="BL42" s="58">
        <f t="shared" si="116"/>
        <v>222555.90696176165</v>
      </c>
      <c r="BM42" s="58">
        <f t="shared" si="116"/>
        <v>235575.98375311494</v>
      </c>
      <c r="BN42" s="58">
        <f t="shared" si="116"/>
        <v>253082.98784758078</v>
      </c>
      <c r="BO42" s="58">
        <f t="shared" si="116"/>
        <v>280094.79187098116</v>
      </c>
      <c r="BP42" s="58">
        <f t="shared" si="116"/>
        <v>327790.13574234792</v>
      </c>
      <c r="BQ42" s="58">
        <f t="shared" si="116"/>
        <v>421099.62037348421</v>
      </c>
      <c r="BR42" s="58">
        <f t="shared" si="116"/>
        <v>615650.98665272025</v>
      </c>
      <c r="BS42" s="58">
        <f t="shared" si="116"/>
        <v>1035595.8994673137</v>
      </c>
      <c r="BT42" s="58">
        <f t="shared" ref="BT42:CH42" si="117">BT12*BT15*BT2+BT6*BT11</f>
        <v>1958050.3704170072</v>
      </c>
      <c r="BU42" s="58">
        <f t="shared" si="117"/>
        <v>4001590.4849111396</v>
      </c>
      <c r="BV42" s="58">
        <f t="shared" si="117"/>
        <v>8547030.0706177074</v>
      </c>
      <c r="BW42" s="58">
        <f t="shared" si="117"/>
        <v>18676719.750993744</v>
      </c>
      <c r="BX42" s="58">
        <f t="shared" si="117"/>
        <v>41271337.734353207</v>
      </c>
      <c r="BY42" s="58">
        <f t="shared" si="117"/>
        <v>91690541.477112919</v>
      </c>
      <c r="BZ42" s="58">
        <f t="shared" si="117"/>
        <v>204221554.28395718</v>
      </c>
      <c r="CA42" s="58">
        <f t="shared" si="117"/>
        <v>455403473.57597035</v>
      </c>
      <c r="CB42" s="58">
        <f t="shared" si="117"/>
        <v>1016093964.4843793</v>
      </c>
      <c r="CC42" s="58">
        <f t="shared" si="117"/>
        <v>2267697383.4249783</v>
      </c>
      <c r="CD42" s="58">
        <f t="shared" si="117"/>
        <v>5061620022.5476274</v>
      </c>
      <c r="CE42" s="58">
        <f t="shared" si="117"/>
        <v>11298450275.537731</v>
      </c>
      <c r="CF42" s="58">
        <f t="shared" si="117"/>
        <v>25220858556.419304</v>
      </c>
      <c r="CG42" s="58">
        <f t="shared" si="117"/>
        <v>56299728936.648674</v>
      </c>
      <c r="CH42" s="58">
        <f t="shared" si="117"/>
        <v>125676851039.22105</v>
      </c>
      <c r="CI42" s="58">
        <f t="shared" ref="CI42:CM42" si="118">CI12*CI15*CI2+CI6*CI11</f>
        <v>280546897045.26599</v>
      </c>
      <c r="CJ42" s="58">
        <f t="shared" si="118"/>
        <v>626262210502.61304</v>
      </c>
      <c r="CK42" s="58">
        <f t="shared" si="118"/>
        <v>1398000106584.4119</v>
      </c>
      <c r="CL42" s="58">
        <f t="shared" si="118"/>
        <v>3120745295801.3467</v>
      </c>
      <c r="CM42" s="58">
        <f t="shared" si="118"/>
        <v>6966417553168.5039</v>
      </c>
      <c r="CN42" s="58"/>
      <c r="CO42" s="58"/>
      <c r="CP42" s="58"/>
      <c r="CQ42" s="58"/>
      <c r="CR42" s="58"/>
      <c r="CS42" s="58"/>
      <c r="CT42" s="58"/>
    </row>
    <row r="43" spans="1:98">
      <c r="A43" t="s">
        <v>9</v>
      </c>
      <c r="B43" s="46">
        <f>KVARTS!F360</f>
        <v>61018.000002540612</v>
      </c>
      <c r="C43" s="46">
        <f>KVARTS!G360</f>
        <v>59410.000004294816</v>
      </c>
      <c r="D43" s="46">
        <f>KVARTS!H360</f>
        <v>62239.000004535039</v>
      </c>
      <c r="E43" s="46">
        <f>KVARTS!I360</f>
        <v>74016.000003936919</v>
      </c>
      <c r="F43" s="46">
        <f>KVARTS!J360</f>
        <v>103139.00000222313</v>
      </c>
      <c r="G43" s="46">
        <f>KVARTS!K360</f>
        <v>146878.99999916967</v>
      </c>
      <c r="H43" s="46">
        <f>KVARTS!L360</f>
        <v>134790.00000021915</v>
      </c>
      <c r="I43" s="54">
        <f>KVARTS!M360</f>
        <v>219508.99999622494</v>
      </c>
      <c r="J43" s="54">
        <f>KVARTS!N360</f>
        <v>143741.75238721498</v>
      </c>
      <c r="K43" s="54">
        <f>KVARTS!O360</f>
        <v>136614.16645549872</v>
      </c>
      <c r="L43" s="54">
        <f>KVARTS!P360</f>
        <v>190830.37818831927</v>
      </c>
      <c r="M43" s="54">
        <f>KVARTS!Q360</f>
        <v>240598.91139999998</v>
      </c>
      <c r="N43" s="54">
        <f>KVARTS!R360</f>
        <v>263841.14427166985</v>
      </c>
      <c r="O43" s="54">
        <f>KVARTS!S360</f>
        <v>220838.57338883329</v>
      </c>
      <c r="P43" s="54">
        <f>KVARTS!T360</f>
        <v>238125.77362854287</v>
      </c>
      <c r="Q43" s="54">
        <f>KVARTS!U360</f>
        <v>240673.03151963704</v>
      </c>
      <c r="R43" s="54">
        <f>KVARTS!V360</f>
        <v>303020.37864051206</v>
      </c>
      <c r="S43" s="54">
        <f>KVARTS!W360</f>
        <v>395730.5135313535</v>
      </c>
      <c r="T43" s="54">
        <f>KVARTS!X360</f>
        <v>266244.86425639596</v>
      </c>
      <c r="U43" s="54">
        <f>KVARTS!Y360</f>
        <v>186461.36243317561</v>
      </c>
      <c r="V43" s="54">
        <f>KVARTS!Z360</f>
        <v>781053.62843455304</v>
      </c>
      <c r="W43" s="54">
        <f>KVARTS!AA360</f>
        <v>2221474.8480493422</v>
      </c>
      <c r="X43" s="54">
        <f>KVARTS!AB360</f>
        <v>947013.7876819974</v>
      </c>
      <c r="Y43" s="54">
        <f>KVARTS!AC360</f>
        <v>825373.04584120633</v>
      </c>
      <c r="Z43" s="54">
        <f>KVARTS!AD360</f>
        <v>917599.77628669329</v>
      </c>
      <c r="AA43" s="54">
        <f>KVARTS!AE360</f>
        <v>718384.18950309383</v>
      </c>
      <c r="AB43" s="54">
        <f>KVARTS!AF360</f>
        <v>585407.78373820847</v>
      </c>
      <c r="AC43" s="54">
        <f>KVARTS!AG360</f>
        <v>577885.26446278207</v>
      </c>
      <c r="AD43" s="54">
        <f>KVARTS!AH360</f>
        <v>561542.00965766865</v>
      </c>
      <c r="AE43" s="54">
        <f>KVARTS!AI360</f>
        <v>431521.50336253864</v>
      </c>
      <c r="AF43" s="54">
        <f>KVARTS!AJ360</f>
        <v>414064.89334187022</v>
      </c>
      <c r="AG43" s="54">
        <f>KVARTS!AK360</f>
        <v>388566.80665963393</v>
      </c>
      <c r="AH43" s="54">
        <f>KVARTS!AL360</f>
        <v>373226.3796237671</v>
      </c>
      <c r="AI43" s="54">
        <f>KVARTS!AM360</f>
        <v>364280.64105588407</v>
      </c>
      <c r="AJ43" s="54">
        <f>KVARTS!AN360</f>
        <v>355998.83905033406</v>
      </c>
      <c r="AK43" s="54">
        <f>KVARTS!AO360</f>
        <v>348499.31722192164</v>
      </c>
      <c r="AL43" s="54">
        <f>KVARTS!AP360</f>
        <v>335908.44926722383</v>
      </c>
      <c r="AM43" s="54">
        <f>KVARTS!AQ360</f>
        <v>315921.31011034187</v>
      </c>
      <c r="AN43" s="54">
        <f>KVARTS!AR360</f>
        <v>293964.57842758618</v>
      </c>
      <c r="AO43" s="54">
        <f>KVARTS!AS360</f>
        <v>278327.90109481342</v>
      </c>
      <c r="AP43" s="54">
        <f>KVARTS!AT360</f>
        <v>268311.68151078327</v>
      </c>
      <c r="AQ43" s="54">
        <f>KVARTS!AU360</f>
        <v>261644.84703012675</v>
      </c>
      <c r="AR43" s="54">
        <f>KVARTS!AV360</f>
        <v>254027.19202889231</v>
      </c>
      <c r="AS43" s="54">
        <f>KVARTS!AW360</f>
        <v>244424.02752767786</v>
      </c>
      <c r="AT43" s="54">
        <f>KVARTS!AX360</f>
        <v>237114.6472891928</v>
      </c>
      <c r="AU43" s="54">
        <f>KVARTS!AY360</f>
        <v>232204.49114331303</v>
      </c>
      <c r="AV43" s="54">
        <f>KVARTS!AZ360</f>
        <v>227253.54385056911</v>
      </c>
      <c r="AW43" s="54">
        <f>KVARTS!BA360</f>
        <v>222768.39812753588</v>
      </c>
      <c r="AX43" s="54">
        <f>KVARTS!BB360</f>
        <v>219811.8795108076</v>
      </c>
      <c r="AY43" s="54">
        <f>KVARTS!BC360</f>
        <v>215363.57018245102</v>
      </c>
      <c r="AZ43" s="54">
        <f>KVARTS!BD360</f>
        <v>220054.27085905155</v>
      </c>
      <c r="BA43" s="54">
        <f>KVARTS!BE360</f>
        <v>214671.58849636486</v>
      </c>
      <c r="BB43" s="54">
        <f>KVARTS!BF360</f>
        <v>210596.53027297804</v>
      </c>
      <c r="BC43" s="54">
        <f>KVARTS!BG360</f>
        <v>208459.26442124441</v>
      </c>
      <c r="BD43" s="54">
        <f>KVARTS!BH360</f>
        <v>209044.6931846748</v>
      </c>
      <c r="BE43" s="54">
        <f>KVARTS!BI360</f>
        <v>208423.34161461689</v>
      </c>
      <c r="BF43" s="54">
        <f>KVARTS!BJ360</f>
        <v>209351.65758444602</v>
      </c>
      <c r="BG43" s="54">
        <f>KVARTS!BK360</f>
        <v>210858.71373823145</v>
      </c>
      <c r="BH43" s="54">
        <f>KVARTS!BL360</f>
        <v>212050.72391491922</v>
      </c>
      <c r="BI43" s="54">
        <f>KVARTS!BM360</f>
        <v>213714.44471495453</v>
      </c>
      <c r="BJ43" s="55">
        <f t="shared" ref="BJ43:BS43" si="119">BJ5*BJ13*BJ16</f>
        <v>142428.67517082242</v>
      </c>
      <c r="BK43" s="55">
        <f t="shared" si="119"/>
        <v>146575.81589301187</v>
      </c>
      <c r="BL43" s="55">
        <f t="shared" si="119"/>
        <v>150843.71022151696</v>
      </c>
      <c r="BM43" s="55">
        <f t="shared" si="119"/>
        <v>155235.87417723381</v>
      </c>
      <c r="BN43" s="55">
        <f t="shared" si="119"/>
        <v>159755.92615814958</v>
      </c>
      <c r="BO43" s="55">
        <f t="shared" si="119"/>
        <v>164407.5899202883</v>
      </c>
      <c r="BP43" s="55">
        <f t="shared" si="119"/>
        <v>169194.69764545464</v>
      </c>
      <c r="BQ43" s="55">
        <f t="shared" si="119"/>
        <v>174121.19309830101</v>
      </c>
      <c r="BR43" s="55">
        <f t="shared" si="119"/>
        <v>179191.13487532106</v>
      </c>
      <c r="BS43" s="55">
        <f t="shared" si="119"/>
        <v>184408.6997484444</v>
      </c>
      <c r="BT43" s="68">
        <f t="shared" ref="BT43:CH43" si="120">BT5*BT13*BT16</f>
        <v>189778.18610598828</v>
      </c>
      <c r="BU43" s="68">
        <f t="shared" si="120"/>
        <v>195304.01749380009</v>
      </c>
      <c r="BV43" s="68">
        <f t="shared" si="120"/>
        <v>200990.74625950906</v>
      </c>
      <c r="BW43" s="68">
        <f t="shared" si="120"/>
        <v>206843.0573028881</v>
      </c>
      <c r="BX43" s="68">
        <f t="shared" si="120"/>
        <v>212865.77193541665</v>
      </c>
      <c r="BY43" s="68">
        <f t="shared" si="120"/>
        <v>219063.85185222328</v>
      </c>
      <c r="BZ43" s="68">
        <f t="shared" si="120"/>
        <v>225442.40321968088</v>
      </c>
      <c r="CA43" s="68">
        <f t="shared" si="120"/>
        <v>232006.68088202138</v>
      </c>
      <c r="CB43" s="68">
        <f t="shared" si="120"/>
        <v>238762.09269043611</v>
      </c>
      <c r="CC43" s="68">
        <f t="shared" si="120"/>
        <v>245714.20395822744</v>
      </c>
      <c r="CD43" s="68">
        <f t="shared" si="120"/>
        <v>252868.74204568323</v>
      </c>
      <c r="CE43" s="68">
        <f t="shared" si="120"/>
        <v>260231.60107844984</v>
      </c>
      <c r="CF43" s="68">
        <f t="shared" si="120"/>
        <v>267808.84680329153</v>
      </c>
      <c r="CG43" s="68">
        <f t="shared" si="120"/>
        <v>275606.72158523748</v>
      </c>
      <c r="CH43" s="68">
        <f t="shared" si="120"/>
        <v>283631.64955023065</v>
      </c>
      <c r="CI43" s="68">
        <f t="shared" ref="CI43:CM43" si="121">CI5*CI13*CI16</f>
        <v>291890.24187751848</v>
      </c>
      <c r="CJ43" s="68">
        <f t="shared" si="121"/>
        <v>300389.30224614264</v>
      </c>
      <c r="CK43" s="68">
        <f t="shared" si="121"/>
        <v>309135.83244001638</v>
      </c>
      <c r="CL43" s="68">
        <f t="shared" si="121"/>
        <v>318137.03811620694</v>
      </c>
      <c r="CM43" s="68">
        <f t="shared" si="121"/>
        <v>327400.33474117436</v>
      </c>
      <c r="CN43" s="68"/>
      <c r="CO43" s="68"/>
      <c r="CP43" s="68"/>
      <c r="CQ43" s="68"/>
      <c r="CR43" s="68"/>
      <c r="CS43" s="68"/>
      <c r="CT43" s="68"/>
    </row>
    <row r="44" spans="1:98">
      <c r="B44" s="5"/>
      <c r="C44" s="5"/>
      <c r="D44" s="5"/>
      <c r="E44" s="5"/>
      <c r="F44" s="5"/>
      <c r="G44" s="5"/>
      <c r="H44" s="5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</row>
    <row r="45" spans="1:98">
      <c r="B45" s="15"/>
      <c r="C45" s="15"/>
      <c r="D45" s="15"/>
      <c r="E45" s="15"/>
      <c r="F45" s="15"/>
      <c r="G45" s="15"/>
      <c r="H45" s="15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</row>
    <row r="46" spans="1:98">
      <c r="A46" t="s">
        <v>108</v>
      </c>
      <c r="B46" s="8">
        <f>B8/(B33)</f>
        <v>0</v>
      </c>
      <c r="C46" s="8">
        <f>C8/(C33)</f>
        <v>0</v>
      </c>
      <c r="D46" s="8">
        <f>D8/(D33)</f>
        <v>0</v>
      </c>
      <c r="E46" s="8">
        <f>E8/(E33)</f>
        <v>0</v>
      </c>
      <c r="F46" s="8">
        <f>F8/(F33)</f>
        <v>0</v>
      </c>
      <c r="G46" s="8">
        <f t="shared" ref="G46:V46" si="122">G8/(G33)</f>
        <v>0</v>
      </c>
      <c r="H46" s="8">
        <f t="shared" si="122"/>
        <v>0</v>
      </c>
      <c r="I46" s="54">
        <f t="shared" si="122"/>
        <v>0</v>
      </c>
      <c r="J46" s="54">
        <f t="shared" si="122"/>
        <v>0</v>
      </c>
      <c r="K46" s="54">
        <f t="shared" si="122"/>
        <v>0</v>
      </c>
      <c r="L46" s="54">
        <f t="shared" si="122"/>
        <v>0</v>
      </c>
      <c r="M46" s="54">
        <f t="shared" si="122"/>
        <v>0</v>
      </c>
      <c r="N46" s="54">
        <f t="shared" si="122"/>
        <v>0</v>
      </c>
      <c r="O46" s="54">
        <f t="shared" si="122"/>
        <v>0</v>
      </c>
      <c r="P46" s="54">
        <f t="shared" si="122"/>
        <v>0</v>
      </c>
      <c r="Q46" s="54">
        <f t="shared" si="122"/>
        <v>0</v>
      </c>
      <c r="R46" s="54">
        <f t="shared" si="122"/>
        <v>0</v>
      </c>
      <c r="S46" s="54">
        <f t="shared" si="122"/>
        <v>0</v>
      </c>
      <c r="T46" s="54">
        <f t="shared" si="122"/>
        <v>0</v>
      </c>
      <c r="U46" s="54">
        <f t="shared" si="122"/>
        <v>0</v>
      </c>
      <c r="V46" s="54">
        <f t="shared" si="122"/>
        <v>0</v>
      </c>
      <c r="W46" s="54">
        <f t="shared" ref="W46:AD46" si="123">W8/(W33)</f>
        <v>0</v>
      </c>
      <c r="X46" s="54">
        <f t="shared" si="123"/>
        <v>0</v>
      </c>
      <c r="Y46" s="54">
        <f t="shared" si="123"/>
        <v>0</v>
      </c>
      <c r="Z46" s="54">
        <f t="shared" si="123"/>
        <v>0</v>
      </c>
      <c r="AA46" s="54">
        <f t="shared" si="123"/>
        <v>0</v>
      </c>
      <c r="AB46" s="54">
        <f t="shared" si="123"/>
        <v>0</v>
      </c>
      <c r="AC46" s="54">
        <f t="shared" si="123"/>
        <v>0</v>
      </c>
      <c r="AD46" s="54">
        <f t="shared" si="123"/>
        <v>0</v>
      </c>
      <c r="AE46" s="54">
        <f>AE8/(AE33)</f>
        <v>0</v>
      </c>
      <c r="AF46" s="54">
        <f t="shared" ref="AF46:AY46" si="124">AF8/(AF33)</f>
        <v>0</v>
      </c>
      <c r="AG46" s="54">
        <f t="shared" si="124"/>
        <v>0</v>
      </c>
      <c r="AH46" s="54">
        <f t="shared" si="124"/>
        <v>0</v>
      </c>
      <c r="AI46" s="54">
        <f t="shared" si="124"/>
        <v>0</v>
      </c>
      <c r="AJ46" s="54">
        <f t="shared" si="124"/>
        <v>0</v>
      </c>
      <c r="AK46" s="54">
        <f t="shared" si="124"/>
        <v>0</v>
      </c>
      <c r="AL46" s="54">
        <f t="shared" si="124"/>
        <v>0</v>
      </c>
      <c r="AM46" s="54">
        <f t="shared" si="124"/>
        <v>0</v>
      </c>
      <c r="AN46" s="54">
        <f t="shared" si="124"/>
        <v>0</v>
      </c>
      <c r="AO46" s="54">
        <f t="shared" si="124"/>
        <v>0</v>
      </c>
      <c r="AP46" s="54">
        <f t="shared" si="124"/>
        <v>0</v>
      </c>
      <c r="AQ46" s="54">
        <f t="shared" si="124"/>
        <v>0</v>
      </c>
      <c r="AR46" s="54">
        <f t="shared" si="124"/>
        <v>0</v>
      </c>
      <c r="AS46" s="54">
        <f t="shared" si="124"/>
        <v>0</v>
      </c>
      <c r="AT46" s="54">
        <f t="shared" si="124"/>
        <v>0</v>
      </c>
      <c r="AU46" s="54">
        <f t="shared" si="124"/>
        <v>0</v>
      </c>
      <c r="AV46" s="54">
        <f t="shared" si="124"/>
        <v>0</v>
      </c>
      <c r="AW46" s="54">
        <f t="shared" si="124"/>
        <v>0</v>
      </c>
      <c r="AX46" s="54">
        <f t="shared" si="124"/>
        <v>0</v>
      </c>
      <c r="AY46" s="54">
        <f t="shared" si="124"/>
        <v>0</v>
      </c>
      <c r="AZ46" s="54">
        <f t="shared" ref="AZ46:BI46" si="125">AZ8/(AZ33)</f>
        <v>0</v>
      </c>
      <c r="BA46" s="54">
        <f t="shared" si="125"/>
        <v>0</v>
      </c>
      <c r="BB46" s="54">
        <f t="shared" si="125"/>
        <v>0</v>
      </c>
      <c r="BC46" s="54">
        <f t="shared" si="125"/>
        <v>0</v>
      </c>
      <c r="BD46" s="54">
        <f t="shared" si="125"/>
        <v>0</v>
      </c>
      <c r="BE46" s="54">
        <f t="shared" si="125"/>
        <v>0</v>
      </c>
      <c r="BF46" s="54">
        <f t="shared" si="125"/>
        <v>0</v>
      </c>
      <c r="BG46" s="54">
        <f t="shared" si="125"/>
        <v>0</v>
      </c>
      <c r="BH46" s="54">
        <f t="shared" si="125"/>
        <v>0</v>
      </c>
      <c r="BI46" s="54">
        <f t="shared" si="125"/>
        <v>0</v>
      </c>
      <c r="BJ46" s="55">
        <f t="shared" ref="BJ46:BS46" si="126">BJ8/(BJ33)</f>
        <v>0</v>
      </c>
      <c r="BK46" s="55">
        <f t="shared" si="126"/>
        <v>0</v>
      </c>
      <c r="BL46" s="55">
        <f t="shared" si="126"/>
        <v>0</v>
      </c>
      <c r="BM46" s="55">
        <f t="shared" si="126"/>
        <v>0</v>
      </c>
      <c r="BN46" s="55">
        <f t="shared" si="126"/>
        <v>0</v>
      </c>
      <c r="BO46" s="55">
        <f t="shared" si="126"/>
        <v>0</v>
      </c>
      <c r="BP46" s="55">
        <f t="shared" si="126"/>
        <v>0</v>
      </c>
      <c r="BQ46" s="55">
        <f t="shared" si="126"/>
        <v>0</v>
      </c>
      <c r="BR46" s="55">
        <f t="shared" si="126"/>
        <v>0</v>
      </c>
      <c r="BS46" s="55">
        <f t="shared" si="126"/>
        <v>0</v>
      </c>
      <c r="BT46" s="68">
        <f t="shared" ref="BT46:CH46" si="127">BT8/(BT33)</f>
        <v>0</v>
      </c>
      <c r="BU46" s="68">
        <f t="shared" si="127"/>
        <v>0</v>
      </c>
      <c r="BV46" s="68">
        <f t="shared" si="127"/>
        <v>0</v>
      </c>
      <c r="BW46" s="68">
        <f t="shared" si="127"/>
        <v>0</v>
      </c>
      <c r="BX46" s="68">
        <f t="shared" si="127"/>
        <v>0</v>
      </c>
      <c r="BY46" s="68">
        <f t="shared" si="127"/>
        <v>0</v>
      </c>
      <c r="BZ46" s="68">
        <f t="shared" si="127"/>
        <v>0</v>
      </c>
      <c r="CA46" s="68">
        <f t="shared" si="127"/>
        <v>0</v>
      </c>
      <c r="CB46" s="68">
        <f t="shared" si="127"/>
        <v>0</v>
      </c>
      <c r="CC46" s="68">
        <f t="shared" si="127"/>
        <v>0</v>
      </c>
      <c r="CD46" s="68">
        <f t="shared" si="127"/>
        <v>0</v>
      </c>
      <c r="CE46" s="68">
        <f t="shared" si="127"/>
        <v>0</v>
      </c>
      <c r="CF46" s="68">
        <f t="shared" si="127"/>
        <v>0</v>
      </c>
      <c r="CG46" s="68">
        <f t="shared" si="127"/>
        <v>0</v>
      </c>
      <c r="CH46" s="68">
        <f t="shared" si="127"/>
        <v>0</v>
      </c>
      <c r="CI46" s="68">
        <f t="shared" ref="CI46:CM46" si="128">CI8/(CI33)</f>
        <v>0</v>
      </c>
      <c r="CJ46" s="68">
        <f t="shared" si="128"/>
        <v>0</v>
      </c>
      <c r="CK46" s="68">
        <f t="shared" si="128"/>
        <v>0</v>
      </c>
      <c r="CL46" s="68">
        <f t="shared" si="128"/>
        <v>0</v>
      </c>
      <c r="CM46" s="68">
        <f t="shared" si="128"/>
        <v>0</v>
      </c>
      <c r="CN46" s="68"/>
      <c r="CO46" s="68"/>
      <c r="CP46" s="68"/>
      <c r="CQ46" s="68"/>
      <c r="CR46" s="68"/>
      <c r="CS46" s="68"/>
      <c r="CT46" s="68"/>
    </row>
    <row r="47" spans="1:98">
      <c r="B47" s="8"/>
      <c r="C47" s="8"/>
      <c r="D47" s="8"/>
      <c r="E47" s="8"/>
      <c r="F47" s="8"/>
      <c r="G47" s="8"/>
      <c r="H47" s="8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</row>
    <row r="48" spans="1:98">
      <c r="B48" s="8"/>
      <c r="C48" s="8"/>
      <c r="D48" s="8"/>
      <c r="E48" s="8"/>
      <c r="F48" s="8"/>
      <c r="G48" s="8"/>
      <c r="H48" s="8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</row>
    <row r="49" spans="1:98">
      <c r="A49" s="2" t="s">
        <v>178</v>
      </c>
      <c r="B49" s="8"/>
      <c r="C49" s="8"/>
      <c r="D49" s="8"/>
      <c r="E49" s="8"/>
      <c r="F49" s="8"/>
      <c r="G49" s="8"/>
      <c r="H49" s="8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</row>
    <row r="50" spans="1:98">
      <c r="A50" t="s">
        <v>14</v>
      </c>
      <c r="B50" s="7">
        <f>B42*B25</f>
        <v>0</v>
      </c>
      <c r="C50" s="5">
        <f t="shared" ref="C50:AC50" si="129">C42*C25</f>
        <v>0</v>
      </c>
      <c r="D50" s="5">
        <f t="shared" si="129"/>
        <v>0</v>
      </c>
      <c r="E50" s="5">
        <f t="shared" si="129"/>
        <v>0</v>
      </c>
      <c r="F50" s="5">
        <f t="shared" si="129"/>
        <v>0</v>
      </c>
      <c r="G50" s="5">
        <f t="shared" si="129"/>
        <v>0</v>
      </c>
      <c r="H50" s="5">
        <f t="shared" si="129"/>
        <v>0</v>
      </c>
      <c r="I50" s="54">
        <f t="shared" si="129"/>
        <v>0</v>
      </c>
      <c r="J50" s="54">
        <f t="shared" si="129"/>
        <v>0</v>
      </c>
      <c r="K50" s="54">
        <f t="shared" si="129"/>
        <v>0</v>
      </c>
      <c r="L50" s="54">
        <f t="shared" si="129"/>
        <v>0</v>
      </c>
      <c r="M50" s="54">
        <f t="shared" si="129"/>
        <v>0</v>
      </c>
      <c r="N50" s="54">
        <f t="shared" si="129"/>
        <v>0</v>
      </c>
      <c r="O50" s="54">
        <f t="shared" si="129"/>
        <v>0</v>
      </c>
      <c r="P50" s="54">
        <f t="shared" si="129"/>
        <v>0</v>
      </c>
      <c r="Q50" s="54">
        <f t="shared" si="129"/>
        <v>0</v>
      </c>
      <c r="R50" s="54">
        <f t="shared" si="129"/>
        <v>0</v>
      </c>
      <c r="S50" s="54">
        <f t="shared" si="129"/>
        <v>0</v>
      </c>
      <c r="T50" s="54">
        <f t="shared" si="129"/>
        <v>0</v>
      </c>
      <c r="U50" s="54">
        <f t="shared" si="129"/>
        <v>0</v>
      </c>
      <c r="V50" s="54">
        <f t="shared" si="129"/>
        <v>0</v>
      </c>
      <c r="W50" s="54">
        <f t="shared" si="129"/>
        <v>0</v>
      </c>
      <c r="X50" s="54">
        <f t="shared" si="129"/>
        <v>0</v>
      </c>
      <c r="Y50" s="54">
        <f t="shared" si="129"/>
        <v>0</v>
      </c>
      <c r="Z50" s="54">
        <f t="shared" si="129"/>
        <v>0</v>
      </c>
      <c r="AA50" s="54">
        <f t="shared" si="129"/>
        <v>0</v>
      </c>
      <c r="AB50" s="54">
        <f t="shared" si="129"/>
        <v>0</v>
      </c>
      <c r="AC50" s="54">
        <f t="shared" si="129"/>
        <v>0</v>
      </c>
      <c r="AD50" s="54">
        <f>AD42*AD25</f>
        <v>0</v>
      </c>
      <c r="AE50" s="54">
        <f>AE42*AE25</f>
        <v>0</v>
      </c>
      <c r="AF50" s="54">
        <f t="shared" ref="AF50:AY50" si="130">AF42*AF25</f>
        <v>0</v>
      </c>
      <c r="AG50" s="54">
        <f t="shared" si="130"/>
        <v>0</v>
      </c>
      <c r="AH50" s="54">
        <f t="shared" si="130"/>
        <v>0</v>
      </c>
      <c r="AI50" s="54">
        <f t="shared" si="130"/>
        <v>0</v>
      </c>
      <c r="AJ50" s="54">
        <f t="shared" si="130"/>
        <v>0</v>
      </c>
      <c r="AK50" s="54">
        <f t="shared" si="130"/>
        <v>0</v>
      </c>
      <c r="AL50" s="54">
        <f t="shared" si="130"/>
        <v>0</v>
      </c>
      <c r="AM50" s="54">
        <f t="shared" si="130"/>
        <v>0</v>
      </c>
      <c r="AN50" s="54">
        <f t="shared" si="130"/>
        <v>0</v>
      </c>
      <c r="AO50" s="54">
        <f t="shared" si="130"/>
        <v>0</v>
      </c>
      <c r="AP50" s="54">
        <f t="shared" si="130"/>
        <v>0</v>
      </c>
      <c r="AQ50" s="54">
        <f t="shared" si="130"/>
        <v>0</v>
      </c>
      <c r="AR50" s="54">
        <f t="shared" si="130"/>
        <v>0</v>
      </c>
      <c r="AS50" s="54">
        <f t="shared" si="130"/>
        <v>0</v>
      </c>
      <c r="AT50" s="54">
        <f t="shared" si="130"/>
        <v>0</v>
      </c>
      <c r="AU50" s="54">
        <f t="shared" si="130"/>
        <v>0</v>
      </c>
      <c r="AV50" s="54">
        <f t="shared" si="130"/>
        <v>0</v>
      </c>
      <c r="AW50" s="54">
        <f t="shared" si="130"/>
        <v>0</v>
      </c>
      <c r="AX50" s="54">
        <f t="shared" si="130"/>
        <v>0</v>
      </c>
      <c r="AY50" s="54">
        <f t="shared" si="130"/>
        <v>0</v>
      </c>
      <c r="AZ50" s="54">
        <f t="shared" ref="AZ50:BI50" si="131">AZ42*AZ25</f>
        <v>0</v>
      </c>
      <c r="BA50" s="54">
        <f t="shared" si="131"/>
        <v>0</v>
      </c>
      <c r="BB50" s="54">
        <f t="shared" si="131"/>
        <v>0</v>
      </c>
      <c r="BC50" s="54">
        <f t="shared" si="131"/>
        <v>0</v>
      </c>
      <c r="BD50" s="54">
        <f t="shared" si="131"/>
        <v>0</v>
      </c>
      <c r="BE50" s="54">
        <f t="shared" si="131"/>
        <v>0</v>
      </c>
      <c r="BF50" s="54">
        <f t="shared" si="131"/>
        <v>0</v>
      </c>
      <c r="BG50" s="54">
        <f t="shared" si="131"/>
        <v>0</v>
      </c>
      <c r="BH50" s="54">
        <f t="shared" si="131"/>
        <v>0</v>
      </c>
      <c r="BI50" s="54">
        <f t="shared" si="131"/>
        <v>0</v>
      </c>
      <c r="BJ50" s="55">
        <f t="shared" ref="BJ50:BS50" si="132">BJ42*BJ25</f>
        <v>0</v>
      </c>
      <c r="BK50" s="55">
        <f t="shared" si="132"/>
        <v>0</v>
      </c>
      <c r="BL50" s="55">
        <f t="shared" si="132"/>
        <v>0</v>
      </c>
      <c r="BM50" s="55">
        <f t="shared" si="132"/>
        <v>0</v>
      </c>
      <c r="BN50" s="55">
        <f t="shared" si="132"/>
        <v>0</v>
      </c>
      <c r="BO50" s="55">
        <f t="shared" si="132"/>
        <v>0</v>
      </c>
      <c r="BP50" s="55">
        <f t="shared" si="132"/>
        <v>0</v>
      </c>
      <c r="BQ50" s="55">
        <f t="shared" si="132"/>
        <v>0</v>
      </c>
      <c r="BR50" s="55">
        <f t="shared" si="132"/>
        <v>0</v>
      </c>
      <c r="BS50" s="55">
        <f t="shared" si="132"/>
        <v>0</v>
      </c>
      <c r="BT50" s="68">
        <f t="shared" ref="BT50:CH50" si="133">BT42*BT25</f>
        <v>0</v>
      </c>
      <c r="BU50" s="68">
        <f t="shared" si="133"/>
        <v>0</v>
      </c>
      <c r="BV50" s="68">
        <f t="shared" si="133"/>
        <v>0</v>
      </c>
      <c r="BW50" s="68">
        <f t="shared" si="133"/>
        <v>0</v>
      </c>
      <c r="BX50" s="68">
        <f t="shared" si="133"/>
        <v>0</v>
      </c>
      <c r="BY50" s="68">
        <f t="shared" si="133"/>
        <v>0</v>
      </c>
      <c r="BZ50" s="68">
        <f t="shared" si="133"/>
        <v>0</v>
      </c>
      <c r="CA50" s="68">
        <f t="shared" si="133"/>
        <v>0</v>
      </c>
      <c r="CB50" s="68">
        <f t="shared" si="133"/>
        <v>0</v>
      </c>
      <c r="CC50" s="68">
        <f t="shared" si="133"/>
        <v>0</v>
      </c>
      <c r="CD50" s="68">
        <f t="shared" si="133"/>
        <v>0</v>
      </c>
      <c r="CE50" s="68">
        <f t="shared" si="133"/>
        <v>0</v>
      </c>
      <c r="CF50" s="68">
        <f t="shared" si="133"/>
        <v>0</v>
      </c>
      <c r="CG50" s="68">
        <f t="shared" si="133"/>
        <v>0</v>
      </c>
      <c r="CH50" s="68">
        <f t="shared" si="133"/>
        <v>0</v>
      </c>
      <c r="CI50" s="68">
        <f t="shared" ref="CI50:CM50" si="134">CI42*CI25</f>
        <v>0</v>
      </c>
      <c r="CJ50" s="68">
        <f t="shared" si="134"/>
        <v>0</v>
      </c>
      <c r="CK50" s="68">
        <f t="shared" si="134"/>
        <v>0</v>
      </c>
      <c r="CL50" s="68">
        <f t="shared" si="134"/>
        <v>0</v>
      </c>
      <c r="CM50" s="68">
        <f t="shared" si="134"/>
        <v>0</v>
      </c>
      <c r="CN50" s="68"/>
      <c r="CO50" s="68"/>
      <c r="CP50" s="68"/>
      <c r="CQ50" s="68"/>
      <c r="CR50" s="68"/>
      <c r="CS50" s="68"/>
      <c r="CT50" s="68"/>
    </row>
    <row r="51" spans="1:98">
      <c r="A51" t="s">
        <v>9</v>
      </c>
      <c r="B51" s="7">
        <f>B43*B26</f>
        <v>0</v>
      </c>
      <c r="C51" s="5">
        <f t="shared" ref="C51:AD51" si="135">C43*C26</f>
        <v>0</v>
      </c>
      <c r="D51" s="5">
        <f t="shared" si="135"/>
        <v>0</v>
      </c>
      <c r="E51" s="5">
        <f t="shared" si="135"/>
        <v>0</v>
      </c>
      <c r="F51" s="5">
        <f t="shared" si="135"/>
        <v>0</v>
      </c>
      <c r="G51" s="5">
        <f t="shared" si="135"/>
        <v>0</v>
      </c>
      <c r="H51" s="5">
        <f t="shared" si="135"/>
        <v>0</v>
      </c>
      <c r="I51" s="54">
        <f t="shared" si="135"/>
        <v>0</v>
      </c>
      <c r="J51" s="54">
        <f t="shared" si="135"/>
        <v>0</v>
      </c>
      <c r="K51" s="54">
        <f t="shared" si="135"/>
        <v>0</v>
      </c>
      <c r="L51" s="54">
        <f t="shared" si="135"/>
        <v>0</v>
      </c>
      <c r="M51" s="54">
        <f t="shared" si="135"/>
        <v>0</v>
      </c>
      <c r="N51" s="54">
        <f t="shared" si="135"/>
        <v>0</v>
      </c>
      <c r="O51" s="54">
        <f t="shared" si="135"/>
        <v>0</v>
      </c>
      <c r="P51" s="54">
        <f t="shared" si="135"/>
        <v>0</v>
      </c>
      <c r="Q51" s="54">
        <f t="shared" si="135"/>
        <v>0</v>
      </c>
      <c r="R51" s="54">
        <f t="shared" si="135"/>
        <v>0</v>
      </c>
      <c r="S51" s="54">
        <f t="shared" si="135"/>
        <v>0</v>
      </c>
      <c r="T51" s="54">
        <f t="shared" si="135"/>
        <v>0</v>
      </c>
      <c r="U51" s="54">
        <f t="shared" si="135"/>
        <v>0</v>
      </c>
      <c r="V51" s="54">
        <f t="shared" si="135"/>
        <v>0</v>
      </c>
      <c r="W51" s="54">
        <f t="shared" si="135"/>
        <v>0</v>
      </c>
      <c r="X51" s="54">
        <f t="shared" si="135"/>
        <v>0</v>
      </c>
      <c r="Y51" s="54">
        <f t="shared" si="135"/>
        <v>0</v>
      </c>
      <c r="Z51" s="54">
        <f t="shared" si="135"/>
        <v>0</v>
      </c>
      <c r="AA51" s="54">
        <f t="shared" si="135"/>
        <v>0</v>
      </c>
      <c r="AB51" s="54">
        <f t="shared" si="135"/>
        <v>0</v>
      </c>
      <c r="AC51" s="54">
        <f t="shared" si="135"/>
        <v>0</v>
      </c>
      <c r="AD51" s="54">
        <f t="shared" si="135"/>
        <v>0</v>
      </c>
      <c r="AE51" s="54">
        <f>AE43*AE26</f>
        <v>0</v>
      </c>
      <c r="AF51" s="54">
        <f t="shared" ref="AF51:AY51" si="136">AF43*AF26</f>
        <v>0</v>
      </c>
      <c r="AG51" s="54">
        <f t="shared" si="136"/>
        <v>0</v>
      </c>
      <c r="AH51" s="54">
        <f t="shared" si="136"/>
        <v>0</v>
      </c>
      <c r="AI51" s="54">
        <f t="shared" si="136"/>
        <v>0</v>
      </c>
      <c r="AJ51" s="54">
        <f t="shared" si="136"/>
        <v>0</v>
      </c>
      <c r="AK51" s="54">
        <f t="shared" si="136"/>
        <v>0</v>
      </c>
      <c r="AL51" s="54">
        <f t="shared" si="136"/>
        <v>0</v>
      </c>
      <c r="AM51" s="54">
        <f t="shared" si="136"/>
        <v>0</v>
      </c>
      <c r="AN51" s="54">
        <f t="shared" si="136"/>
        <v>0</v>
      </c>
      <c r="AO51" s="54">
        <f t="shared" si="136"/>
        <v>0</v>
      </c>
      <c r="AP51" s="54">
        <f t="shared" si="136"/>
        <v>0</v>
      </c>
      <c r="AQ51" s="54">
        <f t="shared" si="136"/>
        <v>0</v>
      </c>
      <c r="AR51" s="54">
        <f t="shared" si="136"/>
        <v>0</v>
      </c>
      <c r="AS51" s="54">
        <f t="shared" si="136"/>
        <v>0</v>
      </c>
      <c r="AT51" s="54">
        <f t="shared" si="136"/>
        <v>0</v>
      </c>
      <c r="AU51" s="54">
        <f t="shared" si="136"/>
        <v>0</v>
      </c>
      <c r="AV51" s="54">
        <f t="shared" si="136"/>
        <v>0</v>
      </c>
      <c r="AW51" s="54">
        <f t="shared" si="136"/>
        <v>0</v>
      </c>
      <c r="AX51" s="54">
        <f t="shared" si="136"/>
        <v>0</v>
      </c>
      <c r="AY51" s="54">
        <f t="shared" si="136"/>
        <v>0</v>
      </c>
      <c r="AZ51" s="54">
        <f t="shared" ref="AZ51:BI51" si="137">AZ43*AZ26</f>
        <v>0</v>
      </c>
      <c r="BA51" s="54">
        <f t="shared" si="137"/>
        <v>0</v>
      </c>
      <c r="BB51" s="54">
        <f t="shared" si="137"/>
        <v>0</v>
      </c>
      <c r="BC51" s="54">
        <f t="shared" si="137"/>
        <v>0</v>
      </c>
      <c r="BD51" s="54">
        <f t="shared" si="137"/>
        <v>0</v>
      </c>
      <c r="BE51" s="54">
        <f t="shared" si="137"/>
        <v>0</v>
      </c>
      <c r="BF51" s="54">
        <f t="shared" si="137"/>
        <v>0</v>
      </c>
      <c r="BG51" s="54">
        <f t="shared" si="137"/>
        <v>0</v>
      </c>
      <c r="BH51" s="54">
        <f t="shared" si="137"/>
        <v>0</v>
      </c>
      <c r="BI51" s="54">
        <f t="shared" si="137"/>
        <v>0</v>
      </c>
      <c r="BJ51" s="55">
        <f t="shared" ref="BJ51:BS51" si="138">BJ43*BJ26</f>
        <v>0</v>
      </c>
      <c r="BK51" s="55">
        <f t="shared" si="138"/>
        <v>0</v>
      </c>
      <c r="BL51" s="55">
        <f t="shared" si="138"/>
        <v>0</v>
      </c>
      <c r="BM51" s="55">
        <f t="shared" si="138"/>
        <v>0</v>
      </c>
      <c r="BN51" s="55">
        <f t="shared" si="138"/>
        <v>0</v>
      </c>
      <c r="BO51" s="55">
        <f t="shared" si="138"/>
        <v>0</v>
      </c>
      <c r="BP51" s="55">
        <f t="shared" si="138"/>
        <v>0</v>
      </c>
      <c r="BQ51" s="55">
        <f t="shared" si="138"/>
        <v>0</v>
      </c>
      <c r="BR51" s="55">
        <f t="shared" si="138"/>
        <v>0</v>
      </c>
      <c r="BS51" s="55">
        <f t="shared" si="138"/>
        <v>0</v>
      </c>
      <c r="BT51" s="68">
        <f t="shared" ref="BT51:CH51" si="139">BT43*BT26</f>
        <v>0</v>
      </c>
      <c r="BU51" s="68">
        <f t="shared" si="139"/>
        <v>0</v>
      </c>
      <c r="BV51" s="68">
        <f t="shared" si="139"/>
        <v>0</v>
      </c>
      <c r="BW51" s="68">
        <f t="shared" si="139"/>
        <v>0</v>
      </c>
      <c r="BX51" s="68">
        <f t="shared" si="139"/>
        <v>0</v>
      </c>
      <c r="BY51" s="68">
        <f t="shared" si="139"/>
        <v>0</v>
      </c>
      <c r="BZ51" s="68">
        <f t="shared" si="139"/>
        <v>0</v>
      </c>
      <c r="CA51" s="68">
        <f t="shared" si="139"/>
        <v>0</v>
      </c>
      <c r="CB51" s="68">
        <f t="shared" si="139"/>
        <v>0</v>
      </c>
      <c r="CC51" s="68">
        <f t="shared" si="139"/>
        <v>0</v>
      </c>
      <c r="CD51" s="68">
        <f t="shared" si="139"/>
        <v>0</v>
      </c>
      <c r="CE51" s="68">
        <f t="shared" si="139"/>
        <v>0</v>
      </c>
      <c r="CF51" s="68">
        <f t="shared" si="139"/>
        <v>0</v>
      </c>
      <c r="CG51" s="68">
        <f t="shared" si="139"/>
        <v>0</v>
      </c>
      <c r="CH51" s="68">
        <f t="shared" si="139"/>
        <v>0</v>
      </c>
      <c r="CI51" s="68">
        <f t="shared" ref="CI51:CM51" si="140">CI43*CI26</f>
        <v>0</v>
      </c>
      <c r="CJ51" s="68">
        <f t="shared" si="140"/>
        <v>0</v>
      </c>
      <c r="CK51" s="68">
        <f t="shared" si="140"/>
        <v>0</v>
      </c>
      <c r="CL51" s="68">
        <f t="shared" si="140"/>
        <v>0</v>
      </c>
      <c r="CM51" s="68">
        <f t="shared" si="140"/>
        <v>0</v>
      </c>
      <c r="CN51" s="68"/>
      <c r="CO51" s="68"/>
      <c r="CP51" s="68"/>
      <c r="CQ51" s="68"/>
      <c r="CR51" s="68"/>
      <c r="CS51" s="68"/>
      <c r="CT51" s="68"/>
    </row>
    <row r="52" spans="1:98">
      <c r="A52" t="s">
        <v>179</v>
      </c>
      <c r="B52" s="7">
        <f t="shared" ref="B52:AE52" si="141">SUM(B50:B51)</f>
        <v>0</v>
      </c>
      <c r="C52" s="5">
        <f t="shared" si="141"/>
        <v>0</v>
      </c>
      <c r="D52" s="5">
        <f t="shared" si="141"/>
        <v>0</v>
      </c>
      <c r="E52" s="5">
        <f t="shared" si="141"/>
        <v>0</v>
      </c>
      <c r="F52" s="5">
        <f t="shared" si="141"/>
        <v>0</v>
      </c>
      <c r="G52" s="5">
        <f t="shared" si="141"/>
        <v>0</v>
      </c>
      <c r="H52" s="11">
        <f t="shared" si="141"/>
        <v>0</v>
      </c>
      <c r="I52" s="54">
        <f t="shared" si="141"/>
        <v>0</v>
      </c>
      <c r="J52" s="54">
        <f t="shared" si="141"/>
        <v>0</v>
      </c>
      <c r="K52" s="54">
        <f t="shared" si="141"/>
        <v>0</v>
      </c>
      <c r="L52" s="54">
        <f t="shared" si="141"/>
        <v>0</v>
      </c>
      <c r="M52" s="54">
        <f t="shared" si="141"/>
        <v>0</v>
      </c>
      <c r="N52" s="54">
        <f t="shared" si="141"/>
        <v>0</v>
      </c>
      <c r="O52" s="54">
        <f t="shared" si="141"/>
        <v>0</v>
      </c>
      <c r="P52" s="54">
        <f t="shared" si="141"/>
        <v>0</v>
      </c>
      <c r="Q52" s="54">
        <f t="shared" si="141"/>
        <v>0</v>
      </c>
      <c r="R52" s="54">
        <f t="shared" si="141"/>
        <v>0</v>
      </c>
      <c r="S52" s="54">
        <f t="shared" si="141"/>
        <v>0</v>
      </c>
      <c r="T52" s="54">
        <f t="shared" si="141"/>
        <v>0</v>
      </c>
      <c r="U52" s="54">
        <f t="shared" si="141"/>
        <v>0</v>
      </c>
      <c r="V52" s="54">
        <f t="shared" si="141"/>
        <v>0</v>
      </c>
      <c r="W52" s="54">
        <f t="shared" si="141"/>
        <v>0</v>
      </c>
      <c r="X52" s="54">
        <f t="shared" si="141"/>
        <v>0</v>
      </c>
      <c r="Y52" s="54">
        <f t="shared" si="141"/>
        <v>0</v>
      </c>
      <c r="Z52" s="54">
        <f t="shared" si="141"/>
        <v>0</v>
      </c>
      <c r="AA52" s="54">
        <f t="shared" si="141"/>
        <v>0</v>
      </c>
      <c r="AB52" s="54">
        <f t="shared" si="141"/>
        <v>0</v>
      </c>
      <c r="AC52" s="54">
        <f t="shared" si="141"/>
        <v>0</v>
      </c>
      <c r="AD52" s="54">
        <f t="shared" si="141"/>
        <v>0</v>
      </c>
      <c r="AE52" s="54">
        <f t="shared" si="141"/>
        <v>0</v>
      </c>
      <c r="AF52" s="54">
        <f t="shared" ref="AF52:AY52" si="142">SUM(AF50:AF51)</f>
        <v>0</v>
      </c>
      <c r="AG52" s="54">
        <f t="shared" si="142"/>
        <v>0</v>
      </c>
      <c r="AH52" s="54">
        <f t="shared" si="142"/>
        <v>0</v>
      </c>
      <c r="AI52" s="54">
        <f t="shared" si="142"/>
        <v>0</v>
      </c>
      <c r="AJ52" s="54">
        <f t="shared" si="142"/>
        <v>0</v>
      </c>
      <c r="AK52" s="54">
        <f t="shared" si="142"/>
        <v>0</v>
      </c>
      <c r="AL52" s="54">
        <f t="shared" si="142"/>
        <v>0</v>
      </c>
      <c r="AM52" s="54">
        <f t="shared" si="142"/>
        <v>0</v>
      </c>
      <c r="AN52" s="54">
        <f t="shared" si="142"/>
        <v>0</v>
      </c>
      <c r="AO52" s="54">
        <f t="shared" si="142"/>
        <v>0</v>
      </c>
      <c r="AP52" s="54">
        <f t="shared" si="142"/>
        <v>0</v>
      </c>
      <c r="AQ52" s="54">
        <f t="shared" si="142"/>
        <v>0</v>
      </c>
      <c r="AR52" s="54">
        <f t="shared" si="142"/>
        <v>0</v>
      </c>
      <c r="AS52" s="54">
        <f t="shared" si="142"/>
        <v>0</v>
      </c>
      <c r="AT52" s="54">
        <f t="shared" si="142"/>
        <v>0</v>
      </c>
      <c r="AU52" s="54">
        <f t="shared" si="142"/>
        <v>0</v>
      </c>
      <c r="AV52" s="54">
        <f t="shared" si="142"/>
        <v>0</v>
      </c>
      <c r="AW52" s="54">
        <f t="shared" si="142"/>
        <v>0</v>
      </c>
      <c r="AX52" s="54">
        <f t="shared" si="142"/>
        <v>0</v>
      </c>
      <c r="AY52" s="54">
        <f t="shared" si="142"/>
        <v>0</v>
      </c>
      <c r="AZ52" s="54">
        <f t="shared" ref="AZ52:BI52" si="143">SUM(AZ50:AZ51)</f>
        <v>0</v>
      </c>
      <c r="BA52" s="54">
        <f t="shared" si="143"/>
        <v>0</v>
      </c>
      <c r="BB52" s="54">
        <f t="shared" si="143"/>
        <v>0</v>
      </c>
      <c r="BC52" s="54">
        <f t="shared" si="143"/>
        <v>0</v>
      </c>
      <c r="BD52" s="54">
        <f t="shared" si="143"/>
        <v>0</v>
      </c>
      <c r="BE52" s="54">
        <f t="shared" si="143"/>
        <v>0</v>
      </c>
      <c r="BF52" s="54">
        <f t="shared" si="143"/>
        <v>0</v>
      </c>
      <c r="BG52" s="54">
        <f t="shared" si="143"/>
        <v>0</v>
      </c>
      <c r="BH52" s="54">
        <f t="shared" si="143"/>
        <v>0</v>
      </c>
      <c r="BI52" s="54">
        <f t="shared" si="143"/>
        <v>0</v>
      </c>
      <c r="BJ52" s="55">
        <f t="shared" ref="BJ52:BM52" si="144">SUM(BJ50:BJ51)</f>
        <v>0</v>
      </c>
      <c r="BK52" s="55">
        <f t="shared" si="144"/>
        <v>0</v>
      </c>
      <c r="BL52" s="55">
        <f t="shared" si="144"/>
        <v>0</v>
      </c>
      <c r="BM52" s="55">
        <f t="shared" si="144"/>
        <v>0</v>
      </c>
      <c r="BN52" s="55">
        <f t="shared" ref="BN52:BS52" si="145">SUM(BN50:BN51)</f>
        <v>0</v>
      </c>
      <c r="BO52" s="55">
        <f t="shared" si="145"/>
        <v>0</v>
      </c>
      <c r="BP52" s="55">
        <f t="shared" si="145"/>
        <v>0</v>
      </c>
      <c r="BQ52" s="55">
        <f t="shared" si="145"/>
        <v>0</v>
      </c>
      <c r="BR52" s="55">
        <f t="shared" si="145"/>
        <v>0</v>
      </c>
      <c r="BS52" s="55">
        <f t="shared" si="145"/>
        <v>0</v>
      </c>
      <c r="BT52" s="68">
        <f t="shared" ref="BT52:CH52" si="146">SUM(BT50:BT51)</f>
        <v>0</v>
      </c>
      <c r="BU52" s="68">
        <f t="shared" si="146"/>
        <v>0</v>
      </c>
      <c r="BV52" s="68">
        <f t="shared" si="146"/>
        <v>0</v>
      </c>
      <c r="BW52" s="68">
        <f t="shared" si="146"/>
        <v>0</v>
      </c>
      <c r="BX52" s="68">
        <f t="shared" si="146"/>
        <v>0</v>
      </c>
      <c r="BY52" s="68">
        <f t="shared" si="146"/>
        <v>0</v>
      </c>
      <c r="BZ52" s="68">
        <f t="shared" si="146"/>
        <v>0</v>
      </c>
      <c r="CA52" s="68">
        <f t="shared" si="146"/>
        <v>0</v>
      </c>
      <c r="CB52" s="68">
        <f t="shared" si="146"/>
        <v>0</v>
      </c>
      <c r="CC52" s="68">
        <f t="shared" si="146"/>
        <v>0</v>
      </c>
      <c r="CD52" s="68">
        <f t="shared" si="146"/>
        <v>0</v>
      </c>
      <c r="CE52" s="68">
        <f t="shared" si="146"/>
        <v>0</v>
      </c>
      <c r="CF52" s="68">
        <f t="shared" si="146"/>
        <v>0</v>
      </c>
      <c r="CG52" s="68">
        <f t="shared" si="146"/>
        <v>0</v>
      </c>
      <c r="CH52" s="68">
        <f t="shared" si="146"/>
        <v>0</v>
      </c>
      <c r="CI52" s="68">
        <f t="shared" ref="CI52:CM52" si="147">SUM(CI50:CI51)</f>
        <v>0</v>
      </c>
      <c r="CJ52" s="68">
        <f t="shared" si="147"/>
        <v>0</v>
      </c>
      <c r="CK52" s="68">
        <f t="shared" si="147"/>
        <v>0</v>
      </c>
      <c r="CL52" s="68">
        <f t="shared" si="147"/>
        <v>0</v>
      </c>
      <c r="CM52" s="68">
        <f t="shared" si="147"/>
        <v>0</v>
      </c>
      <c r="CN52" s="68"/>
      <c r="CO52" s="68"/>
      <c r="CP52" s="68"/>
      <c r="CQ52" s="68"/>
      <c r="CR52" s="68"/>
      <c r="CS52" s="68"/>
      <c r="CT52" s="68"/>
    </row>
    <row r="53" spans="1:98">
      <c r="B53" s="6"/>
      <c r="C53" s="6"/>
      <c r="D53" s="6"/>
      <c r="E53" s="6"/>
      <c r="F53" s="6"/>
      <c r="G53" s="6"/>
      <c r="H53" s="6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</row>
    <row r="54" spans="1:98">
      <c r="A54" s="16" t="s">
        <v>109</v>
      </c>
      <c r="B54" s="6"/>
      <c r="C54" s="6"/>
      <c r="D54" s="6"/>
      <c r="E54" s="6"/>
      <c r="F54" s="6"/>
      <c r="G54" s="6"/>
      <c r="H54" s="6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</row>
    <row r="55" spans="1:98">
      <c r="A55" t="s">
        <v>8</v>
      </c>
      <c r="B55" s="5">
        <f>B31*B25</f>
        <v>0</v>
      </c>
      <c r="C55" s="5">
        <f>C31*C25</f>
        <v>0</v>
      </c>
      <c r="D55" s="5">
        <f>D31*D25</f>
        <v>0</v>
      </c>
      <c r="E55" s="5">
        <f>E31*E25</f>
        <v>0</v>
      </c>
      <c r="F55" s="5">
        <f>F31*F25</f>
        <v>0</v>
      </c>
      <c r="G55" s="5">
        <f t="shared" ref="G55:V55" si="148">G31*G25</f>
        <v>0</v>
      </c>
      <c r="H55" s="5">
        <f t="shared" si="148"/>
        <v>0</v>
      </c>
      <c r="I55" s="54">
        <f t="shared" si="148"/>
        <v>0</v>
      </c>
      <c r="J55" s="54">
        <f t="shared" si="148"/>
        <v>0</v>
      </c>
      <c r="K55" s="54">
        <f t="shared" si="148"/>
        <v>0</v>
      </c>
      <c r="L55" s="54">
        <f t="shared" si="148"/>
        <v>0</v>
      </c>
      <c r="M55" s="54">
        <f t="shared" si="148"/>
        <v>0</v>
      </c>
      <c r="N55" s="54">
        <f t="shared" si="148"/>
        <v>0</v>
      </c>
      <c r="O55" s="54">
        <f t="shared" si="148"/>
        <v>0</v>
      </c>
      <c r="P55" s="54">
        <f t="shared" si="148"/>
        <v>0</v>
      </c>
      <c r="Q55" s="54">
        <f t="shared" si="148"/>
        <v>0</v>
      </c>
      <c r="R55" s="54">
        <f t="shared" si="148"/>
        <v>0</v>
      </c>
      <c r="S55" s="54">
        <f t="shared" si="148"/>
        <v>0</v>
      </c>
      <c r="T55" s="54">
        <f t="shared" si="148"/>
        <v>0</v>
      </c>
      <c r="U55" s="54">
        <f t="shared" si="148"/>
        <v>0</v>
      </c>
      <c r="V55" s="54">
        <f t="shared" si="148"/>
        <v>0</v>
      </c>
      <c r="W55" s="54">
        <f t="shared" ref="W55:AC55" si="149">W31*W25</f>
        <v>0</v>
      </c>
      <c r="X55" s="54">
        <f t="shared" si="149"/>
        <v>0</v>
      </c>
      <c r="Y55" s="54">
        <f t="shared" si="149"/>
        <v>0</v>
      </c>
      <c r="Z55" s="54">
        <f t="shared" si="149"/>
        <v>0</v>
      </c>
      <c r="AA55" s="54">
        <f t="shared" si="149"/>
        <v>0</v>
      </c>
      <c r="AB55" s="54">
        <f t="shared" si="149"/>
        <v>0</v>
      </c>
      <c r="AC55" s="54">
        <f t="shared" si="149"/>
        <v>0</v>
      </c>
      <c r="AD55" s="54">
        <f>AD31*AD25</f>
        <v>0</v>
      </c>
      <c r="AE55" s="54">
        <f>AE31*AE25</f>
        <v>0</v>
      </c>
      <c r="AF55" s="54">
        <f t="shared" ref="AF55:AY55" si="150">AF31*AF25</f>
        <v>0</v>
      </c>
      <c r="AG55" s="54">
        <f t="shared" si="150"/>
        <v>0</v>
      </c>
      <c r="AH55" s="54">
        <f t="shared" si="150"/>
        <v>0</v>
      </c>
      <c r="AI55" s="54">
        <f t="shared" si="150"/>
        <v>0</v>
      </c>
      <c r="AJ55" s="54">
        <f t="shared" si="150"/>
        <v>0</v>
      </c>
      <c r="AK55" s="54">
        <f t="shared" si="150"/>
        <v>0</v>
      </c>
      <c r="AL55" s="54">
        <f t="shared" si="150"/>
        <v>0</v>
      </c>
      <c r="AM55" s="54">
        <f t="shared" si="150"/>
        <v>0</v>
      </c>
      <c r="AN55" s="54">
        <f t="shared" si="150"/>
        <v>0</v>
      </c>
      <c r="AO55" s="54">
        <f t="shared" si="150"/>
        <v>0</v>
      </c>
      <c r="AP55" s="54">
        <f t="shared" si="150"/>
        <v>0</v>
      </c>
      <c r="AQ55" s="54">
        <f t="shared" si="150"/>
        <v>0</v>
      </c>
      <c r="AR55" s="54">
        <f t="shared" si="150"/>
        <v>0</v>
      </c>
      <c r="AS55" s="54">
        <f t="shared" si="150"/>
        <v>0</v>
      </c>
      <c r="AT55" s="54">
        <f t="shared" si="150"/>
        <v>0</v>
      </c>
      <c r="AU55" s="54">
        <f t="shared" si="150"/>
        <v>0</v>
      </c>
      <c r="AV55" s="54">
        <f t="shared" si="150"/>
        <v>0</v>
      </c>
      <c r="AW55" s="54">
        <f t="shared" si="150"/>
        <v>0</v>
      </c>
      <c r="AX55" s="54">
        <f t="shared" si="150"/>
        <v>0</v>
      </c>
      <c r="AY55" s="54">
        <f t="shared" si="150"/>
        <v>0</v>
      </c>
      <c r="AZ55" s="54">
        <f t="shared" ref="AZ55:BI55" si="151">AZ31*AZ25</f>
        <v>0</v>
      </c>
      <c r="BA55" s="54">
        <f t="shared" si="151"/>
        <v>0</v>
      </c>
      <c r="BB55" s="54">
        <f t="shared" si="151"/>
        <v>0</v>
      </c>
      <c r="BC55" s="54">
        <f t="shared" si="151"/>
        <v>0</v>
      </c>
      <c r="BD55" s="54">
        <f t="shared" si="151"/>
        <v>0</v>
      </c>
      <c r="BE55" s="54">
        <f t="shared" si="151"/>
        <v>0</v>
      </c>
      <c r="BF55" s="54">
        <f t="shared" si="151"/>
        <v>0</v>
      </c>
      <c r="BG55" s="54">
        <f t="shared" si="151"/>
        <v>0</v>
      </c>
      <c r="BH55" s="54">
        <f t="shared" si="151"/>
        <v>0</v>
      </c>
      <c r="BI55" s="54">
        <f t="shared" si="151"/>
        <v>0</v>
      </c>
      <c r="BJ55" s="55">
        <f t="shared" ref="BJ55:BS55" si="152">BJ31*BJ25</f>
        <v>0</v>
      </c>
      <c r="BK55" s="55">
        <f t="shared" si="152"/>
        <v>0</v>
      </c>
      <c r="BL55" s="55">
        <f t="shared" si="152"/>
        <v>0</v>
      </c>
      <c r="BM55" s="55">
        <f t="shared" si="152"/>
        <v>0</v>
      </c>
      <c r="BN55" s="55">
        <f t="shared" si="152"/>
        <v>0</v>
      </c>
      <c r="BO55" s="55">
        <f t="shared" si="152"/>
        <v>0</v>
      </c>
      <c r="BP55" s="55">
        <f t="shared" si="152"/>
        <v>0</v>
      </c>
      <c r="BQ55" s="55">
        <f t="shared" si="152"/>
        <v>0</v>
      </c>
      <c r="BR55" s="55">
        <f t="shared" si="152"/>
        <v>0</v>
      </c>
      <c r="BS55" s="55">
        <f t="shared" si="152"/>
        <v>0</v>
      </c>
      <c r="BT55" s="68">
        <f t="shared" ref="BT55:CH55" si="153">BT31*BT25</f>
        <v>0</v>
      </c>
      <c r="BU55" s="68">
        <f t="shared" si="153"/>
        <v>0</v>
      </c>
      <c r="BV55" s="68">
        <f t="shared" si="153"/>
        <v>0</v>
      </c>
      <c r="BW55" s="68">
        <f t="shared" si="153"/>
        <v>0</v>
      </c>
      <c r="BX55" s="68">
        <f t="shared" si="153"/>
        <v>0</v>
      </c>
      <c r="BY55" s="68">
        <f t="shared" si="153"/>
        <v>0</v>
      </c>
      <c r="BZ55" s="68">
        <f t="shared" si="153"/>
        <v>0</v>
      </c>
      <c r="CA55" s="68">
        <f t="shared" si="153"/>
        <v>0</v>
      </c>
      <c r="CB55" s="68">
        <f t="shared" si="153"/>
        <v>0</v>
      </c>
      <c r="CC55" s="68">
        <f t="shared" si="153"/>
        <v>0</v>
      </c>
      <c r="CD55" s="68">
        <f t="shared" si="153"/>
        <v>0</v>
      </c>
      <c r="CE55" s="68">
        <f t="shared" si="153"/>
        <v>0</v>
      </c>
      <c r="CF55" s="68">
        <f t="shared" si="153"/>
        <v>0</v>
      </c>
      <c r="CG55" s="68">
        <f t="shared" si="153"/>
        <v>0</v>
      </c>
      <c r="CH55" s="68">
        <f t="shared" si="153"/>
        <v>0</v>
      </c>
      <c r="CI55" s="68">
        <f t="shared" ref="CI55:CM55" si="154">CI31*CI25</f>
        <v>0</v>
      </c>
      <c r="CJ55" s="68">
        <f t="shared" si="154"/>
        <v>0</v>
      </c>
      <c r="CK55" s="68">
        <f t="shared" si="154"/>
        <v>0</v>
      </c>
      <c r="CL55" s="68">
        <f t="shared" si="154"/>
        <v>0</v>
      </c>
      <c r="CM55" s="68">
        <f t="shared" si="154"/>
        <v>0</v>
      </c>
      <c r="CN55" s="68"/>
      <c r="CO55" s="68"/>
      <c r="CP55" s="68"/>
      <c r="CQ55" s="68"/>
      <c r="CR55" s="68"/>
      <c r="CS55" s="68"/>
      <c r="CT55" s="68"/>
    </row>
    <row r="56" spans="1:98">
      <c r="A56" t="s">
        <v>10</v>
      </c>
      <c r="B56" s="5">
        <f>B32*B25</f>
        <v>0</v>
      </c>
      <c r="C56" s="5">
        <f>C32*C25</f>
        <v>0</v>
      </c>
      <c r="D56" s="5">
        <f>D32*D25</f>
        <v>0</v>
      </c>
      <c r="E56" s="5">
        <f>E32*E25</f>
        <v>0</v>
      </c>
      <c r="F56" s="5">
        <f>F32*F25</f>
        <v>0</v>
      </c>
      <c r="G56" s="5">
        <f t="shared" ref="G56:V56" si="155">G32*G25</f>
        <v>0</v>
      </c>
      <c r="H56" s="5">
        <f t="shared" si="155"/>
        <v>0</v>
      </c>
      <c r="I56" s="54">
        <f t="shared" si="155"/>
        <v>0</v>
      </c>
      <c r="J56" s="54">
        <f t="shared" si="155"/>
        <v>0</v>
      </c>
      <c r="K56" s="54">
        <f t="shared" si="155"/>
        <v>0</v>
      </c>
      <c r="L56" s="54">
        <f t="shared" si="155"/>
        <v>0</v>
      </c>
      <c r="M56" s="54">
        <f t="shared" si="155"/>
        <v>0</v>
      </c>
      <c r="N56" s="54">
        <f t="shared" si="155"/>
        <v>0</v>
      </c>
      <c r="O56" s="54">
        <f t="shared" si="155"/>
        <v>0</v>
      </c>
      <c r="P56" s="54">
        <f t="shared" si="155"/>
        <v>0</v>
      </c>
      <c r="Q56" s="54">
        <f t="shared" si="155"/>
        <v>0</v>
      </c>
      <c r="R56" s="54">
        <f t="shared" si="155"/>
        <v>0</v>
      </c>
      <c r="S56" s="54">
        <f t="shared" si="155"/>
        <v>0</v>
      </c>
      <c r="T56" s="54">
        <f t="shared" si="155"/>
        <v>0</v>
      </c>
      <c r="U56" s="54">
        <f t="shared" si="155"/>
        <v>0</v>
      </c>
      <c r="V56" s="54">
        <f t="shared" si="155"/>
        <v>0</v>
      </c>
      <c r="W56" s="54">
        <f t="shared" ref="W56:AD56" si="156">W32*W25</f>
        <v>0</v>
      </c>
      <c r="X56" s="54">
        <f t="shared" si="156"/>
        <v>0</v>
      </c>
      <c r="Y56" s="54">
        <f t="shared" si="156"/>
        <v>0</v>
      </c>
      <c r="Z56" s="54">
        <f t="shared" si="156"/>
        <v>0</v>
      </c>
      <c r="AA56" s="54">
        <f t="shared" si="156"/>
        <v>0</v>
      </c>
      <c r="AB56" s="54">
        <f t="shared" si="156"/>
        <v>0</v>
      </c>
      <c r="AC56" s="54">
        <f t="shared" si="156"/>
        <v>0</v>
      </c>
      <c r="AD56" s="54">
        <f t="shared" si="156"/>
        <v>0</v>
      </c>
      <c r="AE56" s="54">
        <f>AE32*AE25</f>
        <v>0</v>
      </c>
      <c r="AF56" s="54">
        <f t="shared" ref="AF56:AY56" si="157">AF32*AF25</f>
        <v>0</v>
      </c>
      <c r="AG56" s="54">
        <f t="shared" si="157"/>
        <v>0</v>
      </c>
      <c r="AH56" s="54">
        <f t="shared" si="157"/>
        <v>0</v>
      </c>
      <c r="AI56" s="54">
        <f t="shared" si="157"/>
        <v>0</v>
      </c>
      <c r="AJ56" s="54">
        <f t="shared" si="157"/>
        <v>0</v>
      </c>
      <c r="AK56" s="54">
        <f t="shared" si="157"/>
        <v>0</v>
      </c>
      <c r="AL56" s="54">
        <f t="shared" si="157"/>
        <v>0</v>
      </c>
      <c r="AM56" s="54">
        <f t="shared" si="157"/>
        <v>0</v>
      </c>
      <c r="AN56" s="54">
        <f t="shared" si="157"/>
        <v>0</v>
      </c>
      <c r="AO56" s="54">
        <f t="shared" si="157"/>
        <v>0</v>
      </c>
      <c r="AP56" s="54">
        <f t="shared" si="157"/>
        <v>0</v>
      </c>
      <c r="AQ56" s="54">
        <f t="shared" si="157"/>
        <v>0</v>
      </c>
      <c r="AR56" s="54">
        <f t="shared" si="157"/>
        <v>0</v>
      </c>
      <c r="AS56" s="54">
        <f t="shared" si="157"/>
        <v>0</v>
      </c>
      <c r="AT56" s="54">
        <f t="shared" si="157"/>
        <v>0</v>
      </c>
      <c r="AU56" s="54">
        <f t="shared" si="157"/>
        <v>0</v>
      </c>
      <c r="AV56" s="54">
        <f t="shared" si="157"/>
        <v>0</v>
      </c>
      <c r="AW56" s="54">
        <f t="shared" si="157"/>
        <v>0</v>
      </c>
      <c r="AX56" s="54">
        <f t="shared" si="157"/>
        <v>0</v>
      </c>
      <c r="AY56" s="54">
        <f t="shared" si="157"/>
        <v>0</v>
      </c>
      <c r="AZ56" s="54">
        <f t="shared" ref="AZ56:BI56" si="158">AZ32*AZ25</f>
        <v>0</v>
      </c>
      <c r="BA56" s="54">
        <f t="shared" si="158"/>
        <v>0</v>
      </c>
      <c r="BB56" s="54">
        <f t="shared" si="158"/>
        <v>0</v>
      </c>
      <c r="BC56" s="54">
        <f t="shared" si="158"/>
        <v>0</v>
      </c>
      <c r="BD56" s="54">
        <f t="shared" si="158"/>
        <v>0</v>
      </c>
      <c r="BE56" s="54">
        <f t="shared" si="158"/>
        <v>0</v>
      </c>
      <c r="BF56" s="54">
        <f t="shared" si="158"/>
        <v>0</v>
      </c>
      <c r="BG56" s="54">
        <f t="shared" si="158"/>
        <v>0</v>
      </c>
      <c r="BH56" s="54">
        <f t="shared" si="158"/>
        <v>0</v>
      </c>
      <c r="BI56" s="54">
        <f t="shared" si="158"/>
        <v>0</v>
      </c>
      <c r="BJ56" s="55">
        <f t="shared" ref="BJ56:BS56" si="159">BJ32*BJ25</f>
        <v>0</v>
      </c>
      <c r="BK56" s="55">
        <f t="shared" si="159"/>
        <v>0</v>
      </c>
      <c r="BL56" s="55">
        <f t="shared" si="159"/>
        <v>0</v>
      </c>
      <c r="BM56" s="55">
        <f t="shared" si="159"/>
        <v>0</v>
      </c>
      <c r="BN56" s="55">
        <f t="shared" si="159"/>
        <v>0</v>
      </c>
      <c r="BO56" s="55">
        <f t="shared" si="159"/>
        <v>0</v>
      </c>
      <c r="BP56" s="55">
        <f t="shared" si="159"/>
        <v>0</v>
      </c>
      <c r="BQ56" s="55">
        <f t="shared" si="159"/>
        <v>0</v>
      </c>
      <c r="BR56" s="55">
        <f t="shared" si="159"/>
        <v>0</v>
      </c>
      <c r="BS56" s="55">
        <f t="shared" si="159"/>
        <v>0</v>
      </c>
      <c r="BT56" s="68">
        <f t="shared" ref="BT56:CH56" si="160">BT32*BT25</f>
        <v>0</v>
      </c>
      <c r="BU56" s="68">
        <f t="shared" si="160"/>
        <v>0</v>
      </c>
      <c r="BV56" s="68">
        <f t="shared" si="160"/>
        <v>0</v>
      </c>
      <c r="BW56" s="68">
        <f t="shared" si="160"/>
        <v>0</v>
      </c>
      <c r="BX56" s="68">
        <f t="shared" si="160"/>
        <v>0</v>
      </c>
      <c r="BY56" s="68">
        <f t="shared" si="160"/>
        <v>0</v>
      </c>
      <c r="BZ56" s="68">
        <f t="shared" si="160"/>
        <v>0</v>
      </c>
      <c r="CA56" s="68">
        <f t="shared" si="160"/>
        <v>0</v>
      </c>
      <c r="CB56" s="68">
        <f t="shared" si="160"/>
        <v>0</v>
      </c>
      <c r="CC56" s="68">
        <f t="shared" si="160"/>
        <v>0</v>
      </c>
      <c r="CD56" s="68">
        <f t="shared" si="160"/>
        <v>0</v>
      </c>
      <c r="CE56" s="68">
        <f t="shared" si="160"/>
        <v>0</v>
      </c>
      <c r="CF56" s="68">
        <f t="shared" si="160"/>
        <v>0</v>
      </c>
      <c r="CG56" s="68">
        <f t="shared" si="160"/>
        <v>0</v>
      </c>
      <c r="CH56" s="68">
        <f t="shared" si="160"/>
        <v>0</v>
      </c>
      <c r="CI56" s="68">
        <f t="shared" ref="CI56:CM56" si="161">CI32*CI25</f>
        <v>0</v>
      </c>
      <c r="CJ56" s="68">
        <f t="shared" si="161"/>
        <v>0</v>
      </c>
      <c r="CK56" s="68">
        <f t="shared" si="161"/>
        <v>0</v>
      </c>
      <c r="CL56" s="68">
        <f t="shared" si="161"/>
        <v>0</v>
      </c>
      <c r="CM56" s="68">
        <f t="shared" si="161"/>
        <v>0</v>
      </c>
      <c r="CN56" s="68"/>
      <c r="CO56" s="68"/>
      <c r="CP56" s="68"/>
      <c r="CQ56" s="68"/>
      <c r="CR56" s="68"/>
      <c r="CS56" s="68"/>
      <c r="CT56" s="68"/>
    </row>
    <row r="57" spans="1:98">
      <c r="A57" t="s">
        <v>14</v>
      </c>
      <c r="B57" s="5">
        <f>SUM(B55:B56)</f>
        <v>0</v>
      </c>
      <c r="C57" s="5">
        <f>SUM(C55:C56)</f>
        <v>0</v>
      </c>
      <c r="D57" s="5">
        <f>SUM(D55:D56)</f>
        <v>0</v>
      </c>
      <c r="E57" s="5">
        <f>SUM(E55:E56)</f>
        <v>0</v>
      </c>
      <c r="F57" s="5">
        <f>SUM(F55:F56)</f>
        <v>0</v>
      </c>
      <c r="G57" s="5">
        <f t="shared" ref="G57:V57" si="162">SUM(G55:G56)</f>
        <v>0</v>
      </c>
      <c r="H57" s="5">
        <f t="shared" si="162"/>
        <v>0</v>
      </c>
      <c r="I57" s="54">
        <f t="shared" si="162"/>
        <v>0</v>
      </c>
      <c r="J57" s="54">
        <f t="shared" si="162"/>
        <v>0</v>
      </c>
      <c r="K57" s="54">
        <f t="shared" si="162"/>
        <v>0</v>
      </c>
      <c r="L57" s="54">
        <f t="shared" si="162"/>
        <v>0</v>
      </c>
      <c r="M57" s="54">
        <f t="shared" si="162"/>
        <v>0</v>
      </c>
      <c r="N57" s="54">
        <f t="shared" si="162"/>
        <v>0</v>
      </c>
      <c r="O57" s="54">
        <f t="shared" si="162"/>
        <v>0</v>
      </c>
      <c r="P57" s="54">
        <f t="shared" si="162"/>
        <v>0</v>
      </c>
      <c r="Q57" s="54">
        <f t="shared" si="162"/>
        <v>0</v>
      </c>
      <c r="R57" s="54">
        <f t="shared" si="162"/>
        <v>0</v>
      </c>
      <c r="S57" s="54">
        <f t="shared" si="162"/>
        <v>0</v>
      </c>
      <c r="T57" s="54">
        <f t="shared" si="162"/>
        <v>0</v>
      </c>
      <c r="U57" s="54">
        <f t="shared" si="162"/>
        <v>0</v>
      </c>
      <c r="V57" s="54">
        <f t="shared" si="162"/>
        <v>0</v>
      </c>
      <c r="W57" s="54">
        <f t="shared" ref="W57:AD57" si="163">SUM(W55:W56)</f>
        <v>0</v>
      </c>
      <c r="X57" s="54">
        <f t="shared" si="163"/>
        <v>0</v>
      </c>
      <c r="Y57" s="54">
        <f t="shared" si="163"/>
        <v>0</v>
      </c>
      <c r="Z57" s="54">
        <f t="shared" si="163"/>
        <v>0</v>
      </c>
      <c r="AA57" s="54">
        <f t="shared" si="163"/>
        <v>0</v>
      </c>
      <c r="AB57" s="54">
        <f t="shared" si="163"/>
        <v>0</v>
      </c>
      <c r="AC57" s="54">
        <f t="shared" si="163"/>
        <v>0</v>
      </c>
      <c r="AD57" s="54">
        <f t="shared" si="163"/>
        <v>0</v>
      </c>
      <c r="AE57" s="54">
        <f>SUM(AE55:AE56)</f>
        <v>0</v>
      </c>
      <c r="AF57" s="54">
        <f t="shared" ref="AF57:AY57" si="164">SUM(AF55:AF56)</f>
        <v>0</v>
      </c>
      <c r="AG57" s="54">
        <f t="shared" si="164"/>
        <v>0</v>
      </c>
      <c r="AH57" s="54">
        <f t="shared" si="164"/>
        <v>0</v>
      </c>
      <c r="AI57" s="54">
        <f t="shared" si="164"/>
        <v>0</v>
      </c>
      <c r="AJ57" s="54">
        <f t="shared" si="164"/>
        <v>0</v>
      </c>
      <c r="AK57" s="54">
        <f t="shared" si="164"/>
        <v>0</v>
      </c>
      <c r="AL57" s="54">
        <f t="shared" si="164"/>
        <v>0</v>
      </c>
      <c r="AM57" s="54">
        <f t="shared" si="164"/>
        <v>0</v>
      </c>
      <c r="AN57" s="54">
        <f t="shared" si="164"/>
        <v>0</v>
      </c>
      <c r="AO57" s="54">
        <f t="shared" si="164"/>
        <v>0</v>
      </c>
      <c r="AP57" s="54">
        <f t="shared" si="164"/>
        <v>0</v>
      </c>
      <c r="AQ57" s="54">
        <f t="shared" si="164"/>
        <v>0</v>
      </c>
      <c r="AR57" s="54">
        <f t="shared" si="164"/>
        <v>0</v>
      </c>
      <c r="AS57" s="54">
        <f t="shared" si="164"/>
        <v>0</v>
      </c>
      <c r="AT57" s="54">
        <f t="shared" si="164"/>
        <v>0</v>
      </c>
      <c r="AU57" s="54">
        <f t="shared" si="164"/>
        <v>0</v>
      </c>
      <c r="AV57" s="54">
        <f t="shared" si="164"/>
        <v>0</v>
      </c>
      <c r="AW57" s="54">
        <f t="shared" si="164"/>
        <v>0</v>
      </c>
      <c r="AX57" s="54">
        <f t="shared" si="164"/>
        <v>0</v>
      </c>
      <c r="AY57" s="54">
        <f t="shared" si="164"/>
        <v>0</v>
      </c>
      <c r="AZ57" s="54">
        <f t="shared" ref="AZ57:BI57" si="165">SUM(AZ55:AZ56)</f>
        <v>0</v>
      </c>
      <c r="BA57" s="54">
        <f t="shared" si="165"/>
        <v>0</v>
      </c>
      <c r="BB57" s="54">
        <f t="shared" si="165"/>
        <v>0</v>
      </c>
      <c r="BC57" s="54">
        <f t="shared" si="165"/>
        <v>0</v>
      </c>
      <c r="BD57" s="54">
        <f t="shared" si="165"/>
        <v>0</v>
      </c>
      <c r="BE57" s="54">
        <f t="shared" si="165"/>
        <v>0</v>
      </c>
      <c r="BF57" s="54">
        <f t="shared" si="165"/>
        <v>0</v>
      </c>
      <c r="BG57" s="54">
        <f t="shared" si="165"/>
        <v>0</v>
      </c>
      <c r="BH57" s="54">
        <f t="shared" si="165"/>
        <v>0</v>
      </c>
      <c r="BI57" s="54">
        <f t="shared" si="165"/>
        <v>0</v>
      </c>
      <c r="BJ57" s="55">
        <f t="shared" ref="BJ57:BS57" si="166">SUM(BJ55:BJ56)</f>
        <v>0</v>
      </c>
      <c r="BK57" s="55">
        <f t="shared" si="166"/>
        <v>0</v>
      </c>
      <c r="BL57" s="55">
        <f t="shared" si="166"/>
        <v>0</v>
      </c>
      <c r="BM57" s="55">
        <f t="shared" si="166"/>
        <v>0</v>
      </c>
      <c r="BN57" s="55">
        <f t="shared" si="166"/>
        <v>0</v>
      </c>
      <c r="BO57" s="55">
        <f t="shared" si="166"/>
        <v>0</v>
      </c>
      <c r="BP57" s="55">
        <f t="shared" si="166"/>
        <v>0</v>
      </c>
      <c r="BQ57" s="55">
        <f t="shared" si="166"/>
        <v>0</v>
      </c>
      <c r="BR57" s="55">
        <f t="shared" si="166"/>
        <v>0</v>
      </c>
      <c r="BS57" s="55">
        <f t="shared" si="166"/>
        <v>0</v>
      </c>
      <c r="BT57" s="68">
        <f t="shared" ref="BT57:CH57" si="167">SUM(BT55:BT56)</f>
        <v>0</v>
      </c>
      <c r="BU57" s="68">
        <f t="shared" si="167"/>
        <v>0</v>
      </c>
      <c r="BV57" s="68">
        <f t="shared" si="167"/>
        <v>0</v>
      </c>
      <c r="BW57" s="68">
        <f t="shared" si="167"/>
        <v>0</v>
      </c>
      <c r="BX57" s="68">
        <f t="shared" si="167"/>
        <v>0</v>
      </c>
      <c r="BY57" s="68">
        <f t="shared" si="167"/>
        <v>0</v>
      </c>
      <c r="BZ57" s="68">
        <f t="shared" si="167"/>
        <v>0</v>
      </c>
      <c r="CA57" s="68">
        <f t="shared" si="167"/>
        <v>0</v>
      </c>
      <c r="CB57" s="68">
        <f t="shared" si="167"/>
        <v>0</v>
      </c>
      <c r="CC57" s="68">
        <f t="shared" si="167"/>
        <v>0</v>
      </c>
      <c r="CD57" s="68">
        <f t="shared" si="167"/>
        <v>0</v>
      </c>
      <c r="CE57" s="68">
        <f t="shared" si="167"/>
        <v>0</v>
      </c>
      <c r="CF57" s="68">
        <f t="shared" si="167"/>
        <v>0</v>
      </c>
      <c r="CG57" s="68">
        <f t="shared" si="167"/>
        <v>0</v>
      </c>
      <c r="CH57" s="68">
        <f t="shared" si="167"/>
        <v>0</v>
      </c>
      <c r="CI57" s="68">
        <f t="shared" ref="CI57:CM57" si="168">SUM(CI55:CI56)</f>
        <v>0</v>
      </c>
      <c r="CJ57" s="68">
        <f t="shared" si="168"/>
        <v>0</v>
      </c>
      <c r="CK57" s="68">
        <f t="shared" si="168"/>
        <v>0</v>
      </c>
      <c r="CL57" s="68">
        <f t="shared" si="168"/>
        <v>0</v>
      </c>
      <c r="CM57" s="68">
        <f t="shared" si="168"/>
        <v>0</v>
      </c>
      <c r="CN57" s="68"/>
      <c r="CO57" s="68"/>
      <c r="CP57" s="68"/>
      <c r="CQ57" s="68"/>
      <c r="CR57" s="68"/>
      <c r="CS57" s="68"/>
      <c r="CT57" s="68"/>
    </row>
    <row r="58" spans="1:98">
      <c r="A58" t="s">
        <v>9</v>
      </c>
      <c r="B58" s="5">
        <f>B34*B26</f>
        <v>0</v>
      </c>
      <c r="C58" s="5">
        <f>C34*C26</f>
        <v>0</v>
      </c>
      <c r="D58" s="5">
        <f>D34*D26</f>
        <v>0</v>
      </c>
      <c r="E58" s="5">
        <f>E34*E26</f>
        <v>0</v>
      </c>
      <c r="F58" s="5">
        <f>F34*F26</f>
        <v>0</v>
      </c>
      <c r="G58" s="5">
        <f t="shared" ref="G58:V58" si="169">G34*G26</f>
        <v>0</v>
      </c>
      <c r="H58" s="5">
        <f t="shared" si="169"/>
        <v>0</v>
      </c>
      <c r="I58" s="54">
        <f t="shared" si="169"/>
        <v>0</v>
      </c>
      <c r="J58" s="54">
        <f t="shared" si="169"/>
        <v>0</v>
      </c>
      <c r="K58" s="54">
        <f t="shared" si="169"/>
        <v>0</v>
      </c>
      <c r="L58" s="54">
        <f t="shared" si="169"/>
        <v>0</v>
      </c>
      <c r="M58" s="54">
        <f t="shared" si="169"/>
        <v>0</v>
      </c>
      <c r="N58" s="54">
        <f t="shared" si="169"/>
        <v>0</v>
      </c>
      <c r="O58" s="54">
        <f t="shared" si="169"/>
        <v>0</v>
      </c>
      <c r="P58" s="54">
        <f t="shared" si="169"/>
        <v>0</v>
      </c>
      <c r="Q58" s="54">
        <f t="shared" si="169"/>
        <v>0</v>
      </c>
      <c r="R58" s="54">
        <f t="shared" si="169"/>
        <v>0</v>
      </c>
      <c r="S58" s="54">
        <f t="shared" si="169"/>
        <v>0</v>
      </c>
      <c r="T58" s="54">
        <f t="shared" si="169"/>
        <v>0</v>
      </c>
      <c r="U58" s="54">
        <f t="shared" si="169"/>
        <v>0</v>
      </c>
      <c r="V58" s="54">
        <f t="shared" si="169"/>
        <v>0</v>
      </c>
      <c r="W58" s="54">
        <f t="shared" ref="W58:AD58" si="170">W34*W26</f>
        <v>0</v>
      </c>
      <c r="X58" s="54">
        <f t="shared" si="170"/>
        <v>0</v>
      </c>
      <c r="Y58" s="54">
        <f t="shared" si="170"/>
        <v>0</v>
      </c>
      <c r="Z58" s="54">
        <f t="shared" si="170"/>
        <v>0</v>
      </c>
      <c r="AA58" s="54">
        <f t="shared" si="170"/>
        <v>0</v>
      </c>
      <c r="AB58" s="54">
        <f t="shared" si="170"/>
        <v>0</v>
      </c>
      <c r="AC58" s="54">
        <f t="shared" si="170"/>
        <v>0</v>
      </c>
      <c r="AD58" s="54">
        <f t="shared" si="170"/>
        <v>0</v>
      </c>
      <c r="AE58" s="54">
        <f>AE34*AE26</f>
        <v>0</v>
      </c>
      <c r="AF58" s="54">
        <f t="shared" ref="AF58:AY58" si="171">AF34*AF26</f>
        <v>0</v>
      </c>
      <c r="AG58" s="54">
        <f t="shared" si="171"/>
        <v>0</v>
      </c>
      <c r="AH58" s="54">
        <f t="shared" si="171"/>
        <v>0</v>
      </c>
      <c r="AI58" s="54">
        <f t="shared" si="171"/>
        <v>0</v>
      </c>
      <c r="AJ58" s="54">
        <f t="shared" si="171"/>
        <v>0</v>
      </c>
      <c r="AK58" s="54">
        <f t="shared" si="171"/>
        <v>0</v>
      </c>
      <c r="AL58" s="54">
        <f t="shared" si="171"/>
        <v>0</v>
      </c>
      <c r="AM58" s="54">
        <f t="shared" si="171"/>
        <v>0</v>
      </c>
      <c r="AN58" s="54">
        <f t="shared" si="171"/>
        <v>0</v>
      </c>
      <c r="AO58" s="54">
        <f t="shared" si="171"/>
        <v>0</v>
      </c>
      <c r="AP58" s="54">
        <f t="shared" si="171"/>
        <v>0</v>
      </c>
      <c r="AQ58" s="54">
        <f t="shared" si="171"/>
        <v>0</v>
      </c>
      <c r="AR58" s="54">
        <f t="shared" si="171"/>
        <v>0</v>
      </c>
      <c r="AS58" s="54">
        <f t="shared" si="171"/>
        <v>0</v>
      </c>
      <c r="AT58" s="54">
        <f t="shared" si="171"/>
        <v>0</v>
      </c>
      <c r="AU58" s="54">
        <f t="shared" si="171"/>
        <v>0</v>
      </c>
      <c r="AV58" s="54">
        <f t="shared" si="171"/>
        <v>0</v>
      </c>
      <c r="AW58" s="54">
        <f t="shared" si="171"/>
        <v>0</v>
      </c>
      <c r="AX58" s="54">
        <f t="shared" si="171"/>
        <v>0</v>
      </c>
      <c r="AY58" s="54">
        <f t="shared" si="171"/>
        <v>0</v>
      </c>
      <c r="AZ58" s="54">
        <f t="shared" ref="AZ58:BI58" si="172">AZ34*AZ26</f>
        <v>0</v>
      </c>
      <c r="BA58" s="54">
        <f t="shared" si="172"/>
        <v>0</v>
      </c>
      <c r="BB58" s="54">
        <f t="shared" si="172"/>
        <v>0</v>
      </c>
      <c r="BC58" s="54">
        <f t="shared" si="172"/>
        <v>0</v>
      </c>
      <c r="BD58" s="54">
        <f t="shared" si="172"/>
        <v>0</v>
      </c>
      <c r="BE58" s="54">
        <f t="shared" si="172"/>
        <v>0</v>
      </c>
      <c r="BF58" s="54">
        <f t="shared" si="172"/>
        <v>0</v>
      </c>
      <c r="BG58" s="54">
        <f t="shared" si="172"/>
        <v>0</v>
      </c>
      <c r="BH58" s="54">
        <f t="shared" si="172"/>
        <v>0</v>
      </c>
      <c r="BI58" s="54">
        <f t="shared" si="172"/>
        <v>0</v>
      </c>
      <c r="BJ58" s="55">
        <f t="shared" ref="BJ58:BS58" si="173">BJ34*BJ26</f>
        <v>0</v>
      </c>
      <c r="BK58" s="55">
        <f t="shared" si="173"/>
        <v>0</v>
      </c>
      <c r="BL58" s="55">
        <f t="shared" si="173"/>
        <v>0</v>
      </c>
      <c r="BM58" s="55">
        <f t="shared" si="173"/>
        <v>0</v>
      </c>
      <c r="BN58" s="55">
        <f t="shared" si="173"/>
        <v>0</v>
      </c>
      <c r="BO58" s="55">
        <f t="shared" si="173"/>
        <v>0</v>
      </c>
      <c r="BP58" s="55">
        <f t="shared" si="173"/>
        <v>0</v>
      </c>
      <c r="BQ58" s="55">
        <f t="shared" si="173"/>
        <v>0</v>
      </c>
      <c r="BR58" s="55">
        <f t="shared" si="173"/>
        <v>0</v>
      </c>
      <c r="BS58" s="55">
        <f t="shared" si="173"/>
        <v>0</v>
      </c>
      <c r="BT58" s="68">
        <f t="shared" ref="BT58:CH58" si="174">BT34*BT26</f>
        <v>0</v>
      </c>
      <c r="BU58" s="68">
        <f t="shared" si="174"/>
        <v>0</v>
      </c>
      <c r="BV58" s="68">
        <f t="shared" si="174"/>
        <v>0</v>
      </c>
      <c r="BW58" s="68">
        <f t="shared" si="174"/>
        <v>0</v>
      </c>
      <c r="BX58" s="68">
        <f t="shared" si="174"/>
        <v>0</v>
      </c>
      <c r="BY58" s="68">
        <f t="shared" si="174"/>
        <v>0</v>
      </c>
      <c r="BZ58" s="68">
        <f t="shared" si="174"/>
        <v>0</v>
      </c>
      <c r="CA58" s="68">
        <f t="shared" si="174"/>
        <v>0</v>
      </c>
      <c r="CB58" s="68">
        <f t="shared" si="174"/>
        <v>0</v>
      </c>
      <c r="CC58" s="68">
        <f t="shared" si="174"/>
        <v>0</v>
      </c>
      <c r="CD58" s="68">
        <f t="shared" si="174"/>
        <v>0</v>
      </c>
      <c r="CE58" s="68">
        <f t="shared" si="174"/>
        <v>0</v>
      </c>
      <c r="CF58" s="68">
        <f t="shared" si="174"/>
        <v>0</v>
      </c>
      <c r="CG58" s="68">
        <f t="shared" si="174"/>
        <v>0</v>
      </c>
      <c r="CH58" s="68">
        <f t="shared" si="174"/>
        <v>0</v>
      </c>
      <c r="CI58" s="68">
        <f t="shared" ref="CI58:CM58" si="175">CI34*CI26</f>
        <v>0</v>
      </c>
      <c r="CJ58" s="68">
        <f t="shared" si="175"/>
        <v>0</v>
      </c>
      <c r="CK58" s="68">
        <f t="shared" si="175"/>
        <v>0</v>
      </c>
      <c r="CL58" s="68">
        <f t="shared" si="175"/>
        <v>0</v>
      </c>
      <c r="CM58" s="68">
        <f t="shared" si="175"/>
        <v>0</v>
      </c>
      <c r="CN58" s="68"/>
      <c r="CO58" s="68"/>
      <c r="CP58" s="68"/>
      <c r="CQ58" s="68"/>
      <c r="CR58" s="68"/>
      <c r="CS58" s="68"/>
      <c r="CT58" s="68"/>
    </row>
    <row r="59" spans="1:98">
      <c r="A59" t="s">
        <v>11</v>
      </c>
      <c r="B59" s="5">
        <f>B57+B58</f>
        <v>0</v>
      </c>
      <c r="C59" s="5">
        <f>C57+C58</f>
        <v>0</v>
      </c>
      <c r="D59" s="5">
        <f>D57+D58</f>
        <v>0</v>
      </c>
      <c r="E59" s="5">
        <f>E57+E58</f>
        <v>0</v>
      </c>
      <c r="F59" s="5">
        <f>F57+F58</f>
        <v>0</v>
      </c>
      <c r="G59" s="5">
        <f t="shared" ref="G59:V59" si="176">G57+G58</f>
        <v>0</v>
      </c>
      <c r="H59" s="5">
        <f t="shared" si="176"/>
        <v>0</v>
      </c>
      <c r="I59" s="54">
        <f t="shared" si="176"/>
        <v>0</v>
      </c>
      <c r="J59" s="54">
        <f t="shared" si="176"/>
        <v>0</v>
      </c>
      <c r="K59" s="54">
        <f t="shared" si="176"/>
        <v>0</v>
      </c>
      <c r="L59" s="54">
        <f t="shared" si="176"/>
        <v>0</v>
      </c>
      <c r="M59" s="54">
        <f t="shared" si="176"/>
        <v>0</v>
      </c>
      <c r="N59" s="54">
        <f t="shared" si="176"/>
        <v>0</v>
      </c>
      <c r="O59" s="54">
        <f t="shared" si="176"/>
        <v>0</v>
      </c>
      <c r="P59" s="54">
        <f t="shared" si="176"/>
        <v>0</v>
      </c>
      <c r="Q59" s="54">
        <f t="shared" si="176"/>
        <v>0</v>
      </c>
      <c r="R59" s="54">
        <f t="shared" si="176"/>
        <v>0</v>
      </c>
      <c r="S59" s="54">
        <f t="shared" si="176"/>
        <v>0</v>
      </c>
      <c r="T59" s="54">
        <f t="shared" si="176"/>
        <v>0</v>
      </c>
      <c r="U59" s="54">
        <f t="shared" si="176"/>
        <v>0</v>
      </c>
      <c r="V59" s="54">
        <f t="shared" si="176"/>
        <v>0</v>
      </c>
      <c r="W59" s="54">
        <f t="shared" ref="W59:AD59" si="177">W57+W58</f>
        <v>0</v>
      </c>
      <c r="X59" s="54">
        <f t="shared" si="177"/>
        <v>0</v>
      </c>
      <c r="Y59" s="54">
        <f t="shared" si="177"/>
        <v>0</v>
      </c>
      <c r="Z59" s="54">
        <f t="shared" si="177"/>
        <v>0</v>
      </c>
      <c r="AA59" s="54">
        <f t="shared" si="177"/>
        <v>0</v>
      </c>
      <c r="AB59" s="54">
        <f t="shared" si="177"/>
        <v>0</v>
      </c>
      <c r="AC59" s="54">
        <f t="shared" si="177"/>
        <v>0</v>
      </c>
      <c r="AD59" s="54">
        <f t="shared" si="177"/>
        <v>0</v>
      </c>
      <c r="AE59" s="54">
        <f>AE57+AE58</f>
        <v>0</v>
      </c>
      <c r="AF59" s="54">
        <f t="shared" ref="AF59:AY59" si="178">AF57+AF58</f>
        <v>0</v>
      </c>
      <c r="AG59" s="54">
        <f t="shared" si="178"/>
        <v>0</v>
      </c>
      <c r="AH59" s="54">
        <f t="shared" si="178"/>
        <v>0</v>
      </c>
      <c r="AI59" s="54">
        <f t="shared" si="178"/>
        <v>0</v>
      </c>
      <c r="AJ59" s="54">
        <f t="shared" si="178"/>
        <v>0</v>
      </c>
      <c r="AK59" s="54">
        <f t="shared" si="178"/>
        <v>0</v>
      </c>
      <c r="AL59" s="54">
        <f t="shared" si="178"/>
        <v>0</v>
      </c>
      <c r="AM59" s="54">
        <f t="shared" si="178"/>
        <v>0</v>
      </c>
      <c r="AN59" s="54">
        <f t="shared" si="178"/>
        <v>0</v>
      </c>
      <c r="AO59" s="54">
        <f t="shared" si="178"/>
        <v>0</v>
      </c>
      <c r="AP59" s="54">
        <f t="shared" si="178"/>
        <v>0</v>
      </c>
      <c r="AQ59" s="54">
        <f t="shared" si="178"/>
        <v>0</v>
      </c>
      <c r="AR59" s="54">
        <f t="shared" si="178"/>
        <v>0</v>
      </c>
      <c r="AS59" s="54">
        <f t="shared" si="178"/>
        <v>0</v>
      </c>
      <c r="AT59" s="54">
        <f t="shared" si="178"/>
        <v>0</v>
      </c>
      <c r="AU59" s="54">
        <f t="shared" si="178"/>
        <v>0</v>
      </c>
      <c r="AV59" s="54">
        <f t="shared" si="178"/>
        <v>0</v>
      </c>
      <c r="AW59" s="54">
        <f t="shared" si="178"/>
        <v>0</v>
      </c>
      <c r="AX59" s="54">
        <f t="shared" si="178"/>
        <v>0</v>
      </c>
      <c r="AY59" s="54">
        <f t="shared" si="178"/>
        <v>0</v>
      </c>
      <c r="AZ59" s="54">
        <f t="shared" ref="AZ59:BI59" si="179">AZ57+AZ58</f>
        <v>0</v>
      </c>
      <c r="BA59" s="54">
        <f t="shared" si="179"/>
        <v>0</v>
      </c>
      <c r="BB59" s="54">
        <f t="shared" si="179"/>
        <v>0</v>
      </c>
      <c r="BC59" s="54">
        <f t="shared" si="179"/>
        <v>0</v>
      </c>
      <c r="BD59" s="54">
        <f t="shared" si="179"/>
        <v>0</v>
      </c>
      <c r="BE59" s="54">
        <f t="shared" si="179"/>
        <v>0</v>
      </c>
      <c r="BF59" s="54">
        <f t="shared" si="179"/>
        <v>0</v>
      </c>
      <c r="BG59" s="54">
        <f t="shared" si="179"/>
        <v>0</v>
      </c>
      <c r="BH59" s="54">
        <f t="shared" si="179"/>
        <v>0</v>
      </c>
      <c r="BI59" s="54">
        <f t="shared" si="179"/>
        <v>0</v>
      </c>
      <c r="BJ59" s="55">
        <f t="shared" ref="BJ59:BS59" si="180">BJ57+BJ58</f>
        <v>0</v>
      </c>
      <c r="BK59" s="55">
        <f t="shared" si="180"/>
        <v>0</v>
      </c>
      <c r="BL59" s="55">
        <f t="shared" si="180"/>
        <v>0</v>
      </c>
      <c r="BM59" s="55">
        <f t="shared" si="180"/>
        <v>0</v>
      </c>
      <c r="BN59" s="55">
        <f t="shared" si="180"/>
        <v>0</v>
      </c>
      <c r="BO59" s="55">
        <f t="shared" si="180"/>
        <v>0</v>
      </c>
      <c r="BP59" s="55">
        <f t="shared" si="180"/>
        <v>0</v>
      </c>
      <c r="BQ59" s="55">
        <f t="shared" si="180"/>
        <v>0</v>
      </c>
      <c r="BR59" s="55">
        <f t="shared" si="180"/>
        <v>0</v>
      </c>
      <c r="BS59" s="55">
        <f t="shared" si="180"/>
        <v>0</v>
      </c>
      <c r="BT59" s="68">
        <f t="shared" ref="BT59:CH59" si="181">BT57+BT58</f>
        <v>0</v>
      </c>
      <c r="BU59" s="68">
        <f t="shared" si="181"/>
        <v>0</v>
      </c>
      <c r="BV59" s="68">
        <f t="shared" si="181"/>
        <v>0</v>
      </c>
      <c r="BW59" s="68">
        <f t="shared" si="181"/>
        <v>0</v>
      </c>
      <c r="BX59" s="68">
        <f t="shared" si="181"/>
        <v>0</v>
      </c>
      <c r="BY59" s="68">
        <f t="shared" si="181"/>
        <v>0</v>
      </c>
      <c r="BZ59" s="68">
        <f t="shared" si="181"/>
        <v>0</v>
      </c>
      <c r="CA59" s="68">
        <f t="shared" si="181"/>
        <v>0</v>
      </c>
      <c r="CB59" s="68">
        <f t="shared" si="181"/>
        <v>0</v>
      </c>
      <c r="CC59" s="68">
        <f t="shared" si="181"/>
        <v>0</v>
      </c>
      <c r="CD59" s="68">
        <f t="shared" si="181"/>
        <v>0</v>
      </c>
      <c r="CE59" s="68">
        <f t="shared" si="181"/>
        <v>0</v>
      </c>
      <c r="CF59" s="68">
        <f t="shared" si="181"/>
        <v>0</v>
      </c>
      <c r="CG59" s="68">
        <f t="shared" si="181"/>
        <v>0</v>
      </c>
      <c r="CH59" s="68">
        <f t="shared" si="181"/>
        <v>0</v>
      </c>
      <c r="CI59" s="68">
        <f t="shared" ref="CI59:CM59" si="182">CI57+CI58</f>
        <v>0</v>
      </c>
      <c r="CJ59" s="68">
        <f t="shared" si="182"/>
        <v>0</v>
      </c>
      <c r="CK59" s="68">
        <f t="shared" si="182"/>
        <v>0</v>
      </c>
      <c r="CL59" s="68">
        <f t="shared" si="182"/>
        <v>0</v>
      </c>
      <c r="CM59" s="68">
        <f t="shared" si="182"/>
        <v>0</v>
      </c>
      <c r="CN59" s="68"/>
      <c r="CO59" s="68"/>
      <c r="CP59" s="68"/>
      <c r="CQ59" s="68"/>
      <c r="CR59" s="68"/>
      <c r="CS59" s="68"/>
      <c r="CT59" s="68"/>
    </row>
    <row r="60" spans="1:98">
      <c r="B60" s="6"/>
      <c r="C60" s="6"/>
      <c r="D60" s="6"/>
      <c r="E60" s="6"/>
      <c r="F60" s="6"/>
      <c r="G60" s="6"/>
      <c r="H60" s="6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</row>
    <row r="61" spans="1:98">
      <c r="A61" s="16" t="s">
        <v>96</v>
      </c>
      <c r="B61" s="6"/>
      <c r="C61" s="6"/>
      <c r="D61" s="6"/>
      <c r="E61" s="6"/>
      <c r="F61" s="6"/>
      <c r="G61" s="6"/>
      <c r="H61" s="6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</row>
    <row r="62" spans="1:98">
      <c r="A62" t="s">
        <v>8</v>
      </c>
      <c r="B62" s="5">
        <f t="shared" ref="B62:AE62" si="183">B55*B37</f>
        <v>0</v>
      </c>
      <c r="C62" s="5">
        <f t="shared" si="183"/>
        <v>0</v>
      </c>
      <c r="D62" s="5">
        <f t="shared" si="183"/>
        <v>0</v>
      </c>
      <c r="E62" s="5">
        <f t="shared" si="183"/>
        <v>0</v>
      </c>
      <c r="F62" s="5">
        <f t="shared" si="183"/>
        <v>0</v>
      </c>
      <c r="G62" s="5">
        <f t="shared" si="183"/>
        <v>0</v>
      </c>
      <c r="H62" s="5">
        <f t="shared" si="183"/>
        <v>0</v>
      </c>
      <c r="I62" s="54">
        <f t="shared" si="183"/>
        <v>0</v>
      </c>
      <c r="J62" s="54">
        <f t="shared" si="183"/>
        <v>0</v>
      </c>
      <c r="K62" s="54">
        <f t="shared" si="183"/>
        <v>0</v>
      </c>
      <c r="L62" s="54">
        <f t="shared" si="183"/>
        <v>0</v>
      </c>
      <c r="M62" s="54">
        <f t="shared" si="183"/>
        <v>0</v>
      </c>
      <c r="N62" s="54">
        <f t="shared" si="183"/>
        <v>0</v>
      </c>
      <c r="O62" s="54">
        <f t="shared" si="183"/>
        <v>0</v>
      </c>
      <c r="P62" s="54">
        <f t="shared" si="183"/>
        <v>0</v>
      </c>
      <c r="Q62" s="54">
        <f t="shared" si="183"/>
        <v>0</v>
      </c>
      <c r="R62" s="54">
        <f t="shared" si="183"/>
        <v>0</v>
      </c>
      <c r="S62" s="54">
        <f t="shared" si="183"/>
        <v>0</v>
      </c>
      <c r="T62" s="54">
        <f t="shared" si="183"/>
        <v>0</v>
      </c>
      <c r="U62" s="54">
        <f t="shared" si="183"/>
        <v>0</v>
      </c>
      <c r="V62" s="54">
        <f t="shared" si="183"/>
        <v>0</v>
      </c>
      <c r="W62" s="54">
        <f t="shared" si="183"/>
        <v>0</v>
      </c>
      <c r="X62" s="54">
        <f t="shared" si="183"/>
        <v>0</v>
      </c>
      <c r="Y62" s="54">
        <f t="shared" si="183"/>
        <v>0</v>
      </c>
      <c r="Z62" s="54">
        <f t="shared" si="183"/>
        <v>0</v>
      </c>
      <c r="AA62" s="54">
        <f t="shared" si="183"/>
        <v>0</v>
      </c>
      <c r="AB62" s="54">
        <f t="shared" si="183"/>
        <v>0</v>
      </c>
      <c r="AC62" s="54">
        <f t="shared" si="183"/>
        <v>0</v>
      </c>
      <c r="AD62" s="54">
        <f t="shared" si="183"/>
        <v>0</v>
      </c>
      <c r="AE62" s="54">
        <f t="shared" si="183"/>
        <v>0</v>
      </c>
      <c r="AF62" s="54">
        <f t="shared" ref="AF62:AY62" si="184">AF55*AF37</f>
        <v>0</v>
      </c>
      <c r="AG62" s="54">
        <f t="shared" si="184"/>
        <v>0</v>
      </c>
      <c r="AH62" s="54">
        <f t="shared" si="184"/>
        <v>0</v>
      </c>
      <c r="AI62" s="54">
        <f t="shared" si="184"/>
        <v>0</v>
      </c>
      <c r="AJ62" s="54">
        <f t="shared" si="184"/>
        <v>0</v>
      </c>
      <c r="AK62" s="54">
        <f t="shared" si="184"/>
        <v>0</v>
      </c>
      <c r="AL62" s="54">
        <f t="shared" si="184"/>
        <v>0</v>
      </c>
      <c r="AM62" s="54">
        <f t="shared" si="184"/>
        <v>0</v>
      </c>
      <c r="AN62" s="54">
        <f t="shared" si="184"/>
        <v>0</v>
      </c>
      <c r="AO62" s="54">
        <f t="shared" si="184"/>
        <v>0</v>
      </c>
      <c r="AP62" s="54">
        <f t="shared" si="184"/>
        <v>0</v>
      </c>
      <c r="AQ62" s="54">
        <f t="shared" si="184"/>
        <v>0</v>
      </c>
      <c r="AR62" s="54">
        <f t="shared" si="184"/>
        <v>0</v>
      </c>
      <c r="AS62" s="54">
        <f t="shared" si="184"/>
        <v>0</v>
      </c>
      <c r="AT62" s="54">
        <f t="shared" si="184"/>
        <v>0</v>
      </c>
      <c r="AU62" s="54">
        <f t="shared" si="184"/>
        <v>0</v>
      </c>
      <c r="AV62" s="54">
        <f t="shared" si="184"/>
        <v>0</v>
      </c>
      <c r="AW62" s="54">
        <f t="shared" si="184"/>
        <v>0</v>
      </c>
      <c r="AX62" s="54">
        <f t="shared" si="184"/>
        <v>0</v>
      </c>
      <c r="AY62" s="54">
        <f t="shared" si="184"/>
        <v>0</v>
      </c>
      <c r="AZ62" s="54">
        <f t="shared" ref="AZ62:BI62" si="185">AZ55*AZ37</f>
        <v>0</v>
      </c>
      <c r="BA62" s="54">
        <f t="shared" si="185"/>
        <v>0</v>
      </c>
      <c r="BB62" s="54">
        <f t="shared" si="185"/>
        <v>0</v>
      </c>
      <c r="BC62" s="54">
        <f t="shared" si="185"/>
        <v>0</v>
      </c>
      <c r="BD62" s="54">
        <f t="shared" si="185"/>
        <v>0</v>
      </c>
      <c r="BE62" s="54">
        <f t="shared" si="185"/>
        <v>0</v>
      </c>
      <c r="BF62" s="54">
        <f t="shared" si="185"/>
        <v>0</v>
      </c>
      <c r="BG62" s="54">
        <f t="shared" si="185"/>
        <v>0</v>
      </c>
      <c r="BH62" s="54">
        <f t="shared" si="185"/>
        <v>0</v>
      </c>
      <c r="BI62" s="54">
        <f t="shared" si="185"/>
        <v>0</v>
      </c>
      <c r="BJ62" s="55">
        <f t="shared" ref="BJ62:BM62" si="186">BJ55*BJ37</f>
        <v>0</v>
      </c>
      <c r="BK62" s="55">
        <f t="shared" si="186"/>
        <v>0</v>
      </c>
      <c r="BL62" s="55">
        <f t="shared" si="186"/>
        <v>0</v>
      </c>
      <c r="BM62" s="55">
        <f t="shared" si="186"/>
        <v>0</v>
      </c>
      <c r="BN62" s="55">
        <f t="shared" ref="BN62:BS62" si="187">BN55*BN37</f>
        <v>0</v>
      </c>
      <c r="BO62" s="55">
        <f t="shared" si="187"/>
        <v>0</v>
      </c>
      <c r="BP62" s="55">
        <f t="shared" si="187"/>
        <v>0</v>
      </c>
      <c r="BQ62" s="55">
        <f t="shared" si="187"/>
        <v>0</v>
      </c>
      <c r="BR62" s="55">
        <f t="shared" si="187"/>
        <v>0</v>
      </c>
      <c r="BS62" s="55">
        <f t="shared" si="187"/>
        <v>0</v>
      </c>
      <c r="BT62" s="68">
        <f t="shared" ref="BT62:CH62" si="188">BT55*BT37</f>
        <v>0</v>
      </c>
      <c r="BU62" s="68">
        <f t="shared" si="188"/>
        <v>0</v>
      </c>
      <c r="BV62" s="68">
        <f t="shared" si="188"/>
        <v>0</v>
      </c>
      <c r="BW62" s="68">
        <f t="shared" si="188"/>
        <v>0</v>
      </c>
      <c r="BX62" s="68">
        <f t="shared" si="188"/>
        <v>0</v>
      </c>
      <c r="BY62" s="68">
        <f t="shared" si="188"/>
        <v>0</v>
      </c>
      <c r="BZ62" s="68">
        <f t="shared" si="188"/>
        <v>0</v>
      </c>
      <c r="CA62" s="68">
        <f t="shared" si="188"/>
        <v>0</v>
      </c>
      <c r="CB62" s="68">
        <f t="shared" si="188"/>
        <v>0</v>
      </c>
      <c r="CC62" s="68">
        <f t="shared" si="188"/>
        <v>0</v>
      </c>
      <c r="CD62" s="68">
        <f t="shared" si="188"/>
        <v>0</v>
      </c>
      <c r="CE62" s="68">
        <f t="shared" si="188"/>
        <v>0</v>
      </c>
      <c r="CF62" s="68">
        <f t="shared" si="188"/>
        <v>0</v>
      </c>
      <c r="CG62" s="68">
        <f t="shared" si="188"/>
        <v>0</v>
      </c>
      <c r="CH62" s="68">
        <f t="shared" si="188"/>
        <v>0</v>
      </c>
      <c r="CI62" s="68">
        <f t="shared" ref="CI62:CM62" si="189">CI55*CI37</f>
        <v>0</v>
      </c>
      <c r="CJ62" s="68">
        <f t="shared" si="189"/>
        <v>0</v>
      </c>
      <c r="CK62" s="68">
        <f t="shared" si="189"/>
        <v>0</v>
      </c>
      <c r="CL62" s="68">
        <f t="shared" si="189"/>
        <v>0</v>
      </c>
      <c r="CM62" s="68">
        <f t="shared" si="189"/>
        <v>0</v>
      </c>
      <c r="CN62" s="68"/>
      <c r="CO62" s="68"/>
      <c r="CP62" s="68"/>
      <c r="CQ62" s="68"/>
      <c r="CR62" s="68"/>
      <c r="CS62" s="68"/>
      <c r="CT62" s="68"/>
    </row>
    <row r="63" spans="1:98">
      <c r="A63" t="s">
        <v>10</v>
      </c>
      <c r="B63" s="5">
        <f t="shared" ref="B63:AE63" si="190">B56*B39</f>
        <v>0</v>
      </c>
      <c r="C63" s="5">
        <f t="shared" si="190"/>
        <v>0</v>
      </c>
      <c r="D63" s="5">
        <f t="shared" si="190"/>
        <v>0</v>
      </c>
      <c r="E63" s="5">
        <f t="shared" si="190"/>
        <v>0</v>
      </c>
      <c r="F63" s="5">
        <f t="shared" si="190"/>
        <v>0</v>
      </c>
      <c r="G63" s="5">
        <f t="shared" si="190"/>
        <v>0</v>
      </c>
      <c r="H63" s="5">
        <f t="shared" si="190"/>
        <v>0</v>
      </c>
      <c r="I63" s="54">
        <f t="shared" si="190"/>
        <v>0</v>
      </c>
      <c r="J63" s="54">
        <f t="shared" si="190"/>
        <v>0</v>
      </c>
      <c r="K63" s="54">
        <f t="shared" si="190"/>
        <v>0</v>
      </c>
      <c r="L63" s="54">
        <f t="shared" si="190"/>
        <v>0</v>
      </c>
      <c r="M63" s="54">
        <f t="shared" si="190"/>
        <v>0</v>
      </c>
      <c r="N63" s="54">
        <f t="shared" si="190"/>
        <v>0</v>
      </c>
      <c r="O63" s="54">
        <f t="shared" si="190"/>
        <v>0</v>
      </c>
      <c r="P63" s="54">
        <f t="shared" si="190"/>
        <v>0</v>
      </c>
      <c r="Q63" s="54">
        <f t="shared" si="190"/>
        <v>0</v>
      </c>
      <c r="R63" s="54">
        <f t="shared" si="190"/>
        <v>0</v>
      </c>
      <c r="S63" s="54">
        <f t="shared" si="190"/>
        <v>0</v>
      </c>
      <c r="T63" s="54">
        <f t="shared" si="190"/>
        <v>0</v>
      </c>
      <c r="U63" s="54">
        <f t="shared" si="190"/>
        <v>0</v>
      </c>
      <c r="V63" s="54">
        <f t="shared" si="190"/>
        <v>0</v>
      </c>
      <c r="W63" s="54">
        <f t="shared" si="190"/>
        <v>0</v>
      </c>
      <c r="X63" s="54">
        <f t="shared" si="190"/>
        <v>0</v>
      </c>
      <c r="Y63" s="54">
        <f t="shared" si="190"/>
        <v>0</v>
      </c>
      <c r="Z63" s="54">
        <f t="shared" si="190"/>
        <v>0</v>
      </c>
      <c r="AA63" s="54">
        <f t="shared" si="190"/>
        <v>0</v>
      </c>
      <c r="AB63" s="54">
        <f t="shared" si="190"/>
        <v>0</v>
      </c>
      <c r="AC63" s="54">
        <f t="shared" si="190"/>
        <v>0</v>
      </c>
      <c r="AD63" s="54">
        <f t="shared" si="190"/>
        <v>0</v>
      </c>
      <c r="AE63" s="54">
        <f t="shared" si="190"/>
        <v>0</v>
      </c>
      <c r="AF63" s="54">
        <f t="shared" ref="AF63:AY63" si="191">AF56*AF39</f>
        <v>0</v>
      </c>
      <c r="AG63" s="54">
        <f t="shared" si="191"/>
        <v>0</v>
      </c>
      <c r="AH63" s="54">
        <f t="shared" si="191"/>
        <v>0</v>
      </c>
      <c r="AI63" s="54">
        <f t="shared" si="191"/>
        <v>0</v>
      </c>
      <c r="AJ63" s="54">
        <f t="shared" si="191"/>
        <v>0</v>
      </c>
      <c r="AK63" s="54">
        <f t="shared" si="191"/>
        <v>0</v>
      </c>
      <c r="AL63" s="54">
        <f t="shared" si="191"/>
        <v>0</v>
      </c>
      <c r="AM63" s="54">
        <f t="shared" si="191"/>
        <v>0</v>
      </c>
      <c r="AN63" s="54">
        <f t="shared" si="191"/>
        <v>0</v>
      </c>
      <c r="AO63" s="54">
        <f t="shared" si="191"/>
        <v>0</v>
      </c>
      <c r="AP63" s="54">
        <f t="shared" si="191"/>
        <v>0</v>
      </c>
      <c r="AQ63" s="54">
        <f t="shared" si="191"/>
        <v>0</v>
      </c>
      <c r="AR63" s="54">
        <f t="shared" si="191"/>
        <v>0</v>
      </c>
      <c r="AS63" s="54">
        <f t="shared" si="191"/>
        <v>0</v>
      </c>
      <c r="AT63" s="54">
        <f t="shared" si="191"/>
        <v>0</v>
      </c>
      <c r="AU63" s="54">
        <f t="shared" si="191"/>
        <v>0</v>
      </c>
      <c r="AV63" s="54">
        <f t="shared" si="191"/>
        <v>0</v>
      </c>
      <c r="AW63" s="54">
        <f t="shared" si="191"/>
        <v>0</v>
      </c>
      <c r="AX63" s="54">
        <f t="shared" si="191"/>
        <v>0</v>
      </c>
      <c r="AY63" s="54">
        <f t="shared" si="191"/>
        <v>0</v>
      </c>
      <c r="AZ63" s="54">
        <f t="shared" ref="AZ63:BI63" si="192">AZ56*AZ39</f>
        <v>0</v>
      </c>
      <c r="BA63" s="54">
        <f t="shared" si="192"/>
        <v>0</v>
      </c>
      <c r="BB63" s="54">
        <f t="shared" si="192"/>
        <v>0</v>
      </c>
      <c r="BC63" s="54">
        <f t="shared" si="192"/>
        <v>0</v>
      </c>
      <c r="BD63" s="54">
        <f t="shared" si="192"/>
        <v>0</v>
      </c>
      <c r="BE63" s="54">
        <f t="shared" si="192"/>
        <v>0</v>
      </c>
      <c r="BF63" s="54">
        <f t="shared" si="192"/>
        <v>0</v>
      </c>
      <c r="BG63" s="54">
        <f t="shared" si="192"/>
        <v>0</v>
      </c>
      <c r="BH63" s="54">
        <f t="shared" si="192"/>
        <v>0</v>
      </c>
      <c r="BI63" s="54">
        <f t="shared" si="192"/>
        <v>0</v>
      </c>
      <c r="BJ63" s="55">
        <f t="shared" ref="BJ63:BM63" si="193">BJ56*BJ39</f>
        <v>0</v>
      </c>
      <c r="BK63" s="55">
        <f t="shared" si="193"/>
        <v>0</v>
      </c>
      <c r="BL63" s="55">
        <f t="shared" si="193"/>
        <v>0</v>
      </c>
      <c r="BM63" s="55">
        <f t="shared" si="193"/>
        <v>0</v>
      </c>
      <c r="BN63" s="55">
        <f t="shared" ref="BN63:BS63" si="194">BN56*BN39</f>
        <v>0</v>
      </c>
      <c r="BO63" s="55">
        <f t="shared" si="194"/>
        <v>0</v>
      </c>
      <c r="BP63" s="55">
        <f t="shared" si="194"/>
        <v>0</v>
      </c>
      <c r="BQ63" s="55">
        <f t="shared" si="194"/>
        <v>0</v>
      </c>
      <c r="BR63" s="55">
        <f t="shared" si="194"/>
        <v>0</v>
      </c>
      <c r="BS63" s="55">
        <f t="shared" si="194"/>
        <v>0</v>
      </c>
      <c r="BT63" s="68">
        <f t="shared" ref="BT63:CH63" si="195">BT56*BT39</f>
        <v>0</v>
      </c>
      <c r="BU63" s="68">
        <f t="shared" si="195"/>
        <v>0</v>
      </c>
      <c r="BV63" s="68">
        <f t="shared" si="195"/>
        <v>0</v>
      </c>
      <c r="BW63" s="68">
        <f t="shared" si="195"/>
        <v>0</v>
      </c>
      <c r="BX63" s="68">
        <f t="shared" si="195"/>
        <v>0</v>
      </c>
      <c r="BY63" s="68">
        <f t="shared" si="195"/>
        <v>0</v>
      </c>
      <c r="BZ63" s="68">
        <f t="shared" si="195"/>
        <v>0</v>
      </c>
      <c r="CA63" s="68">
        <f t="shared" si="195"/>
        <v>0</v>
      </c>
      <c r="CB63" s="68">
        <f t="shared" si="195"/>
        <v>0</v>
      </c>
      <c r="CC63" s="68">
        <f t="shared" si="195"/>
        <v>0</v>
      </c>
      <c r="CD63" s="68">
        <f t="shared" si="195"/>
        <v>0</v>
      </c>
      <c r="CE63" s="68">
        <f t="shared" si="195"/>
        <v>0</v>
      </c>
      <c r="CF63" s="68">
        <f t="shared" si="195"/>
        <v>0</v>
      </c>
      <c r="CG63" s="68">
        <f t="shared" si="195"/>
        <v>0</v>
      </c>
      <c r="CH63" s="68">
        <f t="shared" si="195"/>
        <v>0</v>
      </c>
      <c r="CI63" s="68">
        <f t="shared" ref="CI63:CM63" si="196">CI56*CI39</f>
        <v>0</v>
      </c>
      <c r="CJ63" s="68">
        <f t="shared" si="196"/>
        <v>0</v>
      </c>
      <c r="CK63" s="68">
        <f t="shared" si="196"/>
        <v>0</v>
      </c>
      <c r="CL63" s="68">
        <f t="shared" si="196"/>
        <v>0</v>
      </c>
      <c r="CM63" s="68">
        <f t="shared" si="196"/>
        <v>0</v>
      </c>
      <c r="CN63" s="68"/>
      <c r="CO63" s="68"/>
      <c r="CP63" s="68"/>
      <c r="CQ63" s="68"/>
      <c r="CR63" s="68"/>
      <c r="CS63" s="68"/>
      <c r="CT63" s="68"/>
    </row>
    <row r="64" spans="1:98">
      <c r="A64" t="s">
        <v>14</v>
      </c>
      <c r="B64" s="5">
        <f>SUM(B62:B63)</f>
        <v>0</v>
      </c>
      <c r="C64" s="5">
        <f>SUM(C62:C63)</f>
        <v>0</v>
      </c>
      <c r="D64" s="5">
        <f>SUM(D62:D63)</f>
        <v>0</v>
      </c>
      <c r="E64" s="5">
        <f>SUM(E62:E63)</f>
        <v>0</v>
      </c>
      <c r="F64" s="5">
        <f>SUM(F62:F63)</f>
        <v>0</v>
      </c>
      <c r="G64" s="5">
        <f t="shared" ref="G64:V64" si="197">SUM(G62:G63)</f>
        <v>0</v>
      </c>
      <c r="H64" s="5">
        <f t="shared" si="197"/>
        <v>0</v>
      </c>
      <c r="I64" s="54">
        <f t="shared" si="197"/>
        <v>0</v>
      </c>
      <c r="J64" s="54">
        <f t="shared" si="197"/>
        <v>0</v>
      </c>
      <c r="K64" s="54">
        <f t="shared" si="197"/>
        <v>0</v>
      </c>
      <c r="L64" s="54">
        <f t="shared" si="197"/>
        <v>0</v>
      </c>
      <c r="M64" s="54">
        <f t="shared" si="197"/>
        <v>0</v>
      </c>
      <c r="N64" s="54">
        <f t="shared" si="197"/>
        <v>0</v>
      </c>
      <c r="O64" s="54">
        <f t="shared" si="197"/>
        <v>0</v>
      </c>
      <c r="P64" s="54">
        <f t="shared" si="197"/>
        <v>0</v>
      </c>
      <c r="Q64" s="54">
        <f t="shared" si="197"/>
        <v>0</v>
      </c>
      <c r="R64" s="54">
        <f t="shared" si="197"/>
        <v>0</v>
      </c>
      <c r="S64" s="54">
        <f t="shared" si="197"/>
        <v>0</v>
      </c>
      <c r="T64" s="54">
        <f t="shared" si="197"/>
        <v>0</v>
      </c>
      <c r="U64" s="54">
        <f t="shared" si="197"/>
        <v>0</v>
      </c>
      <c r="V64" s="54">
        <f t="shared" si="197"/>
        <v>0</v>
      </c>
      <c r="W64" s="54">
        <f t="shared" ref="W64:AE64" si="198">SUM(W62:W63)</f>
        <v>0</v>
      </c>
      <c r="X64" s="54">
        <f t="shared" si="198"/>
        <v>0</v>
      </c>
      <c r="Y64" s="54">
        <f t="shared" si="198"/>
        <v>0</v>
      </c>
      <c r="Z64" s="54">
        <f t="shared" si="198"/>
        <v>0</v>
      </c>
      <c r="AA64" s="54">
        <f t="shared" si="198"/>
        <v>0</v>
      </c>
      <c r="AB64" s="54">
        <f t="shared" si="198"/>
        <v>0</v>
      </c>
      <c r="AC64" s="54">
        <f t="shared" si="198"/>
        <v>0</v>
      </c>
      <c r="AD64" s="54">
        <f t="shared" si="198"/>
        <v>0</v>
      </c>
      <c r="AE64" s="54">
        <f t="shared" si="198"/>
        <v>0</v>
      </c>
      <c r="AF64" s="54">
        <f t="shared" ref="AF64:AY64" si="199">SUM(AF62:AF63)</f>
        <v>0</v>
      </c>
      <c r="AG64" s="54">
        <f t="shared" si="199"/>
        <v>0</v>
      </c>
      <c r="AH64" s="54">
        <f t="shared" si="199"/>
        <v>0</v>
      </c>
      <c r="AI64" s="54">
        <f t="shared" si="199"/>
        <v>0</v>
      </c>
      <c r="AJ64" s="54">
        <f t="shared" si="199"/>
        <v>0</v>
      </c>
      <c r="AK64" s="54">
        <f t="shared" si="199"/>
        <v>0</v>
      </c>
      <c r="AL64" s="54">
        <f t="shared" si="199"/>
        <v>0</v>
      </c>
      <c r="AM64" s="54">
        <f t="shared" si="199"/>
        <v>0</v>
      </c>
      <c r="AN64" s="54">
        <f t="shared" si="199"/>
        <v>0</v>
      </c>
      <c r="AO64" s="54">
        <f t="shared" si="199"/>
        <v>0</v>
      </c>
      <c r="AP64" s="54">
        <f t="shared" si="199"/>
        <v>0</v>
      </c>
      <c r="AQ64" s="54">
        <f t="shared" si="199"/>
        <v>0</v>
      </c>
      <c r="AR64" s="54">
        <f t="shared" si="199"/>
        <v>0</v>
      </c>
      <c r="AS64" s="54">
        <f t="shared" si="199"/>
        <v>0</v>
      </c>
      <c r="AT64" s="54">
        <f t="shared" si="199"/>
        <v>0</v>
      </c>
      <c r="AU64" s="54">
        <f t="shared" si="199"/>
        <v>0</v>
      </c>
      <c r="AV64" s="54">
        <f t="shared" si="199"/>
        <v>0</v>
      </c>
      <c r="AW64" s="54">
        <f t="shared" si="199"/>
        <v>0</v>
      </c>
      <c r="AX64" s="54">
        <f t="shared" si="199"/>
        <v>0</v>
      </c>
      <c r="AY64" s="54">
        <f t="shared" si="199"/>
        <v>0</v>
      </c>
      <c r="AZ64" s="54">
        <f t="shared" ref="AZ64:BI64" si="200">SUM(AZ62:AZ63)</f>
        <v>0</v>
      </c>
      <c r="BA64" s="54">
        <f t="shared" si="200"/>
        <v>0</v>
      </c>
      <c r="BB64" s="54">
        <f t="shared" si="200"/>
        <v>0</v>
      </c>
      <c r="BC64" s="54">
        <f t="shared" si="200"/>
        <v>0</v>
      </c>
      <c r="BD64" s="54">
        <f t="shared" si="200"/>
        <v>0</v>
      </c>
      <c r="BE64" s="54">
        <f t="shared" si="200"/>
        <v>0</v>
      </c>
      <c r="BF64" s="54">
        <f t="shared" si="200"/>
        <v>0</v>
      </c>
      <c r="BG64" s="54">
        <f t="shared" si="200"/>
        <v>0</v>
      </c>
      <c r="BH64" s="54">
        <f t="shared" si="200"/>
        <v>0</v>
      </c>
      <c r="BI64" s="54">
        <f t="shared" si="200"/>
        <v>0</v>
      </c>
      <c r="BJ64" s="55">
        <f t="shared" ref="BJ64:BS64" si="201">SUM(BJ62:BJ63)</f>
        <v>0</v>
      </c>
      <c r="BK64" s="55">
        <f t="shared" si="201"/>
        <v>0</v>
      </c>
      <c r="BL64" s="55">
        <f t="shared" si="201"/>
        <v>0</v>
      </c>
      <c r="BM64" s="55">
        <f t="shared" si="201"/>
        <v>0</v>
      </c>
      <c r="BN64" s="55">
        <f t="shared" si="201"/>
        <v>0</v>
      </c>
      <c r="BO64" s="55">
        <f t="shared" si="201"/>
        <v>0</v>
      </c>
      <c r="BP64" s="55">
        <f t="shared" si="201"/>
        <v>0</v>
      </c>
      <c r="BQ64" s="55">
        <f t="shared" si="201"/>
        <v>0</v>
      </c>
      <c r="BR64" s="55">
        <f t="shared" si="201"/>
        <v>0</v>
      </c>
      <c r="BS64" s="55">
        <f t="shared" si="201"/>
        <v>0</v>
      </c>
      <c r="BT64" s="68">
        <f t="shared" ref="BT64:CH64" si="202">SUM(BT62:BT63)</f>
        <v>0</v>
      </c>
      <c r="BU64" s="68">
        <f t="shared" si="202"/>
        <v>0</v>
      </c>
      <c r="BV64" s="68">
        <f t="shared" si="202"/>
        <v>0</v>
      </c>
      <c r="BW64" s="68">
        <f t="shared" si="202"/>
        <v>0</v>
      </c>
      <c r="BX64" s="68">
        <f t="shared" si="202"/>
        <v>0</v>
      </c>
      <c r="BY64" s="68">
        <f t="shared" si="202"/>
        <v>0</v>
      </c>
      <c r="BZ64" s="68">
        <f t="shared" si="202"/>
        <v>0</v>
      </c>
      <c r="CA64" s="68">
        <f t="shared" si="202"/>
        <v>0</v>
      </c>
      <c r="CB64" s="68">
        <f t="shared" si="202"/>
        <v>0</v>
      </c>
      <c r="CC64" s="68">
        <f t="shared" si="202"/>
        <v>0</v>
      </c>
      <c r="CD64" s="68">
        <f t="shared" si="202"/>
        <v>0</v>
      </c>
      <c r="CE64" s="68">
        <f t="shared" si="202"/>
        <v>0</v>
      </c>
      <c r="CF64" s="68">
        <f t="shared" si="202"/>
        <v>0</v>
      </c>
      <c r="CG64" s="68">
        <f t="shared" si="202"/>
        <v>0</v>
      </c>
      <c r="CH64" s="68">
        <f t="shared" si="202"/>
        <v>0</v>
      </c>
      <c r="CI64" s="68">
        <f t="shared" ref="CI64:CM64" si="203">SUM(CI62:CI63)</f>
        <v>0</v>
      </c>
      <c r="CJ64" s="68">
        <f t="shared" si="203"/>
        <v>0</v>
      </c>
      <c r="CK64" s="68">
        <f t="shared" si="203"/>
        <v>0</v>
      </c>
      <c r="CL64" s="68">
        <f t="shared" si="203"/>
        <v>0</v>
      </c>
      <c r="CM64" s="68">
        <f t="shared" si="203"/>
        <v>0</v>
      </c>
      <c r="CN64" s="68"/>
      <c r="CO64" s="68"/>
      <c r="CP64" s="68"/>
      <c r="CQ64" s="68"/>
      <c r="CR64" s="68"/>
      <c r="CS64" s="68"/>
      <c r="CT64" s="68"/>
    </row>
    <row r="65" spans="1:98">
      <c r="A65" t="s">
        <v>9</v>
      </c>
      <c r="B65" s="5">
        <f t="shared" ref="B65:AE65" si="204">B58*B38</f>
        <v>0</v>
      </c>
      <c r="C65" s="5">
        <f t="shared" si="204"/>
        <v>0</v>
      </c>
      <c r="D65" s="5">
        <f t="shared" si="204"/>
        <v>0</v>
      </c>
      <c r="E65" s="5">
        <f t="shared" si="204"/>
        <v>0</v>
      </c>
      <c r="F65" s="5">
        <f t="shared" si="204"/>
        <v>0</v>
      </c>
      <c r="G65" s="5">
        <f t="shared" si="204"/>
        <v>0</v>
      </c>
      <c r="H65" s="5">
        <f t="shared" si="204"/>
        <v>0</v>
      </c>
      <c r="I65" s="54">
        <f t="shared" si="204"/>
        <v>0</v>
      </c>
      <c r="J65" s="54">
        <f t="shared" si="204"/>
        <v>0</v>
      </c>
      <c r="K65" s="54">
        <f t="shared" si="204"/>
        <v>0</v>
      </c>
      <c r="L65" s="54">
        <f t="shared" si="204"/>
        <v>0</v>
      </c>
      <c r="M65" s="54">
        <f t="shared" si="204"/>
        <v>0</v>
      </c>
      <c r="N65" s="54">
        <f t="shared" si="204"/>
        <v>0</v>
      </c>
      <c r="O65" s="54">
        <f t="shared" si="204"/>
        <v>0</v>
      </c>
      <c r="P65" s="54">
        <f t="shared" si="204"/>
        <v>0</v>
      </c>
      <c r="Q65" s="54">
        <f t="shared" si="204"/>
        <v>0</v>
      </c>
      <c r="R65" s="54">
        <f t="shared" si="204"/>
        <v>0</v>
      </c>
      <c r="S65" s="54">
        <f t="shared" si="204"/>
        <v>0</v>
      </c>
      <c r="T65" s="54">
        <f t="shared" si="204"/>
        <v>0</v>
      </c>
      <c r="U65" s="54">
        <f t="shared" si="204"/>
        <v>0</v>
      </c>
      <c r="V65" s="54">
        <f t="shared" si="204"/>
        <v>0</v>
      </c>
      <c r="W65" s="54">
        <f t="shared" si="204"/>
        <v>0</v>
      </c>
      <c r="X65" s="54">
        <f t="shared" si="204"/>
        <v>0</v>
      </c>
      <c r="Y65" s="54">
        <f t="shared" si="204"/>
        <v>0</v>
      </c>
      <c r="Z65" s="54">
        <f t="shared" si="204"/>
        <v>0</v>
      </c>
      <c r="AA65" s="54">
        <f t="shared" si="204"/>
        <v>0</v>
      </c>
      <c r="AB65" s="54">
        <f t="shared" si="204"/>
        <v>0</v>
      </c>
      <c r="AC65" s="54">
        <f t="shared" si="204"/>
        <v>0</v>
      </c>
      <c r="AD65" s="54">
        <f t="shared" si="204"/>
        <v>0</v>
      </c>
      <c r="AE65" s="54">
        <f t="shared" si="204"/>
        <v>0</v>
      </c>
      <c r="AF65" s="54">
        <f t="shared" ref="AF65:AY65" si="205">AF58*AF38</f>
        <v>0</v>
      </c>
      <c r="AG65" s="54">
        <f t="shared" si="205"/>
        <v>0</v>
      </c>
      <c r="AH65" s="54">
        <f t="shared" si="205"/>
        <v>0</v>
      </c>
      <c r="AI65" s="54">
        <f t="shared" si="205"/>
        <v>0</v>
      </c>
      <c r="AJ65" s="54">
        <f t="shared" si="205"/>
        <v>0</v>
      </c>
      <c r="AK65" s="54">
        <f t="shared" si="205"/>
        <v>0</v>
      </c>
      <c r="AL65" s="54">
        <f t="shared" si="205"/>
        <v>0</v>
      </c>
      <c r="AM65" s="54">
        <f t="shared" si="205"/>
        <v>0</v>
      </c>
      <c r="AN65" s="54">
        <f t="shared" si="205"/>
        <v>0</v>
      </c>
      <c r="AO65" s="54">
        <f t="shared" si="205"/>
        <v>0</v>
      </c>
      <c r="AP65" s="54">
        <f t="shared" si="205"/>
        <v>0</v>
      </c>
      <c r="AQ65" s="54">
        <f t="shared" si="205"/>
        <v>0</v>
      </c>
      <c r="AR65" s="54">
        <f t="shared" si="205"/>
        <v>0</v>
      </c>
      <c r="AS65" s="54">
        <f t="shared" si="205"/>
        <v>0</v>
      </c>
      <c r="AT65" s="54">
        <f t="shared" si="205"/>
        <v>0</v>
      </c>
      <c r="AU65" s="54">
        <f t="shared" si="205"/>
        <v>0</v>
      </c>
      <c r="AV65" s="54">
        <f t="shared" si="205"/>
        <v>0</v>
      </c>
      <c r="AW65" s="54">
        <f t="shared" si="205"/>
        <v>0</v>
      </c>
      <c r="AX65" s="54">
        <f t="shared" si="205"/>
        <v>0</v>
      </c>
      <c r="AY65" s="54">
        <f t="shared" si="205"/>
        <v>0</v>
      </c>
      <c r="AZ65" s="54">
        <f t="shared" ref="AZ65:BI65" si="206">AZ58*AZ38</f>
        <v>0</v>
      </c>
      <c r="BA65" s="54">
        <f t="shared" si="206"/>
        <v>0</v>
      </c>
      <c r="BB65" s="54">
        <f t="shared" si="206"/>
        <v>0</v>
      </c>
      <c r="BC65" s="54">
        <f t="shared" si="206"/>
        <v>0</v>
      </c>
      <c r="BD65" s="54">
        <f t="shared" si="206"/>
        <v>0</v>
      </c>
      <c r="BE65" s="54">
        <f t="shared" si="206"/>
        <v>0</v>
      </c>
      <c r="BF65" s="54">
        <f t="shared" si="206"/>
        <v>0</v>
      </c>
      <c r="BG65" s="54">
        <f t="shared" si="206"/>
        <v>0</v>
      </c>
      <c r="BH65" s="54">
        <f t="shared" si="206"/>
        <v>0</v>
      </c>
      <c r="BI65" s="54">
        <f t="shared" si="206"/>
        <v>0</v>
      </c>
      <c r="BJ65" s="55">
        <f t="shared" ref="BJ65:BM65" si="207">BJ58*BJ38</f>
        <v>0</v>
      </c>
      <c r="BK65" s="55">
        <f t="shared" si="207"/>
        <v>0</v>
      </c>
      <c r="BL65" s="55">
        <f t="shared" si="207"/>
        <v>0</v>
      </c>
      <c r="BM65" s="55">
        <f t="shared" si="207"/>
        <v>0</v>
      </c>
      <c r="BN65" s="55">
        <f t="shared" ref="BN65:BS65" si="208">BN58*BN38</f>
        <v>0</v>
      </c>
      <c r="BO65" s="55">
        <f t="shared" si="208"/>
        <v>0</v>
      </c>
      <c r="BP65" s="55">
        <f t="shared" si="208"/>
        <v>0</v>
      </c>
      <c r="BQ65" s="55">
        <f t="shared" si="208"/>
        <v>0</v>
      </c>
      <c r="BR65" s="55">
        <f t="shared" si="208"/>
        <v>0</v>
      </c>
      <c r="BS65" s="55">
        <f t="shared" si="208"/>
        <v>0</v>
      </c>
      <c r="BT65" s="68">
        <f t="shared" ref="BT65:CH65" si="209">BT58*BT38</f>
        <v>0</v>
      </c>
      <c r="BU65" s="68">
        <f t="shared" si="209"/>
        <v>0</v>
      </c>
      <c r="BV65" s="68">
        <f t="shared" si="209"/>
        <v>0</v>
      </c>
      <c r="BW65" s="68">
        <f t="shared" si="209"/>
        <v>0</v>
      </c>
      <c r="BX65" s="68">
        <f t="shared" si="209"/>
        <v>0</v>
      </c>
      <c r="BY65" s="68">
        <f t="shared" si="209"/>
        <v>0</v>
      </c>
      <c r="BZ65" s="68">
        <f t="shared" si="209"/>
        <v>0</v>
      </c>
      <c r="CA65" s="68">
        <f t="shared" si="209"/>
        <v>0</v>
      </c>
      <c r="CB65" s="68">
        <f t="shared" si="209"/>
        <v>0</v>
      </c>
      <c r="CC65" s="68">
        <f t="shared" si="209"/>
        <v>0</v>
      </c>
      <c r="CD65" s="68">
        <f t="shared" si="209"/>
        <v>0</v>
      </c>
      <c r="CE65" s="68">
        <f t="shared" si="209"/>
        <v>0</v>
      </c>
      <c r="CF65" s="68">
        <f t="shared" si="209"/>
        <v>0</v>
      </c>
      <c r="CG65" s="68">
        <f t="shared" si="209"/>
        <v>0</v>
      </c>
      <c r="CH65" s="68">
        <f t="shared" si="209"/>
        <v>0</v>
      </c>
      <c r="CI65" s="68">
        <f t="shared" ref="CI65:CM65" si="210">CI58*CI38</f>
        <v>0</v>
      </c>
      <c r="CJ65" s="68">
        <f t="shared" si="210"/>
        <v>0</v>
      </c>
      <c r="CK65" s="68">
        <f t="shared" si="210"/>
        <v>0</v>
      </c>
      <c r="CL65" s="68">
        <f t="shared" si="210"/>
        <v>0</v>
      </c>
      <c r="CM65" s="68">
        <f t="shared" si="210"/>
        <v>0</v>
      </c>
      <c r="CN65" s="68"/>
      <c r="CO65" s="68"/>
      <c r="CP65" s="68"/>
      <c r="CQ65" s="68"/>
      <c r="CR65" s="68"/>
      <c r="CS65" s="68"/>
      <c r="CT65" s="68"/>
    </row>
    <row r="66" spans="1:98">
      <c r="A66" t="s">
        <v>97</v>
      </c>
      <c r="B66" s="5">
        <f>B64+B65</f>
        <v>0</v>
      </c>
      <c r="C66" s="5">
        <f>C64+C65</f>
        <v>0</v>
      </c>
      <c r="D66" s="5">
        <f>D64+D65</f>
        <v>0</v>
      </c>
      <c r="E66" s="5">
        <f>E64+E65</f>
        <v>0</v>
      </c>
      <c r="F66" s="5">
        <f>F64+F65</f>
        <v>0</v>
      </c>
      <c r="G66" s="5">
        <f t="shared" ref="G66:V66" si="211">G64+G65</f>
        <v>0</v>
      </c>
      <c r="H66" s="5">
        <f t="shared" si="211"/>
        <v>0</v>
      </c>
      <c r="I66" s="54">
        <f t="shared" si="211"/>
        <v>0</v>
      </c>
      <c r="J66" s="54">
        <f t="shared" si="211"/>
        <v>0</v>
      </c>
      <c r="K66" s="54">
        <f>K64+K65</f>
        <v>0</v>
      </c>
      <c r="L66" s="54">
        <f t="shared" si="211"/>
        <v>0</v>
      </c>
      <c r="M66" s="54">
        <f t="shared" si="211"/>
        <v>0</v>
      </c>
      <c r="N66" s="54">
        <f t="shared" si="211"/>
        <v>0</v>
      </c>
      <c r="O66" s="54">
        <f t="shared" si="211"/>
        <v>0</v>
      </c>
      <c r="P66" s="54">
        <f t="shared" si="211"/>
        <v>0</v>
      </c>
      <c r="Q66" s="54">
        <f t="shared" si="211"/>
        <v>0</v>
      </c>
      <c r="R66" s="54">
        <f t="shared" si="211"/>
        <v>0</v>
      </c>
      <c r="S66" s="54">
        <f t="shared" si="211"/>
        <v>0</v>
      </c>
      <c r="T66" s="54">
        <f t="shared" si="211"/>
        <v>0</v>
      </c>
      <c r="U66" s="54">
        <f t="shared" si="211"/>
        <v>0</v>
      </c>
      <c r="V66" s="54">
        <f t="shared" si="211"/>
        <v>0</v>
      </c>
      <c r="W66" s="54">
        <f t="shared" ref="W66:AD66" si="212">W64+W65</f>
        <v>0</v>
      </c>
      <c r="X66" s="54">
        <f t="shared" si="212"/>
        <v>0</v>
      </c>
      <c r="Y66" s="54">
        <f t="shared" si="212"/>
        <v>0</v>
      </c>
      <c r="Z66" s="54">
        <f t="shared" si="212"/>
        <v>0</v>
      </c>
      <c r="AA66" s="54">
        <f t="shared" si="212"/>
        <v>0</v>
      </c>
      <c r="AB66" s="54">
        <f t="shared" si="212"/>
        <v>0</v>
      </c>
      <c r="AC66" s="54">
        <f t="shared" si="212"/>
        <v>0</v>
      </c>
      <c r="AD66" s="54">
        <f t="shared" si="212"/>
        <v>0</v>
      </c>
      <c r="AE66" s="54">
        <f>AE64+AE65</f>
        <v>0</v>
      </c>
      <c r="AF66" s="54">
        <f t="shared" ref="AF66:AY66" si="213">AF64+AF65</f>
        <v>0</v>
      </c>
      <c r="AG66" s="54">
        <f t="shared" si="213"/>
        <v>0</v>
      </c>
      <c r="AH66" s="54">
        <f t="shared" si="213"/>
        <v>0</v>
      </c>
      <c r="AI66" s="54">
        <f t="shared" si="213"/>
        <v>0</v>
      </c>
      <c r="AJ66" s="54">
        <f t="shared" si="213"/>
        <v>0</v>
      </c>
      <c r="AK66" s="54">
        <f t="shared" si="213"/>
        <v>0</v>
      </c>
      <c r="AL66" s="54">
        <f t="shared" si="213"/>
        <v>0</v>
      </c>
      <c r="AM66" s="54">
        <f t="shared" si="213"/>
        <v>0</v>
      </c>
      <c r="AN66" s="54">
        <f t="shared" si="213"/>
        <v>0</v>
      </c>
      <c r="AO66" s="54">
        <f t="shared" si="213"/>
        <v>0</v>
      </c>
      <c r="AP66" s="54">
        <f t="shared" si="213"/>
        <v>0</v>
      </c>
      <c r="AQ66" s="54">
        <f t="shared" si="213"/>
        <v>0</v>
      </c>
      <c r="AR66" s="54">
        <f t="shared" si="213"/>
        <v>0</v>
      </c>
      <c r="AS66" s="54">
        <f t="shared" si="213"/>
        <v>0</v>
      </c>
      <c r="AT66" s="54">
        <f t="shared" si="213"/>
        <v>0</v>
      </c>
      <c r="AU66" s="54">
        <f t="shared" si="213"/>
        <v>0</v>
      </c>
      <c r="AV66" s="54">
        <f t="shared" si="213"/>
        <v>0</v>
      </c>
      <c r="AW66" s="54">
        <f t="shared" si="213"/>
        <v>0</v>
      </c>
      <c r="AX66" s="54">
        <f t="shared" si="213"/>
        <v>0</v>
      </c>
      <c r="AY66" s="54">
        <f t="shared" si="213"/>
        <v>0</v>
      </c>
      <c r="AZ66" s="54">
        <f t="shared" ref="AZ66:BI66" si="214">AZ64+AZ65</f>
        <v>0</v>
      </c>
      <c r="BA66" s="54">
        <f t="shared" si="214"/>
        <v>0</v>
      </c>
      <c r="BB66" s="54">
        <f t="shared" si="214"/>
        <v>0</v>
      </c>
      <c r="BC66" s="54">
        <f t="shared" si="214"/>
        <v>0</v>
      </c>
      <c r="BD66" s="54">
        <f t="shared" si="214"/>
        <v>0</v>
      </c>
      <c r="BE66" s="54">
        <f t="shared" si="214"/>
        <v>0</v>
      </c>
      <c r="BF66" s="54">
        <f t="shared" si="214"/>
        <v>0</v>
      </c>
      <c r="BG66" s="54">
        <f t="shared" si="214"/>
        <v>0</v>
      </c>
      <c r="BH66" s="54">
        <f t="shared" si="214"/>
        <v>0</v>
      </c>
      <c r="BI66" s="54">
        <f t="shared" si="214"/>
        <v>0</v>
      </c>
      <c r="BJ66" s="55">
        <f t="shared" ref="BJ66:BS66" si="215">BJ64+BJ65</f>
        <v>0</v>
      </c>
      <c r="BK66" s="55">
        <f t="shared" si="215"/>
        <v>0</v>
      </c>
      <c r="BL66" s="55">
        <f t="shared" si="215"/>
        <v>0</v>
      </c>
      <c r="BM66" s="55">
        <f t="shared" si="215"/>
        <v>0</v>
      </c>
      <c r="BN66" s="55">
        <f t="shared" si="215"/>
        <v>0</v>
      </c>
      <c r="BO66" s="55">
        <f t="shared" si="215"/>
        <v>0</v>
      </c>
      <c r="BP66" s="55">
        <f t="shared" si="215"/>
        <v>0</v>
      </c>
      <c r="BQ66" s="55">
        <f t="shared" si="215"/>
        <v>0</v>
      </c>
      <c r="BR66" s="55">
        <f t="shared" si="215"/>
        <v>0</v>
      </c>
      <c r="BS66" s="55">
        <f t="shared" si="215"/>
        <v>0</v>
      </c>
      <c r="BT66" s="68">
        <f t="shared" ref="BT66:CH66" si="216">BT64+BT65</f>
        <v>0</v>
      </c>
      <c r="BU66" s="68">
        <f t="shared" si="216"/>
        <v>0</v>
      </c>
      <c r="BV66" s="68">
        <f t="shared" si="216"/>
        <v>0</v>
      </c>
      <c r="BW66" s="68">
        <f t="shared" si="216"/>
        <v>0</v>
      </c>
      <c r="BX66" s="68">
        <f t="shared" si="216"/>
        <v>0</v>
      </c>
      <c r="BY66" s="68">
        <f t="shared" si="216"/>
        <v>0</v>
      </c>
      <c r="BZ66" s="68">
        <f t="shared" si="216"/>
        <v>0</v>
      </c>
      <c r="CA66" s="68">
        <f t="shared" si="216"/>
        <v>0</v>
      </c>
      <c r="CB66" s="68">
        <f t="shared" si="216"/>
        <v>0</v>
      </c>
      <c r="CC66" s="68">
        <f t="shared" si="216"/>
        <v>0</v>
      </c>
      <c r="CD66" s="68">
        <f t="shared" si="216"/>
        <v>0</v>
      </c>
      <c r="CE66" s="68">
        <f t="shared" si="216"/>
        <v>0</v>
      </c>
      <c r="CF66" s="68">
        <f t="shared" si="216"/>
        <v>0</v>
      </c>
      <c r="CG66" s="68">
        <f t="shared" si="216"/>
        <v>0</v>
      </c>
      <c r="CH66" s="68">
        <f t="shared" si="216"/>
        <v>0</v>
      </c>
      <c r="CI66" s="68">
        <f t="shared" ref="CI66:CM66" si="217">CI64+CI65</f>
        <v>0</v>
      </c>
      <c r="CJ66" s="68">
        <f t="shared" si="217"/>
        <v>0</v>
      </c>
      <c r="CK66" s="68">
        <f t="shared" si="217"/>
        <v>0</v>
      </c>
      <c r="CL66" s="68">
        <f t="shared" si="217"/>
        <v>0</v>
      </c>
      <c r="CM66" s="68">
        <f t="shared" si="217"/>
        <v>0</v>
      </c>
      <c r="CN66" s="68"/>
      <c r="CO66" s="68"/>
      <c r="CP66" s="68"/>
      <c r="CQ66" s="68"/>
      <c r="CR66" s="68"/>
      <c r="CS66" s="68"/>
      <c r="CT66" s="68"/>
    </row>
    <row r="67" spans="1:98">
      <c r="A67" t="s">
        <v>103</v>
      </c>
      <c r="B67" s="5">
        <f>11/12*B66</f>
        <v>0</v>
      </c>
      <c r="C67" s="5">
        <f>1/12*B66+11/12*C66</f>
        <v>0</v>
      </c>
      <c r="D67" s="5">
        <f>1/12*C66+11/12*D66</f>
        <v>0</v>
      </c>
      <c r="E67" s="5">
        <f>1/12*D66+11/12*E66</f>
        <v>0</v>
      </c>
      <c r="F67" s="5">
        <f>1/12*E66+11/12*F66</f>
        <v>0</v>
      </c>
      <c r="G67" s="5">
        <f t="shared" ref="G67:V67" si="218">1/12*F66+11/12*G66</f>
        <v>0</v>
      </c>
      <c r="H67" s="11">
        <f t="shared" si="218"/>
        <v>0</v>
      </c>
      <c r="I67" s="54">
        <f t="shared" si="218"/>
        <v>0</v>
      </c>
      <c r="J67" s="54">
        <f t="shared" si="218"/>
        <v>0</v>
      </c>
      <c r="K67" s="54">
        <f>1/12*J66+11/12*K66</f>
        <v>0</v>
      </c>
      <c r="L67" s="54">
        <f t="shared" si="218"/>
        <v>0</v>
      </c>
      <c r="M67" s="54">
        <f t="shared" si="218"/>
        <v>0</v>
      </c>
      <c r="N67" s="54">
        <f t="shared" si="218"/>
        <v>0</v>
      </c>
      <c r="O67" s="54">
        <f t="shared" si="218"/>
        <v>0</v>
      </c>
      <c r="P67" s="54">
        <f t="shared" si="218"/>
        <v>0</v>
      </c>
      <c r="Q67" s="54">
        <f t="shared" si="218"/>
        <v>0</v>
      </c>
      <c r="R67" s="54">
        <f t="shared" si="218"/>
        <v>0</v>
      </c>
      <c r="S67" s="54">
        <f t="shared" si="218"/>
        <v>0</v>
      </c>
      <c r="T67" s="54">
        <f t="shared" si="218"/>
        <v>0</v>
      </c>
      <c r="U67" s="54">
        <f t="shared" si="218"/>
        <v>0</v>
      </c>
      <c r="V67" s="54">
        <f t="shared" si="218"/>
        <v>0</v>
      </c>
      <c r="W67" s="54">
        <f t="shared" ref="W67:AD67" si="219">1/12*V66+11/12*W66</f>
        <v>0</v>
      </c>
      <c r="X67" s="54">
        <f t="shared" si="219"/>
        <v>0</v>
      </c>
      <c r="Y67" s="54">
        <f t="shared" si="219"/>
        <v>0</v>
      </c>
      <c r="Z67" s="54">
        <f t="shared" si="219"/>
        <v>0</v>
      </c>
      <c r="AA67" s="54">
        <f t="shared" si="219"/>
        <v>0</v>
      </c>
      <c r="AB67" s="54">
        <f t="shared" si="219"/>
        <v>0</v>
      </c>
      <c r="AC67" s="54">
        <f t="shared" si="219"/>
        <v>0</v>
      </c>
      <c r="AD67" s="54">
        <f t="shared" si="219"/>
        <v>0</v>
      </c>
      <c r="AE67" s="54">
        <f>1/12*AD66+11/12*AE66</f>
        <v>0</v>
      </c>
      <c r="AF67" s="54">
        <f t="shared" ref="AF67:AY67" si="220">1/12*AE66+11/12*AF66</f>
        <v>0</v>
      </c>
      <c r="AG67" s="54">
        <f t="shared" si="220"/>
        <v>0</v>
      </c>
      <c r="AH67" s="54">
        <f t="shared" si="220"/>
        <v>0</v>
      </c>
      <c r="AI67" s="54">
        <f t="shared" si="220"/>
        <v>0</v>
      </c>
      <c r="AJ67" s="54">
        <f t="shared" si="220"/>
        <v>0</v>
      </c>
      <c r="AK67" s="54">
        <f t="shared" si="220"/>
        <v>0</v>
      </c>
      <c r="AL67" s="54">
        <f t="shared" si="220"/>
        <v>0</v>
      </c>
      <c r="AM67" s="54">
        <f t="shared" si="220"/>
        <v>0</v>
      </c>
      <c r="AN67" s="54">
        <f t="shared" si="220"/>
        <v>0</v>
      </c>
      <c r="AO67" s="54">
        <f t="shared" si="220"/>
        <v>0</v>
      </c>
      <c r="AP67" s="54">
        <f t="shared" si="220"/>
        <v>0</v>
      </c>
      <c r="AQ67" s="54">
        <f t="shared" si="220"/>
        <v>0</v>
      </c>
      <c r="AR67" s="54">
        <f t="shared" si="220"/>
        <v>0</v>
      </c>
      <c r="AS67" s="54">
        <f t="shared" si="220"/>
        <v>0</v>
      </c>
      <c r="AT67" s="54">
        <f t="shared" si="220"/>
        <v>0</v>
      </c>
      <c r="AU67" s="54">
        <f t="shared" si="220"/>
        <v>0</v>
      </c>
      <c r="AV67" s="54">
        <f t="shared" si="220"/>
        <v>0</v>
      </c>
      <c r="AW67" s="54">
        <f t="shared" si="220"/>
        <v>0</v>
      </c>
      <c r="AX67" s="54">
        <f t="shared" si="220"/>
        <v>0</v>
      </c>
      <c r="AY67" s="54">
        <f t="shared" si="220"/>
        <v>0</v>
      </c>
      <c r="AZ67" s="54">
        <f t="shared" ref="AZ67" si="221">1/12*AY66+11/12*AZ66</f>
        <v>0</v>
      </c>
      <c r="BA67" s="54">
        <f t="shared" ref="BA67" si="222">1/12*AZ66+11/12*BA66</f>
        <v>0</v>
      </c>
      <c r="BB67" s="54">
        <f t="shared" ref="BB67" si="223">1/12*BA66+11/12*BB66</f>
        <v>0</v>
      </c>
      <c r="BC67" s="54">
        <f t="shared" ref="BC67" si="224">1/12*BB66+11/12*BC66</f>
        <v>0</v>
      </c>
      <c r="BD67" s="54">
        <f t="shared" ref="BD67" si="225">1/12*BC66+11/12*BD66</f>
        <v>0</v>
      </c>
      <c r="BE67" s="54">
        <f t="shared" ref="BE67" si="226">1/12*BD66+11/12*BE66</f>
        <v>0</v>
      </c>
      <c r="BF67" s="54">
        <f t="shared" ref="BF67" si="227">1/12*BE66+11/12*BF66</f>
        <v>0</v>
      </c>
      <c r="BG67" s="54">
        <f t="shared" ref="BG67" si="228">1/12*BF66+11/12*BG66</f>
        <v>0</v>
      </c>
      <c r="BH67" s="54">
        <f t="shared" ref="BH67" si="229">1/12*BG66+11/12*BH66</f>
        <v>0</v>
      </c>
      <c r="BI67" s="54">
        <f t="shared" ref="BI67" si="230">1/12*BH66+11/12*BI66</f>
        <v>0</v>
      </c>
      <c r="BJ67" s="55">
        <f t="shared" ref="BJ67:BS67" si="231">1/12*BI66+11/12*BJ66</f>
        <v>0</v>
      </c>
      <c r="BK67" s="55">
        <f t="shared" si="231"/>
        <v>0</v>
      </c>
      <c r="BL67" s="55">
        <f t="shared" si="231"/>
        <v>0</v>
      </c>
      <c r="BM67" s="55">
        <f t="shared" si="231"/>
        <v>0</v>
      </c>
      <c r="BN67" s="55">
        <f t="shared" si="231"/>
        <v>0</v>
      </c>
      <c r="BO67" s="55">
        <f t="shared" si="231"/>
        <v>0</v>
      </c>
      <c r="BP67" s="55">
        <f t="shared" si="231"/>
        <v>0</v>
      </c>
      <c r="BQ67" s="55">
        <f t="shared" si="231"/>
        <v>0</v>
      </c>
      <c r="BR67" s="55">
        <f t="shared" si="231"/>
        <v>0</v>
      </c>
      <c r="BS67" s="55">
        <f t="shared" si="231"/>
        <v>0</v>
      </c>
      <c r="BT67" s="68">
        <f t="shared" ref="BT67:CH67" si="232">1/12*BS66+11/12*BT66</f>
        <v>0</v>
      </c>
      <c r="BU67" s="68">
        <f t="shared" si="232"/>
        <v>0</v>
      </c>
      <c r="BV67" s="68">
        <f t="shared" si="232"/>
        <v>0</v>
      </c>
      <c r="BW67" s="68">
        <f t="shared" si="232"/>
        <v>0</v>
      </c>
      <c r="BX67" s="68">
        <f t="shared" si="232"/>
        <v>0</v>
      </c>
      <c r="BY67" s="68">
        <f t="shared" si="232"/>
        <v>0</v>
      </c>
      <c r="BZ67" s="68">
        <f t="shared" si="232"/>
        <v>0</v>
      </c>
      <c r="CA67" s="68">
        <f t="shared" si="232"/>
        <v>0</v>
      </c>
      <c r="CB67" s="68">
        <f t="shared" si="232"/>
        <v>0</v>
      </c>
      <c r="CC67" s="68">
        <f t="shared" si="232"/>
        <v>0</v>
      </c>
      <c r="CD67" s="68">
        <f t="shared" si="232"/>
        <v>0</v>
      </c>
      <c r="CE67" s="68">
        <f t="shared" si="232"/>
        <v>0</v>
      </c>
      <c r="CF67" s="68">
        <f t="shared" si="232"/>
        <v>0</v>
      </c>
      <c r="CG67" s="68">
        <f t="shared" si="232"/>
        <v>0</v>
      </c>
      <c r="CH67" s="68">
        <f t="shared" si="232"/>
        <v>0</v>
      </c>
      <c r="CI67" s="68">
        <f t="shared" ref="CI67" si="233">1/12*CH66+11/12*CI66</f>
        <v>0</v>
      </c>
      <c r="CJ67" s="68">
        <f t="shared" ref="CJ67" si="234">1/12*CI66+11/12*CJ66</f>
        <v>0</v>
      </c>
      <c r="CK67" s="68">
        <f t="shared" ref="CK67" si="235">1/12*CJ66+11/12*CK66</f>
        <v>0</v>
      </c>
      <c r="CL67" s="68">
        <f t="shared" ref="CL67" si="236">1/12*CK66+11/12*CL66</f>
        <v>0</v>
      </c>
      <c r="CM67" s="68">
        <f t="shared" ref="CM67" si="237">1/12*CL66+11/12*CM66</f>
        <v>0</v>
      </c>
      <c r="CN67" s="68"/>
      <c r="CO67" s="68"/>
      <c r="CP67" s="68"/>
      <c r="CQ67" s="68"/>
      <c r="CR67" s="68"/>
      <c r="CS67" s="68"/>
      <c r="CT67" s="68"/>
    </row>
    <row r="68" spans="1:98">
      <c r="B68" s="6"/>
      <c r="C68" s="6"/>
      <c r="D68" s="6"/>
      <c r="E68" s="6"/>
      <c r="F68" s="6"/>
      <c r="G68" s="6"/>
      <c r="H68" s="6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</row>
    <row r="69" spans="1:98">
      <c r="A69" t="s">
        <v>98</v>
      </c>
      <c r="B69" s="5">
        <f t="shared" ref="B69:AE69" si="238">(B59-B66)*B7</f>
        <v>0</v>
      </c>
      <c r="C69" s="5">
        <f t="shared" si="238"/>
        <v>0</v>
      </c>
      <c r="D69" s="5">
        <f t="shared" si="238"/>
        <v>0</v>
      </c>
      <c r="E69" s="5">
        <f t="shared" si="238"/>
        <v>0</v>
      </c>
      <c r="F69" s="5">
        <f t="shared" si="238"/>
        <v>0</v>
      </c>
      <c r="G69" s="5">
        <f t="shared" si="238"/>
        <v>0</v>
      </c>
      <c r="H69" s="11">
        <f t="shared" si="238"/>
        <v>0</v>
      </c>
      <c r="I69" s="54">
        <f t="shared" si="238"/>
        <v>0</v>
      </c>
      <c r="J69" s="54">
        <f t="shared" si="238"/>
        <v>0</v>
      </c>
      <c r="K69" s="54">
        <f t="shared" si="238"/>
        <v>0</v>
      </c>
      <c r="L69" s="54">
        <f t="shared" si="238"/>
        <v>0</v>
      </c>
      <c r="M69" s="54">
        <f t="shared" si="238"/>
        <v>0</v>
      </c>
      <c r="N69" s="54">
        <f t="shared" si="238"/>
        <v>0</v>
      </c>
      <c r="O69" s="54">
        <f t="shared" si="238"/>
        <v>0</v>
      </c>
      <c r="P69" s="54">
        <f t="shared" si="238"/>
        <v>0</v>
      </c>
      <c r="Q69" s="54">
        <f t="shared" si="238"/>
        <v>0</v>
      </c>
      <c r="R69" s="54">
        <f t="shared" si="238"/>
        <v>0</v>
      </c>
      <c r="S69" s="54">
        <f t="shared" si="238"/>
        <v>0</v>
      </c>
      <c r="T69" s="54">
        <f t="shared" si="238"/>
        <v>0</v>
      </c>
      <c r="U69" s="54">
        <f t="shared" si="238"/>
        <v>0</v>
      </c>
      <c r="V69" s="54">
        <f t="shared" si="238"/>
        <v>0</v>
      </c>
      <c r="W69" s="54">
        <f t="shared" si="238"/>
        <v>0</v>
      </c>
      <c r="X69" s="54">
        <f t="shared" si="238"/>
        <v>0</v>
      </c>
      <c r="Y69" s="54">
        <f t="shared" si="238"/>
        <v>0</v>
      </c>
      <c r="Z69" s="54">
        <f t="shared" si="238"/>
        <v>0</v>
      </c>
      <c r="AA69" s="54">
        <f t="shared" si="238"/>
        <v>0</v>
      </c>
      <c r="AB69" s="54">
        <f t="shared" si="238"/>
        <v>0</v>
      </c>
      <c r="AC69" s="54">
        <f t="shared" si="238"/>
        <v>0</v>
      </c>
      <c r="AD69" s="54">
        <f t="shared" si="238"/>
        <v>0</v>
      </c>
      <c r="AE69" s="54">
        <f t="shared" si="238"/>
        <v>0</v>
      </c>
      <c r="AF69" s="54">
        <f t="shared" ref="AF69:AY69" si="239">(AF59-AF66)*AF7</f>
        <v>0</v>
      </c>
      <c r="AG69" s="54">
        <f t="shared" si="239"/>
        <v>0</v>
      </c>
      <c r="AH69" s="54">
        <f t="shared" si="239"/>
        <v>0</v>
      </c>
      <c r="AI69" s="54">
        <f t="shared" si="239"/>
        <v>0</v>
      </c>
      <c r="AJ69" s="54">
        <f t="shared" si="239"/>
        <v>0</v>
      </c>
      <c r="AK69" s="54">
        <f t="shared" si="239"/>
        <v>0</v>
      </c>
      <c r="AL69" s="54">
        <f t="shared" si="239"/>
        <v>0</v>
      </c>
      <c r="AM69" s="54">
        <f t="shared" si="239"/>
        <v>0</v>
      </c>
      <c r="AN69" s="54">
        <f t="shared" si="239"/>
        <v>0</v>
      </c>
      <c r="AO69" s="54">
        <f t="shared" si="239"/>
        <v>0</v>
      </c>
      <c r="AP69" s="54">
        <f t="shared" si="239"/>
        <v>0</v>
      </c>
      <c r="AQ69" s="54">
        <f t="shared" si="239"/>
        <v>0</v>
      </c>
      <c r="AR69" s="54">
        <f t="shared" si="239"/>
        <v>0</v>
      </c>
      <c r="AS69" s="54">
        <f t="shared" si="239"/>
        <v>0</v>
      </c>
      <c r="AT69" s="54">
        <f t="shared" si="239"/>
        <v>0</v>
      </c>
      <c r="AU69" s="54">
        <f t="shared" si="239"/>
        <v>0</v>
      </c>
      <c r="AV69" s="54">
        <f t="shared" si="239"/>
        <v>0</v>
      </c>
      <c r="AW69" s="54">
        <f t="shared" si="239"/>
        <v>0</v>
      </c>
      <c r="AX69" s="54">
        <f t="shared" si="239"/>
        <v>0</v>
      </c>
      <c r="AY69" s="54">
        <f t="shared" si="239"/>
        <v>0</v>
      </c>
      <c r="AZ69" s="54">
        <f t="shared" ref="AZ69:BI69" si="240">(AZ59-AZ66)*AZ7</f>
        <v>0</v>
      </c>
      <c r="BA69" s="54">
        <f t="shared" si="240"/>
        <v>0</v>
      </c>
      <c r="BB69" s="54">
        <f t="shared" si="240"/>
        <v>0</v>
      </c>
      <c r="BC69" s="54">
        <f t="shared" si="240"/>
        <v>0</v>
      </c>
      <c r="BD69" s="54">
        <f t="shared" si="240"/>
        <v>0</v>
      </c>
      <c r="BE69" s="54">
        <f t="shared" si="240"/>
        <v>0</v>
      </c>
      <c r="BF69" s="54">
        <f t="shared" si="240"/>
        <v>0</v>
      </c>
      <c r="BG69" s="54">
        <f t="shared" si="240"/>
        <v>0</v>
      </c>
      <c r="BH69" s="54">
        <f t="shared" si="240"/>
        <v>0</v>
      </c>
      <c r="BI69" s="54">
        <f t="shared" si="240"/>
        <v>0</v>
      </c>
      <c r="BJ69" s="55">
        <f t="shared" ref="BJ69:BM69" si="241">(BJ59-BJ66)*BJ7</f>
        <v>0</v>
      </c>
      <c r="BK69" s="55">
        <f t="shared" si="241"/>
        <v>0</v>
      </c>
      <c r="BL69" s="55">
        <f t="shared" si="241"/>
        <v>0</v>
      </c>
      <c r="BM69" s="55">
        <f t="shared" si="241"/>
        <v>0</v>
      </c>
      <c r="BN69" s="55">
        <f t="shared" ref="BN69:BS69" si="242">(BN59-BN66)*BN7</f>
        <v>0</v>
      </c>
      <c r="BO69" s="55">
        <f t="shared" si="242"/>
        <v>0</v>
      </c>
      <c r="BP69" s="55">
        <f t="shared" si="242"/>
        <v>0</v>
      </c>
      <c r="BQ69" s="55">
        <f t="shared" si="242"/>
        <v>0</v>
      </c>
      <c r="BR69" s="55">
        <f t="shared" si="242"/>
        <v>0</v>
      </c>
      <c r="BS69" s="55">
        <f t="shared" si="242"/>
        <v>0</v>
      </c>
      <c r="BT69" s="68">
        <f t="shared" ref="BT69:CH69" si="243">(BT59-BT66)*BT7</f>
        <v>0</v>
      </c>
      <c r="BU69" s="68">
        <f t="shared" si="243"/>
        <v>0</v>
      </c>
      <c r="BV69" s="68">
        <f t="shared" si="243"/>
        <v>0</v>
      </c>
      <c r="BW69" s="68">
        <f t="shared" si="243"/>
        <v>0</v>
      </c>
      <c r="BX69" s="68">
        <f t="shared" si="243"/>
        <v>0</v>
      </c>
      <c r="BY69" s="68">
        <f t="shared" si="243"/>
        <v>0</v>
      </c>
      <c r="BZ69" s="68">
        <f t="shared" si="243"/>
        <v>0</v>
      </c>
      <c r="CA69" s="68">
        <f t="shared" si="243"/>
        <v>0</v>
      </c>
      <c r="CB69" s="68">
        <f t="shared" si="243"/>
        <v>0</v>
      </c>
      <c r="CC69" s="68">
        <f t="shared" si="243"/>
        <v>0</v>
      </c>
      <c r="CD69" s="68">
        <f t="shared" si="243"/>
        <v>0</v>
      </c>
      <c r="CE69" s="68">
        <f t="shared" si="243"/>
        <v>0</v>
      </c>
      <c r="CF69" s="68">
        <f t="shared" si="243"/>
        <v>0</v>
      </c>
      <c r="CG69" s="68">
        <f t="shared" si="243"/>
        <v>0</v>
      </c>
      <c r="CH69" s="68">
        <f t="shared" si="243"/>
        <v>0</v>
      </c>
      <c r="CI69" s="68">
        <f t="shared" ref="CI69:CM69" si="244">(CI59-CI66)*CI7</f>
        <v>0</v>
      </c>
      <c r="CJ69" s="68">
        <f t="shared" si="244"/>
        <v>0</v>
      </c>
      <c r="CK69" s="68">
        <f t="shared" si="244"/>
        <v>0</v>
      </c>
      <c r="CL69" s="68">
        <f t="shared" si="244"/>
        <v>0</v>
      </c>
      <c r="CM69" s="68">
        <f t="shared" si="244"/>
        <v>0</v>
      </c>
      <c r="CN69" s="68"/>
      <c r="CO69" s="68"/>
      <c r="CP69" s="68"/>
      <c r="CQ69" s="68"/>
      <c r="CR69" s="68"/>
      <c r="CS69" s="68"/>
      <c r="CT69" s="68"/>
    </row>
    <row r="70" spans="1:98">
      <c r="A70" t="s">
        <v>99</v>
      </c>
      <c r="B70" s="5">
        <f>B69/2</f>
        <v>0</v>
      </c>
      <c r="C70" s="5">
        <f>(B69+C69)/2</f>
        <v>0</v>
      </c>
      <c r="D70" s="5">
        <f>(C69+D69)/2</f>
        <v>0</v>
      </c>
      <c r="E70" s="5">
        <f>(D69+E69)/2</f>
        <v>0</v>
      </c>
      <c r="F70" s="5">
        <f>(E69+F69)/2</f>
        <v>0</v>
      </c>
      <c r="G70" s="5">
        <f t="shared" ref="G70:V70" si="245">(F69+G69)/2</f>
        <v>0</v>
      </c>
      <c r="H70" s="11">
        <f t="shared" si="245"/>
        <v>0</v>
      </c>
      <c r="I70" s="54">
        <f t="shared" si="245"/>
        <v>0</v>
      </c>
      <c r="J70" s="54">
        <f t="shared" si="245"/>
        <v>0</v>
      </c>
      <c r="K70" s="54">
        <f t="shared" si="245"/>
        <v>0</v>
      </c>
      <c r="L70" s="54">
        <f t="shared" si="245"/>
        <v>0</v>
      </c>
      <c r="M70" s="54">
        <f t="shared" si="245"/>
        <v>0</v>
      </c>
      <c r="N70" s="54">
        <f t="shared" si="245"/>
        <v>0</v>
      </c>
      <c r="O70" s="54">
        <f t="shared" si="245"/>
        <v>0</v>
      </c>
      <c r="P70" s="54">
        <f t="shared" si="245"/>
        <v>0</v>
      </c>
      <c r="Q70" s="54">
        <f t="shared" si="245"/>
        <v>0</v>
      </c>
      <c r="R70" s="54">
        <f t="shared" si="245"/>
        <v>0</v>
      </c>
      <c r="S70" s="54">
        <f t="shared" si="245"/>
        <v>0</v>
      </c>
      <c r="T70" s="54">
        <f t="shared" si="245"/>
        <v>0</v>
      </c>
      <c r="U70" s="54">
        <f t="shared" si="245"/>
        <v>0</v>
      </c>
      <c r="V70" s="54">
        <f t="shared" si="245"/>
        <v>0</v>
      </c>
      <c r="W70" s="54">
        <f t="shared" ref="W70:AD70" si="246">(V69+W69)/2</f>
        <v>0</v>
      </c>
      <c r="X70" s="54">
        <f t="shared" si="246"/>
        <v>0</v>
      </c>
      <c r="Y70" s="54">
        <f t="shared" si="246"/>
        <v>0</v>
      </c>
      <c r="Z70" s="54">
        <f t="shared" si="246"/>
        <v>0</v>
      </c>
      <c r="AA70" s="54">
        <f t="shared" si="246"/>
        <v>0</v>
      </c>
      <c r="AB70" s="54">
        <f t="shared" si="246"/>
        <v>0</v>
      </c>
      <c r="AC70" s="54">
        <f t="shared" si="246"/>
        <v>0</v>
      </c>
      <c r="AD70" s="54">
        <f t="shared" si="246"/>
        <v>0</v>
      </c>
      <c r="AE70" s="54">
        <f>(AD69+AE69)/2</f>
        <v>0</v>
      </c>
      <c r="AF70" s="54">
        <f t="shared" ref="AF70:AY70" si="247">(AE69+AF69)/2</f>
        <v>0</v>
      </c>
      <c r="AG70" s="54">
        <f t="shared" si="247"/>
        <v>0</v>
      </c>
      <c r="AH70" s="54">
        <f t="shared" si="247"/>
        <v>0</v>
      </c>
      <c r="AI70" s="54">
        <f t="shared" si="247"/>
        <v>0</v>
      </c>
      <c r="AJ70" s="54">
        <f t="shared" si="247"/>
        <v>0</v>
      </c>
      <c r="AK70" s="54">
        <f t="shared" si="247"/>
        <v>0</v>
      </c>
      <c r="AL70" s="54">
        <f t="shared" si="247"/>
        <v>0</v>
      </c>
      <c r="AM70" s="54">
        <f t="shared" si="247"/>
        <v>0</v>
      </c>
      <c r="AN70" s="54">
        <f t="shared" si="247"/>
        <v>0</v>
      </c>
      <c r="AO70" s="54">
        <f t="shared" si="247"/>
        <v>0</v>
      </c>
      <c r="AP70" s="54">
        <f t="shared" si="247"/>
        <v>0</v>
      </c>
      <c r="AQ70" s="54">
        <f t="shared" si="247"/>
        <v>0</v>
      </c>
      <c r="AR70" s="54">
        <f t="shared" si="247"/>
        <v>0</v>
      </c>
      <c r="AS70" s="54">
        <f t="shared" si="247"/>
        <v>0</v>
      </c>
      <c r="AT70" s="54">
        <f t="shared" si="247"/>
        <v>0</v>
      </c>
      <c r="AU70" s="54">
        <f t="shared" si="247"/>
        <v>0</v>
      </c>
      <c r="AV70" s="54">
        <f t="shared" si="247"/>
        <v>0</v>
      </c>
      <c r="AW70" s="54">
        <f t="shared" si="247"/>
        <v>0</v>
      </c>
      <c r="AX70" s="54">
        <f t="shared" si="247"/>
        <v>0</v>
      </c>
      <c r="AY70" s="54">
        <f t="shared" si="247"/>
        <v>0</v>
      </c>
      <c r="AZ70" s="54">
        <f t="shared" ref="AZ70" si="248">(AY69+AZ69)/2</f>
        <v>0</v>
      </c>
      <c r="BA70" s="54">
        <f t="shared" ref="BA70" si="249">(AZ69+BA69)/2</f>
        <v>0</v>
      </c>
      <c r="BB70" s="54">
        <f t="shared" ref="BB70" si="250">(BA69+BB69)/2</f>
        <v>0</v>
      </c>
      <c r="BC70" s="54">
        <f t="shared" ref="BC70" si="251">(BB69+BC69)/2</f>
        <v>0</v>
      </c>
      <c r="BD70" s="54">
        <f t="shared" ref="BD70" si="252">(BC69+BD69)/2</f>
        <v>0</v>
      </c>
      <c r="BE70" s="54">
        <f t="shared" ref="BE70" si="253">(BD69+BE69)/2</f>
        <v>0</v>
      </c>
      <c r="BF70" s="54">
        <f t="shared" ref="BF70" si="254">(BE69+BF69)/2</f>
        <v>0</v>
      </c>
      <c r="BG70" s="54">
        <f t="shared" ref="BG70" si="255">(BF69+BG69)/2</f>
        <v>0</v>
      </c>
      <c r="BH70" s="54">
        <f t="shared" ref="BH70" si="256">(BG69+BH69)/2</f>
        <v>0</v>
      </c>
      <c r="BI70" s="54">
        <f t="shared" ref="BI70" si="257">(BH69+BI69)/2</f>
        <v>0</v>
      </c>
      <c r="BJ70" s="55">
        <f t="shared" ref="BJ70:BS70" si="258">(BI69+BJ69)/2</f>
        <v>0</v>
      </c>
      <c r="BK70" s="55">
        <f t="shared" si="258"/>
        <v>0</v>
      </c>
      <c r="BL70" s="55">
        <f t="shared" si="258"/>
        <v>0</v>
      </c>
      <c r="BM70" s="55">
        <f t="shared" si="258"/>
        <v>0</v>
      </c>
      <c r="BN70" s="55">
        <f t="shared" si="258"/>
        <v>0</v>
      </c>
      <c r="BO70" s="55">
        <f t="shared" si="258"/>
        <v>0</v>
      </c>
      <c r="BP70" s="55">
        <f t="shared" si="258"/>
        <v>0</v>
      </c>
      <c r="BQ70" s="55">
        <f t="shared" si="258"/>
        <v>0</v>
      </c>
      <c r="BR70" s="55">
        <f t="shared" si="258"/>
        <v>0</v>
      </c>
      <c r="BS70" s="55">
        <f t="shared" si="258"/>
        <v>0</v>
      </c>
      <c r="BT70" s="68">
        <f t="shared" ref="BT70:CH70" si="259">(BS69+BT69)/2</f>
        <v>0</v>
      </c>
      <c r="BU70" s="68">
        <f t="shared" si="259"/>
        <v>0</v>
      </c>
      <c r="BV70" s="68">
        <f t="shared" si="259"/>
        <v>0</v>
      </c>
      <c r="BW70" s="68">
        <f t="shared" si="259"/>
        <v>0</v>
      </c>
      <c r="BX70" s="68">
        <f t="shared" si="259"/>
        <v>0</v>
      </c>
      <c r="BY70" s="68">
        <f t="shared" si="259"/>
        <v>0</v>
      </c>
      <c r="BZ70" s="68">
        <f t="shared" si="259"/>
        <v>0</v>
      </c>
      <c r="CA70" s="68">
        <f t="shared" si="259"/>
        <v>0</v>
      </c>
      <c r="CB70" s="68">
        <f t="shared" si="259"/>
        <v>0</v>
      </c>
      <c r="CC70" s="68">
        <f t="shared" si="259"/>
        <v>0</v>
      </c>
      <c r="CD70" s="68">
        <f t="shared" si="259"/>
        <v>0</v>
      </c>
      <c r="CE70" s="68">
        <f t="shared" si="259"/>
        <v>0</v>
      </c>
      <c r="CF70" s="68">
        <f t="shared" si="259"/>
        <v>0</v>
      </c>
      <c r="CG70" s="68">
        <f t="shared" si="259"/>
        <v>0</v>
      </c>
      <c r="CH70" s="68">
        <f t="shared" si="259"/>
        <v>0</v>
      </c>
      <c r="CI70" s="68">
        <f t="shared" ref="CI70" si="260">(CH69+CI69)/2</f>
        <v>0</v>
      </c>
      <c r="CJ70" s="68">
        <f t="shared" ref="CJ70" si="261">(CI69+CJ69)/2</f>
        <v>0</v>
      </c>
      <c r="CK70" s="68">
        <f t="shared" ref="CK70" si="262">(CJ69+CK69)/2</f>
        <v>0</v>
      </c>
      <c r="CL70" s="68">
        <f t="shared" ref="CL70" si="263">(CK69+CL69)/2</f>
        <v>0</v>
      </c>
      <c r="CM70" s="68">
        <f t="shared" ref="CM70" si="264">(CL69+CM69)/2</f>
        <v>0</v>
      </c>
      <c r="CN70" s="68"/>
      <c r="CO70" s="68"/>
      <c r="CP70" s="68"/>
      <c r="CQ70" s="68"/>
      <c r="CR70" s="68"/>
      <c r="CS70" s="68"/>
      <c r="CT70" s="68"/>
    </row>
    <row r="71" spans="1:98">
      <c r="A71" t="s">
        <v>100</v>
      </c>
      <c r="B71" s="5">
        <f t="shared" ref="B71:AE71" si="265">B57*B46</f>
        <v>0</v>
      </c>
      <c r="C71" s="5">
        <f t="shared" si="265"/>
        <v>0</v>
      </c>
      <c r="D71" s="5">
        <f t="shared" si="265"/>
        <v>0</v>
      </c>
      <c r="E71" s="5">
        <f t="shared" si="265"/>
        <v>0</v>
      </c>
      <c r="F71" s="5">
        <f t="shared" si="265"/>
        <v>0</v>
      </c>
      <c r="G71" s="5">
        <f t="shared" si="265"/>
        <v>0</v>
      </c>
      <c r="H71" s="5">
        <f t="shared" si="265"/>
        <v>0</v>
      </c>
      <c r="I71" s="54">
        <f t="shared" si="265"/>
        <v>0</v>
      </c>
      <c r="J71" s="54">
        <f t="shared" si="265"/>
        <v>0</v>
      </c>
      <c r="K71" s="54">
        <f t="shared" si="265"/>
        <v>0</v>
      </c>
      <c r="L71" s="54">
        <f t="shared" si="265"/>
        <v>0</v>
      </c>
      <c r="M71" s="54">
        <f t="shared" si="265"/>
        <v>0</v>
      </c>
      <c r="N71" s="54">
        <f t="shared" si="265"/>
        <v>0</v>
      </c>
      <c r="O71" s="54">
        <f t="shared" si="265"/>
        <v>0</v>
      </c>
      <c r="P71" s="54">
        <f t="shared" si="265"/>
        <v>0</v>
      </c>
      <c r="Q71" s="54">
        <f t="shared" si="265"/>
        <v>0</v>
      </c>
      <c r="R71" s="54">
        <f t="shared" si="265"/>
        <v>0</v>
      </c>
      <c r="S71" s="54">
        <f t="shared" si="265"/>
        <v>0</v>
      </c>
      <c r="T71" s="54">
        <f t="shared" si="265"/>
        <v>0</v>
      </c>
      <c r="U71" s="54">
        <f t="shared" si="265"/>
        <v>0</v>
      </c>
      <c r="V71" s="54">
        <f t="shared" si="265"/>
        <v>0</v>
      </c>
      <c r="W71" s="54">
        <f t="shared" si="265"/>
        <v>0</v>
      </c>
      <c r="X71" s="54">
        <f t="shared" si="265"/>
        <v>0</v>
      </c>
      <c r="Y71" s="54">
        <f t="shared" si="265"/>
        <v>0</v>
      </c>
      <c r="Z71" s="54">
        <f t="shared" si="265"/>
        <v>0</v>
      </c>
      <c r="AA71" s="54">
        <f t="shared" si="265"/>
        <v>0</v>
      </c>
      <c r="AB71" s="54">
        <f t="shared" si="265"/>
        <v>0</v>
      </c>
      <c r="AC71" s="54">
        <f t="shared" si="265"/>
        <v>0</v>
      </c>
      <c r="AD71" s="54">
        <f t="shared" si="265"/>
        <v>0</v>
      </c>
      <c r="AE71" s="54">
        <f t="shared" si="265"/>
        <v>0</v>
      </c>
      <c r="AF71" s="54">
        <f t="shared" ref="AF71:AY71" si="266">AF57*AF46</f>
        <v>0</v>
      </c>
      <c r="AG71" s="54">
        <f t="shared" si="266"/>
        <v>0</v>
      </c>
      <c r="AH71" s="54">
        <f t="shared" si="266"/>
        <v>0</v>
      </c>
      <c r="AI71" s="54">
        <f t="shared" si="266"/>
        <v>0</v>
      </c>
      <c r="AJ71" s="54">
        <f t="shared" si="266"/>
        <v>0</v>
      </c>
      <c r="AK71" s="54">
        <f t="shared" si="266"/>
        <v>0</v>
      </c>
      <c r="AL71" s="54">
        <f t="shared" si="266"/>
        <v>0</v>
      </c>
      <c r="AM71" s="54">
        <f t="shared" si="266"/>
        <v>0</v>
      </c>
      <c r="AN71" s="54">
        <f t="shared" si="266"/>
        <v>0</v>
      </c>
      <c r="AO71" s="54">
        <f t="shared" si="266"/>
        <v>0</v>
      </c>
      <c r="AP71" s="54">
        <f t="shared" si="266"/>
        <v>0</v>
      </c>
      <c r="AQ71" s="54">
        <f t="shared" si="266"/>
        <v>0</v>
      </c>
      <c r="AR71" s="54">
        <f t="shared" si="266"/>
        <v>0</v>
      </c>
      <c r="AS71" s="54">
        <f t="shared" si="266"/>
        <v>0</v>
      </c>
      <c r="AT71" s="54">
        <f t="shared" si="266"/>
        <v>0</v>
      </c>
      <c r="AU71" s="54">
        <f t="shared" si="266"/>
        <v>0</v>
      </c>
      <c r="AV71" s="54">
        <f t="shared" si="266"/>
        <v>0</v>
      </c>
      <c r="AW71" s="54">
        <f t="shared" si="266"/>
        <v>0</v>
      </c>
      <c r="AX71" s="54">
        <f t="shared" si="266"/>
        <v>0</v>
      </c>
      <c r="AY71" s="54">
        <f t="shared" si="266"/>
        <v>0</v>
      </c>
      <c r="AZ71" s="54">
        <f t="shared" ref="AZ71:BI71" si="267">AZ57*AZ46</f>
        <v>0</v>
      </c>
      <c r="BA71" s="54">
        <f t="shared" si="267"/>
        <v>0</v>
      </c>
      <c r="BB71" s="54">
        <f t="shared" si="267"/>
        <v>0</v>
      </c>
      <c r="BC71" s="54">
        <f t="shared" si="267"/>
        <v>0</v>
      </c>
      <c r="BD71" s="54">
        <f t="shared" si="267"/>
        <v>0</v>
      </c>
      <c r="BE71" s="54">
        <f t="shared" si="267"/>
        <v>0</v>
      </c>
      <c r="BF71" s="54">
        <f t="shared" si="267"/>
        <v>0</v>
      </c>
      <c r="BG71" s="54">
        <f t="shared" si="267"/>
        <v>0</v>
      </c>
      <c r="BH71" s="54">
        <f t="shared" si="267"/>
        <v>0</v>
      </c>
      <c r="BI71" s="54">
        <f t="shared" si="267"/>
        <v>0</v>
      </c>
      <c r="BJ71" s="55">
        <f t="shared" ref="BJ71:BM71" si="268">BJ57*BJ46</f>
        <v>0</v>
      </c>
      <c r="BK71" s="55">
        <f t="shared" si="268"/>
        <v>0</v>
      </c>
      <c r="BL71" s="55">
        <f t="shared" si="268"/>
        <v>0</v>
      </c>
      <c r="BM71" s="55">
        <f t="shared" si="268"/>
        <v>0</v>
      </c>
      <c r="BN71" s="55">
        <f t="shared" ref="BN71:BS71" si="269">BN57*BN46</f>
        <v>0</v>
      </c>
      <c r="BO71" s="55">
        <f t="shared" si="269"/>
        <v>0</v>
      </c>
      <c r="BP71" s="55">
        <f t="shared" si="269"/>
        <v>0</v>
      </c>
      <c r="BQ71" s="55">
        <f t="shared" si="269"/>
        <v>0</v>
      </c>
      <c r="BR71" s="55">
        <f t="shared" si="269"/>
        <v>0</v>
      </c>
      <c r="BS71" s="55">
        <f t="shared" si="269"/>
        <v>0</v>
      </c>
      <c r="BT71" s="68">
        <f t="shared" ref="BT71:CH71" si="270">BT57*BT46</f>
        <v>0</v>
      </c>
      <c r="BU71" s="68">
        <f t="shared" si="270"/>
        <v>0</v>
      </c>
      <c r="BV71" s="68">
        <f t="shared" si="270"/>
        <v>0</v>
      </c>
      <c r="BW71" s="68">
        <f t="shared" si="270"/>
        <v>0</v>
      </c>
      <c r="BX71" s="68">
        <f t="shared" si="270"/>
        <v>0</v>
      </c>
      <c r="BY71" s="68">
        <f t="shared" si="270"/>
        <v>0</v>
      </c>
      <c r="BZ71" s="68">
        <f t="shared" si="270"/>
        <v>0</v>
      </c>
      <c r="CA71" s="68">
        <f t="shared" si="270"/>
        <v>0</v>
      </c>
      <c r="CB71" s="68">
        <f t="shared" si="270"/>
        <v>0</v>
      </c>
      <c r="CC71" s="68">
        <f t="shared" si="270"/>
        <v>0</v>
      </c>
      <c r="CD71" s="68">
        <f t="shared" si="270"/>
        <v>0</v>
      </c>
      <c r="CE71" s="68">
        <f t="shared" si="270"/>
        <v>0</v>
      </c>
      <c r="CF71" s="68">
        <f t="shared" si="270"/>
        <v>0</v>
      </c>
      <c r="CG71" s="68">
        <f t="shared" si="270"/>
        <v>0</v>
      </c>
      <c r="CH71" s="68">
        <f t="shared" si="270"/>
        <v>0</v>
      </c>
      <c r="CI71" s="68">
        <f t="shared" ref="CI71:CM71" si="271">CI57*CI46</f>
        <v>0</v>
      </c>
      <c r="CJ71" s="68">
        <f t="shared" si="271"/>
        <v>0</v>
      </c>
      <c r="CK71" s="68">
        <f t="shared" si="271"/>
        <v>0</v>
      </c>
      <c r="CL71" s="68">
        <f t="shared" si="271"/>
        <v>0</v>
      </c>
      <c r="CM71" s="68">
        <f t="shared" si="271"/>
        <v>0</v>
      </c>
      <c r="CN71" s="68"/>
      <c r="CO71" s="68"/>
      <c r="CP71" s="68"/>
      <c r="CQ71" s="68"/>
      <c r="CR71" s="68"/>
      <c r="CS71" s="68"/>
      <c r="CT71" s="68"/>
    </row>
    <row r="72" spans="1:98">
      <c r="A72" t="s">
        <v>101</v>
      </c>
      <c r="B72" s="7">
        <f>11/12*B71</f>
        <v>0</v>
      </c>
      <c r="C72" s="7">
        <f>1/12*B71+11/12*C71</f>
        <v>0</v>
      </c>
      <c r="D72" s="7">
        <f>1/12*C71+11/12*D71</f>
        <v>0</v>
      </c>
      <c r="E72" s="7">
        <f>1/12*D71+11/12*E71</f>
        <v>0</v>
      </c>
      <c r="F72" s="7">
        <f>1/12*E71+11/12*F71</f>
        <v>0</v>
      </c>
      <c r="G72" s="7">
        <f t="shared" ref="G72:V72" si="272">1/12*F71+11/12*G71</f>
        <v>0</v>
      </c>
      <c r="H72" s="7">
        <f t="shared" si="272"/>
        <v>0</v>
      </c>
      <c r="I72" s="54">
        <f t="shared" si="272"/>
        <v>0</v>
      </c>
      <c r="J72" s="54">
        <f t="shared" si="272"/>
        <v>0</v>
      </c>
      <c r="K72" s="54">
        <f t="shared" si="272"/>
        <v>0</v>
      </c>
      <c r="L72" s="54">
        <f t="shared" si="272"/>
        <v>0</v>
      </c>
      <c r="M72" s="54">
        <f t="shared" si="272"/>
        <v>0</v>
      </c>
      <c r="N72" s="54">
        <f t="shared" si="272"/>
        <v>0</v>
      </c>
      <c r="O72" s="54">
        <f t="shared" si="272"/>
        <v>0</v>
      </c>
      <c r="P72" s="54">
        <f t="shared" si="272"/>
        <v>0</v>
      </c>
      <c r="Q72" s="54">
        <f t="shared" si="272"/>
        <v>0</v>
      </c>
      <c r="R72" s="54">
        <f t="shared" si="272"/>
        <v>0</v>
      </c>
      <c r="S72" s="54">
        <f t="shared" si="272"/>
        <v>0</v>
      </c>
      <c r="T72" s="54">
        <f t="shared" si="272"/>
        <v>0</v>
      </c>
      <c r="U72" s="54">
        <f t="shared" si="272"/>
        <v>0</v>
      </c>
      <c r="V72" s="54">
        <f t="shared" si="272"/>
        <v>0</v>
      </c>
      <c r="W72" s="54">
        <f t="shared" ref="W72:AD72" si="273">1/12*V71+11/12*W71</f>
        <v>0</v>
      </c>
      <c r="X72" s="54">
        <f t="shared" si="273"/>
        <v>0</v>
      </c>
      <c r="Y72" s="54">
        <f t="shared" si="273"/>
        <v>0</v>
      </c>
      <c r="Z72" s="54">
        <f t="shared" si="273"/>
        <v>0</v>
      </c>
      <c r="AA72" s="54">
        <f t="shared" si="273"/>
        <v>0</v>
      </c>
      <c r="AB72" s="54">
        <f t="shared" si="273"/>
        <v>0</v>
      </c>
      <c r="AC72" s="54">
        <f t="shared" si="273"/>
        <v>0</v>
      </c>
      <c r="AD72" s="54">
        <f t="shared" si="273"/>
        <v>0</v>
      </c>
      <c r="AE72" s="54">
        <f>1/12*AD71+11/12*AE71</f>
        <v>0</v>
      </c>
      <c r="AF72" s="54">
        <f t="shared" ref="AF72:AY72" si="274">1/12*AE71+11/12*AF71</f>
        <v>0</v>
      </c>
      <c r="AG72" s="54">
        <f t="shared" si="274"/>
        <v>0</v>
      </c>
      <c r="AH72" s="54">
        <f t="shared" si="274"/>
        <v>0</v>
      </c>
      <c r="AI72" s="54">
        <f t="shared" si="274"/>
        <v>0</v>
      </c>
      <c r="AJ72" s="54">
        <f t="shared" si="274"/>
        <v>0</v>
      </c>
      <c r="AK72" s="54">
        <f t="shared" si="274"/>
        <v>0</v>
      </c>
      <c r="AL72" s="54">
        <f t="shared" si="274"/>
        <v>0</v>
      </c>
      <c r="AM72" s="54">
        <f t="shared" si="274"/>
        <v>0</v>
      </c>
      <c r="AN72" s="54">
        <f t="shared" si="274"/>
        <v>0</v>
      </c>
      <c r="AO72" s="54">
        <f t="shared" si="274"/>
        <v>0</v>
      </c>
      <c r="AP72" s="54">
        <f t="shared" si="274"/>
        <v>0</v>
      </c>
      <c r="AQ72" s="54">
        <f t="shared" si="274"/>
        <v>0</v>
      </c>
      <c r="AR72" s="54">
        <f t="shared" si="274"/>
        <v>0</v>
      </c>
      <c r="AS72" s="54">
        <f t="shared" si="274"/>
        <v>0</v>
      </c>
      <c r="AT72" s="54">
        <f t="shared" si="274"/>
        <v>0</v>
      </c>
      <c r="AU72" s="54">
        <f t="shared" si="274"/>
        <v>0</v>
      </c>
      <c r="AV72" s="54">
        <f t="shared" si="274"/>
        <v>0</v>
      </c>
      <c r="AW72" s="54">
        <f t="shared" si="274"/>
        <v>0</v>
      </c>
      <c r="AX72" s="54">
        <f t="shared" si="274"/>
        <v>0</v>
      </c>
      <c r="AY72" s="54">
        <f t="shared" si="274"/>
        <v>0</v>
      </c>
      <c r="AZ72" s="54">
        <f t="shared" ref="AZ72" si="275">1/12*AY71+11/12*AZ71</f>
        <v>0</v>
      </c>
      <c r="BA72" s="54">
        <f t="shared" ref="BA72" si="276">1/12*AZ71+11/12*BA71</f>
        <v>0</v>
      </c>
      <c r="BB72" s="54">
        <f t="shared" ref="BB72" si="277">1/12*BA71+11/12*BB71</f>
        <v>0</v>
      </c>
      <c r="BC72" s="54">
        <f t="shared" ref="BC72" si="278">1/12*BB71+11/12*BC71</f>
        <v>0</v>
      </c>
      <c r="BD72" s="54">
        <f t="shared" ref="BD72" si="279">1/12*BC71+11/12*BD71</f>
        <v>0</v>
      </c>
      <c r="BE72" s="54">
        <f t="shared" ref="BE72" si="280">1/12*BD71+11/12*BE71</f>
        <v>0</v>
      </c>
      <c r="BF72" s="54">
        <f t="shared" ref="BF72" si="281">1/12*BE71+11/12*BF71</f>
        <v>0</v>
      </c>
      <c r="BG72" s="54">
        <f t="shared" ref="BG72" si="282">1/12*BF71+11/12*BG71</f>
        <v>0</v>
      </c>
      <c r="BH72" s="54">
        <f t="shared" ref="BH72" si="283">1/12*BG71+11/12*BH71</f>
        <v>0</v>
      </c>
      <c r="BI72" s="54">
        <f t="shared" ref="BI72" si="284">1/12*BH71+11/12*BI71</f>
        <v>0</v>
      </c>
      <c r="BJ72" s="55">
        <f t="shared" ref="BJ72:BS72" si="285">1/12*BI71+11/12*BJ71</f>
        <v>0</v>
      </c>
      <c r="BK72" s="55">
        <f t="shared" si="285"/>
        <v>0</v>
      </c>
      <c r="BL72" s="55">
        <f t="shared" si="285"/>
        <v>0</v>
      </c>
      <c r="BM72" s="55">
        <f t="shared" si="285"/>
        <v>0</v>
      </c>
      <c r="BN72" s="55">
        <f t="shared" si="285"/>
        <v>0</v>
      </c>
      <c r="BO72" s="55">
        <f t="shared" si="285"/>
        <v>0</v>
      </c>
      <c r="BP72" s="55">
        <f t="shared" si="285"/>
        <v>0</v>
      </c>
      <c r="BQ72" s="55">
        <f t="shared" si="285"/>
        <v>0</v>
      </c>
      <c r="BR72" s="55">
        <f t="shared" si="285"/>
        <v>0</v>
      </c>
      <c r="BS72" s="55">
        <f t="shared" si="285"/>
        <v>0</v>
      </c>
      <c r="BT72" s="68">
        <f t="shared" ref="BT72:CH72" si="286">1/12*BS71+11/12*BT71</f>
        <v>0</v>
      </c>
      <c r="BU72" s="68">
        <f t="shared" si="286"/>
        <v>0</v>
      </c>
      <c r="BV72" s="68">
        <f t="shared" si="286"/>
        <v>0</v>
      </c>
      <c r="BW72" s="68">
        <f t="shared" si="286"/>
        <v>0</v>
      </c>
      <c r="BX72" s="68">
        <f t="shared" si="286"/>
        <v>0</v>
      </c>
      <c r="BY72" s="68">
        <f t="shared" si="286"/>
        <v>0</v>
      </c>
      <c r="BZ72" s="68">
        <f t="shared" si="286"/>
        <v>0</v>
      </c>
      <c r="CA72" s="68">
        <f t="shared" si="286"/>
        <v>0</v>
      </c>
      <c r="CB72" s="68">
        <f t="shared" si="286"/>
        <v>0</v>
      </c>
      <c r="CC72" s="68">
        <f t="shared" si="286"/>
        <v>0</v>
      </c>
      <c r="CD72" s="68">
        <f t="shared" si="286"/>
        <v>0</v>
      </c>
      <c r="CE72" s="68">
        <f t="shared" si="286"/>
        <v>0</v>
      </c>
      <c r="CF72" s="68">
        <f t="shared" si="286"/>
        <v>0</v>
      </c>
      <c r="CG72" s="68">
        <f t="shared" si="286"/>
        <v>0</v>
      </c>
      <c r="CH72" s="68">
        <f t="shared" si="286"/>
        <v>0</v>
      </c>
      <c r="CI72" s="68">
        <f t="shared" ref="CI72" si="287">1/12*CH71+11/12*CI71</f>
        <v>0</v>
      </c>
      <c r="CJ72" s="68">
        <f t="shared" ref="CJ72" si="288">1/12*CI71+11/12*CJ71</f>
        <v>0</v>
      </c>
      <c r="CK72" s="68">
        <f t="shared" ref="CK72" si="289">1/12*CJ71+11/12*CK71</f>
        <v>0</v>
      </c>
      <c r="CL72" s="68">
        <f t="shared" ref="CL72" si="290">1/12*CK71+11/12*CL71</f>
        <v>0</v>
      </c>
      <c r="CM72" s="68">
        <f t="shared" ref="CM72" si="291">1/12*CL71+11/12*CM71</f>
        <v>0</v>
      </c>
      <c r="CN72" s="68"/>
      <c r="CO72" s="68"/>
      <c r="CP72" s="68"/>
      <c r="CQ72" s="68"/>
      <c r="CR72" s="68"/>
      <c r="CS72" s="68"/>
      <c r="CT72" s="68"/>
    </row>
    <row r="73" spans="1:98">
      <c r="A73" t="s">
        <v>105</v>
      </c>
      <c r="B73" s="7">
        <f t="shared" ref="B73:AE73" si="292">B72*(1-B7)</f>
        <v>0</v>
      </c>
      <c r="C73" s="7">
        <f t="shared" si="292"/>
        <v>0</v>
      </c>
      <c r="D73" s="7">
        <f t="shared" si="292"/>
        <v>0</v>
      </c>
      <c r="E73" s="7">
        <f t="shared" si="292"/>
        <v>0</v>
      </c>
      <c r="F73" s="7">
        <f t="shared" si="292"/>
        <v>0</v>
      </c>
      <c r="G73" s="7">
        <f t="shared" si="292"/>
        <v>0</v>
      </c>
      <c r="H73" s="7">
        <f t="shared" si="292"/>
        <v>0</v>
      </c>
      <c r="I73" s="54">
        <f t="shared" si="292"/>
        <v>0</v>
      </c>
      <c r="J73" s="54">
        <f t="shared" si="292"/>
        <v>0</v>
      </c>
      <c r="K73" s="54">
        <f t="shared" si="292"/>
        <v>0</v>
      </c>
      <c r="L73" s="54">
        <f t="shared" si="292"/>
        <v>0</v>
      </c>
      <c r="M73" s="54">
        <f t="shared" si="292"/>
        <v>0</v>
      </c>
      <c r="N73" s="54">
        <f t="shared" si="292"/>
        <v>0</v>
      </c>
      <c r="O73" s="54">
        <f t="shared" si="292"/>
        <v>0</v>
      </c>
      <c r="P73" s="54">
        <f t="shared" si="292"/>
        <v>0</v>
      </c>
      <c r="Q73" s="54">
        <f t="shared" si="292"/>
        <v>0</v>
      </c>
      <c r="R73" s="54">
        <f t="shared" si="292"/>
        <v>0</v>
      </c>
      <c r="S73" s="54">
        <f t="shared" si="292"/>
        <v>0</v>
      </c>
      <c r="T73" s="54">
        <f t="shared" si="292"/>
        <v>0</v>
      </c>
      <c r="U73" s="54">
        <f t="shared" si="292"/>
        <v>0</v>
      </c>
      <c r="V73" s="54">
        <f t="shared" si="292"/>
        <v>0</v>
      </c>
      <c r="W73" s="54">
        <f t="shared" si="292"/>
        <v>0</v>
      </c>
      <c r="X73" s="54">
        <f t="shared" si="292"/>
        <v>0</v>
      </c>
      <c r="Y73" s="54">
        <f t="shared" si="292"/>
        <v>0</v>
      </c>
      <c r="Z73" s="54">
        <f t="shared" si="292"/>
        <v>0</v>
      </c>
      <c r="AA73" s="54">
        <f t="shared" si="292"/>
        <v>0</v>
      </c>
      <c r="AB73" s="54">
        <f t="shared" si="292"/>
        <v>0</v>
      </c>
      <c r="AC73" s="54">
        <f t="shared" si="292"/>
        <v>0</v>
      </c>
      <c r="AD73" s="54">
        <f t="shared" si="292"/>
        <v>0</v>
      </c>
      <c r="AE73" s="54">
        <f t="shared" si="292"/>
        <v>0</v>
      </c>
      <c r="AF73" s="54">
        <f t="shared" ref="AF73:AY73" si="293">AF72*(1-AF7)</f>
        <v>0</v>
      </c>
      <c r="AG73" s="54">
        <f t="shared" si="293"/>
        <v>0</v>
      </c>
      <c r="AH73" s="54">
        <f t="shared" si="293"/>
        <v>0</v>
      </c>
      <c r="AI73" s="54">
        <f t="shared" si="293"/>
        <v>0</v>
      </c>
      <c r="AJ73" s="54">
        <f t="shared" si="293"/>
        <v>0</v>
      </c>
      <c r="AK73" s="54">
        <f t="shared" si="293"/>
        <v>0</v>
      </c>
      <c r="AL73" s="54">
        <f t="shared" si="293"/>
        <v>0</v>
      </c>
      <c r="AM73" s="54">
        <f t="shared" si="293"/>
        <v>0</v>
      </c>
      <c r="AN73" s="54">
        <f t="shared" si="293"/>
        <v>0</v>
      </c>
      <c r="AO73" s="54">
        <f t="shared" si="293"/>
        <v>0</v>
      </c>
      <c r="AP73" s="54">
        <f t="shared" si="293"/>
        <v>0</v>
      </c>
      <c r="AQ73" s="54">
        <f t="shared" si="293"/>
        <v>0</v>
      </c>
      <c r="AR73" s="54">
        <f t="shared" si="293"/>
        <v>0</v>
      </c>
      <c r="AS73" s="54">
        <f t="shared" si="293"/>
        <v>0</v>
      </c>
      <c r="AT73" s="54">
        <f t="shared" si="293"/>
        <v>0</v>
      </c>
      <c r="AU73" s="54">
        <f t="shared" si="293"/>
        <v>0</v>
      </c>
      <c r="AV73" s="54">
        <f t="shared" si="293"/>
        <v>0</v>
      </c>
      <c r="AW73" s="54">
        <f t="shared" si="293"/>
        <v>0</v>
      </c>
      <c r="AX73" s="54">
        <f t="shared" si="293"/>
        <v>0</v>
      </c>
      <c r="AY73" s="54">
        <f t="shared" si="293"/>
        <v>0</v>
      </c>
      <c r="AZ73" s="54">
        <f t="shared" ref="AZ73:BI73" si="294">AZ72*(1-AZ7)</f>
        <v>0</v>
      </c>
      <c r="BA73" s="54">
        <f t="shared" si="294"/>
        <v>0</v>
      </c>
      <c r="BB73" s="54">
        <f t="shared" si="294"/>
        <v>0</v>
      </c>
      <c r="BC73" s="54">
        <f t="shared" si="294"/>
        <v>0</v>
      </c>
      <c r="BD73" s="54">
        <f t="shared" si="294"/>
        <v>0</v>
      </c>
      <c r="BE73" s="54">
        <f t="shared" si="294"/>
        <v>0</v>
      </c>
      <c r="BF73" s="54">
        <f t="shared" si="294"/>
        <v>0</v>
      </c>
      <c r="BG73" s="54">
        <f t="shared" si="294"/>
        <v>0</v>
      </c>
      <c r="BH73" s="54">
        <f t="shared" si="294"/>
        <v>0</v>
      </c>
      <c r="BI73" s="54">
        <f t="shared" si="294"/>
        <v>0</v>
      </c>
      <c r="BJ73" s="55">
        <f t="shared" ref="BJ73:BM73" si="295">BJ72*(1-BJ7)</f>
        <v>0</v>
      </c>
      <c r="BK73" s="55">
        <f t="shared" si="295"/>
        <v>0</v>
      </c>
      <c r="BL73" s="55">
        <f t="shared" si="295"/>
        <v>0</v>
      </c>
      <c r="BM73" s="55">
        <f t="shared" si="295"/>
        <v>0</v>
      </c>
      <c r="BN73" s="55">
        <f t="shared" ref="BN73:BS73" si="296">BN72*(1-BN7)</f>
        <v>0</v>
      </c>
      <c r="BO73" s="55">
        <f t="shared" si="296"/>
        <v>0</v>
      </c>
      <c r="BP73" s="55">
        <f t="shared" si="296"/>
        <v>0</v>
      </c>
      <c r="BQ73" s="55">
        <f t="shared" si="296"/>
        <v>0</v>
      </c>
      <c r="BR73" s="55">
        <f t="shared" si="296"/>
        <v>0</v>
      </c>
      <c r="BS73" s="55">
        <f t="shared" si="296"/>
        <v>0</v>
      </c>
      <c r="BT73" s="68">
        <f t="shared" ref="BT73:CH73" si="297">BT72*(1-BT7)</f>
        <v>0</v>
      </c>
      <c r="BU73" s="68">
        <f t="shared" si="297"/>
        <v>0</v>
      </c>
      <c r="BV73" s="68">
        <f t="shared" si="297"/>
        <v>0</v>
      </c>
      <c r="BW73" s="68">
        <f t="shared" si="297"/>
        <v>0</v>
      </c>
      <c r="BX73" s="68">
        <f t="shared" si="297"/>
        <v>0</v>
      </c>
      <c r="BY73" s="68">
        <f t="shared" si="297"/>
        <v>0</v>
      </c>
      <c r="BZ73" s="68">
        <f t="shared" si="297"/>
        <v>0</v>
      </c>
      <c r="CA73" s="68">
        <f t="shared" si="297"/>
        <v>0</v>
      </c>
      <c r="CB73" s="68">
        <f t="shared" si="297"/>
        <v>0</v>
      </c>
      <c r="CC73" s="68">
        <f t="shared" si="297"/>
        <v>0</v>
      </c>
      <c r="CD73" s="68">
        <f t="shared" si="297"/>
        <v>0</v>
      </c>
      <c r="CE73" s="68">
        <f t="shared" si="297"/>
        <v>0</v>
      </c>
      <c r="CF73" s="68">
        <f t="shared" si="297"/>
        <v>0</v>
      </c>
      <c r="CG73" s="68">
        <f t="shared" si="297"/>
        <v>0</v>
      </c>
      <c r="CH73" s="68">
        <f t="shared" si="297"/>
        <v>0</v>
      </c>
      <c r="CI73" s="68">
        <f t="shared" ref="CI73:CM73" si="298">CI72*(1-CI7)</f>
        <v>0</v>
      </c>
      <c r="CJ73" s="68">
        <f t="shared" si="298"/>
        <v>0</v>
      </c>
      <c r="CK73" s="68">
        <f t="shared" si="298"/>
        <v>0</v>
      </c>
      <c r="CL73" s="68">
        <f t="shared" si="298"/>
        <v>0</v>
      </c>
      <c r="CM73" s="68">
        <f t="shared" si="298"/>
        <v>0</v>
      </c>
      <c r="CN73" s="68"/>
      <c r="CO73" s="68"/>
      <c r="CP73" s="68"/>
      <c r="CQ73" s="68"/>
      <c r="CR73" s="68"/>
      <c r="CS73" s="68"/>
      <c r="CT73" s="68"/>
    </row>
    <row r="74" spans="1:98">
      <c r="A74" t="s">
        <v>104</v>
      </c>
      <c r="B74" s="5">
        <f t="shared" ref="B74:AE74" si="299">B70+(1-B7)*B72</f>
        <v>0</v>
      </c>
      <c r="C74" s="5">
        <f t="shared" si="299"/>
        <v>0</v>
      </c>
      <c r="D74" s="5">
        <f t="shared" si="299"/>
        <v>0</v>
      </c>
      <c r="E74" s="5">
        <f t="shared" si="299"/>
        <v>0</v>
      </c>
      <c r="F74" s="5">
        <f t="shared" si="299"/>
        <v>0</v>
      </c>
      <c r="G74" s="5">
        <f t="shared" si="299"/>
        <v>0</v>
      </c>
      <c r="H74" s="5">
        <f t="shared" si="299"/>
        <v>0</v>
      </c>
      <c r="I74" s="54">
        <f t="shared" si="299"/>
        <v>0</v>
      </c>
      <c r="J74" s="54">
        <f t="shared" si="299"/>
        <v>0</v>
      </c>
      <c r="K74" s="54">
        <f t="shared" si="299"/>
        <v>0</v>
      </c>
      <c r="L74" s="54">
        <f t="shared" si="299"/>
        <v>0</v>
      </c>
      <c r="M74" s="54">
        <f t="shared" si="299"/>
        <v>0</v>
      </c>
      <c r="N74" s="54">
        <f t="shared" si="299"/>
        <v>0</v>
      </c>
      <c r="O74" s="54">
        <f t="shared" si="299"/>
        <v>0</v>
      </c>
      <c r="P74" s="54">
        <f t="shared" si="299"/>
        <v>0</v>
      </c>
      <c r="Q74" s="54">
        <f t="shared" si="299"/>
        <v>0</v>
      </c>
      <c r="R74" s="54">
        <f t="shared" si="299"/>
        <v>0</v>
      </c>
      <c r="S74" s="54">
        <f t="shared" si="299"/>
        <v>0</v>
      </c>
      <c r="T74" s="54">
        <f t="shared" si="299"/>
        <v>0</v>
      </c>
      <c r="U74" s="54">
        <f t="shared" si="299"/>
        <v>0</v>
      </c>
      <c r="V74" s="54">
        <f t="shared" si="299"/>
        <v>0</v>
      </c>
      <c r="W74" s="54">
        <f t="shared" si="299"/>
        <v>0</v>
      </c>
      <c r="X74" s="54">
        <f t="shared" si="299"/>
        <v>0</v>
      </c>
      <c r="Y74" s="54">
        <f t="shared" si="299"/>
        <v>0</v>
      </c>
      <c r="Z74" s="54">
        <f t="shared" si="299"/>
        <v>0</v>
      </c>
      <c r="AA74" s="54">
        <f t="shared" si="299"/>
        <v>0</v>
      </c>
      <c r="AB74" s="54">
        <f t="shared" si="299"/>
        <v>0</v>
      </c>
      <c r="AC74" s="54">
        <f t="shared" si="299"/>
        <v>0</v>
      </c>
      <c r="AD74" s="54">
        <f t="shared" si="299"/>
        <v>0</v>
      </c>
      <c r="AE74" s="54">
        <f t="shared" si="299"/>
        <v>0</v>
      </c>
      <c r="AF74" s="54">
        <f t="shared" ref="AF74:AY74" si="300">AF70+(1-AF7)*AF72</f>
        <v>0</v>
      </c>
      <c r="AG74" s="54">
        <f t="shared" si="300"/>
        <v>0</v>
      </c>
      <c r="AH74" s="54">
        <f t="shared" si="300"/>
        <v>0</v>
      </c>
      <c r="AI74" s="54">
        <f t="shared" si="300"/>
        <v>0</v>
      </c>
      <c r="AJ74" s="54">
        <f t="shared" si="300"/>
        <v>0</v>
      </c>
      <c r="AK74" s="54">
        <f t="shared" si="300"/>
        <v>0</v>
      </c>
      <c r="AL74" s="54">
        <f t="shared" si="300"/>
        <v>0</v>
      </c>
      <c r="AM74" s="54">
        <f t="shared" si="300"/>
        <v>0</v>
      </c>
      <c r="AN74" s="54">
        <f t="shared" si="300"/>
        <v>0</v>
      </c>
      <c r="AO74" s="54">
        <f t="shared" si="300"/>
        <v>0</v>
      </c>
      <c r="AP74" s="54">
        <f t="shared" si="300"/>
        <v>0</v>
      </c>
      <c r="AQ74" s="54">
        <f t="shared" si="300"/>
        <v>0</v>
      </c>
      <c r="AR74" s="54">
        <f t="shared" si="300"/>
        <v>0</v>
      </c>
      <c r="AS74" s="54">
        <f t="shared" si="300"/>
        <v>0</v>
      </c>
      <c r="AT74" s="54">
        <f t="shared" si="300"/>
        <v>0</v>
      </c>
      <c r="AU74" s="54">
        <f t="shared" si="300"/>
        <v>0</v>
      </c>
      <c r="AV74" s="54">
        <f t="shared" si="300"/>
        <v>0</v>
      </c>
      <c r="AW74" s="54">
        <f t="shared" si="300"/>
        <v>0</v>
      </c>
      <c r="AX74" s="54">
        <f t="shared" si="300"/>
        <v>0</v>
      </c>
      <c r="AY74" s="54">
        <f t="shared" si="300"/>
        <v>0</v>
      </c>
      <c r="AZ74" s="54">
        <f t="shared" ref="AZ74:BI74" si="301">AZ70+(1-AZ7)*AZ72</f>
        <v>0</v>
      </c>
      <c r="BA74" s="54">
        <f t="shared" si="301"/>
        <v>0</v>
      </c>
      <c r="BB74" s="54">
        <f t="shared" si="301"/>
        <v>0</v>
      </c>
      <c r="BC74" s="54">
        <f t="shared" si="301"/>
        <v>0</v>
      </c>
      <c r="BD74" s="54">
        <f t="shared" si="301"/>
        <v>0</v>
      </c>
      <c r="BE74" s="54">
        <f t="shared" si="301"/>
        <v>0</v>
      </c>
      <c r="BF74" s="54">
        <f t="shared" si="301"/>
        <v>0</v>
      </c>
      <c r="BG74" s="54">
        <f t="shared" si="301"/>
        <v>0</v>
      </c>
      <c r="BH74" s="54">
        <f t="shared" si="301"/>
        <v>0</v>
      </c>
      <c r="BI74" s="54">
        <f t="shared" si="301"/>
        <v>0</v>
      </c>
      <c r="BJ74" s="55">
        <f t="shared" ref="BJ74:BM74" si="302">BJ70+(1-BJ7)*BJ72</f>
        <v>0</v>
      </c>
      <c r="BK74" s="55">
        <f t="shared" si="302"/>
        <v>0</v>
      </c>
      <c r="BL74" s="55">
        <f t="shared" si="302"/>
        <v>0</v>
      </c>
      <c r="BM74" s="55">
        <f t="shared" si="302"/>
        <v>0</v>
      </c>
      <c r="BN74" s="55">
        <f t="shared" ref="BN74:BS74" si="303">BN70+(1-BN7)*BN72</f>
        <v>0</v>
      </c>
      <c r="BO74" s="55">
        <f t="shared" si="303"/>
        <v>0</v>
      </c>
      <c r="BP74" s="55">
        <f t="shared" si="303"/>
        <v>0</v>
      </c>
      <c r="BQ74" s="55">
        <f t="shared" si="303"/>
        <v>0</v>
      </c>
      <c r="BR74" s="55">
        <f t="shared" si="303"/>
        <v>0</v>
      </c>
      <c r="BS74" s="55">
        <f t="shared" si="303"/>
        <v>0</v>
      </c>
      <c r="BT74" s="68">
        <f t="shared" ref="BT74:CH74" si="304">BT70+(1-BT7)*BT72</f>
        <v>0</v>
      </c>
      <c r="BU74" s="68">
        <f t="shared" si="304"/>
        <v>0</v>
      </c>
      <c r="BV74" s="68">
        <f t="shared" si="304"/>
        <v>0</v>
      </c>
      <c r="BW74" s="68">
        <f t="shared" si="304"/>
        <v>0</v>
      </c>
      <c r="BX74" s="68">
        <f t="shared" si="304"/>
        <v>0</v>
      </c>
      <c r="BY74" s="68">
        <f t="shared" si="304"/>
        <v>0</v>
      </c>
      <c r="BZ74" s="68">
        <f t="shared" si="304"/>
        <v>0</v>
      </c>
      <c r="CA74" s="68">
        <f t="shared" si="304"/>
        <v>0</v>
      </c>
      <c r="CB74" s="68">
        <f t="shared" si="304"/>
        <v>0</v>
      </c>
      <c r="CC74" s="68">
        <f t="shared" si="304"/>
        <v>0</v>
      </c>
      <c r="CD74" s="68">
        <f t="shared" si="304"/>
        <v>0</v>
      </c>
      <c r="CE74" s="68">
        <f t="shared" si="304"/>
        <v>0</v>
      </c>
      <c r="CF74" s="68">
        <f t="shared" si="304"/>
        <v>0</v>
      </c>
      <c r="CG74" s="68">
        <f t="shared" si="304"/>
        <v>0</v>
      </c>
      <c r="CH74" s="68">
        <f t="shared" si="304"/>
        <v>0</v>
      </c>
      <c r="CI74" s="68">
        <f t="shared" ref="CI74:CM74" si="305">CI70+(1-CI7)*CI72</f>
        <v>0</v>
      </c>
      <c r="CJ74" s="68">
        <f t="shared" si="305"/>
        <v>0</v>
      </c>
      <c r="CK74" s="68">
        <f t="shared" si="305"/>
        <v>0</v>
      </c>
      <c r="CL74" s="68">
        <f t="shared" si="305"/>
        <v>0</v>
      </c>
      <c r="CM74" s="68">
        <f t="shared" si="305"/>
        <v>0</v>
      </c>
      <c r="CN74" s="68"/>
      <c r="CO74" s="68"/>
      <c r="CP74" s="68"/>
      <c r="CQ74" s="68"/>
      <c r="CR74" s="68"/>
      <c r="CS74" s="68"/>
      <c r="CT74" s="68"/>
    </row>
    <row r="75" spans="1:98">
      <c r="B75" s="5"/>
      <c r="C75" s="5"/>
      <c r="D75" s="5"/>
      <c r="E75" s="5"/>
      <c r="F75" s="5"/>
      <c r="G75" s="5"/>
      <c r="H75" s="5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</row>
    <row r="76" spans="1:98">
      <c r="A76" s="16" t="s">
        <v>107</v>
      </c>
      <c r="B76" s="5">
        <f>B67+B74</f>
        <v>0</v>
      </c>
      <c r="C76" s="5">
        <f>C67+C74</f>
        <v>0</v>
      </c>
      <c r="D76" s="5">
        <f>D67+D74</f>
        <v>0</v>
      </c>
      <c r="E76" s="5">
        <f>E67+E74</f>
        <v>0</v>
      </c>
      <c r="F76" s="5">
        <f>F67+F74</f>
        <v>0</v>
      </c>
      <c r="G76" s="5">
        <f t="shared" ref="G76:V76" si="306">G67+G74</f>
        <v>0</v>
      </c>
      <c r="H76" s="11">
        <f t="shared" si="306"/>
        <v>0</v>
      </c>
      <c r="I76" s="54">
        <f t="shared" si="306"/>
        <v>0</v>
      </c>
      <c r="J76" s="54">
        <f t="shared" si="306"/>
        <v>0</v>
      </c>
      <c r="K76" s="54">
        <f>K67+K74</f>
        <v>0</v>
      </c>
      <c r="L76" s="54">
        <f t="shared" si="306"/>
        <v>0</v>
      </c>
      <c r="M76" s="54">
        <f t="shared" si="306"/>
        <v>0</v>
      </c>
      <c r="N76" s="54">
        <f t="shared" si="306"/>
        <v>0</v>
      </c>
      <c r="O76" s="54">
        <f t="shared" si="306"/>
        <v>0</v>
      </c>
      <c r="P76" s="54">
        <f t="shared" si="306"/>
        <v>0</v>
      </c>
      <c r="Q76" s="54">
        <f t="shared" si="306"/>
        <v>0</v>
      </c>
      <c r="R76" s="54">
        <f t="shared" si="306"/>
        <v>0</v>
      </c>
      <c r="S76" s="54">
        <f t="shared" si="306"/>
        <v>0</v>
      </c>
      <c r="T76" s="54">
        <f t="shared" si="306"/>
        <v>0</v>
      </c>
      <c r="U76" s="54">
        <f t="shared" si="306"/>
        <v>0</v>
      </c>
      <c r="V76" s="54">
        <f t="shared" si="306"/>
        <v>0</v>
      </c>
      <c r="W76" s="54">
        <f t="shared" ref="W76:AD76" si="307">W67+W74</f>
        <v>0</v>
      </c>
      <c r="X76" s="54">
        <f t="shared" si="307"/>
        <v>0</v>
      </c>
      <c r="Y76" s="54">
        <f t="shared" si="307"/>
        <v>0</v>
      </c>
      <c r="Z76" s="54">
        <f t="shared" si="307"/>
        <v>0</v>
      </c>
      <c r="AA76" s="54">
        <f t="shared" si="307"/>
        <v>0</v>
      </c>
      <c r="AB76" s="54">
        <f t="shared" si="307"/>
        <v>0</v>
      </c>
      <c r="AC76" s="54">
        <f t="shared" si="307"/>
        <v>0</v>
      </c>
      <c r="AD76" s="54">
        <f t="shared" si="307"/>
        <v>0</v>
      </c>
      <c r="AE76" s="54">
        <f>AE67+AE74</f>
        <v>0</v>
      </c>
      <c r="AF76" s="54">
        <f t="shared" ref="AF76:AY76" si="308">AF67+AF74</f>
        <v>0</v>
      </c>
      <c r="AG76" s="54">
        <f t="shared" si="308"/>
        <v>0</v>
      </c>
      <c r="AH76" s="54">
        <f t="shared" si="308"/>
        <v>0</v>
      </c>
      <c r="AI76" s="54">
        <f t="shared" si="308"/>
        <v>0</v>
      </c>
      <c r="AJ76" s="54">
        <f t="shared" si="308"/>
        <v>0</v>
      </c>
      <c r="AK76" s="54">
        <f t="shared" si="308"/>
        <v>0</v>
      </c>
      <c r="AL76" s="54">
        <f t="shared" si="308"/>
        <v>0</v>
      </c>
      <c r="AM76" s="54">
        <f t="shared" si="308"/>
        <v>0</v>
      </c>
      <c r="AN76" s="54">
        <f t="shared" si="308"/>
        <v>0</v>
      </c>
      <c r="AO76" s="54">
        <f t="shared" si="308"/>
        <v>0</v>
      </c>
      <c r="AP76" s="54">
        <f t="shared" si="308"/>
        <v>0</v>
      </c>
      <c r="AQ76" s="54">
        <f t="shared" si="308"/>
        <v>0</v>
      </c>
      <c r="AR76" s="54">
        <f t="shared" si="308"/>
        <v>0</v>
      </c>
      <c r="AS76" s="54">
        <f t="shared" si="308"/>
        <v>0</v>
      </c>
      <c r="AT76" s="54">
        <f t="shared" si="308"/>
        <v>0</v>
      </c>
      <c r="AU76" s="54">
        <f t="shared" si="308"/>
        <v>0</v>
      </c>
      <c r="AV76" s="54">
        <f t="shared" si="308"/>
        <v>0</v>
      </c>
      <c r="AW76" s="54">
        <f t="shared" si="308"/>
        <v>0</v>
      </c>
      <c r="AX76" s="54">
        <f t="shared" si="308"/>
        <v>0</v>
      </c>
      <c r="AY76" s="54">
        <f t="shared" si="308"/>
        <v>0</v>
      </c>
      <c r="AZ76" s="54">
        <f t="shared" ref="AZ76:BI76" si="309">AZ67+AZ74</f>
        <v>0</v>
      </c>
      <c r="BA76" s="54">
        <f t="shared" si="309"/>
        <v>0</v>
      </c>
      <c r="BB76" s="54">
        <f t="shared" si="309"/>
        <v>0</v>
      </c>
      <c r="BC76" s="54">
        <f t="shared" si="309"/>
        <v>0</v>
      </c>
      <c r="BD76" s="54">
        <f t="shared" si="309"/>
        <v>0</v>
      </c>
      <c r="BE76" s="54">
        <f t="shared" si="309"/>
        <v>0</v>
      </c>
      <c r="BF76" s="54">
        <f t="shared" si="309"/>
        <v>0</v>
      </c>
      <c r="BG76" s="54">
        <f t="shared" si="309"/>
        <v>0</v>
      </c>
      <c r="BH76" s="54">
        <f t="shared" si="309"/>
        <v>0</v>
      </c>
      <c r="BI76" s="54">
        <f t="shared" si="309"/>
        <v>0</v>
      </c>
      <c r="BJ76" s="55">
        <f t="shared" ref="BJ76:BS76" si="310">BJ67+BJ74</f>
        <v>0</v>
      </c>
      <c r="BK76" s="55">
        <f t="shared" si="310"/>
        <v>0</v>
      </c>
      <c r="BL76" s="55">
        <f t="shared" si="310"/>
        <v>0</v>
      </c>
      <c r="BM76" s="55">
        <f t="shared" si="310"/>
        <v>0</v>
      </c>
      <c r="BN76" s="55">
        <f t="shared" si="310"/>
        <v>0</v>
      </c>
      <c r="BO76" s="55">
        <f t="shared" si="310"/>
        <v>0</v>
      </c>
      <c r="BP76" s="55">
        <f t="shared" si="310"/>
        <v>0</v>
      </c>
      <c r="BQ76" s="55">
        <f t="shared" si="310"/>
        <v>0</v>
      </c>
      <c r="BR76" s="55">
        <f t="shared" si="310"/>
        <v>0</v>
      </c>
      <c r="BS76" s="55">
        <f t="shared" si="310"/>
        <v>0</v>
      </c>
      <c r="BT76" s="68">
        <f t="shared" ref="BT76:CH76" si="311">BT67+BT74</f>
        <v>0</v>
      </c>
      <c r="BU76" s="68">
        <f t="shared" si="311"/>
        <v>0</v>
      </c>
      <c r="BV76" s="68">
        <f t="shared" si="311"/>
        <v>0</v>
      </c>
      <c r="BW76" s="68">
        <f t="shared" si="311"/>
        <v>0</v>
      </c>
      <c r="BX76" s="68">
        <f t="shared" si="311"/>
        <v>0</v>
      </c>
      <c r="BY76" s="68">
        <f t="shared" si="311"/>
        <v>0</v>
      </c>
      <c r="BZ76" s="68">
        <f t="shared" si="311"/>
        <v>0</v>
      </c>
      <c r="CA76" s="68">
        <f t="shared" si="311"/>
        <v>0</v>
      </c>
      <c r="CB76" s="68">
        <f t="shared" si="311"/>
        <v>0</v>
      </c>
      <c r="CC76" s="68">
        <f t="shared" si="311"/>
        <v>0</v>
      </c>
      <c r="CD76" s="68">
        <f t="shared" si="311"/>
        <v>0</v>
      </c>
      <c r="CE76" s="68">
        <f t="shared" si="311"/>
        <v>0</v>
      </c>
      <c r="CF76" s="68">
        <f t="shared" si="311"/>
        <v>0</v>
      </c>
      <c r="CG76" s="68">
        <f t="shared" si="311"/>
        <v>0</v>
      </c>
      <c r="CH76" s="68">
        <f t="shared" si="311"/>
        <v>0</v>
      </c>
      <c r="CI76" s="68">
        <f t="shared" ref="CI76:CM76" si="312">CI67+CI74</f>
        <v>0</v>
      </c>
      <c r="CJ76" s="68">
        <f t="shared" si="312"/>
        <v>0</v>
      </c>
      <c r="CK76" s="68">
        <f t="shared" si="312"/>
        <v>0</v>
      </c>
      <c r="CL76" s="68">
        <f t="shared" si="312"/>
        <v>0</v>
      </c>
      <c r="CM76" s="68">
        <f t="shared" si="312"/>
        <v>0</v>
      </c>
      <c r="CN76" s="68"/>
      <c r="CO76" s="68"/>
      <c r="CP76" s="68"/>
      <c r="CQ76" s="68"/>
      <c r="CR76" s="68"/>
      <c r="CS76" s="68"/>
      <c r="CT76" s="68"/>
    </row>
    <row r="77" spans="1:98">
      <c r="A77" s="16" t="s">
        <v>228</v>
      </c>
      <c r="B77" s="5">
        <f t="shared" ref="B77:AE77" si="313">B66+B69+B71*(1-B7)</f>
        <v>0</v>
      </c>
      <c r="C77" s="5">
        <f t="shared" si="313"/>
        <v>0</v>
      </c>
      <c r="D77" s="5">
        <f t="shared" si="313"/>
        <v>0</v>
      </c>
      <c r="E77" s="5">
        <f t="shared" si="313"/>
        <v>0</v>
      </c>
      <c r="F77" s="5">
        <f t="shared" si="313"/>
        <v>0</v>
      </c>
      <c r="G77" s="5">
        <f t="shared" si="313"/>
        <v>0</v>
      </c>
      <c r="H77" s="5">
        <f t="shared" si="313"/>
        <v>0</v>
      </c>
      <c r="I77" s="54">
        <f t="shared" si="313"/>
        <v>0</v>
      </c>
      <c r="J77" s="54">
        <f t="shared" si="313"/>
        <v>0</v>
      </c>
      <c r="K77" s="54">
        <f t="shared" si="313"/>
        <v>0</v>
      </c>
      <c r="L77" s="54">
        <f t="shared" si="313"/>
        <v>0</v>
      </c>
      <c r="M77" s="54">
        <f t="shared" si="313"/>
        <v>0</v>
      </c>
      <c r="N77" s="54">
        <f t="shared" si="313"/>
        <v>0</v>
      </c>
      <c r="O77" s="54">
        <f t="shared" si="313"/>
        <v>0</v>
      </c>
      <c r="P77" s="54">
        <f t="shared" si="313"/>
        <v>0</v>
      </c>
      <c r="Q77" s="54">
        <f t="shared" si="313"/>
        <v>0</v>
      </c>
      <c r="R77" s="54">
        <f t="shared" si="313"/>
        <v>0</v>
      </c>
      <c r="S77" s="54">
        <f t="shared" si="313"/>
        <v>0</v>
      </c>
      <c r="T77" s="54">
        <f t="shared" si="313"/>
        <v>0</v>
      </c>
      <c r="U77" s="54">
        <f t="shared" si="313"/>
        <v>0</v>
      </c>
      <c r="V77" s="54">
        <f t="shared" si="313"/>
        <v>0</v>
      </c>
      <c r="W77" s="54">
        <f t="shared" si="313"/>
        <v>0</v>
      </c>
      <c r="X77" s="54">
        <f t="shared" si="313"/>
        <v>0</v>
      </c>
      <c r="Y77" s="54">
        <f t="shared" si="313"/>
        <v>0</v>
      </c>
      <c r="Z77" s="54">
        <f t="shared" si="313"/>
        <v>0</v>
      </c>
      <c r="AA77" s="54">
        <f t="shared" si="313"/>
        <v>0</v>
      </c>
      <c r="AB77" s="54">
        <f t="shared" si="313"/>
        <v>0</v>
      </c>
      <c r="AC77" s="54">
        <f t="shared" si="313"/>
        <v>0</v>
      </c>
      <c r="AD77" s="54">
        <f t="shared" si="313"/>
        <v>0</v>
      </c>
      <c r="AE77" s="54">
        <f t="shared" si="313"/>
        <v>0</v>
      </c>
      <c r="AF77" s="54">
        <f t="shared" ref="AF77:AY77" si="314">AF66+AF69+AF71*(1-AF7)</f>
        <v>0</v>
      </c>
      <c r="AG77" s="54">
        <f t="shared" si="314"/>
        <v>0</v>
      </c>
      <c r="AH77" s="54">
        <f t="shared" si="314"/>
        <v>0</v>
      </c>
      <c r="AI77" s="54">
        <f t="shared" si="314"/>
        <v>0</v>
      </c>
      <c r="AJ77" s="54">
        <f t="shared" si="314"/>
        <v>0</v>
      </c>
      <c r="AK77" s="54">
        <f t="shared" si="314"/>
        <v>0</v>
      </c>
      <c r="AL77" s="54">
        <f t="shared" si="314"/>
        <v>0</v>
      </c>
      <c r="AM77" s="54">
        <f t="shared" si="314"/>
        <v>0</v>
      </c>
      <c r="AN77" s="54">
        <f t="shared" si="314"/>
        <v>0</v>
      </c>
      <c r="AO77" s="54">
        <f t="shared" si="314"/>
        <v>0</v>
      </c>
      <c r="AP77" s="54">
        <f t="shared" si="314"/>
        <v>0</v>
      </c>
      <c r="AQ77" s="54">
        <f t="shared" si="314"/>
        <v>0</v>
      </c>
      <c r="AR77" s="54">
        <f t="shared" si="314"/>
        <v>0</v>
      </c>
      <c r="AS77" s="54">
        <f t="shared" si="314"/>
        <v>0</v>
      </c>
      <c r="AT77" s="54">
        <f t="shared" si="314"/>
        <v>0</v>
      </c>
      <c r="AU77" s="54">
        <f t="shared" si="314"/>
        <v>0</v>
      </c>
      <c r="AV77" s="54">
        <f t="shared" si="314"/>
        <v>0</v>
      </c>
      <c r="AW77" s="54">
        <f t="shared" si="314"/>
        <v>0</v>
      </c>
      <c r="AX77" s="54">
        <f t="shared" si="314"/>
        <v>0</v>
      </c>
      <c r="AY77" s="54">
        <f t="shared" si="314"/>
        <v>0</v>
      </c>
      <c r="AZ77" s="54">
        <f t="shared" ref="AZ77:BI77" si="315">AZ66+AZ69+AZ71*(1-AZ7)</f>
        <v>0</v>
      </c>
      <c r="BA77" s="54">
        <f t="shared" si="315"/>
        <v>0</v>
      </c>
      <c r="BB77" s="54">
        <f t="shared" si="315"/>
        <v>0</v>
      </c>
      <c r="BC77" s="54">
        <f t="shared" si="315"/>
        <v>0</v>
      </c>
      <c r="BD77" s="54">
        <f t="shared" si="315"/>
        <v>0</v>
      </c>
      <c r="BE77" s="54">
        <f t="shared" si="315"/>
        <v>0</v>
      </c>
      <c r="BF77" s="54">
        <f t="shared" si="315"/>
        <v>0</v>
      </c>
      <c r="BG77" s="54">
        <f t="shared" si="315"/>
        <v>0</v>
      </c>
      <c r="BH77" s="54">
        <f t="shared" si="315"/>
        <v>0</v>
      </c>
      <c r="BI77" s="54">
        <f t="shared" si="315"/>
        <v>0</v>
      </c>
      <c r="BJ77" s="55">
        <f t="shared" ref="BJ77:BM77" si="316">BJ66+BJ69+BJ71*(1-BJ7)</f>
        <v>0</v>
      </c>
      <c r="BK77" s="55">
        <f t="shared" si="316"/>
        <v>0</v>
      </c>
      <c r="BL77" s="55">
        <f t="shared" si="316"/>
        <v>0</v>
      </c>
      <c r="BM77" s="55">
        <f t="shared" si="316"/>
        <v>0</v>
      </c>
      <c r="BN77" s="55">
        <f t="shared" ref="BN77:BS77" si="317">BN66+BN69+BN71*(1-BN7)</f>
        <v>0</v>
      </c>
      <c r="BO77" s="55">
        <f t="shared" si="317"/>
        <v>0</v>
      </c>
      <c r="BP77" s="55">
        <f t="shared" si="317"/>
        <v>0</v>
      </c>
      <c r="BQ77" s="55">
        <f t="shared" si="317"/>
        <v>0</v>
      </c>
      <c r="BR77" s="55">
        <f t="shared" si="317"/>
        <v>0</v>
      </c>
      <c r="BS77" s="55">
        <f t="shared" si="317"/>
        <v>0</v>
      </c>
      <c r="BT77" s="68">
        <f t="shared" ref="BT77:CH77" si="318">BT66+BT69+BT71*(1-BT7)</f>
        <v>0</v>
      </c>
      <c r="BU77" s="68">
        <f t="shared" si="318"/>
        <v>0</v>
      </c>
      <c r="BV77" s="68">
        <f t="shared" si="318"/>
        <v>0</v>
      </c>
      <c r="BW77" s="68">
        <f t="shared" si="318"/>
        <v>0</v>
      </c>
      <c r="BX77" s="68">
        <f t="shared" si="318"/>
        <v>0</v>
      </c>
      <c r="BY77" s="68">
        <f t="shared" si="318"/>
        <v>0</v>
      </c>
      <c r="BZ77" s="68">
        <f t="shared" si="318"/>
        <v>0</v>
      </c>
      <c r="CA77" s="68">
        <f t="shared" si="318"/>
        <v>0</v>
      </c>
      <c r="CB77" s="68">
        <f t="shared" si="318"/>
        <v>0</v>
      </c>
      <c r="CC77" s="68">
        <f t="shared" si="318"/>
        <v>0</v>
      </c>
      <c r="CD77" s="68">
        <f t="shared" si="318"/>
        <v>0</v>
      </c>
      <c r="CE77" s="68">
        <f t="shared" si="318"/>
        <v>0</v>
      </c>
      <c r="CF77" s="68">
        <f t="shared" si="318"/>
        <v>0</v>
      </c>
      <c r="CG77" s="68">
        <f t="shared" si="318"/>
        <v>0</v>
      </c>
      <c r="CH77" s="68">
        <f t="shared" si="318"/>
        <v>0</v>
      </c>
      <c r="CI77" s="68">
        <f t="shared" ref="CI77:CM77" si="319">CI66+CI69+CI71*(1-CI7)</f>
        <v>0</v>
      </c>
      <c r="CJ77" s="68">
        <f t="shared" si="319"/>
        <v>0</v>
      </c>
      <c r="CK77" s="68">
        <f t="shared" si="319"/>
        <v>0</v>
      </c>
      <c r="CL77" s="68">
        <f t="shared" si="319"/>
        <v>0</v>
      </c>
      <c r="CM77" s="68">
        <f t="shared" si="319"/>
        <v>0</v>
      </c>
      <c r="CN77" s="68"/>
      <c r="CO77" s="68"/>
      <c r="CP77" s="68"/>
      <c r="CQ77" s="68"/>
      <c r="CR77" s="68"/>
      <c r="CS77" s="68"/>
      <c r="CT77" s="68"/>
    </row>
    <row r="78" spans="1:98">
      <c r="B78" s="17"/>
      <c r="C78" s="17"/>
      <c r="D78" s="17"/>
      <c r="E78" s="17"/>
      <c r="F78" s="17"/>
      <c r="G78" s="17"/>
      <c r="H78" s="17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</row>
    <row r="79" spans="1:98">
      <c r="A79" s="2" t="s">
        <v>226</v>
      </c>
      <c r="G79">
        <v>2006</v>
      </c>
      <c r="H79">
        <v>2007</v>
      </c>
      <c r="I79" s="62">
        <v>2008</v>
      </c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</row>
    <row r="80" spans="1:98">
      <c r="A80" s="2" t="s">
        <v>224</v>
      </c>
      <c r="C80" s="1"/>
      <c r="D80" s="1"/>
      <c r="E80" s="1"/>
      <c r="F80" s="1"/>
      <c r="G80" s="1">
        <f>G66+G69</f>
        <v>0</v>
      </c>
      <c r="H80" s="1">
        <f>H66+H69</f>
        <v>0</v>
      </c>
      <c r="I80" s="62">
        <f>I66+I69</f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</row>
    <row r="81" spans="1:98">
      <c r="A81" s="2" t="s">
        <v>225</v>
      </c>
      <c r="C81" s="1"/>
      <c r="D81" s="1"/>
      <c r="E81" s="1"/>
      <c r="F81" s="1"/>
      <c r="G81" s="1">
        <f>G67</f>
        <v>0</v>
      </c>
      <c r="H81" s="1">
        <f>G74+H74+H67</f>
        <v>0</v>
      </c>
      <c r="I81" s="62">
        <f>I74+I67</f>
        <v>0</v>
      </c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</row>
    <row r="82" spans="1:98">
      <c r="C82" s="20"/>
    </row>
    <row r="83" spans="1:98">
      <c r="K83" s="34"/>
    </row>
    <row r="84" spans="1:98">
      <c r="B84" s="23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spans="1:98">
      <c r="B85" s="23"/>
      <c r="C85" s="28"/>
      <c r="D85" s="29"/>
      <c r="E85" s="29"/>
      <c r="F85" s="29"/>
      <c r="G85" s="29"/>
      <c r="H85" s="29"/>
      <c r="I85" s="29"/>
      <c r="J85" s="29"/>
      <c r="K85" s="48"/>
      <c r="L85" s="48"/>
      <c r="M85" s="29"/>
    </row>
    <row r="86" spans="1:98">
      <c r="C86" s="28"/>
      <c r="D86" s="29"/>
      <c r="E86" s="29"/>
      <c r="F86" s="37"/>
      <c r="G86" s="35"/>
      <c r="H86" s="35"/>
      <c r="I86" s="35"/>
      <c r="J86" s="35"/>
      <c r="K86" s="29"/>
      <c r="L86" s="29"/>
      <c r="M86" s="29"/>
    </row>
    <row r="87" spans="1:98">
      <c r="C87" s="24"/>
      <c r="D87" s="24"/>
      <c r="E87" s="24"/>
      <c r="F87" s="24"/>
      <c r="G87" s="36"/>
      <c r="H87" s="36"/>
      <c r="I87" s="36"/>
      <c r="J87" s="36"/>
    </row>
    <row r="88" spans="1:98">
      <c r="C88" s="24"/>
      <c r="D88" s="24"/>
      <c r="E88" s="24"/>
      <c r="F88" s="24"/>
      <c r="K88" s="34"/>
      <c r="L88" s="34"/>
    </row>
    <row r="89" spans="1:98"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spans="1:98"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spans="1:98"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spans="1:98">
      <c r="C92" s="24"/>
      <c r="D92" s="24"/>
      <c r="E92" s="24"/>
      <c r="F92" s="1"/>
      <c r="G92" s="24"/>
      <c r="H92" s="24"/>
    </row>
    <row r="93" spans="1:98">
      <c r="C93" s="24"/>
      <c r="D93" s="24"/>
      <c r="E93" s="27"/>
      <c r="F93" s="1"/>
      <c r="G93" s="24"/>
      <c r="H93" s="24"/>
    </row>
    <row r="94" spans="1:98">
      <c r="C94" s="1"/>
      <c r="D94" s="27"/>
      <c r="E94" s="27"/>
      <c r="F94" s="1"/>
      <c r="G94" s="24"/>
      <c r="H94" s="24"/>
    </row>
    <row r="95" spans="1:98">
      <c r="C95" s="1"/>
      <c r="D95" s="27"/>
      <c r="E95" s="27"/>
      <c r="F95" s="1"/>
      <c r="G95" s="24"/>
      <c r="H95" s="24"/>
    </row>
    <row r="96" spans="1:98">
      <c r="C96" s="1"/>
      <c r="D96" s="27"/>
      <c r="E96" s="23"/>
      <c r="F96" s="1"/>
      <c r="G96" s="24"/>
      <c r="H96" s="24"/>
    </row>
    <row r="97" spans="2:13" ht="15.75">
      <c r="B97" s="25"/>
      <c r="C97" s="1"/>
      <c r="D97" s="27"/>
      <c r="E97" s="23"/>
      <c r="F97" s="1"/>
      <c r="G97" s="24"/>
      <c r="H97" s="24"/>
    </row>
    <row r="98" spans="2:13">
      <c r="C98" s="1"/>
      <c r="D98" s="27"/>
      <c r="E98" s="23"/>
      <c r="F98" s="1"/>
      <c r="G98" s="24"/>
      <c r="H98" s="24"/>
      <c r="I98" s="23"/>
      <c r="J98" s="26"/>
      <c r="K98" s="23"/>
      <c r="L98" s="23"/>
      <c r="M98" s="26"/>
    </row>
    <row r="99" spans="2:13">
      <c r="C99" s="1"/>
      <c r="D99" s="27"/>
      <c r="E99" s="27"/>
      <c r="F99" s="1"/>
      <c r="G99" s="24"/>
      <c r="H99" s="24"/>
      <c r="I99" s="27"/>
      <c r="J99" s="27"/>
      <c r="K99" s="27"/>
      <c r="L99" s="27"/>
      <c r="M99" s="27"/>
    </row>
    <row r="100" spans="2:13">
      <c r="C100" s="1"/>
      <c r="D100" s="27"/>
      <c r="E100" s="27"/>
      <c r="F100" s="1"/>
      <c r="G100" s="24"/>
      <c r="H100" s="24"/>
      <c r="I100" s="27"/>
      <c r="J100" s="27"/>
      <c r="K100" s="27"/>
      <c r="L100" s="27"/>
      <c r="M100" s="27"/>
    </row>
    <row r="101" spans="2:13">
      <c r="C101" s="1"/>
      <c r="D101" s="27"/>
      <c r="E101" s="23"/>
      <c r="F101" s="1"/>
      <c r="G101" s="24"/>
      <c r="H101" s="24"/>
    </row>
    <row r="102" spans="2:13">
      <c r="C102" s="1"/>
      <c r="D102" s="27"/>
      <c r="E102" s="23"/>
    </row>
    <row r="103" spans="2:13">
      <c r="C103" s="1"/>
      <c r="D103" s="27"/>
      <c r="E103" s="23"/>
    </row>
  </sheetData>
  <phoneticPr fontId="54" type="noConversion"/>
  <pageMargins left="0.78740157499999996" right="0.78740157499999996" top="0.984251969" bottom="0.984251969" header="0.5" footer="0.5"/>
  <pageSetup paperSize="9" scale="86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1"/>
  <dimension ref="A1:DB249"/>
  <sheetViews>
    <sheetView zoomScaleNormal="100" workbookViewId="0">
      <pane xSplit="2" ySplit="1" topLeftCell="Y2" activePane="bottomRight" state="frozen"/>
      <selection pane="topRight" activeCell="C1" sqref="C1"/>
      <selection pane="bottomLeft" activeCell="A2" sqref="A2"/>
      <selection pane="bottomRight" activeCell="AF22" sqref="AF22"/>
    </sheetView>
  </sheetViews>
  <sheetFormatPr baseColWidth="10" defaultColWidth="11.42578125" defaultRowHeight="12.75" outlineLevelRow="1"/>
  <cols>
    <col min="1" max="1" width="16.140625" style="325" customWidth="1"/>
    <col min="2" max="2" width="22.5703125" style="325" customWidth="1"/>
    <col min="3" max="30" width="9" style="325" customWidth="1"/>
    <col min="31" max="31" width="9" style="728" customWidth="1"/>
    <col min="32" max="34" width="9" style="325" customWidth="1"/>
    <col min="35" max="58" width="9.140625" style="325" customWidth="1"/>
    <col min="59" max="59" width="10" style="325" customWidth="1"/>
    <col min="60" max="97" width="11.42578125" style="325" customWidth="1"/>
    <col min="98" max="16384" width="11.42578125" style="325"/>
  </cols>
  <sheetData>
    <row r="1" spans="1:106" s="487" customFormat="1" ht="23.25" customHeight="1">
      <c r="C1" s="488">
        <v>1996</v>
      </c>
      <c r="D1" s="488">
        <f>C1+1</f>
        <v>1997</v>
      </c>
      <c r="E1" s="488">
        <f t="shared" ref="E1:BP1" si="0">D1+1</f>
        <v>1998</v>
      </c>
      <c r="F1" s="488">
        <f t="shared" si="0"/>
        <v>1999</v>
      </c>
      <c r="G1" s="488">
        <f t="shared" si="0"/>
        <v>2000</v>
      </c>
      <c r="H1" s="488">
        <f t="shared" si="0"/>
        <v>2001</v>
      </c>
      <c r="I1" s="488">
        <f t="shared" si="0"/>
        <v>2002</v>
      </c>
      <c r="J1" s="488">
        <f t="shared" si="0"/>
        <v>2003</v>
      </c>
      <c r="K1" s="488">
        <f t="shared" si="0"/>
        <v>2004</v>
      </c>
      <c r="L1" s="488">
        <f t="shared" si="0"/>
        <v>2005</v>
      </c>
      <c r="M1" s="488">
        <f t="shared" si="0"/>
        <v>2006</v>
      </c>
      <c r="N1" s="488">
        <f t="shared" si="0"/>
        <v>2007</v>
      </c>
      <c r="O1" s="488">
        <f t="shared" si="0"/>
        <v>2008</v>
      </c>
      <c r="P1" s="488">
        <f t="shared" si="0"/>
        <v>2009</v>
      </c>
      <c r="Q1" s="488">
        <f t="shared" si="0"/>
        <v>2010</v>
      </c>
      <c r="R1" s="488">
        <f t="shared" si="0"/>
        <v>2011</v>
      </c>
      <c r="S1" s="488">
        <f t="shared" si="0"/>
        <v>2012</v>
      </c>
      <c r="T1" s="488">
        <f t="shared" si="0"/>
        <v>2013</v>
      </c>
      <c r="U1" s="488">
        <f t="shared" si="0"/>
        <v>2014</v>
      </c>
      <c r="V1" s="488">
        <f t="shared" si="0"/>
        <v>2015</v>
      </c>
      <c r="W1" s="488">
        <f t="shared" si="0"/>
        <v>2016</v>
      </c>
      <c r="X1" s="488">
        <f t="shared" si="0"/>
        <v>2017</v>
      </c>
      <c r="Y1" s="488">
        <v>2018</v>
      </c>
      <c r="Z1" s="488">
        <f t="shared" si="0"/>
        <v>2019</v>
      </c>
      <c r="AA1" s="488">
        <f t="shared" si="0"/>
        <v>2020</v>
      </c>
      <c r="AB1" s="488">
        <f t="shared" si="0"/>
        <v>2021</v>
      </c>
      <c r="AC1" s="488">
        <f t="shared" si="0"/>
        <v>2022</v>
      </c>
      <c r="AD1" s="488">
        <f t="shared" si="0"/>
        <v>2023</v>
      </c>
      <c r="AE1" s="729">
        <f t="shared" si="0"/>
        <v>2024</v>
      </c>
      <c r="AF1" s="488">
        <f t="shared" si="0"/>
        <v>2025</v>
      </c>
      <c r="AG1" s="488">
        <f t="shared" si="0"/>
        <v>2026</v>
      </c>
      <c r="AH1" s="488">
        <f t="shared" si="0"/>
        <v>2027</v>
      </c>
      <c r="AI1" s="488">
        <f t="shared" si="0"/>
        <v>2028</v>
      </c>
      <c r="AJ1" s="488">
        <f t="shared" si="0"/>
        <v>2029</v>
      </c>
      <c r="AK1" s="488">
        <f t="shared" si="0"/>
        <v>2030</v>
      </c>
      <c r="AL1" s="488">
        <f t="shared" si="0"/>
        <v>2031</v>
      </c>
      <c r="AM1" s="488">
        <f t="shared" si="0"/>
        <v>2032</v>
      </c>
      <c r="AN1" s="488">
        <f t="shared" si="0"/>
        <v>2033</v>
      </c>
      <c r="AO1" s="488">
        <f t="shared" si="0"/>
        <v>2034</v>
      </c>
      <c r="AP1" s="488">
        <f t="shared" si="0"/>
        <v>2035</v>
      </c>
      <c r="AQ1" s="488">
        <f t="shared" si="0"/>
        <v>2036</v>
      </c>
      <c r="AR1" s="488">
        <f t="shared" si="0"/>
        <v>2037</v>
      </c>
      <c r="AS1" s="488">
        <f t="shared" si="0"/>
        <v>2038</v>
      </c>
      <c r="AT1" s="488">
        <f t="shared" si="0"/>
        <v>2039</v>
      </c>
      <c r="AU1" s="488">
        <f t="shared" si="0"/>
        <v>2040</v>
      </c>
      <c r="AV1" s="488">
        <f t="shared" si="0"/>
        <v>2041</v>
      </c>
      <c r="AW1" s="488">
        <f t="shared" si="0"/>
        <v>2042</v>
      </c>
      <c r="AX1" s="488">
        <f t="shared" si="0"/>
        <v>2043</v>
      </c>
      <c r="AY1" s="488">
        <f t="shared" si="0"/>
        <v>2044</v>
      </c>
      <c r="AZ1" s="488">
        <f t="shared" si="0"/>
        <v>2045</v>
      </c>
      <c r="BA1" s="488">
        <f t="shared" si="0"/>
        <v>2046</v>
      </c>
      <c r="BB1" s="488">
        <f t="shared" si="0"/>
        <v>2047</v>
      </c>
      <c r="BC1" s="488">
        <f t="shared" si="0"/>
        <v>2048</v>
      </c>
      <c r="BD1" s="488">
        <f t="shared" si="0"/>
        <v>2049</v>
      </c>
      <c r="BE1" s="488">
        <f t="shared" si="0"/>
        <v>2050</v>
      </c>
      <c r="BF1" s="488">
        <f t="shared" si="0"/>
        <v>2051</v>
      </c>
      <c r="BG1" s="488">
        <f t="shared" si="0"/>
        <v>2052</v>
      </c>
      <c r="BH1" s="488">
        <f t="shared" si="0"/>
        <v>2053</v>
      </c>
      <c r="BI1" s="488">
        <f t="shared" si="0"/>
        <v>2054</v>
      </c>
      <c r="BJ1" s="488">
        <f t="shared" si="0"/>
        <v>2055</v>
      </c>
      <c r="BK1" s="488">
        <f t="shared" si="0"/>
        <v>2056</v>
      </c>
      <c r="BL1" s="488">
        <f t="shared" si="0"/>
        <v>2057</v>
      </c>
      <c r="BM1" s="488">
        <f t="shared" si="0"/>
        <v>2058</v>
      </c>
      <c r="BN1" s="488">
        <f t="shared" si="0"/>
        <v>2059</v>
      </c>
      <c r="BO1" s="488">
        <f t="shared" si="0"/>
        <v>2060</v>
      </c>
      <c r="BP1" s="488">
        <f t="shared" si="0"/>
        <v>2061</v>
      </c>
      <c r="BQ1" s="488">
        <f t="shared" ref="BQ1:BY1" si="1">BP1+1</f>
        <v>2062</v>
      </c>
      <c r="BR1" s="488">
        <f t="shared" si="1"/>
        <v>2063</v>
      </c>
      <c r="BS1" s="488">
        <f t="shared" si="1"/>
        <v>2064</v>
      </c>
      <c r="BT1" s="488">
        <f t="shared" si="1"/>
        <v>2065</v>
      </c>
      <c r="BU1" s="488">
        <f t="shared" si="1"/>
        <v>2066</v>
      </c>
      <c r="BV1" s="488">
        <f t="shared" si="1"/>
        <v>2067</v>
      </c>
      <c r="BW1" s="488">
        <f t="shared" si="1"/>
        <v>2068</v>
      </c>
      <c r="BX1" s="488">
        <f t="shared" si="1"/>
        <v>2069</v>
      </c>
      <c r="BY1" s="488">
        <f t="shared" si="1"/>
        <v>2070</v>
      </c>
      <c r="BZ1" s="488">
        <f t="shared" ref="BZ1:CN1" si="2">BY1+1</f>
        <v>2071</v>
      </c>
      <c r="CA1" s="488">
        <f t="shared" si="2"/>
        <v>2072</v>
      </c>
      <c r="CB1" s="488">
        <f t="shared" si="2"/>
        <v>2073</v>
      </c>
      <c r="CC1" s="488">
        <f t="shared" si="2"/>
        <v>2074</v>
      </c>
      <c r="CD1" s="488">
        <f t="shared" si="2"/>
        <v>2075</v>
      </c>
      <c r="CE1" s="488">
        <f t="shared" si="2"/>
        <v>2076</v>
      </c>
      <c r="CF1" s="488">
        <f t="shared" si="2"/>
        <v>2077</v>
      </c>
      <c r="CG1" s="488">
        <f t="shared" si="2"/>
        <v>2078</v>
      </c>
      <c r="CH1" s="488">
        <f t="shared" si="2"/>
        <v>2079</v>
      </c>
      <c r="CI1" s="488">
        <f t="shared" si="2"/>
        <v>2080</v>
      </c>
      <c r="CJ1" s="488">
        <f t="shared" si="2"/>
        <v>2081</v>
      </c>
      <c r="CK1" s="488">
        <f t="shared" si="2"/>
        <v>2082</v>
      </c>
      <c r="CL1" s="488">
        <f t="shared" si="2"/>
        <v>2083</v>
      </c>
      <c r="CM1" s="488">
        <f t="shared" si="2"/>
        <v>2084</v>
      </c>
      <c r="CN1" s="488">
        <f t="shared" si="2"/>
        <v>2085</v>
      </c>
      <c r="CO1" s="488">
        <f t="shared" ref="CO1" si="3">CN1+1</f>
        <v>2086</v>
      </c>
      <c r="CP1" s="488">
        <f t="shared" ref="CP1" si="4">CO1+1</f>
        <v>2087</v>
      </c>
      <c r="CQ1" s="488">
        <f t="shared" ref="CQ1" si="5">CP1+1</f>
        <v>2088</v>
      </c>
      <c r="CR1" s="488">
        <f t="shared" ref="CR1" si="6">CQ1+1</f>
        <v>2089</v>
      </c>
      <c r="CS1" s="488">
        <f t="shared" ref="CS1" si="7">CR1+1</f>
        <v>2090</v>
      </c>
      <c r="CT1" s="488"/>
      <c r="CU1" s="488"/>
      <c r="CV1" s="488"/>
      <c r="CW1" s="488"/>
      <c r="CX1" s="488"/>
      <c r="CY1" s="488"/>
      <c r="CZ1" s="488"/>
      <c r="DA1" s="488"/>
      <c r="DB1" s="488"/>
    </row>
    <row r="2" spans="1:106" ht="24" customHeight="1">
      <c r="A2" s="489" t="s">
        <v>327</v>
      </c>
    </row>
    <row r="3" spans="1:106" ht="17.25" customHeight="1">
      <c r="A3" s="490"/>
    </row>
    <row r="4" spans="1:106">
      <c r="A4" s="491" t="s">
        <v>623</v>
      </c>
      <c r="C4" s="324"/>
      <c r="N4" s="324"/>
      <c r="Z4" s="324" t="s">
        <v>624</v>
      </c>
    </row>
    <row r="5" spans="1:106">
      <c r="A5" s="492" t="s">
        <v>627</v>
      </c>
      <c r="C5" s="324"/>
      <c r="N5" s="324"/>
      <c r="Z5" s="324"/>
    </row>
    <row r="6" spans="1:106">
      <c r="A6" s="493" t="s">
        <v>328</v>
      </c>
      <c r="C6" s="324"/>
      <c r="Z6" s="324" t="s">
        <v>625</v>
      </c>
    </row>
    <row r="7" spans="1:106">
      <c r="A7" s="494" t="s">
        <v>613</v>
      </c>
      <c r="C7" s="324"/>
      <c r="Z7" s="324"/>
    </row>
    <row r="8" spans="1:106">
      <c r="A8" s="325" t="s">
        <v>622</v>
      </c>
      <c r="C8" s="324"/>
      <c r="Q8" s="489"/>
      <c r="X8" s="324"/>
    </row>
    <row r="9" spans="1:106">
      <c r="F9" s="495"/>
      <c r="G9" s="495"/>
      <c r="W9" s="496"/>
      <c r="X9" s="497"/>
      <c r="Y9" s="497"/>
      <c r="Z9" s="497"/>
    </row>
    <row r="10" spans="1:106" s="499" customFormat="1">
      <c r="A10" s="498" t="s">
        <v>542</v>
      </c>
      <c r="F10" s="500"/>
      <c r="G10" s="500"/>
      <c r="W10" s="501"/>
      <c r="X10" s="502"/>
      <c r="Y10" s="502"/>
      <c r="Z10" s="502"/>
      <c r="AE10" s="730"/>
    </row>
    <row r="11" spans="1:106">
      <c r="A11" s="489" t="s">
        <v>403</v>
      </c>
      <c r="B11" s="503"/>
      <c r="V11" s="504"/>
      <c r="W11" s="496"/>
    </row>
    <row r="12" spans="1:106">
      <c r="A12" s="325" t="s">
        <v>489</v>
      </c>
      <c r="D12" s="505">
        <v>45151</v>
      </c>
      <c r="E12" s="505">
        <f>54521</f>
        <v>54521</v>
      </c>
      <c r="F12" s="505">
        <v>55926</v>
      </c>
      <c r="G12" s="505">
        <v>49035</v>
      </c>
      <c r="H12" s="505">
        <v>47739</v>
      </c>
      <c r="I12" s="505">
        <v>47946</v>
      </c>
      <c r="J12" s="505">
        <v>49167</v>
      </c>
      <c r="K12" s="505">
        <v>47105</v>
      </c>
      <c r="L12" s="505">
        <v>56881</v>
      </c>
      <c r="M12" s="505">
        <v>58823</v>
      </c>
      <c r="N12" s="505">
        <v>75633</v>
      </c>
      <c r="O12" s="505">
        <v>91426</v>
      </c>
      <c r="P12" s="505">
        <v>102466</v>
      </c>
      <c r="Q12" s="505">
        <v>93873</v>
      </c>
      <c r="R12" s="506">
        <v>108356</v>
      </c>
      <c r="S12" s="507">
        <v>138782</v>
      </c>
      <c r="T12" s="507">
        <v>163712</v>
      </c>
      <c r="U12" s="507">
        <v>153512</v>
      </c>
      <c r="V12" s="508">
        <v>133014</v>
      </c>
      <c r="W12" s="508">
        <v>125778</v>
      </c>
      <c r="X12" s="508">
        <v>112897</v>
      </c>
      <c r="Y12" s="508">
        <v>115790.00000679999</v>
      </c>
      <c r="Z12" s="508">
        <v>140612.00000199999</v>
      </c>
      <c r="AA12" s="508">
        <v>138871.0701134</v>
      </c>
      <c r="AB12" s="508">
        <v>137059.00008180001</v>
      </c>
      <c r="AC12" s="508">
        <v>134301</v>
      </c>
      <c r="AD12" s="508">
        <v>178557</v>
      </c>
      <c r="AE12" s="731">
        <v>193328</v>
      </c>
      <c r="AF12" s="508">
        <v>208256.087</v>
      </c>
      <c r="AG12" s="508">
        <v>156017.440332</v>
      </c>
      <c r="AH12" s="508">
        <v>105468.70217036401</v>
      </c>
      <c r="AI12" s="508">
        <v>64082.379972845498</v>
      </c>
      <c r="AJ12" s="508">
        <v>45257.556440499298</v>
      </c>
      <c r="AK12" s="508">
        <v>36737.883584373099</v>
      </c>
      <c r="AL12" s="508">
        <v>39465.518279952601</v>
      </c>
      <c r="AM12" s="508">
        <v>43038.350080731099</v>
      </c>
      <c r="AN12" s="508">
        <v>43571.611674376298</v>
      </c>
      <c r="AO12" s="508">
        <v>40579.673236203998</v>
      </c>
      <c r="AP12" s="508">
        <v>28354.6073721662</v>
      </c>
      <c r="AQ12" s="508">
        <v>28632.288722540401</v>
      </c>
      <c r="AR12" s="508">
        <v>28244.2198519704</v>
      </c>
      <c r="AS12" s="508">
        <v>27536.1375765661</v>
      </c>
      <c r="AT12" s="508">
        <v>21145.011470828402</v>
      </c>
      <c r="AU12" s="508">
        <v>21453.233399154298</v>
      </c>
      <c r="AV12" s="508">
        <v>21314.556565786599</v>
      </c>
      <c r="AW12" s="508">
        <v>19552.503771493899</v>
      </c>
      <c r="AX12" s="508">
        <v>18032.012147650199</v>
      </c>
      <c r="AY12" s="508">
        <v>16881.881437037599</v>
      </c>
      <c r="AZ12" s="508">
        <v>12059.222014322901</v>
      </c>
      <c r="BA12" s="508">
        <v>9755.2775390333409</v>
      </c>
      <c r="BB12" s="508">
        <v>8927.0711705031299</v>
      </c>
      <c r="BC12" s="508">
        <v>8527.1923589570397</v>
      </c>
      <c r="BD12" s="508">
        <v>7524.4443505044401</v>
      </c>
      <c r="BE12" s="508">
        <v>6498.6329412273199</v>
      </c>
      <c r="BF12" s="505">
        <v>6444.2844579727698</v>
      </c>
      <c r="BG12" s="505">
        <v>6042.8469215540999</v>
      </c>
      <c r="BH12" s="505">
        <v>5810.9236273180004</v>
      </c>
      <c r="BI12" s="505">
        <v>5327.4157043301302</v>
      </c>
      <c r="BJ12" s="505">
        <v>3675.97219534738</v>
      </c>
      <c r="BK12" s="505">
        <v>3221.5294268657299</v>
      </c>
      <c r="BL12" s="505">
        <v>3066.63491306386</v>
      </c>
      <c r="BM12" s="505">
        <v>2482.79932367634</v>
      </c>
      <c r="BN12" s="505">
        <v>2363.3533063345499</v>
      </c>
      <c r="BO12" s="505">
        <v>2244.37069160185</v>
      </c>
      <c r="BP12" s="504"/>
      <c r="BQ12" s="504"/>
      <c r="BR12" s="504"/>
      <c r="BS12" s="504"/>
      <c r="BT12" s="504"/>
      <c r="BU12" s="504"/>
      <c r="BV12" s="504"/>
      <c r="BW12" s="504"/>
      <c r="BX12" s="504"/>
      <c r="BY12" s="504"/>
      <c r="BZ12" s="504"/>
      <c r="CA12" s="504"/>
    </row>
    <row r="13" spans="1:106">
      <c r="A13" s="325" t="s">
        <v>490</v>
      </c>
      <c r="D13" s="505"/>
      <c r="E13" s="505"/>
      <c r="F13" s="505"/>
      <c r="G13" s="505"/>
      <c r="H13" s="505">
        <v>523</v>
      </c>
      <c r="I13" s="505">
        <v>548</v>
      </c>
      <c r="J13" s="505">
        <v>1384</v>
      </c>
      <c r="K13" s="505">
        <v>245</v>
      </c>
      <c r="L13" s="505">
        <v>1015</v>
      </c>
      <c r="M13" s="505">
        <v>305</v>
      </c>
      <c r="N13" s="505">
        <v>1873</v>
      </c>
      <c r="O13" s="505">
        <v>119</v>
      </c>
      <c r="P13" s="505">
        <v>634</v>
      </c>
      <c r="Q13" s="505">
        <v>1706</v>
      </c>
      <c r="R13" s="506">
        <v>1694</v>
      </c>
      <c r="S13" s="507">
        <v>2801</v>
      </c>
      <c r="T13" s="507">
        <v>2174</v>
      </c>
      <c r="U13" s="507">
        <v>2178</v>
      </c>
      <c r="V13" s="508">
        <v>184</v>
      </c>
      <c r="W13" s="508">
        <v>191</v>
      </c>
      <c r="X13" s="508">
        <v>276</v>
      </c>
      <c r="Y13" s="508">
        <v>908</v>
      </c>
      <c r="Z13" s="508">
        <v>450.00000130000001</v>
      </c>
      <c r="AA13" s="508">
        <v>562</v>
      </c>
      <c r="AB13" s="508">
        <v>27.0000006</v>
      </c>
      <c r="AC13" s="508">
        <v>80</v>
      </c>
      <c r="AD13" s="508">
        <v>197</v>
      </c>
      <c r="AE13" s="731">
        <v>1782</v>
      </c>
      <c r="AF13" s="508">
        <v>12791.285</v>
      </c>
      <c r="AG13" s="508">
        <v>54647.093123999999</v>
      </c>
      <c r="AH13" s="508">
        <v>84586.208334732</v>
      </c>
      <c r="AI13" s="508">
        <v>108175.750571407</v>
      </c>
      <c r="AJ13" s="508">
        <v>123352.907952211</v>
      </c>
      <c r="AK13" s="508">
        <v>128084.677315913</v>
      </c>
      <c r="AL13" s="508">
        <v>121497.625957482</v>
      </c>
      <c r="AM13" s="508">
        <v>117929.63884894</v>
      </c>
      <c r="AN13" s="508">
        <v>118542.34777823099</v>
      </c>
      <c r="AO13" s="508">
        <v>113161.616549128</v>
      </c>
      <c r="AP13" s="508">
        <v>116562.32654015999</v>
      </c>
      <c r="AQ13" s="508">
        <v>112262.96498811099</v>
      </c>
      <c r="AR13" s="508">
        <v>110217.29577732801</v>
      </c>
      <c r="AS13" s="508">
        <v>110452.374348492</v>
      </c>
      <c r="AT13" s="508">
        <v>115107.45350865299</v>
      </c>
      <c r="AU13" s="508">
        <v>114836.333383622</v>
      </c>
      <c r="AV13" s="508">
        <v>116406.97858348599</v>
      </c>
      <c r="AW13" s="508">
        <v>118545.96608711799</v>
      </c>
      <c r="AX13" s="508">
        <v>121792.513982285</v>
      </c>
      <c r="AY13" s="508">
        <v>120345.47097947</v>
      </c>
      <c r="AZ13" s="508">
        <v>122780.17374045</v>
      </c>
      <c r="BA13" s="508">
        <v>122134.68882740699</v>
      </c>
      <c r="BB13" s="508">
        <v>123587.806242423</v>
      </c>
      <c r="BC13" s="508">
        <v>122777.47814455999</v>
      </c>
      <c r="BD13" s="508">
        <v>122948.284165217</v>
      </c>
      <c r="BE13" s="508">
        <v>121946.540281184</v>
      </c>
      <c r="BF13" s="505">
        <v>119297.512013945</v>
      </c>
      <c r="BG13" s="505">
        <v>116284.452559709</v>
      </c>
      <c r="BH13" s="505">
        <v>115210.78747151099</v>
      </c>
      <c r="BI13" s="505">
        <v>114702.74775388199</v>
      </c>
      <c r="BJ13" s="505">
        <v>113317.06607715999</v>
      </c>
      <c r="BK13" s="505">
        <v>110706.956418823</v>
      </c>
      <c r="BL13" s="505">
        <v>106842.656996657</v>
      </c>
      <c r="BM13" s="505">
        <v>105396.12961633599</v>
      </c>
      <c r="BN13" s="505">
        <v>101630.304293005</v>
      </c>
      <c r="BO13" s="505">
        <v>99571.090108713805</v>
      </c>
      <c r="BP13" s="504"/>
      <c r="BQ13" s="504"/>
      <c r="BR13" s="504"/>
      <c r="BS13" s="504"/>
      <c r="BT13" s="504"/>
      <c r="BU13" s="504"/>
      <c r="BV13" s="504"/>
      <c r="BW13" s="504"/>
      <c r="BX13" s="504"/>
      <c r="BY13" s="504"/>
      <c r="BZ13" s="504"/>
      <c r="CA13" s="504"/>
    </row>
    <row r="14" spans="1:106">
      <c r="A14" s="325" t="s">
        <v>491</v>
      </c>
      <c r="D14" s="505">
        <v>8162</v>
      </c>
      <c r="E14" s="505">
        <v>7949</v>
      </c>
      <c r="F14" s="505">
        <v>6546</v>
      </c>
      <c r="G14" s="505">
        <v>1886</v>
      </c>
      <c r="H14" s="505">
        <v>1796</v>
      </c>
      <c r="I14" s="505">
        <v>928</v>
      </c>
      <c r="J14" s="505">
        <v>1040</v>
      </c>
      <c r="K14" s="505">
        <v>5956</v>
      </c>
      <c r="L14" s="505">
        <v>8635</v>
      </c>
      <c r="M14" s="505">
        <v>5160</v>
      </c>
      <c r="N14" s="505">
        <v>2584</v>
      </c>
      <c r="O14" s="505">
        <v>1758</v>
      </c>
      <c r="P14" s="505">
        <v>1522</v>
      </c>
      <c r="Q14" s="505">
        <v>1443</v>
      </c>
      <c r="R14" s="506">
        <v>2900</v>
      </c>
      <c r="S14" s="507">
        <v>2687</v>
      </c>
      <c r="T14" s="507">
        <v>4972</v>
      </c>
      <c r="U14" s="507">
        <v>9536</v>
      </c>
      <c r="V14" s="508">
        <v>7030</v>
      </c>
      <c r="W14" s="508">
        <v>4100</v>
      </c>
      <c r="X14" s="508">
        <v>4767</v>
      </c>
      <c r="Y14" s="508">
        <v>3979.0052019999998</v>
      </c>
      <c r="Z14" s="508">
        <v>3710.0019080000002</v>
      </c>
      <c r="AA14" s="508">
        <v>3576.000063</v>
      </c>
      <c r="AB14" s="508">
        <v>2963</v>
      </c>
      <c r="AC14" s="508">
        <v>3613.9946199999999</v>
      </c>
      <c r="AD14" s="508">
        <v>6416</v>
      </c>
      <c r="AE14" s="731">
        <v>10240</v>
      </c>
      <c r="AF14" s="508">
        <v>10274.1080000822</v>
      </c>
      <c r="AG14" s="508">
        <v>6290.6009400000003</v>
      </c>
      <c r="AH14" s="508">
        <v>4194.66121776</v>
      </c>
      <c r="AI14" s="508">
        <v>7751.0204055741597</v>
      </c>
      <c r="AJ14" s="508">
        <v>12245.4213029728</v>
      </c>
      <c r="AK14" s="508">
        <v>12305.6192407091</v>
      </c>
      <c r="AL14" s="508">
        <v>8030.0188713724201</v>
      </c>
      <c r="AM14" s="508">
        <v>6105.3654120681103</v>
      </c>
      <c r="AN14" s="508">
        <v>7334.1731509568399</v>
      </c>
      <c r="AO14" s="508">
        <v>7480.8566139759796</v>
      </c>
      <c r="AP14" s="508">
        <v>7840.7424451064899</v>
      </c>
      <c r="AQ14" s="508">
        <v>8531.1584511048404</v>
      </c>
      <c r="AR14" s="508">
        <v>10097.3876682436</v>
      </c>
      <c r="AS14" s="508">
        <v>11096.451827901101</v>
      </c>
      <c r="AT14" s="508">
        <v>11499.365270771499</v>
      </c>
      <c r="AU14" s="509">
        <v>10574.178470078599</v>
      </c>
      <c r="AV14" s="509">
        <v>8604.5646636879101</v>
      </c>
      <c r="AW14" s="509">
        <v>6653.7877472124901</v>
      </c>
      <c r="AX14" s="509">
        <v>5087.5504232218</v>
      </c>
      <c r="AY14" s="509">
        <v>5128.7494896595599</v>
      </c>
      <c r="AZ14" s="509">
        <v>4914.7892025083001</v>
      </c>
      <c r="BA14" s="509">
        <v>4146.8591798958296</v>
      </c>
      <c r="BB14" s="509">
        <v>2774.3480135790801</v>
      </c>
      <c r="BC14" s="509">
        <v>1727.0677836934501</v>
      </c>
      <c r="BD14" s="509">
        <v>889.16134928217696</v>
      </c>
      <c r="BE14" s="509">
        <v>743.28540461046998</v>
      </c>
      <c r="BF14" s="505">
        <v>758.15111270267903</v>
      </c>
      <c r="BG14" s="505">
        <v>619.00603921995298</v>
      </c>
      <c r="BH14" s="505">
        <v>450.47322017502501</v>
      </c>
      <c r="BI14" s="505">
        <v>457.63737259226701</v>
      </c>
      <c r="BJ14" s="505">
        <v>466.79012004411197</v>
      </c>
      <c r="BK14" s="505">
        <v>460.76702172096202</v>
      </c>
      <c r="BL14" s="505">
        <v>469.982362155381</v>
      </c>
      <c r="BM14" s="505">
        <v>477.38458435932898</v>
      </c>
      <c r="BN14" s="505">
        <v>486.93227604651503</v>
      </c>
      <c r="BO14" s="505">
        <v>498.74904257818798</v>
      </c>
      <c r="BP14" s="504"/>
      <c r="BQ14" s="504"/>
      <c r="BR14" s="504"/>
      <c r="BS14" s="504"/>
      <c r="BT14" s="504"/>
      <c r="BU14" s="504"/>
      <c r="BV14" s="504"/>
      <c r="BW14" s="504"/>
      <c r="BX14" s="504"/>
      <c r="BY14" s="504"/>
      <c r="BZ14" s="504"/>
      <c r="CA14" s="504"/>
    </row>
    <row r="15" spans="1:106">
      <c r="A15" s="325" t="s">
        <v>325</v>
      </c>
      <c r="D15" s="505">
        <v>797</v>
      </c>
      <c r="E15" s="505">
        <v>6125</v>
      </c>
      <c r="F15" s="505">
        <v>5694</v>
      </c>
      <c r="G15" s="505">
        <v>487</v>
      </c>
      <c r="H15" s="505">
        <v>398</v>
      </c>
      <c r="I15" s="505">
        <v>2937</v>
      </c>
      <c r="J15" s="505">
        <v>10922</v>
      </c>
      <c r="K15" s="505">
        <v>16212</v>
      </c>
      <c r="L15" s="505">
        <v>16856</v>
      </c>
      <c r="M15" s="505">
        <v>17184</v>
      </c>
      <c r="N15" s="505">
        <v>12192</v>
      </c>
      <c r="O15" s="505">
        <v>4917</v>
      </c>
      <c r="P15" s="505">
        <v>4764</v>
      </c>
      <c r="Q15" s="505">
        <v>4207</v>
      </c>
      <c r="R15" s="510">
        <v>2561</v>
      </c>
      <c r="S15" s="507">
        <v>1408</v>
      </c>
      <c r="T15" s="507">
        <v>1906</v>
      </c>
      <c r="U15" s="507">
        <v>4919</v>
      </c>
      <c r="V15" s="508">
        <v>7338</v>
      </c>
      <c r="W15" s="508">
        <v>5402</v>
      </c>
      <c r="X15" s="508">
        <v>2524</v>
      </c>
      <c r="Y15" s="508">
        <v>1652.0999965160099</v>
      </c>
      <c r="Z15" s="511">
        <v>1673.1</v>
      </c>
      <c r="AA15" s="511">
        <v>1550.05</v>
      </c>
      <c r="AB15" s="511">
        <v>3752.25</v>
      </c>
      <c r="AC15" s="511">
        <v>3600.47</v>
      </c>
      <c r="AD15" s="511">
        <v>3894.82</v>
      </c>
      <c r="AE15" s="732">
        <v>6396.64</v>
      </c>
      <c r="AF15" s="511">
        <v>8787.2173999999995</v>
      </c>
      <c r="AG15" s="511">
        <v>8104.2328224000003</v>
      </c>
      <c r="AH15" s="511">
        <v>6302.8676750551203</v>
      </c>
      <c r="AI15" s="511">
        <v>5752.2407673696298</v>
      </c>
      <c r="AJ15" s="511">
        <v>3650.4110427065302</v>
      </c>
      <c r="AK15" s="511">
        <v>4815.6204119062704</v>
      </c>
      <c r="AL15" s="511">
        <v>2246.1818745037199</v>
      </c>
      <c r="AM15" s="511">
        <v>2726.4664074772199</v>
      </c>
      <c r="AN15" s="511">
        <v>1756.9143272277199</v>
      </c>
      <c r="AO15" s="511">
        <v>1848.4322436319201</v>
      </c>
      <c r="AP15" s="511">
        <v>1742.2661718168299</v>
      </c>
      <c r="AQ15" s="511">
        <v>1695.71470857747</v>
      </c>
      <c r="AR15" s="511">
        <v>1815.28943063154</v>
      </c>
      <c r="AS15" s="511">
        <v>1738.33210222189</v>
      </c>
      <c r="AT15" s="511">
        <v>1729.03178351724</v>
      </c>
      <c r="AU15" s="511">
        <v>1990.73139598176</v>
      </c>
      <c r="AV15" s="511">
        <v>1622.5709751920499</v>
      </c>
      <c r="AW15" s="511">
        <v>1623.0120447202401</v>
      </c>
      <c r="AX15" s="511">
        <v>1747.48749163557</v>
      </c>
      <c r="AY15" s="511">
        <v>1727.5469060211001</v>
      </c>
      <c r="AZ15" s="511">
        <v>1714.0153635363999</v>
      </c>
      <c r="BA15" s="511">
        <v>1936.34541865352</v>
      </c>
      <c r="BB15" s="511">
        <v>1729.2846917761001</v>
      </c>
      <c r="BC15" s="511">
        <v>1663.91674727643</v>
      </c>
      <c r="BD15" s="511">
        <v>1961.2693175350801</v>
      </c>
      <c r="BE15" s="511">
        <v>1810.82054306707</v>
      </c>
      <c r="BF15" s="505">
        <v>1754.63293987102</v>
      </c>
      <c r="BG15" s="505">
        <v>1921.68562536748</v>
      </c>
      <c r="BH15" s="505">
        <v>1934.7915262987201</v>
      </c>
      <c r="BI15" s="505">
        <v>1776.0389742949701</v>
      </c>
      <c r="BJ15" s="505">
        <v>1990.37048524938</v>
      </c>
      <c r="BK15" s="505">
        <v>1670.6644262565901</v>
      </c>
      <c r="BL15" s="505">
        <v>1776.2591725694199</v>
      </c>
      <c r="BM15" s="505">
        <v>1660.31961530127</v>
      </c>
      <c r="BN15" s="505">
        <v>1758.72196088549</v>
      </c>
      <c r="BO15" s="505">
        <v>1708.6934386627599</v>
      </c>
      <c r="BP15" s="504"/>
      <c r="BQ15" s="504"/>
      <c r="BR15" s="504"/>
      <c r="BS15" s="504"/>
      <c r="BT15" s="504"/>
      <c r="BU15" s="504"/>
      <c r="BV15" s="504"/>
      <c r="BW15" s="504"/>
      <c r="BX15" s="504"/>
      <c r="BY15" s="504"/>
      <c r="BZ15" s="504"/>
      <c r="CA15" s="504"/>
    </row>
    <row r="16" spans="1:106">
      <c r="A16" s="325" t="s">
        <v>492</v>
      </c>
      <c r="D16" s="505">
        <v>9109</v>
      </c>
      <c r="E16" s="505">
        <v>8753</v>
      </c>
      <c r="F16" s="505">
        <v>6505</v>
      </c>
      <c r="G16" s="505">
        <v>6505</v>
      </c>
      <c r="H16" s="505">
        <v>8663</v>
      </c>
      <c r="I16" s="505">
        <v>6007</v>
      </c>
      <c r="J16" s="505">
        <v>5403</v>
      </c>
      <c r="K16" s="505">
        <v>5407</v>
      </c>
      <c r="L16" s="505">
        <v>9017</v>
      </c>
      <c r="M16" s="505">
        <v>12941</v>
      </c>
      <c r="N16" s="505">
        <v>19153</v>
      </c>
      <c r="O16" s="505">
        <v>26020</v>
      </c>
      <c r="P16" s="505">
        <v>29159</v>
      </c>
      <c r="Q16" s="505">
        <v>28502</v>
      </c>
      <c r="R16" s="506">
        <v>28582</v>
      </c>
      <c r="S16" s="507">
        <v>27699</v>
      </c>
      <c r="T16" s="507">
        <v>36995</v>
      </c>
      <c r="U16" s="507">
        <v>35578</v>
      </c>
      <c r="V16" s="508">
        <v>31660</v>
      </c>
      <c r="W16" s="508">
        <v>22209</v>
      </c>
      <c r="X16" s="508">
        <v>18918</v>
      </c>
      <c r="Y16" s="508">
        <v>25251</v>
      </c>
      <c r="Z16" s="508">
        <v>27753</v>
      </c>
      <c r="AA16" s="508">
        <v>20941</v>
      </c>
      <c r="AB16" s="508">
        <v>25096</v>
      </c>
      <c r="AC16" s="508">
        <v>22025</v>
      </c>
      <c r="AD16" s="508">
        <v>23912</v>
      </c>
      <c r="AE16" s="731">
        <v>31544</v>
      </c>
      <c r="AF16" s="508">
        <v>32420.335999999999</v>
      </c>
      <c r="AG16" s="508">
        <v>33256.942523999998</v>
      </c>
      <c r="AH16" s="508">
        <v>34274.057883155998</v>
      </c>
      <c r="AI16" s="508">
        <v>34979.388004725799</v>
      </c>
      <c r="AJ16" s="508">
        <v>35839.818535677798</v>
      </c>
      <c r="AK16" s="508">
        <v>36905.385020989102</v>
      </c>
      <c r="AL16" s="508">
        <v>38103.387419230203</v>
      </c>
      <c r="AM16" s="508">
        <v>38031.114908956799</v>
      </c>
      <c r="AN16" s="508">
        <v>38056.371904483502</v>
      </c>
      <c r="AO16" s="508">
        <v>38533.117509140196</v>
      </c>
      <c r="AP16" s="508">
        <v>38665.373689317603</v>
      </c>
      <c r="AQ16" s="508">
        <v>38709.986120483401</v>
      </c>
      <c r="AR16" s="508">
        <v>38697.4277591106</v>
      </c>
      <c r="AS16" s="508">
        <v>38721.307250698803</v>
      </c>
      <c r="AT16" s="508">
        <v>37610.479163292199</v>
      </c>
      <c r="AU16" s="508">
        <v>37206.116124582797</v>
      </c>
      <c r="AV16" s="508">
        <v>37945.958988521597</v>
      </c>
      <c r="AW16" s="508">
        <v>38699.0581046601</v>
      </c>
      <c r="AX16" s="508">
        <v>38241.222799053699</v>
      </c>
      <c r="AY16" s="508">
        <v>38168.916656515998</v>
      </c>
      <c r="AZ16" s="508">
        <v>38933.839064168002</v>
      </c>
      <c r="BA16" s="508">
        <v>39710.940889439204</v>
      </c>
      <c r="BB16" s="508">
        <v>39170.195492239996</v>
      </c>
      <c r="BC16" s="508">
        <v>39953.599402084903</v>
      </c>
      <c r="BD16" s="508">
        <v>40752.671390126503</v>
      </c>
      <c r="BE16" s="508">
        <v>40151.050113270103</v>
      </c>
      <c r="BF16" s="505">
        <v>38543.985238916503</v>
      </c>
      <c r="BG16" s="505">
        <v>39314.864943694804</v>
      </c>
      <c r="BH16" s="505">
        <v>40101.162242568702</v>
      </c>
      <c r="BI16" s="505">
        <v>40905.030799406297</v>
      </c>
      <c r="BJ16" s="505">
        <v>41723.131415394499</v>
      </c>
      <c r="BK16" s="505">
        <v>42557.594043702396</v>
      </c>
      <c r="BL16" s="505">
        <v>43408.745924576397</v>
      </c>
      <c r="BM16" s="505">
        <v>44276.920843067899</v>
      </c>
      <c r="BN16" s="505">
        <v>45162.459259929303</v>
      </c>
      <c r="BO16" s="505">
        <v>46065.708445127901</v>
      </c>
      <c r="BP16" s="504"/>
      <c r="BQ16" s="504"/>
      <c r="BR16" s="504"/>
      <c r="BS16" s="504"/>
      <c r="BT16" s="504"/>
      <c r="BU16" s="504"/>
      <c r="BV16" s="504"/>
      <c r="BW16" s="504"/>
      <c r="BX16" s="504"/>
      <c r="BY16" s="504"/>
      <c r="BZ16" s="504"/>
      <c r="CA16" s="504"/>
    </row>
    <row r="17" spans="1:106">
      <c r="A17" s="325" t="s">
        <v>493</v>
      </c>
      <c r="D17" s="505">
        <v>7615</v>
      </c>
      <c r="E17" s="505">
        <v>6026.8369999999995</v>
      </c>
      <c r="F17" s="505">
        <v>4992</v>
      </c>
      <c r="G17" s="505">
        <v>5427</v>
      </c>
      <c r="H17" s="505">
        <v>7288</v>
      </c>
      <c r="I17" s="505">
        <v>4730</v>
      </c>
      <c r="J17" s="505">
        <v>4432</v>
      </c>
      <c r="K17" s="505">
        <v>4384</v>
      </c>
      <c r="L17" s="505">
        <v>7100</v>
      </c>
      <c r="M17" s="505">
        <v>11264</v>
      </c>
      <c r="N17" s="505">
        <v>16282</v>
      </c>
      <c r="O17" s="505">
        <v>22701</v>
      </c>
      <c r="P17" s="505">
        <v>25708</v>
      </c>
      <c r="Q17" s="505">
        <v>25068</v>
      </c>
      <c r="R17" s="506">
        <v>24599</v>
      </c>
      <c r="S17" s="507">
        <v>24086</v>
      </c>
      <c r="T17" s="507">
        <v>32784</v>
      </c>
      <c r="U17" s="507">
        <v>31410</v>
      </c>
      <c r="V17" s="508">
        <v>27376</v>
      </c>
      <c r="W17" s="508">
        <v>17407</v>
      </c>
      <c r="X17" s="508">
        <v>14278</v>
      </c>
      <c r="Y17" s="508">
        <v>20904</v>
      </c>
      <c r="Z17" s="508">
        <v>23655</v>
      </c>
      <c r="AA17" s="508">
        <v>17869</v>
      </c>
      <c r="AB17" s="508">
        <v>21759</v>
      </c>
      <c r="AC17" s="508">
        <v>18591</v>
      </c>
      <c r="AD17" s="508">
        <v>19841</v>
      </c>
      <c r="AE17" s="731">
        <v>27550</v>
      </c>
      <c r="AF17" s="508">
        <v>28174.718000000001</v>
      </c>
      <c r="AG17" s="508">
        <v>28413.074430000001</v>
      </c>
      <c r="AH17" s="508">
        <v>29288.032744931999</v>
      </c>
      <c r="AI17" s="508">
        <v>29901.361405256601</v>
      </c>
      <c r="AJ17" s="508">
        <v>30868.314709174701</v>
      </c>
      <c r="AK17" s="508">
        <v>31695.631434185099</v>
      </c>
      <c r="AL17" s="508">
        <v>32644.3320366956</v>
      </c>
      <c r="AM17" s="508">
        <v>32458.103939465898</v>
      </c>
      <c r="AN17" s="508">
        <v>32500.954891233901</v>
      </c>
      <c r="AO17" s="508">
        <v>32931.16794313</v>
      </c>
      <c r="AP17" s="508">
        <v>33021.052471967902</v>
      </c>
      <c r="AQ17" s="508">
        <v>33050.971427792298</v>
      </c>
      <c r="AR17" s="508">
        <v>33046.475224337897</v>
      </c>
      <c r="AS17" s="508">
        <v>33071.593497498499</v>
      </c>
      <c r="AT17" s="508">
        <v>32123.361026458198</v>
      </c>
      <c r="AU17" s="508">
        <v>31774.280497313201</v>
      </c>
      <c r="AV17" s="508">
        <v>32405.486648706599</v>
      </c>
      <c r="AW17" s="508">
        <v>33050.686349864802</v>
      </c>
      <c r="AX17" s="508">
        <v>32659.461672525998</v>
      </c>
      <c r="AY17" s="508">
        <v>32598.137990061699</v>
      </c>
      <c r="AZ17" s="508">
        <v>33250.100749862897</v>
      </c>
      <c r="BA17" s="508">
        <v>33915.102764860203</v>
      </c>
      <c r="BB17" s="508">
        <v>33452.821676184503</v>
      </c>
      <c r="BC17" s="508">
        <v>34121.878109708203</v>
      </c>
      <c r="BD17" s="508">
        <v>34804.315671902397</v>
      </c>
      <c r="BE17" s="508">
        <v>34290.006028291202</v>
      </c>
      <c r="BF17" s="505">
        <v>32918.712648106499</v>
      </c>
      <c r="BG17" s="505">
        <v>33577.0869010686</v>
      </c>
      <c r="BH17" s="505">
        <v>34248.628639089999</v>
      </c>
      <c r="BI17" s="505">
        <v>34933.601211871799</v>
      </c>
      <c r="BJ17" s="505">
        <v>35632.273236109198</v>
      </c>
      <c r="BK17" s="505">
        <v>36344.918700831397</v>
      </c>
      <c r="BL17" s="505">
        <v>37071.817074847997</v>
      </c>
      <c r="BM17" s="505">
        <v>37813.253416344996</v>
      </c>
      <c r="BN17" s="505">
        <v>38569.518484671898</v>
      </c>
      <c r="BO17" s="505">
        <v>39340.908854365298</v>
      </c>
      <c r="BP17" s="504"/>
      <c r="BQ17" s="504"/>
      <c r="BR17" s="504"/>
      <c r="BS17" s="504"/>
      <c r="BT17" s="504"/>
      <c r="BU17" s="504"/>
      <c r="BV17" s="504"/>
      <c r="BW17" s="504"/>
      <c r="BX17" s="504"/>
      <c r="BY17" s="504"/>
      <c r="BZ17" s="504"/>
      <c r="CA17" s="504"/>
    </row>
    <row r="18" spans="1:106">
      <c r="A18" s="325" t="s">
        <v>550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>
        <v>1389</v>
      </c>
      <c r="P18" s="505">
        <v>1249</v>
      </c>
      <c r="Q18" s="505">
        <v>1869</v>
      </c>
      <c r="R18" s="506">
        <v>1390</v>
      </c>
      <c r="S18" s="507">
        <v>1017</v>
      </c>
      <c r="T18" s="507">
        <v>2804</v>
      </c>
      <c r="U18" s="507">
        <v>9973</v>
      </c>
      <c r="V18" s="508">
        <v>12089</v>
      </c>
      <c r="W18" s="508">
        <v>9515</v>
      </c>
      <c r="X18" s="508">
        <v>5158</v>
      </c>
      <c r="Y18" s="508">
        <v>4422</v>
      </c>
      <c r="Z18" s="508">
        <v>4690.0000163000004</v>
      </c>
      <c r="AA18" s="508">
        <v>7464</v>
      </c>
      <c r="AB18" s="508">
        <v>8338</v>
      </c>
      <c r="AC18" s="508">
        <v>6335</v>
      </c>
      <c r="AD18" s="508">
        <v>5533</v>
      </c>
      <c r="AE18" s="731">
        <v>9129</v>
      </c>
      <c r="AF18" s="508">
        <v>8828.0920000000006</v>
      </c>
      <c r="AG18" s="508">
        <v>13234.49712</v>
      </c>
      <c r="AH18" s="508">
        <v>9195.821731512</v>
      </c>
      <c r="AI18" s="508">
        <v>7571.2770101966398</v>
      </c>
      <c r="AJ18" s="508">
        <v>10737.0985357011</v>
      </c>
      <c r="AK18" s="508">
        <v>10398.856311559501</v>
      </c>
      <c r="AL18" s="508">
        <v>10127.045076196</v>
      </c>
      <c r="AM18" s="508">
        <v>7807.46728452345</v>
      </c>
      <c r="AN18" s="508">
        <v>8026.92622580651</v>
      </c>
      <c r="AO18" s="508">
        <v>8961.1323583085396</v>
      </c>
      <c r="AP18" s="508">
        <v>10621.1026497929</v>
      </c>
      <c r="AQ18" s="508">
        <v>12060.936565358699</v>
      </c>
      <c r="AR18" s="508">
        <v>14044.3566145226</v>
      </c>
      <c r="AS18" s="508">
        <v>17670.9819175757</v>
      </c>
      <c r="AT18" s="508">
        <v>20368.972274064701</v>
      </c>
      <c r="AU18" s="508">
        <v>21348.3447091323</v>
      </c>
      <c r="AV18" s="508">
        <v>23635.449587640102</v>
      </c>
      <c r="AW18" s="508">
        <v>24466.092492757001</v>
      </c>
      <c r="AX18" s="508">
        <v>25096.405384095899</v>
      </c>
      <c r="AY18" s="508">
        <v>25549.891938156499</v>
      </c>
      <c r="AZ18" s="508">
        <v>25892.585654056398</v>
      </c>
      <c r="BA18" s="508">
        <v>26200.968217526399</v>
      </c>
      <c r="BB18" s="508">
        <v>26130.5991829052</v>
      </c>
      <c r="BC18" s="508">
        <v>26235.3721866374</v>
      </c>
      <c r="BD18" s="508">
        <v>27503.8330146382</v>
      </c>
      <c r="BE18" s="508">
        <v>27308.919487282401</v>
      </c>
      <c r="BF18" s="505">
        <v>26164.9077817367</v>
      </c>
      <c r="BG18" s="505">
        <v>28601.981055762099</v>
      </c>
      <c r="BH18" s="505">
        <v>29061.8546541832</v>
      </c>
      <c r="BI18" s="505">
        <v>29259.2668541249</v>
      </c>
      <c r="BJ18" s="505">
        <v>29577.177203117601</v>
      </c>
      <c r="BK18" s="505">
        <v>30120.724182417402</v>
      </c>
      <c r="BL18" s="505">
        <v>30186.575469271698</v>
      </c>
      <c r="BM18" s="505">
        <v>30390.821970825</v>
      </c>
      <c r="BN18" s="505">
        <v>30202.025356123599</v>
      </c>
      <c r="BO18" s="505">
        <v>29517.6308365857</v>
      </c>
      <c r="BP18" s="504"/>
      <c r="BQ18" s="504"/>
      <c r="BR18" s="504"/>
      <c r="BS18" s="504"/>
      <c r="BT18" s="504"/>
      <c r="BU18" s="504"/>
      <c r="BV18" s="504"/>
      <c r="BW18" s="504"/>
      <c r="BX18" s="504"/>
      <c r="BY18" s="504"/>
      <c r="BZ18" s="504"/>
      <c r="CA18" s="504"/>
    </row>
    <row r="19" spans="1:106">
      <c r="A19" s="325" t="s">
        <v>399</v>
      </c>
      <c r="D19" s="505">
        <v>1405</v>
      </c>
      <c r="E19" s="505">
        <v>1724</v>
      </c>
      <c r="F19" s="505">
        <v>1398</v>
      </c>
      <c r="G19" s="505">
        <v>822</v>
      </c>
      <c r="H19" s="505">
        <v>719</v>
      </c>
      <c r="I19" s="505">
        <v>872</v>
      </c>
      <c r="J19" s="505">
        <v>1520</v>
      </c>
      <c r="K19" s="505">
        <v>821</v>
      </c>
      <c r="L19" s="505">
        <v>1224</v>
      </c>
      <c r="M19" s="505">
        <v>1073</v>
      </c>
      <c r="N19" s="505">
        <v>2837</v>
      </c>
      <c r="O19" s="505">
        <v>1535</v>
      </c>
      <c r="P19" s="505">
        <v>2130</v>
      </c>
      <c r="Q19" s="512">
        <v>2620</v>
      </c>
      <c r="R19" s="506">
        <v>2146</v>
      </c>
      <c r="S19" s="513">
        <v>2735</v>
      </c>
      <c r="T19" s="507">
        <v>3630</v>
      </c>
      <c r="U19" s="507">
        <v>5493</v>
      </c>
      <c r="V19" s="508">
        <v>3484</v>
      </c>
      <c r="W19" s="508">
        <v>3227</v>
      </c>
      <c r="X19" s="508">
        <v>4267</v>
      </c>
      <c r="Y19" s="508">
        <v>2855.000117</v>
      </c>
      <c r="Z19" s="508">
        <v>2430.0001080000002</v>
      </c>
      <c r="AA19" s="508">
        <v>2425.0155</v>
      </c>
      <c r="AB19" s="508">
        <v>3466.0000088000002</v>
      </c>
      <c r="AC19" s="508">
        <v>11653</v>
      </c>
      <c r="AD19" s="508">
        <v>2278</v>
      </c>
      <c r="AE19" s="731">
        <v>2953</v>
      </c>
      <c r="AF19" s="508">
        <v>3592.4459999999999</v>
      </c>
      <c r="AG19" s="508">
        <v>3099.9912839999997</v>
      </c>
      <c r="AH19" s="508">
        <v>3148.1581098239999</v>
      </c>
      <c r="AI19" s="508">
        <v>1522.85661973224</v>
      </c>
      <c r="AJ19" s="508">
        <v>1077.5340872828069</v>
      </c>
      <c r="AK19" s="508">
        <v>1532.7528720480441</v>
      </c>
      <c r="AL19" s="508">
        <v>1674.5784035170409</v>
      </c>
      <c r="AM19" s="508">
        <v>508.4820460490734</v>
      </c>
      <c r="AN19" s="508">
        <v>20.697367789884801</v>
      </c>
      <c r="AO19" s="508">
        <v>43.464472358758101</v>
      </c>
      <c r="AP19" s="508">
        <v>165.93493704506471</v>
      </c>
      <c r="AQ19" s="508">
        <v>186.049798115871</v>
      </c>
      <c r="AR19" s="508">
        <v>51.396256729509403</v>
      </c>
      <c r="AS19" s="508">
        <v>106.19257351958601</v>
      </c>
      <c r="AT19" s="508">
        <v>0</v>
      </c>
      <c r="AU19" s="508">
        <v>0</v>
      </c>
      <c r="AV19" s="508">
        <v>0</v>
      </c>
      <c r="AW19" s="508">
        <v>190.60708394595099</v>
      </c>
      <c r="AX19" s="508">
        <v>77.174043759490502</v>
      </c>
      <c r="AY19" s="508">
        <v>0</v>
      </c>
      <c r="AZ19" s="508">
        <v>10.8085216517619</v>
      </c>
      <c r="BA19" s="508">
        <v>11.024692084797101</v>
      </c>
      <c r="BB19" s="508">
        <v>0</v>
      </c>
      <c r="BC19" s="508">
        <v>0</v>
      </c>
      <c r="BD19" s="508">
        <v>0</v>
      </c>
      <c r="BE19" s="508">
        <v>0</v>
      </c>
      <c r="BF19" s="504">
        <v>0</v>
      </c>
      <c r="BG19" s="504">
        <v>0</v>
      </c>
      <c r="BH19" s="504">
        <v>0</v>
      </c>
      <c r="BI19" s="504">
        <v>0</v>
      </c>
      <c r="BJ19" s="504">
        <v>0</v>
      </c>
      <c r="BK19" s="504">
        <v>0</v>
      </c>
      <c r="BL19" s="504">
        <v>0</v>
      </c>
      <c r="BM19" s="504">
        <v>0</v>
      </c>
      <c r="BN19" s="504">
        <v>0</v>
      </c>
      <c r="BO19" s="504">
        <v>0</v>
      </c>
      <c r="BP19" s="504"/>
      <c r="BQ19" s="504"/>
      <c r="BR19" s="504"/>
      <c r="BS19" s="504"/>
      <c r="BT19" s="504"/>
      <c r="BU19" s="504"/>
      <c r="BV19" s="504"/>
      <c r="BW19" s="504"/>
      <c r="BX19" s="504"/>
      <c r="BY19" s="504"/>
      <c r="BZ19" s="504"/>
      <c r="CA19" s="504"/>
    </row>
    <row r="20" spans="1:106">
      <c r="D20" s="514"/>
      <c r="E20" s="514"/>
      <c r="F20" s="514"/>
      <c r="G20" s="514"/>
      <c r="H20" s="514"/>
      <c r="I20" s="514"/>
      <c r="J20" s="514"/>
      <c r="K20" s="514"/>
      <c r="L20" s="514"/>
      <c r="M20" s="514"/>
      <c r="N20" s="514"/>
      <c r="O20" s="514"/>
      <c r="P20" s="514"/>
      <c r="Q20" s="514"/>
      <c r="R20" s="514"/>
      <c r="S20" s="514"/>
      <c r="T20" s="514"/>
      <c r="U20" s="514"/>
      <c r="V20" s="514"/>
      <c r="W20" s="514"/>
      <c r="X20" s="514"/>
      <c r="Y20" s="514"/>
      <c r="Z20" s="514"/>
      <c r="AA20" s="514"/>
      <c r="AB20" s="514"/>
      <c r="AC20" s="514"/>
      <c r="AD20" s="514"/>
      <c r="AE20" s="733"/>
      <c r="AF20" s="514"/>
      <c r="AG20" s="514"/>
      <c r="AH20" s="514"/>
      <c r="AI20" s="514"/>
      <c r="AJ20" s="514"/>
      <c r="AK20" s="514"/>
      <c r="AL20" s="514"/>
      <c r="AM20" s="514"/>
      <c r="AN20" s="514"/>
      <c r="AO20" s="514"/>
      <c r="AP20" s="514"/>
      <c r="AQ20" s="514"/>
      <c r="AR20" s="514"/>
      <c r="AS20" s="514"/>
      <c r="AT20" s="514"/>
      <c r="AU20" s="514"/>
      <c r="AV20" s="514"/>
      <c r="AW20" s="514"/>
      <c r="AX20" s="514"/>
      <c r="AY20" s="514"/>
      <c r="AZ20" s="514"/>
      <c r="BA20" s="514"/>
      <c r="BB20" s="514"/>
      <c r="BC20" s="514"/>
      <c r="BD20" s="514"/>
      <c r="BE20" s="514"/>
      <c r="BF20" s="504"/>
      <c r="BG20" s="504"/>
      <c r="BH20" s="504"/>
      <c r="BI20" s="504"/>
      <c r="BJ20" s="504"/>
      <c r="BK20" s="504"/>
      <c r="BL20" s="504"/>
      <c r="BM20" s="504"/>
      <c r="BN20" s="504"/>
      <c r="BO20" s="504"/>
      <c r="BP20" s="504"/>
      <c r="BQ20" s="504"/>
      <c r="BR20" s="504"/>
      <c r="BS20" s="504"/>
      <c r="BT20" s="504"/>
      <c r="BU20" s="504"/>
      <c r="BV20" s="504"/>
      <c r="BW20" s="504"/>
      <c r="BX20" s="504"/>
      <c r="BY20" s="504"/>
      <c r="BZ20" s="504"/>
      <c r="CA20" s="504"/>
    </row>
    <row r="21" spans="1:106">
      <c r="A21" s="324" t="s">
        <v>525</v>
      </c>
      <c r="B21" s="324"/>
      <c r="C21" s="324"/>
      <c r="D21" s="514">
        <f>SUM(D12:D16)+D18</f>
        <v>63219</v>
      </c>
      <c r="E21" s="514">
        <f t="shared" ref="E21:V21" si="8">SUM(E12:E16)+E18</f>
        <v>77348</v>
      </c>
      <c r="F21" s="514">
        <f t="shared" si="8"/>
        <v>74671</v>
      </c>
      <c r="G21" s="514">
        <f t="shared" si="8"/>
        <v>57913</v>
      </c>
      <c r="H21" s="514">
        <f t="shared" si="8"/>
        <v>59119</v>
      </c>
      <c r="I21" s="514">
        <f t="shared" si="8"/>
        <v>58366</v>
      </c>
      <c r="J21" s="514">
        <f t="shared" si="8"/>
        <v>67916</v>
      </c>
      <c r="K21" s="514">
        <f t="shared" si="8"/>
        <v>74925</v>
      </c>
      <c r="L21" s="514">
        <f t="shared" si="8"/>
        <v>92404</v>
      </c>
      <c r="M21" s="514">
        <f t="shared" si="8"/>
        <v>94413</v>
      </c>
      <c r="N21" s="514">
        <f t="shared" si="8"/>
        <v>111435</v>
      </c>
      <c r="O21" s="514">
        <f t="shared" si="8"/>
        <v>125629</v>
      </c>
      <c r="P21" s="514">
        <f t="shared" si="8"/>
        <v>139794</v>
      </c>
      <c r="Q21" s="514">
        <f t="shared" si="8"/>
        <v>131600</v>
      </c>
      <c r="R21" s="514">
        <f t="shared" si="8"/>
        <v>145483</v>
      </c>
      <c r="S21" s="514">
        <f t="shared" si="8"/>
        <v>174394</v>
      </c>
      <c r="T21" s="514">
        <f t="shared" si="8"/>
        <v>212563</v>
      </c>
      <c r="U21" s="514">
        <f t="shared" si="8"/>
        <v>215696</v>
      </c>
      <c r="V21" s="514">
        <f t="shared" si="8"/>
        <v>191315</v>
      </c>
      <c r="W21" s="514">
        <f t="shared" ref="W21:BE21" si="9">SUM(W12:W16)+W18</f>
        <v>167195</v>
      </c>
      <c r="X21" s="514">
        <f t="shared" si="9"/>
        <v>144540</v>
      </c>
      <c r="Y21" s="514">
        <f t="shared" si="9"/>
        <v>152002.10520531601</v>
      </c>
      <c r="Z21" s="514">
        <f t="shared" si="9"/>
        <v>178888.10192760002</v>
      </c>
      <c r="AA21" s="514">
        <f t="shared" si="9"/>
        <v>172964.1201764</v>
      </c>
      <c r="AB21" s="514">
        <f t="shared" si="9"/>
        <v>177235.25008240002</v>
      </c>
      <c r="AC21" s="514">
        <f t="shared" si="9"/>
        <v>169955.46462000001</v>
      </c>
      <c r="AD21" s="514">
        <f t="shared" si="9"/>
        <v>218509.82</v>
      </c>
      <c r="AE21" s="733">
        <f t="shared" si="9"/>
        <v>252419.64</v>
      </c>
      <c r="AF21" s="514">
        <f t="shared" si="9"/>
        <v>281357.12540008221</v>
      </c>
      <c r="AG21" s="514">
        <f t="shared" si="9"/>
        <v>271550.80686240003</v>
      </c>
      <c r="AH21" s="514">
        <f t="shared" si="9"/>
        <v>244022.31901257913</v>
      </c>
      <c r="AI21" s="514">
        <f t="shared" si="9"/>
        <v>228312.05673211871</v>
      </c>
      <c r="AJ21" s="514">
        <f t="shared" si="9"/>
        <v>231083.21380976852</v>
      </c>
      <c r="AK21" s="514">
        <f t="shared" si="9"/>
        <v>229248.04188545007</v>
      </c>
      <c r="AL21" s="514">
        <f t="shared" si="9"/>
        <v>219469.77747873697</v>
      </c>
      <c r="AM21" s="514">
        <f t="shared" si="9"/>
        <v>215638.40294269667</v>
      </c>
      <c r="AN21" s="514">
        <f t="shared" si="9"/>
        <v>217288.34506108184</v>
      </c>
      <c r="AO21" s="514">
        <f t="shared" si="9"/>
        <v>210564.82851038862</v>
      </c>
      <c r="AP21" s="514">
        <f t="shared" si="9"/>
        <v>203786.41886836005</v>
      </c>
      <c r="AQ21" s="514">
        <f t="shared" si="9"/>
        <v>201893.04955617577</v>
      </c>
      <c r="AR21" s="514">
        <f t="shared" si="9"/>
        <v>203115.97710180675</v>
      </c>
      <c r="AS21" s="514">
        <f t="shared" si="9"/>
        <v>207215.58502345558</v>
      </c>
      <c r="AT21" s="514">
        <f t="shared" si="9"/>
        <v>207460.31347112704</v>
      </c>
      <c r="AU21" s="514">
        <f t="shared" si="9"/>
        <v>207408.93748255176</v>
      </c>
      <c r="AV21" s="514">
        <f t="shared" si="9"/>
        <v>209530.07936431421</v>
      </c>
      <c r="AW21" s="514">
        <f t="shared" si="9"/>
        <v>209540.42024796171</v>
      </c>
      <c r="AX21" s="514">
        <f t="shared" si="9"/>
        <v>209997.1922279422</v>
      </c>
      <c r="AY21" s="514">
        <f t="shared" si="9"/>
        <v>207802.45740686078</v>
      </c>
      <c r="AZ21" s="514">
        <f t="shared" si="9"/>
        <v>206294.62503904203</v>
      </c>
      <c r="BA21" s="514">
        <f t="shared" si="9"/>
        <v>203885.08007195528</v>
      </c>
      <c r="BB21" s="514">
        <f t="shared" si="9"/>
        <v>202319.30479342651</v>
      </c>
      <c r="BC21" s="514">
        <f t="shared" si="9"/>
        <v>200884.62662320925</v>
      </c>
      <c r="BD21" s="514">
        <f t="shared" si="9"/>
        <v>201579.6635873034</v>
      </c>
      <c r="BE21" s="514">
        <f t="shared" si="9"/>
        <v>198459.24877064137</v>
      </c>
      <c r="BF21" s="514">
        <f t="shared" ref="BF21:BO21" si="10">SUM(BF12:BF16)+BF18</f>
        <v>192963.47354514466</v>
      </c>
      <c r="BG21" s="514">
        <f t="shared" si="10"/>
        <v>192784.83714530742</v>
      </c>
      <c r="BH21" s="514">
        <f t="shared" si="10"/>
        <v>192569.99274205466</v>
      </c>
      <c r="BI21" s="514">
        <f t="shared" si="10"/>
        <v>192428.13745863055</v>
      </c>
      <c r="BJ21" s="514">
        <f t="shared" si="10"/>
        <v>190750.50749631299</v>
      </c>
      <c r="BK21" s="514">
        <f t="shared" si="10"/>
        <v>188738.2355197861</v>
      </c>
      <c r="BL21" s="514">
        <f t="shared" si="10"/>
        <v>185750.85483829374</v>
      </c>
      <c r="BM21" s="514">
        <f t="shared" si="10"/>
        <v>184684.37595356585</v>
      </c>
      <c r="BN21" s="514">
        <f t="shared" si="10"/>
        <v>181603.79645232446</v>
      </c>
      <c r="BO21" s="514">
        <f t="shared" si="10"/>
        <v>179606.24256327021</v>
      </c>
      <c r="BP21" s="504"/>
      <c r="BQ21" s="504"/>
      <c r="BR21" s="504"/>
      <c r="BS21" s="504"/>
      <c r="BT21" s="504"/>
      <c r="BU21" s="504"/>
      <c r="BV21" s="504"/>
      <c r="BW21" s="504"/>
      <c r="BX21" s="504"/>
      <c r="BY21" s="504"/>
      <c r="BZ21" s="504"/>
      <c r="CA21" s="504"/>
    </row>
    <row r="22" spans="1:106">
      <c r="A22" s="324" t="s">
        <v>529</v>
      </c>
      <c r="B22" s="324"/>
      <c r="C22" s="324"/>
      <c r="D22" s="514">
        <f t="shared" ref="D22" si="11">SUM(D12:D15)+D16+D18+D19</f>
        <v>64624</v>
      </c>
      <c r="E22" s="514">
        <f t="shared" ref="E22:V22" si="12">SUM(E12:E15)+E16+E18+E19</f>
        <v>79072</v>
      </c>
      <c r="F22" s="514">
        <f t="shared" si="12"/>
        <v>76069</v>
      </c>
      <c r="G22" s="514">
        <f t="shared" si="12"/>
        <v>58735</v>
      </c>
      <c r="H22" s="514">
        <f t="shared" si="12"/>
        <v>59838</v>
      </c>
      <c r="I22" s="514">
        <f t="shared" si="12"/>
        <v>59238</v>
      </c>
      <c r="J22" s="514">
        <f t="shared" si="12"/>
        <v>69436</v>
      </c>
      <c r="K22" s="514">
        <f t="shared" si="12"/>
        <v>75746</v>
      </c>
      <c r="L22" s="514">
        <f t="shared" si="12"/>
        <v>93628</v>
      </c>
      <c r="M22" s="514">
        <f t="shared" si="12"/>
        <v>95486</v>
      </c>
      <c r="N22" s="514">
        <f t="shared" si="12"/>
        <v>114272</v>
      </c>
      <c r="O22" s="514">
        <f t="shared" si="12"/>
        <v>127164</v>
      </c>
      <c r="P22" s="514">
        <f t="shared" si="12"/>
        <v>141924</v>
      </c>
      <c r="Q22" s="514">
        <f t="shared" si="12"/>
        <v>134220</v>
      </c>
      <c r="R22" s="514">
        <f t="shared" si="12"/>
        <v>147629</v>
      </c>
      <c r="S22" s="514">
        <f t="shared" si="12"/>
        <v>177129</v>
      </c>
      <c r="T22" s="514">
        <f t="shared" si="12"/>
        <v>216193</v>
      </c>
      <c r="U22" s="514">
        <f t="shared" si="12"/>
        <v>221189</v>
      </c>
      <c r="V22" s="514">
        <f t="shared" si="12"/>
        <v>194799</v>
      </c>
      <c r="W22" s="514">
        <f t="shared" ref="W22:BE22" si="13">SUM(W12:W15)+W16+W18+W19</f>
        <v>170422</v>
      </c>
      <c r="X22" s="514">
        <f t="shared" si="13"/>
        <v>148807</v>
      </c>
      <c r="Y22" s="514">
        <f t="shared" si="13"/>
        <v>154857.105322316</v>
      </c>
      <c r="Z22" s="514">
        <f t="shared" si="13"/>
        <v>181318.10203560002</v>
      </c>
      <c r="AA22" s="514">
        <f t="shared" si="13"/>
        <v>175389.13567640001</v>
      </c>
      <c r="AB22" s="514">
        <f t="shared" si="13"/>
        <v>180701.25009120003</v>
      </c>
      <c r="AC22" s="514">
        <f t="shared" si="13"/>
        <v>181608.46462000001</v>
      </c>
      <c r="AD22" s="514">
        <f t="shared" si="13"/>
        <v>220787.82</v>
      </c>
      <c r="AE22" s="733">
        <f>SUM(AE12:AE15)+AE16+AE18+AE19</f>
        <v>255372.64</v>
      </c>
      <c r="AF22" s="514">
        <f>SUM(AF12:AF15)+AF16+AF18+AF19</f>
        <v>284949.5714000822</v>
      </c>
      <c r="AG22" s="514">
        <f t="shared" si="13"/>
        <v>274650.79814640002</v>
      </c>
      <c r="AH22" s="514">
        <f t="shared" si="13"/>
        <v>247170.47712240313</v>
      </c>
      <c r="AI22" s="514">
        <f t="shared" si="13"/>
        <v>229834.91335185096</v>
      </c>
      <c r="AJ22" s="514">
        <f t="shared" si="13"/>
        <v>232160.74789705133</v>
      </c>
      <c r="AK22" s="514">
        <f t="shared" si="13"/>
        <v>230780.79475749811</v>
      </c>
      <c r="AL22" s="514">
        <f t="shared" si="13"/>
        <v>221144.35588225402</v>
      </c>
      <c r="AM22" s="514">
        <f t="shared" si="13"/>
        <v>216146.88498874573</v>
      </c>
      <c r="AN22" s="514">
        <f t="shared" si="13"/>
        <v>217309.04242887173</v>
      </c>
      <c r="AO22" s="514">
        <f t="shared" si="13"/>
        <v>210608.29298274737</v>
      </c>
      <c r="AP22" s="514">
        <f t="shared" si="13"/>
        <v>203952.35380540512</v>
      </c>
      <c r="AQ22" s="514">
        <f t="shared" si="13"/>
        <v>202079.09935429165</v>
      </c>
      <c r="AR22" s="514">
        <f t="shared" si="13"/>
        <v>203167.37335853628</v>
      </c>
      <c r="AS22" s="514">
        <f t="shared" si="13"/>
        <v>207321.77759697518</v>
      </c>
      <c r="AT22" s="514">
        <f t="shared" si="13"/>
        <v>207460.31347112704</v>
      </c>
      <c r="AU22" s="514">
        <f t="shared" si="13"/>
        <v>207408.93748255176</v>
      </c>
      <c r="AV22" s="514">
        <f t="shared" si="13"/>
        <v>209530.07936431421</v>
      </c>
      <c r="AW22" s="514">
        <f t="shared" si="13"/>
        <v>209731.02733190765</v>
      </c>
      <c r="AX22" s="514">
        <f t="shared" si="13"/>
        <v>210074.3662717017</v>
      </c>
      <c r="AY22" s="514">
        <f t="shared" si="13"/>
        <v>207802.45740686078</v>
      </c>
      <c r="AZ22" s="514">
        <f t="shared" si="13"/>
        <v>206305.43356069378</v>
      </c>
      <c r="BA22" s="514">
        <f t="shared" si="13"/>
        <v>203896.10476404006</v>
      </c>
      <c r="BB22" s="514">
        <f t="shared" si="13"/>
        <v>202319.30479342651</v>
      </c>
      <c r="BC22" s="514">
        <f t="shared" si="13"/>
        <v>200884.62662320925</v>
      </c>
      <c r="BD22" s="514">
        <f t="shared" si="13"/>
        <v>201579.6635873034</v>
      </c>
      <c r="BE22" s="514">
        <f t="shared" si="13"/>
        <v>198459.24877064137</v>
      </c>
      <c r="BF22" s="514">
        <f t="shared" ref="BF22:BO22" si="14">SUM(BF12:BF15)+BF16+BF18+BF19</f>
        <v>192963.47354514466</v>
      </c>
      <c r="BG22" s="514">
        <f t="shared" si="14"/>
        <v>192784.83714530742</v>
      </c>
      <c r="BH22" s="514">
        <f t="shared" si="14"/>
        <v>192569.99274205466</v>
      </c>
      <c r="BI22" s="514">
        <f t="shared" si="14"/>
        <v>192428.13745863055</v>
      </c>
      <c r="BJ22" s="514">
        <f t="shared" si="14"/>
        <v>190750.50749631299</v>
      </c>
      <c r="BK22" s="514">
        <f t="shared" si="14"/>
        <v>188738.2355197861</v>
      </c>
      <c r="BL22" s="514">
        <f t="shared" si="14"/>
        <v>185750.85483829374</v>
      </c>
      <c r="BM22" s="514">
        <f t="shared" si="14"/>
        <v>184684.37595356585</v>
      </c>
      <c r="BN22" s="514">
        <f t="shared" si="14"/>
        <v>181603.79645232446</v>
      </c>
      <c r="BO22" s="514">
        <f t="shared" si="14"/>
        <v>179606.24256327021</v>
      </c>
      <c r="BP22" s="504"/>
      <c r="BQ22" s="504"/>
      <c r="BR22" s="504"/>
      <c r="BS22" s="504"/>
      <c r="BT22" s="504"/>
      <c r="BU22" s="504"/>
      <c r="BV22" s="504"/>
      <c r="BW22" s="504"/>
      <c r="BX22" s="504"/>
      <c r="BY22" s="504"/>
      <c r="BZ22" s="504"/>
      <c r="CA22" s="504"/>
    </row>
    <row r="23" spans="1:106">
      <c r="A23" s="324" t="s">
        <v>548</v>
      </c>
      <c r="D23" s="515">
        <f>[2]!FAMEData(""&amp;B103&amp;"'vjks66", "1997", "2020", 0,"Annual", "Across", "No Heading", "Normal")</f>
        <v>62744.000011574077</v>
      </c>
      <c r="E23" s="504">
        <v>79554.000030517578</v>
      </c>
      <c r="F23" s="504">
        <v>71365</v>
      </c>
      <c r="G23" s="504">
        <v>57088.000007629395</v>
      </c>
      <c r="H23" s="504">
        <v>58941.999995231628</v>
      </c>
      <c r="I23" s="504">
        <v>55731</v>
      </c>
      <c r="J23" s="504">
        <v>65167.999877929688</v>
      </c>
      <c r="K23" s="504">
        <v>73206.999877929688</v>
      </c>
      <c r="L23" s="504">
        <v>90895</v>
      </c>
      <c r="M23" s="504">
        <v>97616</v>
      </c>
      <c r="N23" s="504">
        <v>113990.00012207031</v>
      </c>
      <c r="O23" s="504">
        <v>128928.00006103516</v>
      </c>
      <c r="P23" s="504">
        <v>140826</v>
      </c>
      <c r="Q23" s="504">
        <v>132408.00002288818</v>
      </c>
      <c r="R23" s="504">
        <v>154043.00003814697</v>
      </c>
      <c r="S23" s="504">
        <v>180511.00005245209</v>
      </c>
      <c r="T23" s="504">
        <v>220231.00000667572</v>
      </c>
      <c r="U23" s="504">
        <v>225614.99998569489</v>
      </c>
      <c r="V23" s="504">
        <v>201657.99996948242</v>
      </c>
      <c r="W23" s="504">
        <v>165374.00003051758</v>
      </c>
      <c r="X23" s="504">
        <v>149829.99993896484</v>
      </c>
      <c r="Y23" s="504">
        <v>153076.99606323242</v>
      </c>
      <c r="Z23" s="504">
        <v>178796.99607849121</v>
      </c>
      <c r="AA23" s="659">
        <v>180158.00390625</v>
      </c>
      <c r="AB23" s="504"/>
      <c r="AC23" s="504"/>
      <c r="AD23" s="504"/>
      <c r="AE23" s="734"/>
      <c r="AF23" s="504"/>
      <c r="AG23" s="504"/>
      <c r="AH23" s="504"/>
      <c r="AI23" s="504"/>
      <c r="AJ23" s="504"/>
      <c r="AK23" s="504"/>
      <c r="AL23" s="504"/>
      <c r="AM23" s="504"/>
      <c r="AN23" s="504"/>
      <c r="AO23" s="504"/>
      <c r="AP23" s="504"/>
      <c r="AQ23" s="504"/>
      <c r="AR23" s="504"/>
      <c r="AS23" s="504"/>
      <c r="AT23" s="504"/>
      <c r="AU23" s="504"/>
      <c r="AV23" s="504"/>
      <c r="AW23" s="504"/>
      <c r="AX23" s="504"/>
      <c r="AY23" s="504"/>
      <c r="AZ23" s="504"/>
      <c r="BA23" s="504"/>
      <c r="BB23" s="504"/>
      <c r="BC23" s="504"/>
      <c r="BD23" s="504"/>
      <c r="BE23" s="504"/>
      <c r="BF23" s="504"/>
      <c r="BG23" s="504"/>
      <c r="BH23" s="504"/>
      <c r="BI23" s="504"/>
      <c r="BJ23" s="504"/>
      <c r="BK23" s="504"/>
      <c r="BL23" s="504"/>
      <c r="BM23" s="504"/>
      <c r="BN23" s="504"/>
      <c r="BO23" s="504"/>
      <c r="BP23" s="504"/>
      <c r="BQ23" s="504"/>
      <c r="BR23" s="504"/>
      <c r="BS23" s="504"/>
      <c r="BT23" s="504"/>
      <c r="BU23" s="504"/>
      <c r="BV23" s="504"/>
      <c r="BW23" s="504"/>
      <c r="BX23" s="504"/>
      <c r="BY23" s="504"/>
      <c r="BZ23" s="504"/>
      <c r="CA23" s="504"/>
    </row>
    <row r="24" spans="1:106">
      <c r="A24" s="516"/>
      <c r="B24" s="516"/>
      <c r="C24" s="516"/>
      <c r="D24" s="517"/>
      <c r="E24" s="517"/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/>
      <c r="S24" s="517"/>
      <c r="T24" s="517"/>
      <c r="U24" s="517"/>
      <c r="V24" s="517"/>
      <c r="W24" s="517"/>
      <c r="X24" s="517"/>
      <c r="Y24" s="517"/>
      <c r="Z24" s="517"/>
      <c r="AA24" s="517"/>
      <c r="AB24" s="671"/>
      <c r="AC24" s="518"/>
      <c r="AD24" s="518"/>
      <c r="AE24" s="735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  <c r="AV24" s="518"/>
      <c r="AW24" s="518"/>
      <c r="AX24" s="518"/>
      <c r="AY24" s="518"/>
      <c r="AZ24" s="518"/>
      <c r="BA24" s="518"/>
      <c r="BB24" s="518"/>
      <c r="BC24" s="518"/>
      <c r="BD24" s="518"/>
      <c r="BE24" s="518"/>
      <c r="BF24" s="504"/>
      <c r="BG24" s="504"/>
      <c r="BH24" s="504"/>
      <c r="BI24" s="504"/>
      <c r="BJ24" s="504"/>
      <c r="BK24" s="504"/>
      <c r="BL24" s="504"/>
      <c r="BM24" s="504"/>
      <c r="BN24" s="504"/>
      <c r="BO24" s="504"/>
      <c r="BP24" s="504"/>
      <c r="BQ24" s="504"/>
      <c r="BR24" s="504"/>
      <c r="BS24" s="504"/>
      <c r="BT24" s="504"/>
      <c r="BU24" s="504"/>
      <c r="BV24" s="504"/>
      <c r="BW24" s="504"/>
      <c r="BX24" s="504"/>
      <c r="BY24" s="504"/>
      <c r="BZ24" s="504"/>
      <c r="CA24" s="504"/>
    </row>
    <row r="25" spans="1:106">
      <c r="D25" s="504"/>
      <c r="E25" s="504"/>
      <c r="F25" s="504"/>
      <c r="G25" s="504"/>
      <c r="H25" s="504"/>
      <c r="I25" s="504"/>
      <c r="J25" s="519"/>
      <c r="K25" s="519"/>
      <c r="L25" s="519"/>
      <c r="M25" s="519"/>
      <c r="N25" s="519"/>
      <c r="O25" s="519"/>
      <c r="P25" s="519"/>
      <c r="Q25" s="519"/>
      <c r="R25" s="519"/>
      <c r="S25" s="519"/>
      <c r="T25" s="519"/>
      <c r="U25" s="520"/>
      <c r="V25" s="310"/>
      <c r="W25" s="310"/>
      <c r="X25" s="521"/>
      <c r="Y25" s="521"/>
      <c r="Z25" s="521"/>
      <c r="AA25" s="521"/>
      <c r="AB25" s="519"/>
      <c r="AC25" s="700"/>
      <c r="AD25" s="519"/>
      <c r="AE25" s="736"/>
      <c r="AF25" s="519"/>
      <c r="AG25" s="519"/>
      <c r="AH25" s="519"/>
      <c r="AI25" s="519"/>
      <c r="AJ25" s="519"/>
      <c r="AK25" s="519"/>
      <c r="AL25" s="504"/>
      <c r="AM25" s="504"/>
      <c r="AN25" s="504"/>
      <c r="AO25" s="504"/>
      <c r="AP25" s="504"/>
      <c r="AQ25" s="504"/>
      <c r="AR25" s="504"/>
      <c r="AS25" s="504"/>
      <c r="AT25" s="504"/>
      <c r="AU25" s="504"/>
      <c r="AV25" s="504"/>
      <c r="AW25" s="504"/>
      <c r="AX25" s="504"/>
      <c r="AY25" s="504"/>
      <c r="AZ25" s="504"/>
      <c r="BA25" s="504"/>
      <c r="BB25" s="504"/>
      <c r="BC25" s="504"/>
      <c r="BD25" s="504"/>
      <c r="BE25" s="504"/>
      <c r="BF25" s="504"/>
      <c r="BG25" s="504"/>
      <c r="BH25" s="504"/>
      <c r="BI25" s="504"/>
      <c r="BJ25" s="504"/>
      <c r="BK25" s="504"/>
      <c r="BL25" s="504"/>
      <c r="BM25" s="504"/>
      <c r="BN25" s="504"/>
      <c r="BO25" s="504"/>
      <c r="BP25" s="504"/>
      <c r="BQ25" s="504"/>
      <c r="BR25" s="504"/>
      <c r="BS25" s="504"/>
      <c r="BT25" s="504"/>
      <c r="BU25" s="504"/>
      <c r="BV25" s="504"/>
      <c r="BW25" s="504"/>
      <c r="BX25" s="504"/>
      <c r="BY25" s="504"/>
      <c r="BZ25" s="504"/>
      <c r="CA25" s="504"/>
    </row>
    <row r="26" spans="1:106">
      <c r="A26" s="325" t="s">
        <v>494</v>
      </c>
      <c r="I26" s="522"/>
      <c r="J26" s="523"/>
      <c r="K26" s="523"/>
      <c r="L26" s="523"/>
      <c r="M26" s="523"/>
      <c r="N26" s="504"/>
      <c r="O26" s="645">
        <v>37914</v>
      </c>
      <c r="P26" s="646">
        <v>42204</v>
      </c>
      <c r="Q26" s="646">
        <v>44070</v>
      </c>
      <c r="R26" s="510">
        <v>47713</v>
      </c>
      <c r="S26" s="647">
        <v>54004</v>
      </c>
      <c r="T26" s="647">
        <v>68689</v>
      </c>
      <c r="U26" s="647">
        <v>65214</v>
      </c>
      <c r="V26" s="508">
        <v>59590</v>
      </c>
      <c r="W26" s="508">
        <v>58863</v>
      </c>
      <c r="X26" s="508">
        <v>52630</v>
      </c>
      <c r="Y26" s="508">
        <v>48239.000004599999</v>
      </c>
      <c r="Z26" s="508">
        <v>56315.000003300098</v>
      </c>
      <c r="AA26" s="508">
        <v>66242.0000134</v>
      </c>
      <c r="AB26" s="508">
        <v>69038.0000823999</v>
      </c>
      <c r="AC26" s="508">
        <v>59543.000000000102</v>
      </c>
      <c r="AD26" s="508">
        <v>71181</v>
      </c>
      <c r="AE26" s="731">
        <v>67405</v>
      </c>
      <c r="AF26" s="505">
        <v>89812.176999999996</v>
      </c>
      <c r="AG26" s="505">
        <v>98698.158936000007</v>
      </c>
      <c r="AH26" s="505">
        <v>85491.087571656099</v>
      </c>
      <c r="AI26" s="505">
        <v>69343.458128343307</v>
      </c>
      <c r="AJ26" s="505">
        <v>55425.519017781698</v>
      </c>
      <c r="AK26" s="505">
        <v>53117.458999215902</v>
      </c>
    </row>
    <row r="27" spans="1:106">
      <c r="A27" s="325" t="s">
        <v>386</v>
      </c>
      <c r="I27" s="522"/>
      <c r="J27" s="523"/>
      <c r="K27" s="523"/>
      <c r="L27" s="523"/>
      <c r="M27" s="523"/>
      <c r="N27" s="504"/>
      <c r="O27" s="514">
        <f t="shared" ref="O27:AK27" si="15">O26/O32</f>
        <v>51242.918347365754</v>
      </c>
      <c r="P27" s="514">
        <f t="shared" si="15"/>
        <v>53711.01348537692</v>
      </c>
      <c r="Q27" s="514">
        <f t="shared" si="15"/>
        <v>54878.456450287791</v>
      </c>
      <c r="R27" s="514">
        <f t="shared" si="15"/>
        <v>56910.84874143498</v>
      </c>
      <c r="S27" s="514">
        <f t="shared" si="15"/>
        <v>62966.366561200513</v>
      </c>
      <c r="T27" s="514">
        <f t="shared" si="15"/>
        <v>78135.074957813471</v>
      </c>
      <c r="U27" s="514">
        <f t="shared" si="15"/>
        <v>71123.868451932227</v>
      </c>
      <c r="V27" s="514">
        <f t="shared" si="15"/>
        <v>63841.067203840867</v>
      </c>
      <c r="W27" s="514">
        <f t="shared" si="15"/>
        <v>64546.779980836036</v>
      </c>
      <c r="X27" s="514">
        <f t="shared" si="15"/>
        <v>60305.041604078237</v>
      </c>
      <c r="Y27" s="514">
        <f t="shared" si="15"/>
        <v>54510.553602716689</v>
      </c>
      <c r="Z27" s="514">
        <f t="shared" si="15"/>
        <v>62266.648300788867</v>
      </c>
      <c r="AA27" s="514">
        <f t="shared" si="15"/>
        <v>70290.578570218975</v>
      </c>
      <c r="AB27" s="514">
        <f t="shared" si="15"/>
        <v>73111.242087261489</v>
      </c>
      <c r="AC27" s="514">
        <f t="shared" si="15"/>
        <v>59543.000000000102</v>
      </c>
      <c r="AD27" s="514">
        <f t="shared" si="15"/>
        <v>64475.543478260865</v>
      </c>
      <c r="AE27" s="733">
        <f t="shared" si="15"/>
        <v>57382.757164650749</v>
      </c>
      <c r="AF27" s="514">
        <f t="shared" si="15"/>
        <v>73944.177660164612</v>
      </c>
      <c r="AG27" s="514">
        <f t="shared" si="15"/>
        <v>79666.848921470853</v>
      </c>
      <c r="AH27" s="514">
        <f t="shared" si="15"/>
        <v>66886.18192914041</v>
      </c>
      <c r="AI27" s="514">
        <f t="shared" si="15"/>
        <v>52775.970154642593</v>
      </c>
      <c r="AJ27" s="514">
        <f t="shared" si="15"/>
        <v>41370.6269015629</v>
      </c>
      <c r="AK27" s="514">
        <f t="shared" si="15"/>
        <v>38849.462096827454</v>
      </c>
    </row>
    <row r="28" spans="1:106">
      <c r="I28" s="522"/>
      <c r="J28" s="523"/>
      <c r="K28" s="523"/>
      <c r="L28" s="523"/>
      <c r="M28" s="523"/>
      <c r="N28" s="504"/>
      <c r="O28" s="504"/>
      <c r="P28" s="504"/>
      <c r="Q28" s="504"/>
      <c r="R28" s="504"/>
      <c r="S28" s="523"/>
      <c r="T28" s="524"/>
      <c r="U28" s="524"/>
      <c r="V28" s="524"/>
      <c r="W28" s="524"/>
      <c r="X28" s="525"/>
      <c r="Y28" s="525"/>
      <c r="Z28" s="525"/>
      <c r="AA28" s="525"/>
      <c r="AB28" s="525"/>
      <c r="AC28" s="525"/>
      <c r="AD28" s="525"/>
      <c r="AE28" s="737"/>
      <c r="AF28" s="523"/>
      <c r="AG28" s="523"/>
      <c r="AH28" s="523"/>
      <c r="AI28" s="523"/>
      <c r="AJ28" s="523"/>
      <c r="AK28" s="523"/>
    </row>
    <row r="29" spans="1:106" s="499" customFormat="1">
      <c r="A29" s="498" t="s">
        <v>547</v>
      </c>
      <c r="I29" s="526"/>
      <c r="J29" s="527"/>
      <c r="K29" s="527"/>
      <c r="L29" s="527"/>
      <c r="M29" s="527"/>
      <c r="N29" s="528"/>
      <c r="O29" s="528"/>
      <c r="P29" s="528"/>
      <c r="Q29" s="528"/>
      <c r="R29" s="528"/>
      <c r="S29" s="527"/>
      <c r="T29" s="529"/>
      <c r="U29" s="529"/>
      <c r="V29" s="529"/>
      <c r="W29" s="529"/>
      <c r="X29" s="530"/>
      <c r="Y29" s="530"/>
      <c r="Z29" s="530"/>
      <c r="AA29" s="530"/>
      <c r="AB29" s="527"/>
      <c r="AC29" s="527"/>
      <c r="AD29" s="527"/>
      <c r="AE29" s="738"/>
      <c r="AF29" s="527"/>
      <c r="AG29" s="527"/>
      <c r="AH29" s="527"/>
      <c r="AI29" s="527"/>
      <c r="AJ29" s="527"/>
      <c r="AK29" s="527"/>
    </row>
    <row r="30" spans="1:106">
      <c r="A30" s="489" t="s">
        <v>126</v>
      </c>
      <c r="D30" s="531"/>
      <c r="E30" s="531"/>
      <c r="F30" s="531"/>
      <c r="G30" s="531"/>
      <c r="H30" s="531"/>
      <c r="I30" s="531"/>
      <c r="J30" s="531"/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2"/>
      <c r="W30" s="532"/>
      <c r="X30" s="532"/>
      <c r="Y30" s="532"/>
      <c r="Z30" s="532"/>
      <c r="AA30" s="531"/>
      <c r="AB30" s="531"/>
      <c r="AC30" s="701"/>
      <c r="AD30" s="531"/>
      <c r="AE30" s="739" t="s">
        <v>659</v>
      </c>
      <c r="AF30" s="531"/>
      <c r="AG30" s="531"/>
      <c r="AH30" s="531"/>
      <c r="AI30" s="531"/>
      <c r="AJ30" s="531"/>
      <c r="AK30" s="531"/>
      <c r="AL30" s="531"/>
      <c r="AM30" s="531"/>
      <c r="AN30" s="531"/>
      <c r="AO30" s="531"/>
      <c r="AP30" s="531"/>
      <c r="AQ30" s="531"/>
      <c r="AR30" s="531"/>
      <c r="AS30" s="531"/>
      <c r="AT30" s="531"/>
      <c r="AU30" s="531"/>
      <c r="AV30" s="531"/>
      <c r="AW30" s="531"/>
      <c r="AX30" s="531"/>
      <c r="AY30" s="531"/>
      <c r="AZ30" s="531"/>
      <c r="BA30" s="531"/>
      <c r="BB30" s="531"/>
      <c r="BC30" s="531"/>
      <c r="BD30" s="531"/>
      <c r="BE30" s="531"/>
    </row>
    <row r="31" spans="1:106">
      <c r="A31" s="531" t="s">
        <v>573</v>
      </c>
      <c r="B31" s="533"/>
      <c r="C31" s="534">
        <v>4.5999999999999996</v>
      </c>
      <c r="D31" s="534">
        <v>4.9000000000000004</v>
      </c>
      <c r="E31" s="534">
        <v>4.2</v>
      </c>
      <c r="F31" s="534">
        <v>2.6</v>
      </c>
      <c r="G31" s="534">
        <v>2.7</v>
      </c>
      <c r="H31" s="534">
        <v>6.5</v>
      </c>
      <c r="I31" s="534">
        <v>-0.1</v>
      </c>
      <c r="J31" s="534">
        <v>2.7</v>
      </c>
      <c r="K31" s="534">
        <v>1.7</v>
      </c>
      <c r="L31" s="534">
        <v>3.7</v>
      </c>
      <c r="M31" s="534">
        <v>4.0999999999999996</v>
      </c>
      <c r="N31" s="534">
        <v>6.8</v>
      </c>
      <c r="O31" s="534">
        <v>7.3</v>
      </c>
      <c r="P31" s="534">
        <v>6.2</v>
      </c>
      <c r="Q31" s="534">
        <v>2.2000000000000002</v>
      </c>
      <c r="R31" s="534">
        <v>4.4000000000000004</v>
      </c>
      <c r="S31" s="534">
        <v>2.2999999999999998</v>
      </c>
      <c r="T31" s="534">
        <v>2.5</v>
      </c>
      <c r="U31" s="534">
        <v>4.3</v>
      </c>
      <c r="V31" s="534">
        <v>1.8</v>
      </c>
      <c r="W31" s="534">
        <v>-2.2999999999999998</v>
      </c>
      <c r="X31" s="534">
        <v>-4.3</v>
      </c>
      <c r="Y31" s="534">
        <v>1.4</v>
      </c>
      <c r="Z31" s="719">
        <v>2.2000000000000002</v>
      </c>
      <c r="AA31" s="719">
        <v>4.2</v>
      </c>
      <c r="AB31" s="719">
        <v>0.2</v>
      </c>
      <c r="AC31" s="719">
        <v>5.9</v>
      </c>
      <c r="AD31" s="719">
        <v>10.4</v>
      </c>
      <c r="AE31" s="777">
        <v>6.4</v>
      </c>
      <c r="AF31" s="716">
        <v>3.4</v>
      </c>
      <c r="AG31" s="716">
        <v>2</v>
      </c>
      <c r="AH31" s="720">
        <v>3.1699034994394193</v>
      </c>
      <c r="AI31" s="720">
        <v>2.7980400030448882</v>
      </c>
      <c r="AJ31" s="720">
        <v>1.9643596700442245</v>
      </c>
      <c r="AK31" s="720">
        <v>2.0550769790026902</v>
      </c>
      <c r="AL31" s="534">
        <v>2.195115696922123</v>
      </c>
      <c r="AM31" s="534">
        <v>2.2458922575121498</v>
      </c>
      <c r="AN31" s="534">
        <v>2.1835748640399943</v>
      </c>
      <c r="AO31" s="534">
        <v>2.1542670567028965</v>
      </c>
      <c r="AP31" s="534">
        <v>2.1379694684519057</v>
      </c>
      <c r="AQ31" s="534">
        <v>2.0910823148909241</v>
      </c>
      <c r="AR31" s="534">
        <v>2.0540013765595999</v>
      </c>
      <c r="AS31" s="534">
        <v>2.107298799867996</v>
      </c>
      <c r="AT31" s="534">
        <v>2</v>
      </c>
      <c r="AU31" s="534">
        <v>2</v>
      </c>
      <c r="AV31" s="534">
        <v>2</v>
      </c>
      <c r="AW31" s="534">
        <v>2</v>
      </c>
      <c r="AX31" s="534">
        <v>2</v>
      </c>
      <c r="AY31" s="534">
        <v>2</v>
      </c>
      <c r="AZ31" s="534">
        <v>2</v>
      </c>
      <c r="BA31" s="534">
        <v>2</v>
      </c>
      <c r="BB31" s="534">
        <v>2</v>
      </c>
      <c r="BC31" s="534">
        <v>2</v>
      </c>
      <c r="BD31" s="534">
        <v>2</v>
      </c>
      <c r="BE31" s="534">
        <v>2</v>
      </c>
      <c r="BF31" s="534">
        <v>2</v>
      </c>
      <c r="BG31" s="534">
        <v>2</v>
      </c>
      <c r="BH31" s="534">
        <v>2</v>
      </c>
      <c r="BI31" s="534">
        <v>2</v>
      </c>
      <c r="BJ31" s="534">
        <v>2</v>
      </c>
      <c r="BK31" s="534">
        <v>2</v>
      </c>
      <c r="BL31" s="534">
        <v>2</v>
      </c>
      <c r="BM31" s="534">
        <v>2</v>
      </c>
      <c r="BN31" s="534">
        <v>2</v>
      </c>
      <c r="BO31" s="534">
        <v>2</v>
      </c>
      <c r="BP31" s="534">
        <v>2</v>
      </c>
      <c r="BQ31" s="534">
        <v>2</v>
      </c>
      <c r="BR31" s="534">
        <v>2</v>
      </c>
      <c r="BS31" s="534">
        <v>2</v>
      </c>
      <c r="BT31" s="534">
        <v>2</v>
      </c>
      <c r="BU31" s="534">
        <v>2</v>
      </c>
      <c r="BV31" s="534">
        <v>2</v>
      </c>
      <c r="BW31" s="534">
        <v>2</v>
      </c>
      <c r="BX31" s="534">
        <v>2</v>
      </c>
      <c r="BY31" s="534">
        <v>2</v>
      </c>
      <c r="BZ31" s="534">
        <v>2</v>
      </c>
      <c r="CA31" s="534">
        <v>2</v>
      </c>
      <c r="CB31" s="534">
        <v>2</v>
      </c>
      <c r="CC31" s="534">
        <v>2</v>
      </c>
      <c r="CD31" s="534">
        <v>2</v>
      </c>
      <c r="CE31" s="534">
        <v>2</v>
      </c>
      <c r="CF31" s="534">
        <v>2</v>
      </c>
      <c r="CG31" s="534">
        <v>2</v>
      </c>
      <c r="CH31" s="534">
        <v>2</v>
      </c>
      <c r="CI31" s="534">
        <v>2</v>
      </c>
      <c r="CJ31" s="534">
        <v>2</v>
      </c>
      <c r="CK31" s="534">
        <v>2</v>
      </c>
      <c r="CL31" s="534">
        <v>2</v>
      </c>
      <c r="CM31" s="534">
        <v>2</v>
      </c>
      <c r="CN31" s="534">
        <v>2</v>
      </c>
      <c r="CO31" s="534">
        <v>2</v>
      </c>
      <c r="CP31" s="534">
        <v>2</v>
      </c>
      <c r="CQ31" s="534">
        <v>2</v>
      </c>
      <c r="CR31" s="534">
        <v>2</v>
      </c>
      <c r="CS31" s="534">
        <v>2</v>
      </c>
      <c r="CT31" s="535"/>
      <c r="CU31" s="535"/>
      <c r="CV31" s="535"/>
      <c r="CW31" s="535"/>
      <c r="CX31" s="535"/>
      <c r="CY31" s="535"/>
      <c r="CZ31" s="535"/>
      <c r="DA31" s="535"/>
      <c r="DB31" s="535"/>
    </row>
    <row r="32" spans="1:106">
      <c r="A32" s="325" t="s">
        <v>524</v>
      </c>
      <c r="B32" s="493"/>
      <c r="C32" s="536">
        <f t="shared" ref="C32:I32" si="16">D32/(1+D31/100)</f>
        <v>0.46730215709185818</v>
      </c>
      <c r="D32" s="536">
        <f t="shared" si="16"/>
        <v>0.49019996278935918</v>
      </c>
      <c r="E32" s="536">
        <f t="shared" si="16"/>
        <v>0.51078836122651228</v>
      </c>
      <c r="F32" s="536">
        <f t="shared" si="16"/>
        <v>0.52406885861840158</v>
      </c>
      <c r="G32" s="536">
        <f t="shared" si="16"/>
        <v>0.53821871780109842</v>
      </c>
      <c r="H32" s="536">
        <f t="shared" si="16"/>
        <v>0.57320293445816983</v>
      </c>
      <c r="I32" s="536">
        <f t="shared" si="16"/>
        <v>0.57262973152371166</v>
      </c>
      <c r="J32" s="536">
        <f t="shared" ref="J32:O32" si="17">K32/(1+K31/100)</f>
        <v>0.58809073427485181</v>
      </c>
      <c r="K32" s="536">
        <f t="shared" si="17"/>
        <v>0.59808827675752418</v>
      </c>
      <c r="L32" s="536">
        <f t="shared" si="17"/>
        <v>0.6202175429975525</v>
      </c>
      <c r="M32" s="536">
        <f t="shared" si="17"/>
        <v>0.64564646226045208</v>
      </c>
      <c r="N32" s="536">
        <f t="shared" si="17"/>
        <v>0.68955042169416281</v>
      </c>
      <c r="O32" s="536">
        <f t="shared" si="17"/>
        <v>0.73988760247783669</v>
      </c>
      <c r="P32" s="536">
        <f t="shared" ref="P32:AB32" si="18">Q32/(1+Q31/100)</f>
        <v>0.78576063383146255</v>
      </c>
      <c r="Q32" s="536">
        <f t="shared" si="18"/>
        <v>0.80304736777575469</v>
      </c>
      <c r="R32" s="536">
        <f t="shared" si="18"/>
        <v>0.83838145195788794</v>
      </c>
      <c r="S32" s="536">
        <f t="shared" si="18"/>
        <v>0.85766422535291931</v>
      </c>
      <c r="T32" s="536">
        <f t="shared" si="18"/>
        <v>0.87910583098674222</v>
      </c>
      <c r="U32" s="536">
        <f t="shared" si="18"/>
        <v>0.91690738171917208</v>
      </c>
      <c r="V32" s="536">
        <f t="shared" si="18"/>
        <v>0.93341171459011718</v>
      </c>
      <c r="W32" s="536">
        <f t="shared" si="18"/>
        <v>0.9119432451545445</v>
      </c>
      <c r="X32" s="536">
        <f t="shared" si="18"/>
        <v>0.8727296856128991</v>
      </c>
      <c r="Y32" s="536">
        <f t="shared" si="18"/>
        <v>0.8849479012114797</v>
      </c>
      <c r="Z32" s="536">
        <f t="shared" si="18"/>
        <v>0.90441675503813224</v>
      </c>
      <c r="AA32" s="536">
        <f t="shared" si="18"/>
        <v>0.94240225874973382</v>
      </c>
      <c r="AB32" s="536">
        <f t="shared" si="18"/>
        <v>0.94428706326723333</v>
      </c>
      <c r="AC32" s="537">
        <v>1</v>
      </c>
      <c r="AD32" s="536">
        <f t="shared" ref="AD32:BV32" si="19">AC32*(1+AD31/100)</f>
        <v>1.1040000000000001</v>
      </c>
      <c r="AE32" s="740">
        <f t="shared" si="19"/>
        <v>1.1746560000000001</v>
      </c>
      <c r="AF32" s="536">
        <f t="shared" si="19"/>
        <v>1.2145943040000002</v>
      </c>
      <c r="AG32" s="536">
        <f t="shared" si="19"/>
        <v>1.2388861900800003</v>
      </c>
      <c r="AH32" s="536">
        <f t="shared" si="19"/>
        <v>1.2781576867734179</v>
      </c>
      <c r="AI32" s="536">
        <f t="shared" si="19"/>
        <v>1.3139210501513312</v>
      </c>
      <c r="AJ32" s="536">
        <f t="shared" si="19"/>
        <v>1.3397311853567255</v>
      </c>
      <c r="AK32" s="536">
        <f t="shared" si="19"/>
        <v>1.3672636925275115</v>
      </c>
      <c r="AL32" s="536">
        <f t="shared" si="19"/>
        <v>1.3972767124604999</v>
      </c>
      <c r="AM32" s="536">
        <f t="shared" si="19"/>
        <v>1.4286580419616706</v>
      </c>
      <c r="AN32" s="536">
        <f t="shared" si="19"/>
        <v>1.4598538598590316</v>
      </c>
      <c r="AO32" s="536">
        <f t="shared" si="19"/>
        <v>1.4913030106379803</v>
      </c>
      <c r="AP32" s="536">
        <f t="shared" si="19"/>
        <v>1.5231866136875245</v>
      </c>
      <c r="AQ32" s="536">
        <f t="shared" si="19"/>
        <v>1.5550376995891302</v>
      </c>
      <c r="AR32" s="536">
        <f t="shared" si="19"/>
        <v>1.5869781953447117</v>
      </c>
      <c r="AS32" s="536">
        <f t="shared" si="19"/>
        <v>1.6204205678093777</v>
      </c>
      <c r="AT32" s="536">
        <f t="shared" si="19"/>
        <v>1.6528289791655653</v>
      </c>
      <c r="AU32" s="536">
        <f t="shared" si="19"/>
        <v>1.6858855587488766</v>
      </c>
      <c r="AV32" s="536">
        <f t="shared" si="19"/>
        <v>1.7196032699238541</v>
      </c>
      <c r="AW32" s="536">
        <f t="shared" si="19"/>
        <v>1.7539953353223312</v>
      </c>
      <c r="AX32" s="536">
        <f t="shared" si="19"/>
        <v>1.7890752420287779</v>
      </c>
      <c r="AY32" s="536">
        <f t="shared" si="19"/>
        <v>1.8248567468693535</v>
      </c>
      <c r="AZ32" s="536">
        <f t="shared" si="19"/>
        <v>1.8613538818067406</v>
      </c>
      <c r="BA32" s="536">
        <f t="shared" si="19"/>
        <v>1.8985809594428753</v>
      </c>
      <c r="BB32" s="536">
        <f t="shared" si="19"/>
        <v>1.9365525786317328</v>
      </c>
      <c r="BC32" s="536">
        <f t="shared" si="19"/>
        <v>1.9752836302043675</v>
      </c>
      <c r="BD32" s="536">
        <f t="shared" si="19"/>
        <v>2.0147893028084547</v>
      </c>
      <c r="BE32" s="536">
        <f t="shared" si="19"/>
        <v>2.0550850888646237</v>
      </c>
      <c r="BF32" s="536">
        <f t="shared" si="19"/>
        <v>2.0961867906419163</v>
      </c>
      <c r="BG32" s="536">
        <f t="shared" si="19"/>
        <v>2.1381105264547546</v>
      </c>
      <c r="BH32" s="536">
        <f t="shared" si="19"/>
        <v>2.1808727369838499</v>
      </c>
      <c r="BI32" s="536">
        <f t="shared" si="19"/>
        <v>2.2244901917235267</v>
      </c>
      <c r="BJ32" s="536">
        <f t="shared" si="19"/>
        <v>2.2689799955579972</v>
      </c>
      <c r="BK32" s="536">
        <f t="shared" si="19"/>
        <v>2.3143595954691571</v>
      </c>
      <c r="BL32" s="536">
        <f t="shared" si="19"/>
        <v>2.3606467873785402</v>
      </c>
      <c r="BM32" s="536">
        <f t="shared" si="19"/>
        <v>2.4078597231261112</v>
      </c>
      <c r="BN32" s="536">
        <f t="shared" si="19"/>
        <v>2.4560169175886335</v>
      </c>
      <c r="BO32" s="536">
        <f t="shared" si="19"/>
        <v>2.5051372559404061</v>
      </c>
      <c r="BP32" s="536">
        <f t="shared" si="19"/>
        <v>2.5552400010592144</v>
      </c>
      <c r="BQ32" s="536">
        <f t="shared" si="19"/>
        <v>2.6063448010803989</v>
      </c>
      <c r="BR32" s="536">
        <f t="shared" si="19"/>
        <v>2.6584716971020068</v>
      </c>
      <c r="BS32" s="536">
        <f t="shared" si="19"/>
        <v>2.7116411310440469</v>
      </c>
      <c r="BT32" s="536">
        <f t="shared" si="19"/>
        <v>2.7658739536649279</v>
      </c>
      <c r="BU32" s="536">
        <f t="shared" si="19"/>
        <v>2.8211914327382264</v>
      </c>
      <c r="BV32" s="536">
        <f t="shared" si="19"/>
        <v>2.8776152613929908</v>
      </c>
      <c r="BW32" s="536">
        <f>BV32*(1+BW31/100)</f>
        <v>2.9351675666208505</v>
      </c>
      <c r="BX32" s="536">
        <f>BW32*(1+BX31/100)</f>
        <v>2.9938709179532674</v>
      </c>
      <c r="BY32" s="536">
        <f>BX32*(1+BY31/100)</f>
        <v>3.0537483363123328</v>
      </c>
      <c r="BZ32" s="536">
        <f t="shared" ref="BZ32:CN32" si="20">BY32*(1+BZ31/100)</f>
        <v>3.1148233030385795</v>
      </c>
      <c r="CA32" s="536">
        <f t="shared" si="20"/>
        <v>3.1771197690993511</v>
      </c>
      <c r="CB32" s="536">
        <f t="shared" si="20"/>
        <v>3.2406621644813383</v>
      </c>
      <c r="CC32" s="536">
        <f t="shared" si="20"/>
        <v>3.3054754077709649</v>
      </c>
      <c r="CD32" s="536">
        <f t="shared" si="20"/>
        <v>3.3715849159263844</v>
      </c>
      <c r="CE32" s="536">
        <f t="shared" si="20"/>
        <v>3.4390166142449123</v>
      </c>
      <c r="CF32" s="536">
        <f t="shared" si="20"/>
        <v>3.5077969465298104</v>
      </c>
      <c r="CG32" s="536">
        <f t="shared" si="20"/>
        <v>3.5779528854604066</v>
      </c>
      <c r="CH32" s="536">
        <f t="shared" si="20"/>
        <v>3.6495119431696148</v>
      </c>
      <c r="CI32" s="536">
        <f t="shared" si="20"/>
        <v>3.7225021820330073</v>
      </c>
      <c r="CJ32" s="536">
        <f t="shared" si="20"/>
        <v>3.7969522256736674</v>
      </c>
      <c r="CK32" s="536">
        <f t="shared" si="20"/>
        <v>3.8728912701871407</v>
      </c>
      <c r="CL32" s="536">
        <f t="shared" si="20"/>
        <v>3.9503490955908838</v>
      </c>
      <c r="CM32" s="536">
        <f t="shared" si="20"/>
        <v>4.0293560775027011</v>
      </c>
      <c r="CN32" s="536">
        <f t="shared" si="20"/>
        <v>4.1099431990527551</v>
      </c>
      <c r="CO32" s="536">
        <f t="shared" ref="CO32" si="21">CN32*(1+CO31/100)</f>
        <v>4.1921420630338107</v>
      </c>
      <c r="CP32" s="536">
        <f t="shared" ref="CP32" si="22">CO32*(1+CP31/100)</f>
        <v>4.2759849042944866</v>
      </c>
      <c r="CQ32" s="536">
        <f t="shared" ref="CQ32" si="23">CP32*(1+CQ31/100)</f>
        <v>4.3615046023803767</v>
      </c>
      <c r="CR32" s="536">
        <f t="shared" ref="CR32" si="24">CQ32*(1+CR31/100)</f>
        <v>4.4487346944279844</v>
      </c>
      <c r="CS32" s="536">
        <f t="shared" ref="CS32" si="25">CR32*(1+CS31/100)</f>
        <v>4.5377093883165438</v>
      </c>
      <c r="CT32" s="536"/>
      <c r="CU32" s="536"/>
      <c r="CV32" s="536"/>
      <c r="CW32" s="536"/>
      <c r="CX32" s="536"/>
      <c r="CY32" s="536"/>
      <c r="CZ32" s="536"/>
      <c r="DA32" s="536"/>
      <c r="DB32" s="536"/>
    </row>
    <row r="33" spans="1:67">
      <c r="B33" s="493"/>
      <c r="C33" s="536"/>
      <c r="D33" s="536"/>
      <c r="E33" s="536"/>
      <c r="F33" s="536"/>
      <c r="G33" s="536"/>
      <c r="H33" s="536"/>
      <c r="I33" s="536"/>
      <c r="J33" s="536"/>
      <c r="K33" s="536"/>
      <c r="L33" s="536"/>
      <c r="M33" s="536"/>
      <c r="N33" s="536"/>
      <c r="O33" s="536"/>
      <c r="P33" s="536"/>
      <c r="Q33" s="536"/>
      <c r="R33" s="536"/>
      <c r="S33" s="536"/>
      <c r="T33" s="536"/>
      <c r="U33" s="32"/>
      <c r="V33" s="32"/>
      <c r="W33" s="536"/>
      <c r="X33" s="536"/>
      <c r="Y33" s="536"/>
      <c r="Z33" s="536"/>
      <c r="AA33" s="536"/>
      <c r="AB33" s="536"/>
      <c r="AC33" s="536"/>
      <c r="AD33" s="536"/>
      <c r="AE33" s="740"/>
      <c r="AF33" s="536"/>
      <c r="AG33" s="536"/>
      <c r="AH33" s="536"/>
      <c r="AI33" s="536"/>
      <c r="AJ33" s="536"/>
      <c r="AK33" s="536"/>
    </row>
    <row r="34" spans="1:67" s="498" customFormat="1">
      <c r="A34" s="498" t="s">
        <v>527</v>
      </c>
      <c r="B34" s="538"/>
      <c r="C34" s="539"/>
      <c r="D34" s="539"/>
      <c r="E34" s="539"/>
      <c r="F34" s="539"/>
      <c r="G34" s="539"/>
      <c r="H34" s="539"/>
      <c r="I34" s="539"/>
      <c r="J34" s="539"/>
      <c r="K34" s="539"/>
      <c r="L34" s="539"/>
      <c r="M34" s="539"/>
      <c r="N34" s="539"/>
      <c r="O34" s="539"/>
      <c r="P34" s="539"/>
      <c r="Q34" s="539"/>
      <c r="R34" s="539"/>
      <c r="S34" s="539"/>
      <c r="T34" s="539"/>
      <c r="U34" s="323"/>
      <c r="V34" s="323"/>
      <c r="W34" s="539"/>
      <c r="X34" s="539"/>
      <c r="Y34" s="539"/>
      <c r="Z34" s="539"/>
      <c r="AA34" s="539"/>
      <c r="AB34" s="539"/>
      <c r="AC34" s="539"/>
      <c r="AD34" s="539"/>
      <c r="AE34" s="741"/>
      <c r="AF34" s="539"/>
      <c r="AG34" s="539"/>
      <c r="AH34" s="539"/>
      <c r="AI34" s="539"/>
      <c r="AJ34" s="539"/>
      <c r="AK34" s="539"/>
    </row>
    <row r="35" spans="1:67">
      <c r="A35" s="489" t="s">
        <v>610</v>
      </c>
      <c r="B35" s="493"/>
      <c r="C35" s="536"/>
      <c r="D35" s="487"/>
      <c r="E35" s="487"/>
      <c r="F35" s="487"/>
      <c r="G35" s="487"/>
      <c r="H35" s="487"/>
      <c r="I35" s="487"/>
      <c r="J35" s="487"/>
      <c r="K35" s="487"/>
      <c r="L35" s="487"/>
      <c r="M35" s="487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742"/>
      <c r="AF35" s="487"/>
      <c r="AG35" s="487"/>
      <c r="AH35" s="487"/>
      <c r="AI35" s="487"/>
      <c r="AJ35" s="487"/>
      <c r="AK35" s="487"/>
    </row>
    <row r="36" spans="1:67">
      <c r="A36" s="325" t="s">
        <v>489</v>
      </c>
      <c r="B36" s="493"/>
      <c r="C36" s="536"/>
      <c r="D36" s="514">
        <f t="shared" ref="D36:AJ36" si="26">D12/D$32</f>
        <v>92107.310133357882</v>
      </c>
      <c r="E36" s="514">
        <f t="shared" si="26"/>
        <v>106738.92386483395</v>
      </c>
      <c r="F36" s="514">
        <f t="shared" si="26"/>
        <v>106714.98426263536</v>
      </c>
      <c r="G36" s="514">
        <f t="shared" si="26"/>
        <v>91106.084530715161</v>
      </c>
      <c r="H36" s="514">
        <f t="shared" si="26"/>
        <v>83284.639924473056</v>
      </c>
      <c r="I36" s="514">
        <f t="shared" si="26"/>
        <v>83729.498069232955</v>
      </c>
      <c r="J36" s="514">
        <f t="shared" si="26"/>
        <v>83604.44593745489</v>
      </c>
      <c r="K36" s="514">
        <f t="shared" si="26"/>
        <v>78759.276565952852</v>
      </c>
      <c r="L36" s="514">
        <f t="shared" si="26"/>
        <v>91711.369086869672</v>
      </c>
      <c r="M36" s="514">
        <f t="shared" si="26"/>
        <v>91107.135930175602</v>
      </c>
      <c r="N36" s="514">
        <f t="shared" si="26"/>
        <v>109684.50982043718</v>
      </c>
      <c r="O36" s="514">
        <f t="shared" si="26"/>
        <v>123567.41712365516</v>
      </c>
      <c r="P36" s="514">
        <f t="shared" si="26"/>
        <v>130403.58041400416</v>
      </c>
      <c r="Q36" s="514">
        <f t="shared" si="26"/>
        <v>116895.96873968383</v>
      </c>
      <c r="R36" s="514">
        <f t="shared" si="26"/>
        <v>129244.27150308991</v>
      </c>
      <c r="S36" s="514">
        <f t="shared" si="26"/>
        <v>161813.90793453317</v>
      </c>
      <c r="T36" s="514">
        <f t="shared" si="26"/>
        <v>186225.58767042114</v>
      </c>
      <c r="U36" s="514">
        <f t="shared" si="26"/>
        <v>167423.67120239549</v>
      </c>
      <c r="V36" s="514">
        <f t="shared" si="26"/>
        <v>142503.03260700937</v>
      </c>
      <c r="W36" s="514">
        <f t="shared" si="26"/>
        <v>137923.05680019018</v>
      </c>
      <c r="X36" s="514">
        <f t="shared" si="26"/>
        <v>129360.78818118223</v>
      </c>
      <c r="Y36" s="514">
        <f t="shared" si="26"/>
        <v>130843.86080613933</v>
      </c>
      <c r="Z36" s="514">
        <f t="shared" si="26"/>
        <v>155472.57303528336</v>
      </c>
      <c r="AA36" s="514">
        <f t="shared" si="26"/>
        <v>147358.59217659078</v>
      </c>
      <c r="AB36" s="514">
        <f t="shared" si="26"/>
        <v>145145.48108662621</v>
      </c>
      <c r="AC36" s="514">
        <f t="shared" si="26"/>
        <v>134301</v>
      </c>
      <c r="AD36" s="514">
        <f t="shared" si="26"/>
        <v>161736.41304347824</v>
      </c>
      <c r="AE36" s="733">
        <f t="shared" si="26"/>
        <v>164582.65228288108</v>
      </c>
      <c r="AF36" s="514">
        <f t="shared" si="26"/>
        <v>171461.43886411635</v>
      </c>
      <c r="AG36" s="514">
        <f t="shared" si="26"/>
        <v>125933.63424442182</v>
      </c>
      <c r="AH36" s="514">
        <f t="shared" si="26"/>
        <v>82516.189717255678</v>
      </c>
      <c r="AI36" s="514">
        <f t="shared" si="26"/>
        <v>48771.864919482636</v>
      </c>
      <c r="AJ36" s="514">
        <f t="shared" si="26"/>
        <v>33781.072602597313</v>
      </c>
      <c r="AK36" s="514">
        <f t="shared" ref="AK36:BE36" si="27">AK12/AK$32</f>
        <v>26869.640278723247</v>
      </c>
      <c r="AL36" s="514">
        <f t="shared" si="27"/>
        <v>28244.597457333108</v>
      </c>
      <c r="AM36" s="514">
        <f t="shared" si="27"/>
        <v>30125.018595517606</v>
      </c>
      <c r="AN36" s="514">
        <f t="shared" si="27"/>
        <v>29846.557160580251</v>
      </c>
      <c r="AO36" s="514">
        <f t="shared" si="27"/>
        <v>27210.884003274419</v>
      </c>
      <c r="AP36" s="514">
        <f t="shared" si="27"/>
        <v>18615.320747548947</v>
      </c>
      <c r="AQ36" s="514">
        <f t="shared" si="27"/>
        <v>18412.601012892217</v>
      </c>
      <c r="AR36" s="514">
        <f t="shared" si="27"/>
        <v>17797.484511647872</v>
      </c>
      <c r="AS36" s="514">
        <f t="shared" si="27"/>
        <v>16993.204186362429</v>
      </c>
      <c r="AT36" s="514">
        <f t="shared" si="27"/>
        <v>12793.224064539037</v>
      </c>
      <c r="AU36" s="514">
        <f t="shared" si="27"/>
        <v>12725.201475167209</v>
      </c>
      <c r="AV36" s="514">
        <f t="shared" si="27"/>
        <v>12395.043053582021</v>
      </c>
      <c r="AW36" s="514">
        <f t="shared" si="27"/>
        <v>11147.409219250141</v>
      </c>
      <c r="AX36" s="514">
        <f t="shared" si="27"/>
        <v>10078.956839848857</v>
      </c>
      <c r="AY36" s="514">
        <f t="shared" si="27"/>
        <v>9251.0721545674387</v>
      </c>
      <c r="AZ36" s="514">
        <f t="shared" si="27"/>
        <v>6478.7368657793886</v>
      </c>
      <c r="BA36" s="514">
        <f t="shared" si="27"/>
        <v>5138.1941288908511</v>
      </c>
      <c r="BB36" s="514">
        <f t="shared" si="27"/>
        <v>4609.7747456000052</v>
      </c>
      <c r="BC36" s="514">
        <f t="shared" si="27"/>
        <v>4316.9457937920524</v>
      </c>
      <c r="BD36" s="514">
        <f t="shared" si="27"/>
        <v>3734.6060652674541</v>
      </c>
      <c r="BE36" s="514">
        <f t="shared" si="27"/>
        <v>3162.2208620167794</v>
      </c>
      <c r="BF36" s="514">
        <f t="shared" ref="BF36:BO36" si="28">BF12/BF$32</f>
        <v>3074.289222097108</v>
      </c>
      <c r="BG36" s="514">
        <f t="shared" si="28"/>
        <v>2826.2556340218152</v>
      </c>
      <c r="BH36" s="514">
        <f t="shared" si="28"/>
        <v>2664.4945983205403</v>
      </c>
      <c r="BI36" s="514">
        <f t="shared" si="28"/>
        <v>2394.8928721517395</v>
      </c>
      <c r="BJ36" s="514">
        <f t="shared" si="28"/>
        <v>1620.0989883312609</v>
      </c>
      <c r="BK36" s="514">
        <f t="shared" si="28"/>
        <v>1391.9744508038195</v>
      </c>
      <c r="BL36" s="514">
        <f t="shared" si="28"/>
        <v>1299.0655482471852</v>
      </c>
      <c r="BM36" s="514">
        <f t="shared" si="28"/>
        <v>1031.1229096240436</v>
      </c>
      <c r="BN36" s="514">
        <f t="shared" si="28"/>
        <v>962.27077647939711</v>
      </c>
      <c r="BO36" s="514">
        <f t="shared" si="28"/>
        <v>895.9072746532338</v>
      </c>
    </row>
    <row r="37" spans="1:67">
      <c r="A37" s="325" t="s">
        <v>490</v>
      </c>
      <c r="B37" s="493"/>
      <c r="C37" s="536"/>
      <c r="D37" s="514">
        <f t="shared" ref="D37:AJ37" si="29">D13/D$32</f>
        <v>0</v>
      </c>
      <c r="E37" s="514">
        <f t="shared" si="29"/>
        <v>0</v>
      </c>
      <c r="F37" s="514">
        <f t="shared" si="29"/>
        <v>0</v>
      </c>
      <c r="G37" s="514">
        <f t="shared" si="29"/>
        <v>0</v>
      </c>
      <c r="H37" s="514">
        <f t="shared" si="29"/>
        <v>912.41682231507582</v>
      </c>
      <c r="I37" s="514">
        <f t="shared" si="29"/>
        <v>956.98838155298995</v>
      </c>
      <c r="J37" s="514">
        <f t="shared" si="29"/>
        <v>2353.3783468065485</v>
      </c>
      <c r="K37" s="514">
        <f t="shared" si="29"/>
        <v>409.63852581803309</v>
      </c>
      <c r="L37" s="514">
        <f t="shared" si="29"/>
        <v>1636.5225580276845</v>
      </c>
      <c r="M37" s="514">
        <f t="shared" si="29"/>
        <v>472.39475135072263</v>
      </c>
      <c r="N37" s="514">
        <f t="shared" si="29"/>
        <v>2716.2625691652961</v>
      </c>
      <c r="O37" s="514">
        <f t="shared" si="29"/>
        <v>160.83523984112796</v>
      </c>
      <c r="P37" s="514">
        <f t="shared" si="29"/>
        <v>806.86149534946844</v>
      </c>
      <c r="Q37" s="514">
        <f t="shared" si="29"/>
        <v>2124.4076855954386</v>
      </c>
      <c r="R37" s="514">
        <f t="shared" si="29"/>
        <v>2020.5599683103319</v>
      </c>
      <c r="S37" s="514">
        <f t="shared" si="29"/>
        <v>3265.8468398252471</v>
      </c>
      <c r="T37" s="514">
        <f t="shared" si="29"/>
        <v>2472.9673304064186</v>
      </c>
      <c r="U37" s="514">
        <f t="shared" si="29"/>
        <v>2375.3762303847084</v>
      </c>
      <c r="V37" s="514">
        <f t="shared" si="29"/>
        <v>197.12630249214163</v>
      </c>
      <c r="W37" s="514">
        <f t="shared" si="29"/>
        <v>209.44285843976152</v>
      </c>
      <c r="X37" s="514">
        <f t="shared" si="29"/>
        <v>316.24912564555564</v>
      </c>
      <c r="Y37" s="514">
        <f t="shared" si="29"/>
        <v>1026.0491027290559</v>
      </c>
      <c r="Z37" s="514">
        <f t="shared" si="29"/>
        <v>497.55823163739046</v>
      </c>
      <c r="AA37" s="514">
        <f t="shared" si="29"/>
        <v>596.34831599999995</v>
      </c>
      <c r="AB37" s="514">
        <f t="shared" si="29"/>
        <v>28.593000635399996</v>
      </c>
      <c r="AC37" s="514">
        <f t="shared" si="29"/>
        <v>80</v>
      </c>
      <c r="AD37" s="514">
        <f t="shared" si="29"/>
        <v>178.44202898550722</v>
      </c>
      <c r="AE37" s="733">
        <f t="shared" si="29"/>
        <v>1517.0398823144817</v>
      </c>
      <c r="AF37" s="514">
        <f t="shared" si="29"/>
        <v>10531.323058139418</v>
      </c>
      <c r="AG37" s="514">
        <f t="shared" si="29"/>
        <v>44109.857355396947</v>
      </c>
      <c r="AH37" s="514">
        <f t="shared" si="29"/>
        <v>66178.226059306879</v>
      </c>
      <c r="AI37" s="514">
        <f t="shared" si="29"/>
        <v>82330.479870877956</v>
      </c>
      <c r="AJ37" s="514">
        <f t="shared" si="29"/>
        <v>92072.879470493368</v>
      </c>
      <c r="AK37" s="514">
        <f t="shared" ref="AK37:BE37" si="30">AK13/AK$32</f>
        <v>93679.571845528058</v>
      </c>
      <c r="AL37" s="514">
        <f t="shared" si="30"/>
        <v>86953.160296741626</v>
      </c>
      <c r="AM37" s="514">
        <f t="shared" si="30"/>
        <v>82545.742497632571</v>
      </c>
      <c r="AN37" s="514">
        <f t="shared" si="30"/>
        <v>81201.516835169954</v>
      </c>
      <c r="AO37" s="514">
        <f t="shared" si="30"/>
        <v>75881.035404546914</v>
      </c>
      <c r="AP37" s="514">
        <f t="shared" si="30"/>
        <v>76525.309172702779</v>
      </c>
      <c r="AQ37" s="514">
        <f t="shared" si="30"/>
        <v>72193.082532836954</v>
      </c>
      <c r="AR37" s="514">
        <f t="shared" si="30"/>
        <v>69451.04608282751</v>
      </c>
      <c r="AS37" s="514">
        <f t="shared" si="30"/>
        <v>68162.782269427073</v>
      </c>
      <c r="AT37" s="514">
        <f t="shared" si="30"/>
        <v>69642.688360150409</v>
      </c>
      <c r="AU37" s="514">
        <f t="shared" si="30"/>
        <v>68116.327818149133</v>
      </c>
      <c r="AV37" s="514">
        <f t="shared" si="30"/>
        <v>67694.090037779824</v>
      </c>
      <c r="AW37" s="514">
        <f t="shared" si="30"/>
        <v>67586.249347312449</v>
      </c>
      <c r="AX37" s="514">
        <f t="shared" si="30"/>
        <v>68075.680173280227</v>
      </c>
      <c r="AY37" s="514">
        <f t="shared" si="30"/>
        <v>65947.900395978795</v>
      </c>
      <c r="AZ37" s="514">
        <f t="shared" si="30"/>
        <v>65962.83218388987</v>
      </c>
      <c r="BA37" s="514">
        <f t="shared" si="30"/>
        <v>64329.460495193489</v>
      </c>
      <c r="BB37" s="514">
        <f t="shared" si="30"/>
        <v>63818.46153113163</v>
      </c>
      <c r="BC37" s="514">
        <f t="shared" si="30"/>
        <v>62156.885354159065</v>
      </c>
      <c r="BD37" s="514">
        <f t="shared" si="30"/>
        <v>61022.899016704599</v>
      </c>
      <c r="BE37" s="514">
        <f t="shared" si="30"/>
        <v>59338.925157865851</v>
      </c>
      <c r="BF37" s="514">
        <f t="shared" ref="BF37:BO37" si="31">BF13/BF$32</f>
        <v>56911.680078573758</v>
      </c>
      <c r="BG37" s="514">
        <f t="shared" si="31"/>
        <v>54386.548834087946</v>
      </c>
      <c r="BH37" s="514">
        <f t="shared" si="31"/>
        <v>52827.836084946284</v>
      </c>
      <c r="BI37" s="514">
        <f t="shared" si="31"/>
        <v>51563.611375157707</v>
      </c>
      <c r="BJ37" s="514">
        <f t="shared" si="31"/>
        <v>49941.853299280665</v>
      </c>
      <c r="BK37" s="514">
        <f t="shared" si="31"/>
        <v>47834.812116299909</v>
      </c>
      <c r="BL37" s="514">
        <f t="shared" si="31"/>
        <v>45259.908245444894</v>
      </c>
      <c r="BM37" s="514">
        <f t="shared" si="31"/>
        <v>43771.706716992951</v>
      </c>
      <c r="BN37" s="514">
        <f t="shared" si="31"/>
        <v>41380.132019932367</v>
      </c>
      <c r="BO37" s="514">
        <f t="shared" si="31"/>
        <v>39746.760331236103</v>
      </c>
    </row>
    <row r="38" spans="1:67">
      <c r="A38" s="325" t="s">
        <v>491</v>
      </c>
      <c r="B38" s="493"/>
      <c r="C38" s="536"/>
      <c r="D38" s="514">
        <f t="shared" ref="D38:AJ38" si="32">D14/D$32</f>
        <v>16650.348061138557</v>
      </c>
      <c r="E38" s="514">
        <f t="shared" si="32"/>
        <v>15562.21833424855</v>
      </c>
      <c r="F38" s="514">
        <f t="shared" si="32"/>
        <v>12490.725011322302</v>
      </c>
      <c r="G38" s="514">
        <f t="shared" si="32"/>
        <v>3504.1516350551401</v>
      </c>
      <c r="H38" s="514">
        <f t="shared" si="32"/>
        <v>3133.2707703209871</v>
      </c>
      <c r="I38" s="514">
        <f t="shared" si="32"/>
        <v>1620.5934636517786</v>
      </c>
      <c r="J38" s="514">
        <f t="shared" si="32"/>
        <v>1768.4345958661925</v>
      </c>
      <c r="K38" s="514">
        <f t="shared" si="32"/>
        <v>9958.3961623355317</v>
      </c>
      <c r="L38" s="514">
        <f t="shared" si="32"/>
        <v>13922.534274452271</v>
      </c>
      <c r="M38" s="514">
        <f t="shared" si="32"/>
        <v>7991.9898917040291</v>
      </c>
      <c r="N38" s="514">
        <f t="shared" si="32"/>
        <v>3747.3691824469433</v>
      </c>
      <c r="O38" s="514">
        <f t="shared" si="32"/>
        <v>2376.0365684092685</v>
      </c>
      <c r="P38" s="514">
        <f t="shared" si="32"/>
        <v>1936.976649719071</v>
      </c>
      <c r="Q38" s="514">
        <f t="shared" si="32"/>
        <v>1796.9052112041136</v>
      </c>
      <c r="R38" s="514">
        <f t="shared" si="32"/>
        <v>3459.045990613909</v>
      </c>
      <c r="S38" s="514">
        <f t="shared" si="32"/>
        <v>3132.9276896145802</v>
      </c>
      <c r="T38" s="514">
        <f t="shared" si="32"/>
        <v>5655.7468108466937</v>
      </c>
      <c r="U38" s="514">
        <f t="shared" si="32"/>
        <v>10400.178022474096</v>
      </c>
      <c r="V38" s="514">
        <f t="shared" si="32"/>
        <v>7531.5103615204107</v>
      </c>
      <c r="W38" s="514">
        <f t="shared" si="32"/>
        <v>4495.8938199111108</v>
      </c>
      <c r="X38" s="514">
        <f t="shared" si="32"/>
        <v>5462.1723983781294</v>
      </c>
      <c r="Y38" s="514">
        <f t="shared" si="32"/>
        <v>4496.3157679144779</v>
      </c>
      <c r="Z38" s="514">
        <f t="shared" si="32"/>
        <v>4102.0932964068961</v>
      </c>
      <c r="AA38" s="514">
        <f t="shared" si="32"/>
        <v>3794.5580348504336</v>
      </c>
      <c r="AB38" s="514">
        <f t="shared" si="32"/>
        <v>3137.8169999999996</v>
      </c>
      <c r="AC38" s="514">
        <f t="shared" si="32"/>
        <v>3613.9946199999999</v>
      </c>
      <c r="AD38" s="514">
        <f t="shared" si="32"/>
        <v>5811.5942028985501</v>
      </c>
      <c r="AE38" s="733">
        <f t="shared" si="32"/>
        <v>8717.4457883840023</v>
      </c>
      <c r="AF38" s="514">
        <f t="shared" si="32"/>
        <v>8458.8804395399166</v>
      </c>
      <c r="AG38" s="514">
        <f t="shared" si="32"/>
        <v>5077.6261696756737</v>
      </c>
      <c r="AH38" s="514">
        <f t="shared" si="32"/>
        <v>3281.8025985111472</v>
      </c>
      <c r="AI38" s="514">
        <f t="shared" si="32"/>
        <v>5899.1523156444091</v>
      </c>
      <c r="AJ38" s="514">
        <f t="shared" si="32"/>
        <v>9140.2077049600466</v>
      </c>
      <c r="AK38" s="514">
        <f t="shared" ref="AK38:BE38" si="33">AK14/AK$32</f>
        <v>9000.1799272246026</v>
      </c>
      <c r="AL38" s="514">
        <f t="shared" si="33"/>
        <v>5746.9066790873203</v>
      </c>
      <c r="AM38" s="514">
        <f t="shared" si="33"/>
        <v>4273.4966890221804</v>
      </c>
      <c r="AN38" s="514">
        <f t="shared" si="33"/>
        <v>5023.9091409225384</v>
      </c>
      <c r="AO38" s="514">
        <f t="shared" si="33"/>
        <v>5016.3223440256215</v>
      </c>
      <c r="AP38" s="514">
        <f t="shared" si="33"/>
        <v>5147.5914865904842</v>
      </c>
      <c r="AQ38" s="514">
        <f t="shared" si="33"/>
        <v>5486.1425246210629</v>
      </c>
      <c r="AR38" s="514">
        <f t="shared" si="33"/>
        <v>6362.6505378987395</v>
      </c>
      <c r="AS38" s="514">
        <f t="shared" si="33"/>
        <v>6847.8838446874488</v>
      </c>
      <c r="AT38" s="514">
        <f t="shared" si="33"/>
        <v>6957.3836227006268</v>
      </c>
      <c r="AU38" s="514">
        <f t="shared" si="33"/>
        <v>6272.1804663454568</v>
      </c>
      <c r="AV38" s="514">
        <f t="shared" si="33"/>
        <v>5003.8080376928619</v>
      </c>
      <c r="AW38" s="514">
        <f t="shared" si="33"/>
        <v>3793.5036731381761</v>
      </c>
      <c r="AX38" s="514">
        <f t="shared" si="33"/>
        <v>2843.676053251183</v>
      </c>
      <c r="AY38" s="514">
        <f t="shared" si="33"/>
        <v>2810.4943023381006</v>
      </c>
      <c r="AZ38" s="514">
        <f t="shared" si="33"/>
        <v>2640.4378289085544</v>
      </c>
      <c r="BA38" s="514">
        <f t="shared" si="33"/>
        <v>2184.1887538536648</v>
      </c>
      <c r="BB38" s="514">
        <f t="shared" si="33"/>
        <v>1432.6220956723466</v>
      </c>
      <c r="BC38" s="514">
        <f t="shared" si="33"/>
        <v>874.33913655972719</v>
      </c>
      <c r="BD38" s="514">
        <f t="shared" si="33"/>
        <v>441.31728714399929</v>
      </c>
      <c r="BE38" s="514">
        <f t="shared" si="33"/>
        <v>361.68108495260122</v>
      </c>
      <c r="BF38" s="514">
        <f t="shared" ref="BF38:BO38" si="34">BF14/BF$32</f>
        <v>361.68108495260105</v>
      </c>
      <c r="BG38" s="514">
        <f t="shared" si="34"/>
        <v>289.51077671664603</v>
      </c>
      <c r="BH38" s="514">
        <f t="shared" si="34"/>
        <v>206.5563994339395</v>
      </c>
      <c r="BI38" s="514">
        <f t="shared" si="34"/>
        <v>205.72685566111275</v>
      </c>
      <c r="BJ38" s="514">
        <f t="shared" si="34"/>
        <v>205.72685566111258</v>
      </c>
      <c r="BK38" s="514">
        <f t="shared" si="34"/>
        <v>199.090505478496</v>
      </c>
      <c r="BL38" s="514">
        <f t="shared" si="34"/>
        <v>199.09050547849591</v>
      </c>
      <c r="BM38" s="514">
        <f t="shared" si="34"/>
        <v>198.26096170566913</v>
      </c>
      <c r="BN38" s="514">
        <f t="shared" si="34"/>
        <v>198.2609617056689</v>
      </c>
      <c r="BO38" s="514">
        <f t="shared" si="34"/>
        <v>199.09050547849606</v>
      </c>
    </row>
    <row r="39" spans="1:67">
      <c r="A39" s="325" t="s">
        <v>325</v>
      </c>
      <c r="B39" s="493"/>
      <c r="C39" s="536"/>
      <c r="D39" s="514">
        <f t="shared" ref="D39:AJ39" si="35">D15/D$32</f>
        <v>1625.8671164821651</v>
      </c>
      <c r="E39" s="514">
        <f t="shared" si="35"/>
        <v>11991.267744027218</v>
      </c>
      <c r="F39" s="514">
        <f t="shared" si="35"/>
        <v>10864.984450728565</v>
      </c>
      <c r="G39" s="514">
        <f t="shared" si="35"/>
        <v>904.83660990024032</v>
      </c>
      <c r="H39" s="514">
        <f t="shared" si="35"/>
        <v>694.3439680332699</v>
      </c>
      <c r="I39" s="514">
        <f t="shared" si="35"/>
        <v>5128.9687529582698</v>
      </c>
      <c r="J39" s="514">
        <f t="shared" si="35"/>
        <v>18571.964092356302</v>
      </c>
      <c r="K39" s="514">
        <f t="shared" si="35"/>
        <v>27106.366451273276</v>
      </c>
      <c r="L39" s="514">
        <f t="shared" si="35"/>
        <v>27177.56082572872</v>
      </c>
      <c r="M39" s="514">
        <f t="shared" si="35"/>
        <v>26615.184941674812</v>
      </c>
      <c r="N39" s="514">
        <f t="shared" si="35"/>
        <v>17681.085554331708</v>
      </c>
      <c r="O39" s="514">
        <f t="shared" si="35"/>
        <v>6645.6039857044216</v>
      </c>
      <c r="P39" s="514">
        <f t="shared" si="35"/>
        <v>6062.9150849288135</v>
      </c>
      <c r="Q39" s="514">
        <f t="shared" si="35"/>
        <v>5238.7943337045781</v>
      </c>
      <c r="R39" s="514">
        <f t="shared" si="35"/>
        <v>3054.6954420559387</v>
      </c>
      <c r="S39" s="514">
        <f t="shared" si="35"/>
        <v>1641.6681008475357</v>
      </c>
      <c r="T39" s="514">
        <f t="shared" si="35"/>
        <v>2168.1121121226465</v>
      </c>
      <c r="U39" s="514">
        <f t="shared" si="35"/>
        <v>5364.7730382288255</v>
      </c>
      <c r="V39" s="514">
        <f t="shared" si="35"/>
        <v>7861.4826504746479</v>
      </c>
      <c r="W39" s="514">
        <f t="shared" si="35"/>
        <v>5923.6142475999568</v>
      </c>
      <c r="X39" s="514">
        <f t="shared" si="35"/>
        <v>2892.0753374252986</v>
      </c>
      <c r="Y39" s="514">
        <f t="shared" si="35"/>
        <v>1866.8895584184233</v>
      </c>
      <c r="Z39" s="514">
        <f t="shared" si="35"/>
        <v>1849.9214998835998</v>
      </c>
      <c r="AA39" s="514">
        <f t="shared" si="35"/>
        <v>1644.7859558999999</v>
      </c>
      <c r="AB39" s="514">
        <f t="shared" si="35"/>
        <v>3973.6327499999998</v>
      </c>
      <c r="AC39" s="514">
        <f t="shared" si="35"/>
        <v>3600.47</v>
      </c>
      <c r="AD39" s="514">
        <f t="shared" si="35"/>
        <v>3527.9166666666665</v>
      </c>
      <c r="AE39" s="733">
        <f t="shared" si="35"/>
        <v>5445.5432058406886</v>
      </c>
      <c r="AF39" s="514">
        <f t="shared" si="35"/>
        <v>7234.6934042595331</v>
      </c>
      <c r="AG39" s="514">
        <f t="shared" si="35"/>
        <v>6541.5474700518489</v>
      </c>
      <c r="AH39" s="514">
        <f t="shared" si="35"/>
        <v>4931.2129014113143</v>
      </c>
      <c r="AI39" s="514">
        <f t="shared" si="35"/>
        <v>4377.9196373382665</v>
      </c>
      <c r="AJ39" s="514">
        <f t="shared" si="35"/>
        <v>2724.7339485753241</v>
      </c>
      <c r="AK39" s="514">
        <f t="shared" ref="AK39:BE39" si="36">AK15/AK$32</f>
        <v>3522.0860747089373</v>
      </c>
      <c r="AL39" s="514">
        <f t="shared" si="36"/>
        <v>1607.5426252172781</v>
      </c>
      <c r="AM39" s="514">
        <f t="shared" si="36"/>
        <v>1908.4107794847441</v>
      </c>
      <c r="AN39" s="514">
        <f t="shared" si="36"/>
        <v>1203.4864417164149</v>
      </c>
      <c r="AO39" s="514">
        <f t="shared" si="36"/>
        <v>1239.4746275213108</v>
      </c>
      <c r="AP39" s="514">
        <f t="shared" si="36"/>
        <v>1143.8297554355008</v>
      </c>
      <c r="AQ39" s="514">
        <f t="shared" si="36"/>
        <v>1090.4653366445773</v>
      </c>
      <c r="AR39" s="514">
        <f t="shared" si="36"/>
        <v>1143.8653889237817</v>
      </c>
      <c r="AS39" s="514">
        <f t="shared" si="36"/>
        <v>1072.7660070199647</v>
      </c>
      <c r="AT39" s="514">
        <f t="shared" si="36"/>
        <v>1046.1044701613025</v>
      </c>
      <c r="AU39" s="514">
        <f t="shared" si="36"/>
        <v>1180.8223788684177</v>
      </c>
      <c r="AV39" s="514">
        <f t="shared" si="36"/>
        <v>943.57285983987401</v>
      </c>
      <c r="AW39" s="514">
        <f t="shared" si="36"/>
        <v>925.32289683768147</v>
      </c>
      <c r="AX39" s="514">
        <f t="shared" si="36"/>
        <v>976.7546107529563</v>
      </c>
      <c r="AY39" s="514">
        <f t="shared" si="36"/>
        <v>946.67535355024768</v>
      </c>
      <c r="AZ39" s="514">
        <f t="shared" si="36"/>
        <v>920.84336046441365</v>
      </c>
      <c r="BA39" s="514">
        <f t="shared" si="36"/>
        <v>1019.890886939963</v>
      </c>
      <c r="BB39" s="514">
        <f t="shared" si="36"/>
        <v>892.97068969742236</v>
      </c>
      <c r="BC39" s="514">
        <f t="shared" si="36"/>
        <v>842.36851955497514</v>
      </c>
      <c r="BD39" s="514">
        <f t="shared" si="36"/>
        <v>973.4364356616486</v>
      </c>
      <c r="BE39" s="514">
        <f t="shared" si="36"/>
        <v>881.14139549691208</v>
      </c>
      <c r="BF39" s="514">
        <f t="shared" ref="BF39:BO39" si="37">BF15/BF$32</f>
        <v>837.05943940887914</v>
      </c>
      <c r="BG39" s="514">
        <f t="shared" si="37"/>
        <v>898.77749610721332</v>
      </c>
      <c r="BH39" s="514">
        <f t="shared" si="37"/>
        <v>887.16388328763264</v>
      </c>
      <c r="BI39" s="514">
        <f t="shared" si="37"/>
        <v>798.40269959513807</v>
      </c>
      <c r="BJ39" s="514">
        <f t="shared" si="37"/>
        <v>877.20935801370945</v>
      </c>
      <c r="BK39" s="514">
        <f t="shared" si="37"/>
        <v>721.86899111411424</v>
      </c>
      <c r="BL39" s="514">
        <f t="shared" si="37"/>
        <v>752.44597458052033</v>
      </c>
      <c r="BM39" s="514">
        <f t="shared" si="37"/>
        <v>689.54167028704069</v>
      </c>
      <c r="BN39" s="514">
        <f t="shared" si="37"/>
        <v>716.08707101750679</v>
      </c>
      <c r="BO39" s="514">
        <f t="shared" si="37"/>
        <v>682.07577633159735</v>
      </c>
    </row>
    <row r="40" spans="1:67">
      <c r="A40" s="325" t="s">
        <v>492</v>
      </c>
      <c r="B40" s="493"/>
      <c r="C40" s="536"/>
      <c r="D40" s="514">
        <f t="shared" ref="D40:AJ40" si="38">D16/D$32</f>
        <v>18582.212752868309</v>
      </c>
      <c r="E40" s="514">
        <f t="shared" si="38"/>
        <v>17136.255765464532</v>
      </c>
      <c r="F40" s="514">
        <f t="shared" si="38"/>
        <v>12412.491017209224</v>
      </c>
      <c r="G40" s="514">
        <f t="shared" si="38"/>
        <v>12086.164573718816</v>
      </c>
      <c r="H40" s="514">
        <f t="shared" si="38"/>
        <v>15113.321093146275</v>
      </c>
      <c r="I40" s="514">
        <f t="shared" si="38"/>
        <v>10490.199284651115</v>
      </c>
      <c r="J40" s="514">
        <f t="shared" si="38"/>
        <v>9187.3578091009986</v>
      </c>
      <c r="K40" s="514">
        <f t="shared" si="38"/>
        <v>9040.4714657065506</v>
      </c>
      <c r="L40" s="514">
        <f t="shared" si="38"/>
        <v>14538.447197769094</v>
      </c>
      <c r="M40" s="514">
        <f t="shared" si="38"/>
        <v>20043.476974523612</v>
      </c>
      <c r="N40" s="514">
        <f t="shared" si="38"/>
        <v>27776.068866643309</v>
      </c>
      <c r="O40" s="514">
        <f t="shared" si="38"/>
        <v>35167.503703076887</v>
      </c>
      <c r="P40" s="514">
        <f t="shared" si="38"/>
        <v>37109.265525071212</v>
      </c>
      <c r="Q40" s="514">
        <f t="shared" si="38"/>
        <v>35492.302376811953</v>
      </c>
      <c r="R40" s="514">
        <f t="shared" si="38"/>
        <v>34091.880173698883</v>
      </c>
      <c r="S40" s="514">
        <f t="shared" si="38"/>
        <v>32295.855628818106</v>
      </c>
      <c r="T40" s="514">
        <f t="shared" si="38"/>
        <v>42082.532837343817</v>
      </c>
      <c r="U40" s="514">
        <f t="shared" si="38"/>
        <v>38802.174253731479</v>
      </c>
      <c r="V40" s="514">
        <f t="shared" si="38"/>
        <v>33918.580091854368</v>
      </c>
      <c r="W40" s="514">
        <f t="shared" si="38"/>
        <v>24353.489230830699</v>
      </c>
      <c r="X40" s="514">
        <f>X16/X$32</f>
        <v>21676.815068705149</v>
      </c>
      <c r="Y40" s="514">
        <f t="shared" si="38"/>
        <v>28533.883142083032</v>
      </c>
      <c r="Z40" s="514">
        <f t="shared" si="38"/>
        <v>30686.074583867998</v>
      </c>
      <c r="AA40" s="514">
        <f t="shared" si="38"/>
        <v>22220.872037999998</v>
      </c>
      <c r="AB40" s="514">
        <f t="shared" si="38"/>
        <v>26576.663999999997</v>
      </c>
      <c r="AC40" s="514">
        <f t="shared" si="38"/>
        <v>22025</v>
      </c>
      <c r="AD40" s="514">
        <f t="shared" si="38"/>
        <v>21659.420289855072</v>
      </c>
      <c r="AE40" s="733">
        <f t="shared" si="38"/>
        <v>26853.819330936032</v>
      </c>
      <c r="AF40" s="514">
        <f t="shared" si="38"/>
        <v>26692.316844588127</v>
      </c>
      <c r="AG40" s="514">
        <f t="shared" si="38"/>
        <v>26844.227331206632</v>
      </c>
      <c r="AH40" s="514">
        <f t="shared" si="38"/>
        <v>26815.203036236828</v>
      </c>
      <c r="AI40" s="514">
        <f t="shared" si="38"/>
        <v>26622.138370259796</v>
      </c>
      <c r="AJ40" s="514">
        <f t="shared" si="38"/>
        <v>26751.499798920373</v>
      </c>
      <c r="AK40" s="514">
        <f t="shared" ref="AK40:BE40" si="39">AK16/AK$32</f>
        <v>26992.148787894846</v>
      </c>
      <c r="AL40" s="514">
        <f t="shared" si="39"/>
        <v>27269.750565106737</v>
      </c>
      <c r="AM40" s="514">
        <f t="shared" si="39"/>
        <v>26620.166472262881</v>
      </c>
      <c r="AN40" s="514">
        <f t="shared" si="39"/>
        <v>26068.617517755069</v>
      </c>
      <c r="AO40" s="514">
        <f t="shared" si="39"/>
        <v>25838.556775028374</v>
      </c>
      <c r="AP40" s="514">
        <f t="shared" si="39"/>
        <v>25384.528292112242</v>
      </c>
      <c r="AQ40" s="514">
        <f t="shared" si="39"/>
        <v>24893.278234161975</v>
      </c>
      <c r="AR40" s="514">
        <f t="shared" si="39"/>
        <v>24384.347480404434</v>
      </c>
      <c r="AS40" s="514">
        <f t="shared" si="39"/>
        <v>23895.837920056492</v>
      </c>
      <c r="AT40" s="514">
        <f t="shared" si="39"/>
        <v>22755.215232419232</v>
      </c>
      <c r="AU40" s="514">
        <f t="shared" si="39"/>
        <v>22069.182532291259</v>
      </c>
      <c r="AV40" s="514">
        <f t="shared" si="39"/>
        <v>22066.693900972801</v>
      </c>
      <c r="AW40" s="514">
        <f t="shared" si="39"/>
        <v>22063.375725881499</v>
      </c>
      <c r="AX40" s="514">
        <f t="shared" si="39"/>
        <v>21374.854394435009</v>
      </c>
      <c r="AY40" s="514">
        <f t="shared" si="39"/>
        <v>20916.116688061658</v>
      </c>
      <c r="AZ40" s="514">
        <f t="shared" si="39"/>
        <v>20916.946231834489</v>
      </c>
      <c r="BA40" s="514">
        <f t="shared" si="39"/>
        <v>20916.11668806164</v>
      </c>
      <c r="BB40" s="514">
        <f t="shared" si="39"/>
        <v>20226.765812842332</v>
      </c>
      <c r="BC40" s="514">
        <f t="shared" si="39"/>
        <v>20226.765812842386</v>
      </c>
      <c r="BD40" s="514">
        <f t="shared" si="39"/>
        <v>20226.765812842339</v>
      </c>
      <c r="BE40" s="514">
        <f t="shared" si="39"/>
        <v>19537.414937623056</v>
      </c>
      <c r="BF40" s="514">
        <f t="shared" ref="BF40:BO40" si="40">BF16/BF$32</f>
        <v>18387.667268484769</v>
      </c>
      <c r="BG40" s="514">
        <f t="shared" si="40"/>
        <v>18387.667268484758</v>
      </c>
      <c r="BH40" s="514">
        <f t="shared" si="40"/>
        <v>18387.667268484758</v>
      </c>
      <c r="BI40" s="514">
        <f t="shared" si="40"/>
        <v>18388.496812257566</v>
      </c>
      <c r="BJ40" s="514">
        <f t="shared" si="40"/>
        <v>18388.496812257603</v>
      </c>
      <c r="BK40" s="514">
        <f t="shared" si="40"/>
        <v>18388.496812257607</v>
      </c>
      <c r="BL40" s="514">
        <f t="shared" si="40"/>
        <v>18388.496812257585</v>
      </c>
      <c r="BM40" s="514">
        <f t="shared" si="40"/>
        <v>18388.496812257574</v>
      </c>
      <c r="BN40" s="514">
        <f t="shared" si="40"/>
        <v>18388.496812257592</v>
      </c>
      <c r="BO40" s="514">
        <f t="shared" si="40"/>
        <v>18388.496812257596</v>
      </c>
    </row>
    <row r="41" spans="1:67">
      <c r="A41" s="325" t="s">
        <v>493</v>
      </c>
      <c r="B41" s="493"/>
      <c r="C41" s="536"/>
      <c r="D41" s="514">
        <f t="shared" ref="D41:AJ41" si="41">D17/D$32</f>
        <v>15534.476903402367</v>
      </c>
      <c r="E41" s="514">
        <f t="shared" si="41"/>
        <v>11799.088345568942</v>
      </c>
      <c r="F41" s="514">
        <f t="shared" si="41"/>
        <v>9525.4658198168236</v>
      </c>
      <c r="G41" s="514">
        <f t="shared" si="41"/>
        <v>10083.261359196313</v>
      </c>
      <c r="H41" s="514">
        <f t="shared" si="41"/>
        <v>12714.519696046411</v>
      </c>
      <c r="I41" s="514">
        <f t="shared" si="41"/>
        <v>8260.136942966501</v>
      </c>
      <c r="J41" s="514">
        <f t="shared" si="41"/>
        <v>7536.252046999005</v>
      </c>
      <c r="K41" s="514">
        <f t="shared" si="41"/>
        <v>7330.0216211683965</v>
      </c>
      <c r="L41" s="514">
        <f t="shared" si="41"/>
        <v>11447.596218715822</v>
      </c>
      <c r="M41" s="514">
        <f t="shared" si="41"/>
        <v>17446.080259719802</v>
      </c>
      <c r="N41" s="514">
        <f t="shared" si="41"/>
        <v>23612.48646617691</v>
      </c>
      <c r="O41" s="514">
        <f t="shared" si="41"/>
        <v>30681.687223810466</v>
      </c>
      <c r="P41" s="514">
        <f t="shared" si="41"/>
        <v>32717.342779880339</v>
      </c>
      <c r="Q41" s="514">
        <f t="shared" si="41"/>
        <v>31216.091361375413</v>
      </c>
      <c r="R41" s="514">
        <f t="shared" si="41"/>
        <v>29341.059421762606</v>
      </c>
      <c r="S41" s="514">
        <f t="shared" si="41"/>
        <v>28083.251333106353</v>
      </c>
      <c r="T41" s="514">
        <f t="shared" si="41"/>
        <v>37292.438344086484</v>
      </c>
      <c r="U41" s="514">
        <f t="shared" si="41"/>
        <v>34256.458859680301</v>
      </c>
      <c r="V41" s="514">
        <f t="shared" si="41"/>
        <v>29328.965527309072</v>
      </c>
      <c r="W41" s="514">
        <f t="shared" si="41"/>
        <v>19087.810664193345</v>
      </c>
      <c r="X41" s="514">
        <f t="shared" si="41"/>
        <v>16360.163101330592</v>
      </c>
      <c r="Y41" s="514">
        <f t="shared" si="41"/>
        <v>23621.729563268927</v>
      </c>
      <c r="Z41" s="514">
        <f t="shared" si="41"/>
        <v>26154.977634179999</v>
      </c>
      <c r="AA41" s="514">
        <f t="shared" si="41"/>
        <v>18961.117542</v>
      </c>
      <c r="AB41" s="514">
        <f t="shared" si="41"/>
        <v>23042.780999999999</v>
      </c>
      <c r="AC41" s="514">
        <f t="shared" si="41"/>
        <v>18591</v>
      </c>
      <c r="AD41" s="514">
        <f t="shared" si="41"/>
        <v>17971.920289855072</v>
      </c>
      <c r="AE41" s="733">
        <f t="shared" si="41"/>
        <v>23453.674948240161</v>
      </c>
      <c r="AF41" s="514">
        <f t="shared" si="41"/>
        <v>23196.813872099301</v>
      </c>
      <c r="AG41" s="514">
        <f t="shared" si="41"/>
        <v>22934.370128191713</v>
      </c>
      <c r="AH41" s="514">
        <f t="shared" si="41"/>
        <v>22914.256236150901</v>
      </c>
      <c r="AI41" s="514">
        <f t="shared" si="41"/>
        <v>22757.350148102661</v>
      </c>
      <c r="AJ41" s="514">
        <f t="shared" si="41"/>
        <v>23040.677896107572</v>
      </c>
      <c r="AK41" s="514">
        <f t="shared" ref="AK41:BE41" si="42">AK17/AK$32</f>
        <v>23181.798512906342</v>
      </c>
      <c r="AL41" s="514">
        <f t="shared" si="42"/>
        <v>23362.825520230257</v>
      </c>
      <c r="AM41" s="514">
        <f t="shared" si="42"/>
        <v>22719.295300993181</v>
      </c>
      <c r="AN41" s="514">
        <f t="shared" si="42"/>
        <v>22263.156460313297</v>
      </c>
      <c r="AO41" s="514">
        <f t="shared" si="42"/>
        <v>22082.144076837896</v>
      </c>
      <c r="AP41" s="514">
        <f t="shared" si="42"/>
        <v>21678.927700149834</v>
      </c>
      <c r="AQ41" s="514">
        <f t="shared" si="42"/>
        <v>21254.12871760278</v>
      </c>
      <c r="AR41" s="514">
        <f t="shared" si="42"/>
        <v>20823.521911817941</v>
      </c>
      <c r="AS41" s="514">
        <f t="shared" si="42"/>
        <v>20409.265442864311</v>
      </c>
      <c r="AT41" s="514">
        <f t="shared" si="42"/>
        <v>19435.381053565357</v>
      </c>
      <c r="AU41" s="514">
        <f t="shared" si="42"/>
        <v>18847.234518630918</v>
      </c>
      <c r="AV41" s="514">
        <f t="shared" si="42"/>
        <v>18844.745887312456</v>
      </c>
      <c r="AW41" s="514">
        <f t="shared" si="42"/>
        <v>18843.086799766825</v>
      </c>
      <c r="AX41" s="514">
        <f t="shared" si="42"/>
        <v>18254.94026483245</v>
      </c>
      <c r="AY41" s="514">
        <f t="shared" si="42"/>
        <v>17863.39560405806</v>
      </c>
      <c r="AZ41" s="514">
        <f t="shared" si="42"/>
        <v>17863.395604058038</v>
      </c>
      <c r="BA41" s="514">
        <f t="shared" si="42"/>
        <v>17863.395604058067</v>
      </c>
      <c r="BB41" s="514">
        <f t="shared" si="42"/>
        <v>17274.41952535083</v>
      </c>
      <c r="BC41" s="514">
        <f t="shared" si="42"/>
        <v>17274.419525350833</v>
      </c>
      <c r="BD41" s="514">
        <f t="shared" si="42"/>
        <v>17274.419525350851</v>
      </c>
      <c r="BE41" s="514">
        <f t="shared" si="42"/>
        <v>16685.443446643592</v>
      </c>
      <c r="BF41" s="514">
        <f t="shared" ref="BF41:BO41" si="43">BF17/BF$32</f>
        <v>15704.093163389216</v>
      </c>
      <c r="BG41" s="514">
        <f t="shared" si="43"/>
        <v>15704.093163389201</v>
      </c>
      <c r="BH41" s="514">
        <f t="shared" si="43"/>
        <v>15704.093163389214</v>
      </c>
      <c r="BI41" s="514">
        <f t="shared" si="43"/>
        <v>15704.093163389214</v>
      </c>
      <c r="BJ41" s="514">
        <f t="shared" si="43"/>
        <v>15704.093163389198</v>
      </c>
      <c r="BK41" s="514">
        <f t="shared" si="43"/>
        <v>15704.093163389205</v>
      </c>
      <c r="BL41" s="514">
        <f t="shared" si="43"/>
        <v>15704.093163389194</v>
      </c>
      <c r="BM41" s="514">
        <f t="shared" si="43"/>
        <v>15704.093163389209</v>
      </c>
      <c r="BN41" s="514">
        <f t="shared" si="43"/>
        <v>15704.093163389209</v>
      </c>
      <c r="BO41" s="514">
        <f t="shared" si="43"/>
        <v>15704.093163389194</v>
      </c>
    </row>
    <row r="42" spans="1:67">
      <c r="A42" s="325" t="s">
        <v>120</v>
      </c>
      <c r="B42" s="493"/>
      <c r="C42" s="536"/>
      <c r="D42" s="514"/>
      <c r="E42" s="514"/>
      <c r="F42" s="514"/>
      <c r="G42" s="514"/>
      <c r="H42" s="514"/>
      <c r="I42" s="514"/>
      <c r="J42" s="514"/>
      <c r="K42" s="514"/>
      <c r="L42" s="514"/>
      <c r="M42" s="514"/>
      <c r="N42" s="514"/>
      <c r="O42" s="514">
        <f t="shared" ref="O42:AJ42" si="44">O18/O$32</f>
        <v>1877.3121692380398</v>
      </c>
      <c r="P42" s="514">
        <f t="shared" si="44"/>
        <v>1589.5425988824702</v>
      </c>
      <c r="Q42" s="514">
        <f t="shared" si="44"/>
        <v>2327.3845043246629</v>
      </c>
      <c r="R42" s="514">
        <f t="shared" si="44"/>
        <v>1657.9565265356323</v>
      </c>
      <c r="S42" s="514">
        <f t="shared" si="44"/>
        <v>1185.778734774108</v>
      </c>
      <c r="T42" s="514">
        <f t="shared" si="44"/>
        <v>3189.6045972675242</v>
      </c>
      <c r="U42" s="514">
        <f t="shared" si="44"/>
        <v>10876.780140324472</v>
      </c>
      <c r="V42" s="514">
        <f t="shared" si="44"/>
        <v>12951.412341453804</v>
      </c>
      <c r="W42" s="514">
        <f t="shared" si="44"/>
        <v>10433.763340598591</v>
      </c>
      <c r="X42" s="514">
        <f t="shared" si="44"/>
        <v>5910.1919930426666</v>
      </c>
      <c r="Y42" s="514">
        <f t="shared" si="44"/>
        <v>4996.9043306915037</v>
      </c>
      <c r="Z42" s="514">
        <f t="shared" si="44"/>
        <v>5185.662461662665</v>
      </c>
      <c r="AA42" s="514">
        <f t="shared" si="44"/>
        <v>7920.1847519999992</v>
      </c>
      <c r="AB42" s="514">
        <f t="shared" si="44"/>
        <v>8829.9419999999991</v>
      </c>
      <c r="AC42" s="514">
        <f t="shared" si="44"/>
        <v>6335</v>
      </c>
      <c r="AD42" s="514">
        <f t="shared" si="44"/>
        <v>5011.7753623188401</v>
      </c>
      <c r="AE42" s="733">
        <f t="shared" si="44"/>
        <v>7771.6369728669488</v>
      </c>
      <c r="AF42" s="514">
        <f t="shared" si="44"/>
        <v>7268.3462872554346</v>
      </c>
      <c r="AG42" s="514">
        <f t="shared" si="44"/>
        <v>10682.577000188685</v>
      </c>
      <c r="AH42" s="514">
        <f t="shared" si="44"/>
        <v>7194.5909543649022</v>
      </c>
      <c r="AI42" s="514">
        <f t="shared" si="44"/>
        <v>5762.3530799849932</v>
      </c>
      <c r="AJ42" s="514">
        <f t="shared" si="44"/>
        <v>8014.3678471156663</v>
      </c>
      <c r="AK42" s="514">
        <f t="shared" ref="AK42:BE42" si="45">AK18/AK$32</f>
        <v>7605.5967611750648</v>
      </c>
      <c r="AL42" s="514">
        <f t="shared" si="45"/>
        <v>7247.7018946111475</v>
      </c>
      <c r="AM42" s="514">
        <f t="shared" si="45"/>
        <v>5464.895765961689</v>
      </c>
      <c r="AN42" s="514">
        <f t="shared" si="45"/>
        <v>5498.4450474937385</v>
      </c>
      <c r="AO42" s="514">
        <f t="shared" si="45"/>
        <v>6008.9279605725205</v>
      </c>
      <c r="AP42" s="514">
        <f t="shared" si="45"/>
        <v>6972.9490492829236</v>
      </c>
      <c r="AQ42" s="514">
        <f t="shared" si="45"/>
        <v>7756.0412641734811</v>
      </c>
      <c r="AR42" s="514">
        <f t="shared" si="45"/>
        <v>8849.7476875994435</v>
      </c>
      <c r="AS42" s="514">
        <f t="shared" si="45"/>
        <v>10905.182437584606</v>
      </c>
      <c r="AT42" s="514">
        <f t="shared" si="45"/>
        <v>12323.702289118883</v>
      </c>
      <c r="AU42" s="514">
        <f t="shared" si="45"/>
        <v>12662.985692205144</v>
      </c>
      <c r="AV42" s="514">
        <f t="shared" si="45"/>
        <v>13744.710771971668</v>
      </c>
      <c r="AW42" s="514">
        <f t="shared" si="45"/>
        <v>13948.778540087094</v>
      </c>
      <c r="AX42" s="514">
        <f t="shared" si="45"/>
        <v>14027.585198505707</v>
      </c>
      <c r="AY42" s="514">
        <f t="shared" si="45"/>
        <v>14001.039797775253</v>
      </c>
      <c r="AZ42" s="514">
        <f t="shared" si="45"/>
        <v>13910.619526537059</v>
      </c>
      <c r="BA42" s="514">
        <f t="shared" si="45"/>
        <v>13800.290204751069</v>
      </c>
      <c r="BB42" s="514">
        <f t="shared" si="45"/>
        <v>13493.359008805081</v>
      </c>
      <c r="BC42" s="514">
        <f t="shared" si="45"/>
        <v>13281.825346734144</v>
      </c>
      <c r="BD42" s="514">
        <f t="shared" si="45"/>
        <v>13650.97232564222</v>
      </c>
      <c r="BE42" s="514">
        <f t="shared" si="45"/>
        <v>13288.461696916795</v>
      </c>
      <c r="BF42" s="514">
        <f t="shared" ref="BF42:BO42" si="46">BF18/BF$32</f>
        <v>12482.14514972886</v>
      </c>
      <c r="BG42" s="514">
        <f t="shared" si="46"/>
        <v>13377.222880609281</v>
      </c>
      <c r="BH42" s="514">
        <f t="shared" si="46"/>
        <v>13325.791166694022</v>
      </c>
      <c r="BI42" s="514">
        <f t="shared" si="46"/>
        <v>13153.246061945963</v>
      </c>
      <c r="BJ42" s="514">
        <f t="shared" si="46"/>
        <v>13035.450846204511</v>
      </c>
      <c r="BK42" s="514">
        <f t="shared" si="46"/>
        <v>13014.712251883855</v>
      </c>
      <c r="BL42" s="514">
        <f t="shared" si="46"/>
        <v>12787.417258129242</v>
      </c>
      <c r="BM42" s="514">
        <f t="shared" si="46"/>
        <v>12621.508503563804</v>
      </c>
      <c r="BN42" s="514">
        <f t="shared" si="46"/>
        <v>12297.156888388436</v>
      </c>
      <c r="BO42" s="514">
        <f t="shared" si="46"/>
        <v>11782.839749235634</v>
      </c>
    </row>
    <row r="43" spans="1:67">
      <c r="A43" s="325" t="s">
        <v>399</v>
      </c>
      <c r="B43" s="493"/>
      <c r="C43" s="536"/>
      <c r="D43" s="514">
        <f t="shared" ref="D43:N43" si="47">D19/D$32</f>
        <v>2866.1772881523739</v>
      </c>
      <c r="E43" s="514">
        <f t="shared" si="47"/>
        <v>3375.1747903188448</v>
      </c>
      <c r="F43" s="514">
        <f t="shared" si="47"/>
        <v>2667.5883846362021</v>
      </c>
      <c r="G43" s="514">
        <f t="shared" si="47"/>
        <v>1527.2601505913706</v>
      </c>
      <c r="H43" s="514">
        <f t="shared" si="47"/>
        <v>1254.3550578289476</v>
      </c>
      <c r="I43" s="514">
        <f t="shared" si="47"/>
        <v>1522.7990305003782</v>
      </c>
      <c r="J43" s="514">
        <f t="shared" si="47"/>
        <v>2584.6351785736661</v>
      </c>
      <c r="K43" s="514">
        <f t="shared" si="47"/>
        <v>1372.7070599861436</v>
      </c>
      <c r="L43" s="514">
        <f t="shared" si="47"/>
        <v>1973.5010946067841</v>
      </c>
      <c r="M43" s="514">
        <f t="shared" si="47"/>
        <v>1661.9002236043457</v>
      </c>
      <c r="N43" s="514">
        <f t="shared" si="47"/>
        <v>4114.2749112236761</v>
      </c>
      <c r="O43" s="514">
        <f t="shared" ref="O43:AJ43" si="48">O19/O$32</f>
        <v>2074.6394382868184</v>
      </c>
      <c r="P43" s="514">
        <f t="shared" si="48"/>
        <v>2710.749187846006</v>
      </c>
      <c r="Q43" s="514">
        <f t="shared" si="48"/>
        <v>3262.5721783470394</v>
      </c>
      <c r="R43" s="514">
        <f t="shared" si="48"/>
        <v>2559.694033054293</v>
      </c>
      <c r="S43" s="514">
        <f t="shared" si="48"/>
        <v>3188.8936475980186</v>
      </c>
      <c r="T43" s="514">
        <f t="shared" si="48"/>
        <v>4129.1956804854181</v>
      </c>
      <c r="U43" s="514">
        <f t="shared" si="48"/>
        <v>5990.7904653366413</v>
      </c>
      <c r="V43" s="514">
        <f t="shared" si="48"/>
        <v>3732.5436841446817</v>
      </c>
      <c r="W43" s="514">
        <f t="shared" si="48"/>
        <v>3538.597404110526</v>
      </c>
      <c r="X43" s="514">
        <f t="shared" si="48"/>
        <v>4889.2573156869057</v>
      </c>
      <c r="Y43" s="514">
        <f t="shared" si="48"/>
        <v>3226.1787536775328</v>
      </c>
      <c r="Z43" s="514">
        <f t="shared" si="48"/>
        <v>2686.8145624939752</v>
      </c>
      <c r="AA43" s="514">
        <f t="shared" si="48"/>
        <v>2573.2275973289998</v>
      </c>
      <c r="AB43" s="514">
        <f t="shared" si="48"/>
        <v>3670.4940093191999</v>
      </c>
      <c r="AC43" s="514">
        <f t="shared" si="48"/>
        <v>11653</v>
      </c>
      <c r="AD43" s="514">
        <f t="shared" si="48"/>
        <v>2063.405797101449</v>
      </c>
      <c r="AE43" s="733">
        <f t="shared" si="48"/>
        <v>2513.9274817478477</v>
      </c>
      <c r="AF43" s="514">
        <f t="shared" si="48"/>
        <v>2957.7332844136236</v>
      </c>
      <c r="AG43" s="514">
        <f t="shared" si="48"/>
        <v>2502.2405680378274</v>
      </c>
      <c r="AH43" s="514">
        <f t="shared" si="48"/>
        <v>2463.043599707335</v>
      </c>
      <c r="AI43" s="514">
        <f t="shared" si="48"/>
        <v>1159.0168370899032</v>
      </c>
      <c r="AJ43" s="514">
        <f t="shared" si="48"/>
        <v>804.29126309834737</v>
      </c>
      <c r="AK43" s="514">
        <f t="shared" ref="AK43:BE43" si="49">AK19/AK$32</f>
        <v>1121.0367688581057</v>
      </c>
      <c r="AL43" s="514">
        <f t="shared" si="49"/>
        <v>1198.4586793608214</v>
      </c>
      <c r="AM43" s="514">
        <f t="shared" si="49"/>
        <v>355.915853279266</v>
      </c>
      <c r="AN43" s="514">
        <f t="shared" si="49"/>
        <v>14.1776984388584</v>
      </c>
      <c r="AO43" s="514">
        <f t="shared" si="49"/>
        <v>29.145299143575105</v>
      </c>
      <c r="AP43" s="514">
        <f t="shared" si="49"/>
        <v>108.93933517663226</v>
      </c>
      <c r="AQ43" s="514">
        <f t="shared" si="49"/>
        <v>119.64327177728798</v>
      </c>
      <c r="AR43" s="514">
        <f t="shared" si="49"/>
        <v>32.386240012797082</v>
      </c>
      <c r="AS43" s="514">
        <f t="shared" si="49"/>
        <v>65.533958053338068</v>
      </c>
      <c r="AT43" s="514">
        <f t="shared" si="49"/>
        <v>0</v>
      </c>
      <c r="AU43" s="514">
        <f t="shared" si="49"/>
        <v>0</v>
      </c>
      <c r="AV43" s="514">
        <f t="shared" si="49"/>
        <v>0</v>
      </c>
      <c r="AW43" s="514">
        <f t="shared" si="49"/>
        <v>108.67023424034545</v>
      </c>
      <c r="AX43" s="514">
        <f t="shared" si="49"/>
        <v>43.136276187007418</v>
      </c>
      <c r="AY43" s="514">
        <f t="shared" si="49"/>
        <v>0</v>
      </c>
      <c r="AZ43" s="514">
        <f t="shared" si="49"/>
        <v>5.8068064097894743</v>
      </c>
      <c r="BA43" s="514">
        <f t="shared" si="49"/>
        <v>5.8068064097894547</v>
      </c>
      <c r="BB43" s="514">
        <f t="shared" si="49"/>
        <v>0</v>
      </c>
      <c r="BC43" s="514">
        <f t="shared" si="49"/>
        <v>0</v>
      </c>
      <c r="BD43" s="514">
        <f t="shared" si="49"/>
        <v>0</v>
      </c>
      <c r="BE43" s="514">
        <f t="shared" si="49"/>
        <v>0</v>
      </c>
      <c r="BF43" s="514">
        <f t="shared" ref="BF43:BO43" si="50">BF19/BF$32</f>
        <v>0</v>
      </c>
      <c r="BG43" s="514">
        <f t="shared" si="50"/>
        <v>0</v>
      </c>
      <c r="BH43" s="514">
        <f t="shared" si="50"/>
        <v>0</v>
      </c>
      <c r="BI43" s="514">
        <f t="shared" si="50"/>
        <v>0</v>
      </c>
      <c r="BJ43" s="514">
        <f t="shared" si="50"/>
        <v>0</v>
      </c>
      <c r="BK43" s="514">
        <f t="shared" si="50"/>
        <v>0</v>
      </c>
      <c r="BL43" s="514">
        <f t="shared" si="50"/>
        <v>0</v>
      </c>
      <c r="BM43" s="514">
        <f t="shared" si="50"/>
        <v>0</v>
      </c>
      <c r="BN43" s="514">
        <f t="shared" si="50"/>
        <v>0</v>
      </c>
      <c r="BO43" s="514">
        <f t="shared" si="50"/>
        <v>0</v>
      </c>
    </row>
    <row r="44" spans="1:67">
      <c r="D44" s="514"/>
      <c r="E44" s="514"/>
      <c r="F44" s="514"/>
      <c r="G44" s="514"/>
      <c r="H44" s="51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Y44" s="514"/>
      <c r="Z44" s="514"/>
      <c r="AA44" s="514"/>
      <c r="AB44" s="514"/>
      <c r="AC44" s="514"/>
      <c r="AD44" s="514"/>
      <c r="AE44" s="733"/>
      <c r="AF44" s="514"/>
      <c r="AG44" s="514"/>
      <c r="AH44" s="514"/>
      <c r="AI44" s="514"/>
      <c r="AJ44" s="514"/>
      <c r="AK44" s="514"/>
      <c r="AL44" s="514"/>
      <c r="AM44" s="514"/>
      <c r="AN44" s="514"/>
      <c r="AO44" s="514"/>
      <c r="AP44" s="514"/>
      <c r="AQ44" s="514"/>
      <c r="AR44" s="514"/>
      <c r="AS44" s="514"/>
      <c r="AT44" s="514"/>
      <c r="AU44" s="514"/>
      <c r="AV44" s="514"/>
      <c r="AW44" s="514"/>
      <c r="AX44" s="514"/>
      <c r="AY44" s="514"/>
      <c r="AZ44" s="514"/>
      <c r="BA44" s="514"/>
      <c r="BB44" s="514"/>
      <c r="BC44" s="514"/>
      <c r="BD44" s="514"/>
      <c r="BE44" s="514"/>
      <c r="BF44" s="514"/>
      <c r="BG44" s="514"/>
      <c r="BH44" s="514"/>
      <c r="BI44" s="514"/>
      <c r="BJ44" s="514"/>
      <c r="BK44" s="514"/>
      <c r="BL44" s="514"/>
      <c r="BM44" s="514"/>
      <c r="BN44" s="514"/>
      <c r="BO44" s="514"/>
    </row>
    <row r="45" spans="1:67" s="324" customFormat="1">
      <c r="A45" s="324" t="s">
        <v>525</v>
      </c>
      <c r="D45" s="518">
        <f t="shared" ref="D45:AI45" si="51">D21/D$32</f>
        <v>128965.73806384692</v>
      </c>
      <c r="E45" s="518">
        <f t="shared" si="51"/>
        <v>151428.66570857426</v>
      </c>
      <c r="F45" s="518">
        <f t="shared" si="51"/>
        <v>142483.18474189544</v>
      </c>
      <c r="G45" s="518">
        <f t="shared" si="51"/>
        <v>107601.23734938935</v>
      </c>
      <c r="H45" s="518">
        <f t="shared" si="51"/>
        <v>103137.99257828866</v>
      </c>
      <c r="I45" s="518">
        <f t="shared" si="51"/>
        <v>101926.24795204711</v>
      </c>
      <c r="J45" s="518">
        <f t="shared" si="51"/>
        <v>115485.58078158494</v>
      </c>
      <c r="K45" s="518">
        <f t="shared" si="51"/>
        <v>125274.14917108625</v>
      </c>
      <c r="L45" s="518">
        <f t="shared" si="51"/>
        <v>148986.43394284745</v>
      </c>
      <c r="M45" s="518">
        <f t="shared" si="51"/>
        <v>146230.18248942879</v>
      </c>
      <c r="N45" s="518">
        <f t="shared" si="51"/>
        <v>161605.29599302443</v>
      </c>
      <c r="O45" s="518">
        <f t="shared" si="51"/>
        <v>169794.70878992492</v>
      </c>
      <c r="P45" s="518">
        <f t="shared" si="51"/>
        <v>177909.14176795518</v>
      </c>
      <c r="Q45" s="518">
        <f t="shared" si="51"/>
        <v>163875.76285132457</v>
      </c>
      <c r="R45" s="518">
        <f t="shared" si="51"/>
        <v>173528.40960430462</v>
      </c>
      <c r="S45" s="518">
        <f t="shared" si="51"/>
        <v>203335.98492841274</v>
      </c>
      <c r="T45" s="518">
        <f t="shared" si="51"/>
        <v>241794.55135840824</v>
      </c>
      <c r="U45" s="518">
        <f t="shared" si="51"/>
        <v>235242.95288753908</v>
      </c>
      <c r="V45" s="518">
        <f t="shared" si="51"/>
        <v>204963.14435480474</v>
      </c>
      <c r="W45" s="518">
        <f t="shared" si="51"/>
        <v>183339.26029757029</v>
      </c>
      <c r="X45" s="518">
        <f t="shared" si="51"/>
        <v>165618.29210437904</v>
      </c>
      <c r="Y45" s="518">
        <f t="shared" si="51"/>
        <v>171763.90270797582</v>
      </c>
      <c r="Z45" s="518">
        <f t="shared" si="51"/>
        <v>197793.88310874192</v>
      </c>
      <c r="AA45" s="518">
        <f t="shared" si="51"/>
        <v>183535.34127334121</v>
      </c>
      <c r="AB45" s="518">
        <f t="shared" si="51"/>
        <v>187692.1298372616</v>
      </c>
      <c r="AC45" s="518">
        <f t="shared" si="51"/>
        <v>169955.46462000001</v>
      </c>
      <c r="AD45" s="518">
        <f t="shared" si="51"/>
        <v>197925.56159420288</v>
      </c>
      <c r="AE45" s="735">
        <f t="shared" si="51"/>
        <v>214888.13746322325</v>
      </c>
      <c r="AF45" s="518">
        <f t="shared" si="51"/>
        <v>231646.9988978988</v>
      </c>
      <c r="AG45" s="518">
        <f t="shared" si="51"/>
        <v>219189.46957094161</v>
      </c>
      <c r="AH45" s="518">
        <f t="shared" si="51"/>
        <v>190917.22526708676</v>
      </c>
      <c r="AI45" s="518">
        <f t="shared" si="51"/>
        <v>173763.90819358805</v>
      </c>
      <c r="AJ45" s="518">
        <f t="shared" ref="AJ45:BE45" si="52">AJ21/AJ$32</f>
        <v>172484.76137266209</v>
      </c>
      <c r="AK45" s="518">
        <f t="shared" si="52"/>
        <v>167669.22367525476</v>
      </c>
      <c r="AL45" s="518">
        <f t="shared" si="52"/>
        <v>157069.65951809724</v>
      </c>
      <c r="AM45" s="518">
        <f t="shared" si="52"/>
        <v>150937.73079988165</v>
      </c>
      <c r="AN45" s="518">
        <f t="shared" si="52"/>
        <v>148842.53214363795</v>
      </c>
      <c r="AO45" s="518">
        <f t="shared" si="52"/>
        <v>141195.20111496915</v>
      </c>
      <c r="AP45" s="518">
        <f t="shared" si="52"/>
        <v>133789.52850367289</v>
      </c>
      <c r="AQ45" s="518">
        <f t="shared" si="52"/>
        <v>129831.61090533025</v>
      </c>
      <c r="AR45" s="518">
        <f t="shared" si="52"/>
        <v>127989.14168930179</v>
      </c>
      <c r="AS45" s="518">
        <f t="shared" si="52"/>
        <v>127877.65666513801</v>
      </c>
      <c r="AT45" s="518">
        <f t="shared" si="52"/>
        <v>125518.31803908948</v>
      </c>
      <c r="AU45" s="518">
        <f t="shared" si="52"/>
        <v>123026.70036302663</v>
      </c>
      <c r="AV45" s="518">
        <f t="shared" si="52"/>
        <v>121847.91866183904</v>
      </c>
      <c r="AW45" s="518">
        <f t="shared" si="52"/>
        <v>119464.63940250703</v>
      </c>
      <c r="AX45" s="518">
        <f t="shared" si="52"/>
        <v>117377.50727007395</v>
      </c>
      <c r="AY45" s="518">
        <f t="shared" si="52"/>
        <v>113873.29869227151</v>
      </c>
      <c r="AZ45" s="518">
        <f t="shared" si="52"/>
        <v>110830.41599741379</v>
      </c>
      <c r="BA45" s="518">
        <f t="shared" si="52"/>
        <v>107388.14115769067</v>
      </c>
      <c r="BB45" s="518">
        <f t="shared" si="52"/>
        <v>104473.95388374882</v>
      </c>
      <c r="BC45" s="518">
        <f t="shared" si="52"/>
        <v>101699.12996364236</v>
      </c>
      <c r="BD45" s="518">
        <f t="shared" si="52"/>
        <v>100049.99694326226</v>
      </c>
      <c r="BE45" s="518">
        <f t="shared" si="52"/>
        <v>96569.845134871997</v>
      </c>
      <c r="BF45" s="518">
        <f t="shared" ref="BF45:BO45" si="53">BF21/BF$32</f>
        <v>92054.52224324597</v>
      </c>
      <c r="BG45" s="518">
        <f t="shared" si="53"/>
        <v>90165.982890027648</v>
      </c>
      <c r="BH45" s="518">
        <f t="shared" si="53"/>
        <v>88299.50940116719</v>
      </c>
      <c r="BI45" s="518">
        <f t="shared" si="53"/>
        <v>86504.376676769229</v>
      </c>
      <c r="BJ45" s="518">
        <f t="shared" si="53"/>
        <v>84068.836159748869</v>
      </c>
      <c r="BK45" s="518">
        <f t="shared" si="53"/>
        <v>81550.955127837806</v>
      </c>
      <c r="BL45" s="518">
        <f t="shared" si="53"/>
        <v>78686.424344137922</v>
      </c>
      <c r="BM45" s="518">
        <f t="shared" si="53"/>
        <v>76700.637574431094</v>
      </c>
      <c r="BN45" s="518">
        <f t="shared" si="53"/>
        <v>73942.404529780964</v>
      </c>
      <c r="BO45" s="518">
        <f t="shared" si="53"/>
        <v>71695.170449192665</v>
      </c>
    </row>
    <row r="46" spans="1:67" s="324" customFormat="1">
      <c r="A46" s="324" t="s">
        <v>529</v>
      </c>
      <c r="D46" s="518">
        <f t="shared" ref="D46:AI46" si="54">D22/D$32</f>
        <v>131831.91535199928</v>
      </c>
      <c r="E46" s="518">
        <f t="shared" si="54"/>
        <v>154803.84049889311</v>
      </c>
      <c r="F46" s="518">
        <f t="shared" si="54"/>
        <v>145150.77312653165</v>
      </c>
      <c r="G46" s="518">
        <f t="shared" si="54"/>
        <v>109128.49749998073</v>
      </c>
      <c r="H46" s="518">
        <f t="shared" si="54"/>
        <v>104392.3476361176</v>
      </c>
      <c r="I46" s="518">
        <f t="shared" si="54"/>
        <v>103449.04698254749</v>
      </c>
      <c r="J46" s="518">
        <f t="shared" si="54"/>
        <v>118070.2159601586</v>
      </c>
      <c r="K46" s="518">
        <f t="shared" si="54"/>
        <v>126646.85623107239</v>
      </c>
      <c r="L46" s="518">
        <f t="shared" si="54"/>
        <v>150959.93503745424</v>
      </c>
      <c r="M46" s="518">
        <f t="shared" si="54"/>
        <v>147892.08271303313</v>
      </c>
      <c r="N46" s="518">
        <f t="shared" si="54"/>
        <v>165719.5709042481</v>
      </c>
      <c r="O46" s="518">
        <f t="shared" si="54"/>
        <v>171869.34822821172</v>
      </c>
      <c r="P46" s="518">
        <f t="shared" si="54"/>
        <v>180619.89095580121</v>
      </c>
      <c r="Q46" s="518">
        <f t="shared" si="54"/>
        <v>167138.33502967161</v>
      </c>
      <c r="R46" s="518">
        <f t="shared" si="54"/>
        <v>176088.1036373589</v>
      </c>
      <c r="S46" s="518">
        <f t="shared" si="54"/>
        <v>206524.87857601079</v>
      </c>
      <c r="T46" s="518">
        <f t="shared" si="54"/>
        <v>245923.74703889366</v>
      </c>
      <c r="U46" s="518">
        <f t="shared" si="54"/>
        <v>241233.74335287572</v>
      </c>
      <c r="V46" s="518">
        <f t="shared" si="54"/>
        <v>208695.68803894945</v>
      </c>
      <c r="W46" s="518">
        <f t="shared" si="54"/>
        <v>186877.85770168083</v>
      </c>
      <c r="X46" s="518">
        <f t="shared" si="54"/>
        <v>170507.54942006595</v>
      </c>
      <c r="Y46" s="518">
        <f t="shared" si="54"/>
        <v>174990.08146165335</v>
      </c>
      <c r="Z46" s="518">
        <f t="shared" si="54"/>
        <v>200480.69767123592</v>
      </c>
      <c r="AA46" s="518">
        <f t="shared" si="54"/>
        <v>186108.56887067022</v>
      </c>
      <c r="AB46" s="518">
        <f t="shared" si="54"/>
        <v>191362.6238465808</v>
      </c>
      <c r="AC46" s="518">
        <f t="shared" si="54"/>
        <v>181608.46462000001</v>
      </c>
      <c r="AD46" s="518">
        <f t="shared" si="54"/>
        <v>199988.96739130435</v>
      </c>
      <c r="AE46" s="735">
        <f t="shared" si="54"/>
        <v>217402.06494497112</v>
      </c>
      <c r="AF46" s="518">
        <f t="shared" si="54"/>
        <v>234604.73218231241</v>
      </c>
      <c r="AG46" s="518">
        <f t="shared" si="54"/>
        <v>221691.71013897943</v>
      </c>
      <c r="AH46" s="518">
        <f t="shared" si="54"/>
        <v>193380.2688667941</v>
      </c>
      <c r="AI46" s="518">
        <f t="shared" si="54"/>
        <v>174922.92503067796</v>
      </c>
      <c r="AJ46" s="518">
        <f t="shared" ref="AJ46:BE46" si="55">AJ22/AJ$32</f>
        <v>173289.05263576042</v>
      </c>
      <c r="AK46" s="518">
        <f t="shared" si="55"/>
        <v>168790.26044411285</v>
      </c>
      <c r="AL46" s="518">
        <f t="shared" si="55"/>
        <v>158268.11819745807</v>
      </c>
      <c r="AM46" s="518">
        <f t="shared" si="55"/>
        <v>151293.64665316092</v>
      </c>
      <c r="AN46" s="518">
        <f t="shared" si="55"/>
        <v>148856.70984207682</v>
      </c>
      <c r="AO46" s="518">
        <f t="shared" si="55"/>
        <v>141224.34641411272</v>
      </c>
      <c r="AP46" s="518">
        <f t="shared" si="55"/>
        <v>133898.46783884952</v>
      </c>
      <c r="AQ46" s="518">
        <f t="shared" si="55"/>
        <v>129951.25417710753</v>
      </c>
      <c r="AR46" s="518">
        <f t="shared" si="55"/>
        <v>128021.52792931459</v>
      </c>
      <c r="AS46" s="518">
        <f t="shared" si="55"/>
        <v>127943.19062319136</v>
      </c>
      <c r="AT46" s="518">
        <f t="shared" si="55"/>
        <v>125518.31803908948</v>
      </c>
      <c r="AU46" s="518">
        <f t="shared" si="55"/>
        <v>123026.70036302663</v>
      </c>
      <c r="AV46" s="518">
        <f t="shared" si="55"/>
        <v>121847.91866183904</v>
      </c>
      <c r="AW46" s="518">
        <f t="shared" si="55"/>
        <v>119573.30963674738</v>
      </c>
      <c r="AX46" s="518">
        <f t="shared" si="55"/>
        <v>117420.64354626097</v>
      </c>
      <c r="AY46" s="518">
        <f t="shared" si="55"/>
        <v>113873.29869227151</v>
      </c>
      <c r="AZ46" s="518">
        <f t="shared" si="55"/>
        <v>110836.22280382358</v>
      </c>
      <c r="BA46" s="518">
        <f t="shared" si="55"/>
        <v>107393.94796410046</v>
      </c>
      <c r="BB46" s="518">
        <f t="shared" si="55"/>
        <v>104473.95388374882</v>
      </c>
      <c r="BC46" s="518">
        <f t="shared" si="55"/>
        <v>101699.12996364236</v>
      </c>
      <c r="BD46" s="518">
        <f t="shared" si="55"/>
        <v>100049.99694326226</v>
      </c>
      <c r="BE46" s="518">
        <f t="shared" si="55"/>
        <v>96569.845134871997</v>
      </c>
      <c r="BF46" s="518">
        <f t="shared" ref="BF46:BO46" si="56">BF22/BF$32</f>
        <v>92054.52224324597</v>
      </c>
      <c r="BG46" s="518">
        <f t="shared" si="56"/>
        <v>90165.982890027648</v>
      </c>
      <c r="BH46" s="518">
        <f t="shared" si="56"/>
        <v>88299.50940116719</v>
      </c>
      <c r="BI46" s="518">
        <f t="shared" si="56"/>
        <v>86504.376676769229</v>
      </c>
      <c r="BJ46" s="518">
        <f t="shared" si="56"/>
        <v>84068.836159748869</v>
      </c>
      <c r="BK46" s="518">
        <f t="shared" si="56"/>
        <v>81550.955127837806</v>
      </c>
      <c r="BL46" s="518">
        <f t="shared" si="56"/>
        <v>78686.424344137922</v>
      </c>
      <c r="BM46" s="518">
        <f t="shared" si="56"/>
        <v>76700.637574431094</v>
      </c>
      <c r="BN46" s="518">
        <f t="shared" si="56"/>
        <v>73942.404529780964</v>
      </c>
      <c r="BO46" s="518">
        <f t="shared" si="56"/>
        <v>71695.170449192665</v>
      </c>
    </row>
    <row r="47" spans="1:67">
      <c r="A47" s="324" t="s">
        <v>548</v>
      </c>
      <c r="D47" s="515">
        <f>[2]!FAMEData(""&amp;B103&amp;"'jks66", "1997", "2020", 0,"Annual", "Across", "No Heading", "Normal")</f>
        <v>127129.56542824073</v>
      </c>
      <c r="E47" s="504">
        <v>154929.5185546875</v>
      </c>
      <c r="F47" s="504">
        <v>135849.6240234375</v>
      </c>
      <c r="G47" s="504">
        <v>105871.96960449219</v>
      </c>
      <c r="H47" s="504">
        <v>102652.79638671875</v>
      </c>
      <c r="I47" s="504">
        <v>97217.145507812515</v>
      </c>
      <c r="J47" s="504">
        <v>110576.830078125</v>
      </c>
      <c r="K47" s="504">
        <v>121957.9599609375</v>
      </c>
      <c r="L47" s="504">
        <v>145837.3037109375</v>
      </c>
      <c r="M47" s="504">
        <v>150911.14697265625</v>
      </c>
      <c r="N47" s="504">
        <v>165129.4814453125</v>
      </c>
      <c r="O47" s="504">
        <v>174331.2333984375</v>
      </c>
      <c r="P47" s="504">
        <v>179444.06878662112</v>
      </c>
      <c r="Q47" s="504">
        <v>165103.89038085938</v>
      </c>
      <c r="R47" s="504">
        <v>183973.47735595703</v>
      </c>
      <c r="S47" s="504">
        <v>210833.33377075192</v>
      </c>
      <c r="T47" s="504">
        <v>250718.2255859375</v>
      </c>
      <c r="U47" s="504">
        <v>246212.75732421875</v>
      </c>
      <c r="V47" s="504">
        <v>216106.2490234375</v>
      </c>
      <c r="W47" s="504">
        <v>181568.99243164063</v>
      </c>
      <c r="X47" s="504">
        <v>171739.31353759766</v>
      </c>
      <c r="Y47" s="504">
        <v>172996.56713867188</v>
      </c>
      <c r="Z47" s="504">
        <v>197908.41300964355</v>
      </c>
      <c r="AA47" s="504">
        <v>191306.33548355103</v>
      </c>
      <c r="AB47" s="504"/>
      <c r="AC47" s="504"/>
      <c r="AD47" s="504"/>
      <c r="AE47" s="734"/>
      <c r="AF47" s="504"/>
      <c r="AG47" s="504"/>
      <c r="AH47" s="504"/>
      <c r="AI47" s="504"/>
      <c r="AJ47" s="504"/>
      <c r="AK47" s="504"/>
      <c r="AL47" s="504"/>
      <c r="AM47" s="504"/>
      <c r="AN47" s="504"/>
      <c r="AO47" s="504"/>
      <c r="AP47" s="504"/>
      <c r="AQ47" s="504"/>
      <c r="AR47" s="504"/>
      <c r="AS47" s="504"/>
      <c r="AT47" s="504"/>
      <c r="AU47" s="504"/>
      <c r="AV47" s="504"/>
      <c r="AW47" s="504"/>
      <c r="AX47" s="504"/>
      <c r="AY47" s="504"/>
      <c r="AZ47" s="504"/>
      <c r="BA47" s="504"/>
      <c r="BB47" s="504"/>
      <c r="BC47" s="504"/>
      <c r="BD47" s="504"/>
      <c r="BE47" s="504"/>
    </row>
    <row r="48" spans="1:67" s="543" customFormat="1">
      <c r="A48" s="541" t="s">
        <v>526</v>
      </c>
      <c r="B48" s="541"/>
      <c r="C48" s="541"/>
      <c r="D48" s="517">
        <f>D47-D46</f>
        <v>-4702.3499237585493</v>
      </c>
      <c r="E48" s="517">
        <f t="shared" ref="E48:AA48" si="57">E47-E46</f>
        <v>125.67805579438573</v>
      </c>
      <c r="F48" s="517">
        <f t="shared" si="57"/>
        <v>-9301.1491030941543</v>
      </c>
      <c r="G48" s="517">
        <f t="shared" si="57"/>
        <v>-3256.5278954885434</v>
      </c>
      <c r="H48" s="517">
        <f t="shared" si="57"/>
        <v>-1739.5512493988499</v>
      </c>
      <c r="I48" s="517">
        <f t="shared" si="57"/>
        <v>-6231.901474734972</v>
      </c>
      <c r="J48" s="517">
        <f t="shared" si="57"/>
        <v>-7493.3858820336027</v>
      </c>
      <c r="K48" s="517">
        <f t="shared" si="57"/>
        <v>-4688.8962701348937</v>
      </c>
      <c r="L48" s="517">
        <f t="shared" si="57"/>
        <v>-5122.631326516741</v>
      </c>
      <c r="M48" s="517">
        <f t="shared" si="57"/>
        <v>3019.0642596231191</v>
      </c>
      <c r="N48" s="517">
        <f t="shared" si="57"/>
        <v>-590.08945893560303</v>
      </c>
      <c r="O48" s="517">
        <f t="shared" si="57"/>
        <v>2461.8851702257816</v>
      </c>
      <c r="P48" s="517">
        <f t="shared" si="57"/>
        <v>-1175.8221691800863</v>
      </c>
      <c r="Q48" s="517">
        <f t="shared" si="57"/>
        <v>-2034.4446488122339</v>
      </c>
      <c r="R48" s="517">
        <f t="shared" si="57"/>
        <v>7885.3737185981299</v>
      </c>
      <c r="S48" s="517">
        <f t="shared" si="57"/>
        <v>4308.4551947411383</v>
      </c>
      <c r="T48" s="517">
        <f t="shared" si="57"/>
        <v>4794.4785470438364</v>
      </c>
      <c r="U48" s="517">
        <f t="shared" si="57"/>
        <v>4979.0139713430253</v>
      </c>
      <c r="V48" s="517">
        <f t="shared" si="57"/>
        <v>7410.5609844880528</v>
      </c>
      <c r="W48" s="517">
        <f t="shared" si="57"/>
        <v>-5308.8652700402017</v>
      </c>
      <c r="X48" s="517">
        <f t="shared" si="57"/>
        <v>1231.7641175317112</v>
      </c>
      <c r="Y48" s="517">
        <f t="shared" si="57"/>
        <v>-1993.5143229814712</v>
      </c>
      <c r="Z48" s="517">
        <f t="shared" si="57"/>
        <v>-2572.2846615923627</v>
      </c>
      <c r="AA48" s="517">
        <f t="shared" si="57"/>
        <v>5197.766612880805</v>
      </c>
      <c r="AB48" s="542"/>
      <c r="AC48" s="542"/>
      <c r="AD48" s="542"/>
      <c r="AE48" s="743"/>
      <c r="AF48" s="542"/>
      <c r="AG48" s="542"/>
      <c r="AH48" s="542"/>
      <c r="AI48" s="542"/>
      <c r="AJ48" s="542"/>
      <c r="AK48" s="542"/>
      <c r="AL48" s="542"/>
      <c r="AM48" s="542"/>
      <c r="AN48" s="542"/>
      <c r="AO48" s="542"/>
      <c r="AP48" s="542"/>
      <c r="AQ48" s="542"/>
      <c r="AR48" s="542"/>
      <c r="AS48" s="542"/>
      <c r="AT48" s="542"/>
      <c r="AU48" s="542"/>
      <c r="AV48" s="542"/>
      <c r="AW48" s="542"/>
      <c r="AX48" s="542"/>
      <c r="AY48" s="542"/>
      <c r="AZ48" s="542"/>
      <c r="BA48" s="542"/>
      <c r="BB48" s="542"/>
      <c r="BC48" s="542"/>
      <c r="BD48" s="542"/>
      <c r="BE48" s="542"/>
    </row>
    <row r="49" spans="1:77">
      <c r="A49" s="32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32"/>
      <c r="V49" s="544"/>
      <c r="W49" s="544"/>
      <c r="X49" s="544"/>
      <c r="Y49" s="544"/>
      <c r="Z49" s="544"/>
      <c r="AC49" s="702"/>
      <c r="AD49" s="544"/>
      <c r="AE49" s="744"/>
      <c r="AF49" s="544"/>
      <c r="AG49" s="544"/>
      <c r="AH49" s="544"/>
      <c r="AI49" s="544"/>
      <c r="AJ49" s="544"/>
      <c r="AK49" s="544"/>
    </row>
    <row r="50" spans="1:77" s="499" customFormat="1">
      <c r="A50" s="498" t="s">
        <v>533</v>
      </c>
      <c r="D50" s="545"/>
      <c r="E50" s="545"/>
      <c r="F50" s="545"/>
      <c r="G50" s="545"/>
      <c r="H50" s="545"/>
      <c r="I50" s="545"/>
      <c r="J50" s="545"/>
      <c r="K50" s="545"/>
      <c r="L50" s="545"/>
      <c r="M50" s="545"/>
      <c r="N50" s="545"/>
      <c r="O50" s="545"/>
      <c r="P50" s="545"/>
      <c r="Q50" s="545"/>
      <c r="R50" s="545"/>
      <c r="S50" s="545"/>
      <c r="T50" s="545"/>
      <c r="U50" s="546"/>
      <c r="V50" s="545"/>
      <c r="W50" s="545"/>
      <c r="X50" s="545"/>
      <c r="Y50" s="545"/>
      <c r="Z50" s="545"/>
      <c r="AC50" s="703"/>
      <c r="AD50" s="545"/>
      <c r="AE50" s="745"/>
      <c r="AF50" s="545"/>
      <c r="AG50" s="545"/>
      <c r="AH50" s="545"/>
      <c r="AI50" s="545"/>
      <c r="AJ50" s="545"/>
      <c r="AK50" s="545"/>
    </row>
    <row r="51" spans="1:77">
      <c r="A51" s="489" t="s">
        <v>611</v>
      </c>
    </row>
    <row r="52" spans="1:77">
      <c r="A52" s="325" t="s">
        <v>324</v>
      </c>
      <c r="D52" s="514">
        <f t="shared" ref="D52:V52" si="58">D38</f>
        <v>16650.348061138557</v>
      </c>
      <c r="E52" s="514">
        <f t="shared" si="58"/>
        <v>15562.21833424855</v>
      </c>
      <c r="F52" s="514">
        <f t="shared" si="58"/>
        <v>12490.725011322302</v>
      </c>
      <c r="G52" s="514">
        <f t="shared" si="58"/>
        <v>3504.1516350551401</v>
      </c>
      <c r="H52" s="514">
        <f t="shared" si="58"/>
        <v>3133.2707703209871</v>
      </c>
      <c r="I52" s="514">
        <f t="shared" si="58"/>
        <v>1620.5934636517786</v>
      </c>
      <c r="J52" s="514">
        <f t="shared" si="58"/>
        <v>1768.4345958661925</v>
      </c>
      <c r="K52" s="514">
        <f t="shared" si="58"/>
        <v>9958.3961623355317</v>
      </c>
      <c r="L52" s="514">
        <f t="shared" si="58"/>
        <v>13922.534274452271</v>
      </c>
      <c r="M52" s="514">
        <f t="shared" si="58"/>
        <v>7991.9898917040291</v>
      </c>
      <c r="N52" s="514">
        <f t="shared" si="58"/>
        <v>3747.3691824469433</v>
      </c>
      <c r="O52" s="514">
        <f t="shared" si="58"/>
        <v>2376.0365684092685</v>
      </c>
      <c r="P52" s="514">
        <f t="shared" si="58"/>
        <v>1936.976649719071</v>
      </c>
      <c r="Q52" s="514">
        <f t="shared" si="58"/>
        <v>1796.9052112041136</v>
      </c>
      <c r="R52" s="514">
        <f t="shared" si="58"/>
        <v>3459.045990613909</v>
      </c>
      <c r="S52" s="514">
        <f t="shared" si="58"/>
        <v>3132.9276896145802</v>
      </c>
      <c r="T52" s="514">
        <f t="shared" si="58"/>
        <v>5655.7468108466937</v>
      </c>
      <c r="U52" s="514">
        <f t="shared" si="58"/>
        <v>10400.178022474096</v>
      </c>
      <c r="V52" s="514">
        <f t="shared" si="58"/>
        <v>7531.5103615204107</v>
      </c>
      <c r="W52" s="514">
        <f t="shared" ref="W52:BE52" si="59">W38</f>
        <v>4495.8938199111108</v>
      </c>
      <c r="X52" s="547">
        <f t="shared" si="59"/>
        <v>5462.1723983781294</v>
      </c>
      <c r="Y52" s="547">
        <f t="shared" si="59"/>
        <v>4496.3157679144779</v>
      </c>
      <c r="Z52" s="547">
        <f t="shared" si="59"/>
        <v>4102.0932964068961</v>
      </c>
      <c r="AA52" s="547">
        <f t="shared" si="59"/>
        <v>3794.5580348504336</v>
      </c>
      <c r="AB52" s="547">
        <f t="shared" si="59"/>
        <v>3137.8169999999996</v>
      </c>
      <c r="AC52" s="547">
        <f t="shared" si="59"/>
        <v>3613.9946199999999</v>
      </c>
      <c r="AD52" s="547">
        <f t="shared" si="59"/>
        <v>5811.5942028985501</v>
      </c>
      <c r="AE52" s="746">
        <f t="shared" si="59"/>
        <v>8717.4457883840023</v>
      </c>
      <c r="AF52" s="548">
        <f t="shared" si="59"/>
        <v>8458.8804395399166</v>
      </c>
      <c r="AG52" s="548">
        <f t="shared" si="59"/>
        <v>5077.6261696756737</v>
      </c>
      <c r="AH52" s="548">
        <f t="shared" si="59"/>
        <v>3281.8025985111472</v>
      </c>
      <c r="AI52" s="548">
        <f t="shared" si="59"/>
        <v>5899.1523156444091</v>
      </c>
      <c r="AJ52" s="548">
        <f t="shared" si="59"/>
        <v>9140.2077049600466</v>
      </c>
      <c r="AK52" s="548">
        <f t="shared" si="59"/>
        <v>9000.1799272246026</v>
      </c>
      <c r="AL52" s="548">
        <f t="shared" si="59"/>
        <v>5746.9066790873203</v>
      </c>
      <c r="AM52" s="548">
        <f t="shared" si="59"/>
        <v>4273.4966890221804</v>
      </c>
      <c r="AN52" s="548">
        <f t="shared" si="59"/>
        <v>5023.9091409225384</v>
      </c>
      <c r="AO52" s="548">
        <f t="shared" si="59"/>
        <v>5016.3223440256215</v>
      </c>
      <c r="AP52" s="548">
        <f t="shared" si="59"/>
        <v>5147.5914865904842</v>
      </c>
      <c r="AQ52" s="548">
        <f t="shared" si="59"/>
        <v>5486.1425246210629</v>
      </c>
      <c r="AR52" s="548">
        <f t="shared" si="59"/>
        <v>6362.6505378987395</v>
      </c>
      <c r="AS52" s="548">
        <f t="shared" si="59"/>
        <v>6847.8838446874488</v>
      </c>
      <c r="AT52" s="548">
        <f t="shared" si="59"/>
        <v>6957.3836227006268</v>
      </c>
      <c r="AU52" s="548">
        <f t="shared" si="59"/>
        <v>6272.1804663454568</v>
      </c>
      <c r="AV52" s="548">
        <f t="shared" si="59"/>
        <v>5003.8080376928619</v>
      </c>
      <c r="AW52" s="548">
        <f t="shared" si="59"/>
        <v>3793.5036731381761</v>
      </c>
      <c r="AX52" s="548">
        <f t="shared" si="59"/>
        <v>2843.676053251183</v>
      </c>
      <c r="AY52" s="548">
        <f t="shared" si="59"/>
        <v>2810.4943023381006</v>
      </c>
      <c r="AZ52" s="548">
        <f t="shared" si="59"/>
        <v>2640.4378289085544</v>
      </c>
      <c r="BA52" s="548">
        <f t="shared" si="59"/>
        <v>2184.1887538536648</v>
      </c>
      <c r="BB52" s="548">
        <f t="shared" si="59"/>
        <v>1432.6220956723466</v>
      </c>
      <c r="BC52" s="548">
        <f t="shared" si="59"/>
        <v>874.33913655972719</v>
      </c>
      <c r="BD52" s="548">
        <f t="shared" si="59"/>
        <v>441.31728714399929</v>
      </c>
      <c r="BE52" s="548">
        <f t="shared" si="59"/>
        <v>361.68108495260122</v>
      </c>
      <c r="BF52" s="548">
        <f t="shared" ref="BF52:BO52" si="60">BF38</f>
        <v>361.68108495260105</v>
      </c>
      <c r="BG52" s="548">
        <f t="shared" si="60"/>
        <v>289.51077671664603</v>
      </c>
      <c r="BH52" s="548">
        <f t="shared" si="60"/>
        <v>206.5563994339395</v>
      </c>
      <c r="BI52" s="548">
        <f t="shared" si="60"/>
        <v>205.72685566111275</v>
      </c>
      <c r="BJ52" s="548">
        <f t="shared" si="60"/>
        <v>205.72685566111258</v>
      </c>
      <c r="BK52" s="548">
        <f t="shared" si="60"/>
        <v>199.090505478496</v>
      </c>
      <c r="BL52" s="548">
        <f t="shared" si="60"/>
        <v>199.09050547849591</v>
      </c>
      <c r="BM52" s="548">
        <f t="shared" si="60"/>
        <v>198.26096170566913</v>
      </c>
      <c r="BN52" s="548">
        <f t="shared" si="60"/>
        <v>198.2609617056689</v>
      </c>
      <c r="BO52" s="548">
        <f t="shared" si="60"/>
        <v>199.09050547849606</v>
      </c>
    </row>
    <row r="53" spans="1:77">
      <c r="A53" s="325" t="s">
        <v>325</v>
      </c>
      <c r="D53" s="514">
        <f t="shared" ref="D53:V53" si="61">D39</f>
        <v>1625.8671164821651</v>
      </c>
      <c r="E53" s="514">
        <f t="shared" si="61"/>
        <v>11991.267744027218</v>
      </c>
      <c r="F53" s="514">
        <f t="shared" si="61"/>
        <v>10864.984450728565</v>
      </c>
      <c r="G53" s="514">
        <f t="shared" si="61"/>
        <v>904.83660990024032</v>
      </c>
      <c r="H53" s="514">
        <f t="shared" si="61"/>
        <v>694.3439680332699</v>
      </c>
      <c r="I53" s="514">
        <f t="shared" si="61"/>
        <v>5128.9687529582698</v>
      </c>
      <c r="J53" s="514">
        <f t="shared" si="61"/>
        <v>18571.964092356302</v>
      </c>
      <c r="K53" s="514">
        <f t="shared" si="61"/>
        <v>27106.366451273276</v>
      </c>
      <c r="L53" s="514">
        <f t="shared" si="61"/>
        <v>27177.56082572872</v>
      </c>
      <c r="M53" s="514">
        <f t="shared" si="61"/>
        <v>26615.184941674812</v>
      </c>
      <c r="N53" s="514">
        <f t="shared" si="61"/>
        <v>17681.085554331708</v>
      </c>
      <c r="O53" s="514">
        <f t="shared" si="61"/>
        <v>6645.6039857044216</v>
      </c>
      <c r="P53" s="514">
        <f t="shared" si="61"/>
        <v>6062.9150849288135</v>
      </c>
      <c r="Q53" s="514">
        <f t="shared" si="61"/>
        <v>5238.7943337045781</v>
      </c>
      <c r="R53" s="514">
        <f t="shared" si="61"/>
        <v>3054.6954420559387</v>
      </c>
      <c r="S53" s="514">
        <f t="shared" si="61"/>
        <v>1641.6681008475357</v>
      </c>
      <c r="T53" s="514">
        <f t="shared" si="61"/>
        <v>2168.1121121226465</v>
      </c>
      <c r="U53" s="514">
        <f t="shared" si="61"/>
        <v>5364.7730382288255</v>
      </c>
      <c r="V53" s="514">
        <f t="shared" si="61"/>
        <v>7861.4826504746479</v>
      </c>
      <c r="W53" s="514">
        <f t="shared" ref="W53:BE53" si="62">W39</f>
        <v>5923.6142475999568</v>
      </c>
      <c r="X53" s="547">
        <f t="shared" si="62"/>
        <v>2892.0753374252986</v>
      </c>
      <c r="Y53" s="547">
        <f t="shared" si="62"/>
        <v>1866.8895584184233</v>
      </c>
      <c r="Z53" s="547">
        <f t="shared" si="62"/>
        <v>1849.9214998835998</v>
      </c>
      <c r="AA53" s="547">
        <f t="shared" si="62"/>
        <v>1644.7859558999999</v>
      </c>
      <c r="AB53" s="547">
        <f t="shared" si="62"/>
        <v>3973.6327499999998</v>
      </c>
      <c r="AC53" s="547">
        <f t="shared" si="62"/>
        <v>3600.47</v>
      </c>
      <c r="AD53" s="547">
        <f t="shared" si="62"/>
        <v>3527.9166666666665</v>
      </c>
      <c r="AE53" s="746">
        <f t="shared" si="62"/>
        <v>5445.5432058406886</v>
      </c>
      <c r="AF53" s="548">
        <f t="shared" si="62"/>
        <v>7234.6934042595331</v>
      </c>
      <c r="AG53" s="548">
        <f t="shared" si="62"/>
        <v>6541.5474700518489</v>
      </c>
      <c r="AH53" s="548">
        <f t="shared" si="62"/>
        <v>4931.2129014113143</v>
      </c>
      <c r="AI53" s="548">
        <f t="shared" si="62"/>
        <v>4377.9196373382665</v>
      </c>
      <c r="AJ53" s="548">
        <f t="shared" si="62"/>
        <v>2724.7339485753241</v>
      </c>
      <c r="AK53" s="548">
        <f t="shared" si="62"/>
        <v>3522.0860747089373</v>
      </c>
      <c r="AL53" s="548">
        <f t="shared" si="62"/>
        <v>1607.5426252172781</v>
      </c>
      <c r="AM53" s="548">
        <f t="shared" si="62"/>
        <v>1908.4107794847441</v>
      </c>
      <c r="AN53" s="548">
        <f t="shared" si="62"/>
        <v>1203.4864417164149</v>
      </c>
      <c r="AO53" s="548">
        <f t="shared" si="62"/>
        <v>1239.4746275213108</v>
      </c>
      <c r="AP53" s="548">
        <f t="shared" si="62"/>
        <v>1143.8297554355008</v>
      </c>
      <c r="AQ53" s="548">
        <f t="shared" si="62"/>
        <v>1090.4653366445773</v>
      </c>
      <c r="AR53" s="548">
        <f t="shared" si="62"/>
        <v>1143.8653889237817</v>
      </c>
      <c r="AS53" s="548">
        <f t="shared" si="62"/>
        <v>1072.7660070199647</v>
      </c>
      <c r="AT53" s="548">
        <f t="shared" si="62"/>
        <v>1046.1044701613025</v>
      </c>
      <c r="AU53" s="548">
        <f t="shared" si="62"/>
        <v>1180.8223788684177</v>
      </c>
      <c r="AV53" s="548">
        <f t="shared" si="62"/>
        <v>943.57285983987401</v>
      </c>
      <c r="AW53" s="548">
        <f t="shared" si="62"/>
        <v>925.32289683768147</v>
      </c>
      <c r="AX53" s="548">
        <f t="shared" si="62"/>
        <v>976.7546107529563</v>
      </c>
      <c r="AY53" s="548">
        <f t="shared" si="62"/>
        <v>946.67535355024768</v>
      </c>
      <c r="AZ53" s="548">
        <f t="shared" si="62"/>
        <v>920.84336046441365</v>
      </c>
      <c r="BA53" s="548">
        <f t="shared" si="62"/>
        <v>1019.890886939963</v>
      </c>
      <c r="BB53" s="548">
        <f t="shared" si="62"/>
        <v>892.97068969742236</v>
      </c>
      <c r="BC53" s="548">
        <f t="shared" si="62"/>
        <v>842.36851955497514</v>
      </c>
      <c r="BD53" s="548">
        <f t="shared" si="62"/>
        <v>973.4364356616486</v>
      </c>
      <c r="BE53" s="548">
        <f t="shared" si="62"/>
        <v>881.14139549691208</v>
      </c>
      <c r="BF53" s="548">
        <f t="shared" ref="BF53:BO53" si="63">BF39</f>
        <v>837.05943940887914</v>
      </c>
      <c r="BG53" s="548">
        <f t="shared" si="63"/>
        <v>898.77749610721332</v>
      </c>
      <c r="BH53" s="548">
        <f t="shared" si="63"/>
        <v>887.16388328763264</v>
      </c>
      <c r="BI53" s="548">
        <f t="shared" si="63"/>
        <v>798.40269959513807</v>
      </c>
      <c r="BJ53" s="548">
        <f t="shared" si="63"/>
        <v>877.20935801370945</v>
      </c>
      <c r="BK53" s="548">
        <f t="shared" si="63"/>
        <v>721.86899111411424</v>
      </c>
      <c r="BL53" s="548">
        <f t="shared" si="63"/>
        <v>752.44597458052033</v>
      </c>
      <c r="BM53" s="548">
        <f t="shared" si="63"/>
        <v>689.54167028704069</v>
      </c>
      <c r="BN53" s="548">
        <f t="shared" si="63"/>
        <v>716.08707101750679</v>
      </c>
      <c r="BO53" s="548">
        <f t="shared" si="63"/>
        <v>682.07577633159735</v>
      </c>
    </row>
    <row r="54" spans="1:77">
      <c r="A54" s="325" t="s">
        <v>326</v>
      </c>
      <c r="D54" s="514">
        <f t="shared" ref="D54:V54" si="64">D40</f>
        <v>18582.212752868309</v>
      </c>
      <c r="E54" s="514">
        <f t="shared" si="64"/>
        <v>17136.255765464532</v>
      </c>
      <c r="F54" s="514">
        <f t="shared" si="64"/>
        <v>12412.491017209224</v>
      </c>
      <c r="G54" s="514">
        <f t="shared" si="64"/>
        <v>12086.164573718816</v>
      </c>
      <c r="H54" s="514">
        <f t="shared" si="64"/>
        <v>15113.321093146275</v>
      </c>
      <c r="I54" s="514">
        <f t="shared" si="64"/>
        <v>10490.199284651115</v>
      </c>
      <c r="J54" s="514">
        <f t="shared" si="64"/>
        <v>9187.3578091009986</v>
      </c>
      <c r="K54" s="514">
        <f t="shared" si="64"/>
        <v>9040.4714657065506</v>
      </c>
      <c r="L54" s="514">
        <f t="shared" si="64"/>
        <v>14538.447197769094</v>
      </c>
      <c r="M54" s="514">
        <f t="shared" si="64"/>
        <v>20043.476974523612</v>
      </c>
      <c r="N54" s="514">
        <f t="shared" si="64"/>
        <v>27776.068866643309</v>
      </c>
      <c r="O54" s="514">
        <f t="shared" si="64"/>
        <v>35167.503703076887</v>
      </c>
      <c r="P54" s="514">
        <f t="shared" si="64"/>
        <v>37109.265525071212</v>
      </c>
      <c r="Q54" s="514">
        <f t="shared" si="64"/>
        <v>35492.302376811953</v>
      </c>
      <c r="R54" s="514">
        <f t="shared" si="64"/>
        <v>34091.880173698883</v>
      </c>
      <c r="S54" s="514">
        <f t="shared" si="64"/>
        <v>32295.855628818106</v>
      </c>
      <c r="T54" s="514">
        <f t="shared" si="64"/>
        <v>42082.532837343817</v>
      </c>
      <c r="U54" s="514">
        <f t="shared" si="64"/>
        <v>38802.174253731479</v>
      </c>
      <c r="V54" s="514">
        <f t="shared" si="64"/>
        <v>33918.580091854368</v>
      </c>
      <c r="W54" s="514">
        <f t="shared" ref="W54:BE54" si="65">W40</f>
        <v>24353.489230830699</v>
      </c>
      <c r="X54" s="514">
        <f t="shared" si="65"/>
        <v>21676.815068705149</v>
      </c>
      <c r="Y54" s="514">
        <f t="shared" si="65"/>
        <v>28533.883142083032</v>
      </c>
      <c r="Z54" s="514">
        <f t="shared" si="65"/>
        <v>30686.074583867998</v>
      </c>
      <c r="AA54" s="514">
        <f t="shared" si="65"/>
        <v>22220.872037999998</v>
      </c>
      <c r="AB54" s="514">
        <f t="shared" si="65"/>
        <v>26576.663999999997</v>
      </c>
      <c r="AC54" s="514">
        <f t="shared" si="65"/>
        <v>22025</v>
      </c>
      <c r="AD54" s="514">
        <f t="shared" si="65"/>
        <v>21659.420289855072</v>
      </c>
      <c r="AE54" s="733">
        <f t="shared" si="65"/>
        <v>26853.819330936032</v>
      </c>
      <c r="AF54" s="514">
        <f t="shared" si="65"/>
        <v>26692.316844588127</v>
      </c>
      <c r="AG54" s="514">
        <f t="shared" si="65"/>
        <v>26844.227331206632</v>
      </c>
      <c r="AH54" s="514">
        <f t="shared" si="65"/>
        <v>26815.203036236828</v>
      </c>
      <c r="AI54" s="514">
        <f t="shared" si="65"/>
        <v>26622.138370259796</v>
      </c>
      <c r="AJ54" s="514">
        <f t="shared" si="65"/>
        <v>26751.499798920373</v>
      </c>
      <c r="AK54" s="514">
        <f t="shared" si="65"/>
        <v>26992.148787894846</v>
      </c>
      <c r="AL54" s="514">
        <f t="shared" si="65"/>
        <v>27269.750565106737</v>
      </c>
      <c r="AM54" s="514">
        <f t="shared" si="65"/>
        <v>26620.166472262881</v>
      </c>
      <c r="AN54" s="514">
        <f t="shared" si="65"/>
        <v>26068.617517755069</v>
      </c>
      <c r="AO54" s="514">
        <f t="shared" si="65"/>
        <v>25838.556775028374</v>
      </c>
      <c r="AP54" s="514">
        <f t="shared" si="65"/>
        <v>25384.528292112242</v>
      </c>
      <c r="AQ54" s="514">
        <f t="shared" si="65"/>
        <v>24893.278234161975</v>
      </c>
      <c r="AR54" s="514">
        <f t="shared" si="65"/>
        <v>24384.347480404434</v>
      </c>
      <c r="AS54" s="514">
        <f t="shared" si="65"/>
        <v>23895.837920056492</v>
      </c>
      <c r="AT54" s="514">
        <f t="shared" si="65"/>
        <v>22755.215232419232</v>
      </c>
      <c r="AU54" s="514">
        <f t="shared" si="65"/>
        <v>22069.182532291259</v>
      </c>
      <c r="AV54" s="514">
        <f t="shared" si="65"/>
        <v>22066.693900972801</v>
      </c>
      <c r="AW54" s="514">
        <f t="shared" si="65"/>
        <v>22063.375725881499</v>
      </c>
      <c r="AX54" s="514">
        <f t="shared" si="65"/>
        <v>21374.854394435009</v>
      </c>
      <c r="AY54" s="514">
        <f t="shared" si="65"/>
        <v>20916.116688061658</v>
      </c>
      <c r="AZ54" s="514">
        <f t="shared" si="65"/>
        <v>20916.946231834489</v>
      </c>
      <c r="BA54" s="514">
        <f t="shared" si="65"/>
        <v>20916.11668806164</v>
      </c>
      <c r="BB54" s="514">
        <f t="shared" si="65"/>
        <v>20226.765812842332</v>
      </c>
      <c r="BC54" s="514">
        <f t="shared" si="65"/>
        <v>20226.765812842386</v>
      </c>
      <c r="BD54" s="514">
        <f t="shared" si="65"/>
        <v>20226.765812842339</v>
      </c>
      <c r="BE54" s="514">
        <f t="shared" si="65"/>
        <v>19537.414937623056</v>
      </c>
      <c r="BF54" s="514">
        <f t="shared" ref="BF54:BO54" si="66">BF40</f>
        <v>18387.667268484769</v>
      </c>
      <c r="BG54" s="514">
        <f t="shared" si="66"/>
        <v>18387.667268484758</v>
      </c>
      <c r="BH54" s="514">
        <f t="shared" si="66"/>
        <v>18387.667268484758</v>
      </c>
      <c r="BI54" s="514">
        <f t="shared" si="66"/>
        <v>18388.496812257566</v>
      </c>
      <c r="BJ54" s="514">
        <f t="shared" si="66"/>
        <v>18388.496812257603</v>
      </c>
      <c r="BK54" s="514">
        <f t="shared" si="66"/>
        <v>18388.496812257607</v>
      </c>
      <c r="BL54" s="514">
        <f t="shared" si="66"/>
        <v>18388.496812257585</v>
      </c>
      <c r="BM54" s="514">
        <f t="shared" si="66"/>
        <v>18388.496812257574</v>
      </c>
      <c r="BN54" s="514">
        <f t="shared" si="66"/>
        <v>18388.496812257592</v>
      </c>
      <c r="BO54" s="514">
        <f t="shared" si="66"/>
        <v>18388.496812257596</v>
      </c>
    </row>
    <row r="55" spans="1:77">
      <c r="A55" s="325" t="s">
        <v>332</v>
      </c>
      <c r="D55" s="514"/>
      <c r="E55" s="514"/>
      <c r="F55" s="514"/>
      <c r="G55" s="514"/>
      <c r="H55" s="514"/>
      <c r="I55" s="514"/>
      <c r="J55" s="514"/>
      <c r="K55" s="514"/>
      <c r="L55" s="514"/>
      <c r="M55" s="514"/>
      <c r="N55" s="514"/>
      <c r="O55" s="514">
        <f t="shared" ref="O55:V55" si="67">O27</f>
        <v>51242.918347365754</v>
      </c>
      <c r="P55" s="514">
        <f t="shared" si="67"/>
        <v>53711.01348537692</v>
      </c>
      <c r="Q55" s="514">
        <f t="shared" si="67"/>
        <v>54878.456450287791</v>
      </c>
      <c r="R55" s="514">
        <f t="shared" si="67"/>
        <v>56910.84874143498</v>
      </c>
      <c r="S55" s="514">
        <f t="shared" si="67"/>
        <v>62966.366561200513</v>
      </c>
      <c r="T55" s="514">
        <f t="shared" si="67"/>
        <v>78135.074957813471</v>
      </c>
      <c r="U55" s="514">
        <f t="shared" si="67"/>
        <v>71123.868451932227</v>
      </c>
      <c r="V55" s="514">
        <f t="shared" si="67"/>
        <v>63841.067203840867</v>
      </c>
      <c r="W55" s="514">
        <f>W27</f>
        <v>64546.779980836036</v>
      </c>
      <c r="X55" s="514">
        <f>X27</f>
        <v>60305.041604078237</v>
      </c>
      <c r="Y55" s="514">
        <f>Y27</f>
        <v>54510.553602716689</v>
      </c>
      <c r="Z55" s="514">
        <f>Z27</f>
        <v>62266.648300788867</v>
      </c>
      <c r="AA55" s="514">
        <f>AA27</f>
        <v>70290.578570218975</v>
      </c>
      <c r="AB55" s="514">
        <f t="shared" ref="AB55:AJ55" si="68">AB27</f>
        <v>73111.242087261489</v>
      </c>
      <c r="AC55" s="514">
        <f t="shared" si="68"/>
        <v>59543.000000000102</v>
      </c>
      <c r="AD55" s="514">
        <f t="shared" si="68"/>
        <v>64475.543478260865</v>
      </c>
      <c r="AE55" s="733">
        <f t="shared" si="68"/>
        <v>57382.757164650749</v>
      </c>
      <c r="AF55" s="514">
        <f t="shared" si="68"/>
        <v>73944.177660164612</v>
      </c>
      <c r="AG55" s="514">
        <f t="shared" si="68"/>
        <v>79666.848921470853</v>
      </c>
      <c r="AH55" s="514">
        <f t="shared" si="68"/>
        <v>66886.18192914041</v>
      </c>
      <c r="AI55" s="514">
        <f t="shared" si="68"/>
        <v>52775.970154642593</v>
      </c>
      <c r="AJ55" s="514">
        <f t="shared" si="68"/>
        <v>41370.6269015629</v>
      </c>
      <c r="AK55" s="514"/>
      <c r="AL55" s="514"/>
      <c r="AM55" s="548"/>
      <c r="AN55" s="548"/>
      <c r="AO55" s="548"/>
      <c r="AP55" s="548"/>
      <c r="AQ55" s="548"/>
      <c r="AR55" s="548"/>
      <c r="AS55" s="548"/>
      <c r="AT55" s="548"/>
      <c r="AU55" s="548"/>
      <c r="AV55" s="548"/>
      <c r="AW55" s="548"/>
      <c r="AX55" s="548"/>
      <c r="AY55" s="548"/>
      <c r="AZ55" s="548"/>
      <c r="BA55" s="548"/>
      <c r="BB55" s="548"/>
      <c r="BC55" s="548"/>
      <c r="BD55" s="548"/>
      <c r="BE55" s="548"/>
      <c r="BF55" s="548"/>
      <c r="BG55" s="548"/>
      <c r="BH55" s="548"/>
      <c r="BI55" s="548"/>
      <c r="BJ55" s="548"/>
      <c r="BK55" s="548"/>
      <c r="BL55" s="548"/>
      <c r="BM55" s="548"/>
      <c r="BN55" s="548"/>
      <c r="BO55" s="548"/>
    </row>
    <row r="56" spans="1:77">
      <c r="A56" s="325" t="s">
        <v>373</v>
      </c>
      <c r="D56" s="514">
        <f t="shared" ref="D56:V56" si="69">D57-SUM(D52:D55)</f>
        <v>94973.487421510246</v>
      </c>
      <c r="E56" s="514">
        <f t="shared" si="69"/>
        <v>110114.09865515282</v>
      </c>
      <c r="F56" s="514">
        <f t="shared" si="69"/>
        <v>109382.57264727156</v>
      </c>
      <c r="G56" s="514">
        <f t="shared" si="69"/>
        <v>92633.344681306538</v>
      </c>
      <c r="H56" s="514">
        <f t="shared" si="69"/>
        <v>85451.411804617062</v>
      </c>
      <c r="I56" s="514">
        <f t="shared" si="69"/>
        <v>86209.285481286322</v>
      </c>
      <c r="J56" s="514">
        <f t="shared" si="69"/>
        <v>88542.459462835104</v>
      </c>
      <c r="K56" s="514">
        <f t="shared" si="69"/>
        <v>80541.622151757037</v>
      </c>
      <c r="L56" s="514">
        <f t="shared" si="69"/>
        <v>95321.392739504168</v>
      </c>
      <c r="M56" s="514">
        <f t="shared" si="69"/>
        <v>93241.430905130677</v>
      </c>
      <c r="N56" s="514">
        <f t="shared" si="69"/>
        <v>116515.04730082615</v>
      </c>
      <c r="O56" s="514">
        <f t="shared" si="69"/>
        <v>76437.285623655422</v>
      </c>
      <c r="P56" s="514">
        <f t="shared" si="69"/>
        <v>81799.720210705156</v>
      </c>
      <c r="Q56" s="514">
        <f t="shared" si="69"/>
        <v>69731.876657663175</v>
      </c>
      <c r="R56" s="514">
        <f t="shared" si="69"/>
        <v>78571.63328955516</v>
      </c>
      <c r="S56" s="514">
        <f t="shared" si="69"/>
        <v>106488.06059553003</v>
      </c>
      <c r="T56" s="514">
        <f t="shared" si="69"/>
        <v>117882.28032076704</v>
      </c>
      <c r="U56" s="514">
        <f t="shared" si="69"/>
        <v>115542.7495865091</v>
      </c>
      <c r="V56" s="514">
        <f t="shared" si="69"/>
        <v>95543.047731259125</v>
      </c>
      <c r="W56" s="548">
        <f t="shared" ref="W56:BE56" si="70">W57-SUM(W52:W55)</f>
        <v>87558.08042250303</v>
      </c>
      <c r="X56" s="547">
        <f t="shared" si="70"/>
        <v>80171.44501147914</v>
      </c>
      <c r="Y56" s="547">
        <f t="shared" si="70"/>
        <v>85582.439390520725</v>
      </c>
      <c r="Z56" s="547">
        <f t="shared" si="70"/>
        <v>101575.95999028854</v>
      </c>
      <c r="AA56" s="547">
        <f t="shared" si="70"/>
        <v>88157.774271700822</v>
      </c>
      <c r="AB56" s="547">
        <f t="shared" si="70"/>
        <v>84563.268009319319</v>
      </c>
      <c r="AC56" s="547">
        <f t="shared" si="70"/>
        <v>92825.999999999913</v>
      </c>
      <c r="AD56" s="547">
        <f t="shared" si="70"/>
        <v>104514.49275362317</v>
      </c>
      <c r="AE56" s="746">
        <f t="shared" si="70"/>
        <v>119002.49945515962</v>
      </c>
      <c r="AF56" s="548">
        <f t="shared" si="70"/>
        <v>118274.66383376019</v>
      </c>
      <c r="AG56" s="548">
        <f t="shared" si="70"/>
        <v>103561.4602465744</v>
      </c>
      <c r="AH56" s="548">
        <f t="shared" si="70"/>
        <v>91465.868401494401</v>
      </c>
      <c r="AI56" s="548">
        <f t="shared" si="70"/>
        <v>85247.744552792894</v>
      </c>
      <c r="AJ56" s="548">
        <f t="shared" si="70"/>
        <v>93301.98428174181</v>
      </c>
      <c r="AK56" s="548">
        <f t="shared" si="70"/>
        <v>129275.84565428447</v>
      </c>
      <c r="AL56" s="548">
        <f t="shared" si="70"/>
        <v>123643.91832804671</v>
      </c>
      <c r="AM56" s="548">
        <f t="shared" si="70"/>
        <v>118491.57271239115</v>
      </c>
      <c r="AN56" s="548">
        <f t="shared" si="70"/>
        <v>116560.69674168283</v>
      </c>
      <c r="AO56" s="548">
        <f t="shared" si="70"/>
        <v>109129.99266753744</v>
      </c>
      <c r="AP56" s="548">
        <f t="shared" si="70"/>
        <v>102222.51830471127</v>
      </c>
      <c r="AQ56" s="548">
        <f t="shared" si="70"/>
        <v>98481.368081679931</v>
      </c>
      <c r="AR56" s="548">
        <f t="shared" si="70"/>
        <v>96130.664522087609</v>
      </c>
      <c r="AS56" s="548">
        <f t="shared" si="70"/>
        <v>96126.702851427443</v>
      </c>
      <c r="AT56" s="548">
        <f t="shared" si="70"/>
        <v>94759.614713808318</v>
      </c>
      <c r="AU56" s="548">
        <f t="shared" si="70"/>
        <v>93504.514985521469</v>
      </c>
      <c r="AV56" s="548">
        <f t="shared" si="70"/>
        <v>93833.843863333503</v>
      </c>
      <c r="AW56" s="548">
        <f t="shared" si="70"/>
        <v>92791.107340890012</v>
      </c>
      <c r="AX56" s="548">
        <f t="shared" si="70"/>
        <v>92225.358487821824</v>
      </c>
      <c r="AY56" s="548">
        <f t="shared" si="70"/>
        <v>89200.012348321499</v>
      </c>
      <c r="AZ56" s="548">
        <f t="shared" si="70"/>
        <v>86357.995382616107</v>
      </c>
      <c r="BA56" s="548">
        <f t="shared" si="70"/>
        <v>83273.751635245208</v>
      </c>
      <c r="BB56" s="548">
        <f t="shared" si="70"/>
        <v>81921.595285536721</v>
      </c>
      <c r="BC56" s="548">
        <f t="shared" si="70"/>
        <v>79755.656494685274</v>
      </c>
      <c r="BD56" s="548">
        <f t="shared" si="70"/>
        <v>78408.477407614264</v>
      </c>
      <c r="BE56" s="548">
        <f t="shared" si="70"/>
        <v>75789.607716799423</v>
      </c>
      <c r="BF56" s="548">
        <f t="shared" ref="BF56:BO56" si="71">BF57-SUM(BF52:BF55)</f>
        <v>72468.114450399735</v>
      </c>
      <c r="BG56" s="548">
        <f t="shared" si="71"/>
        <v>70590.027348719042</v>
      </c>
      <c r="BH56" s="548">
        <f t="shared" si="71"/>
        <v>68818.121849960851</v>
      </c>
      <c r="BI56" s="548">
        <f t="shared" si="71"/>
        <v>67111.750309255396</v>
      </c>
      <c r="BJ56" s="548">
        <f t="shared" si="71"/>
        <v>64597.403133816435</v>
      </c>
      <c r="BK56" s="548">
        <f t="shared" si="71"/>
        <v>62241.498818987588</v>
      </c>
      <c r="BL56" s="548">
        <f t="shared" si="71"/>
        <v>59346.391051821323</v>
      </c>
      <c r="BM56" s="548">
        <f t="shared" si="71"/>
        <v>57424.338130180797</v>
      </c>
      <c r="BN56" s="548">
        <f t="shared" si="71"/>
        <v>54639.559684800195</v>
      </c>
      <c r="BO56" s="548">
        <f t="shared" si="71"/>
        <v>52425.507355124981</v>
      </c>
    </row>
    <row r="57" spans="1:77" s="324" customFormat="1">
      <c r="A57" s="324" t="s">
        <v>528</v>
      </c>
      <c r="D57" s="518">
        <f t="shared" ref="D57:V57" si="72">SUM(D36:D39)+D40+D42+D43</f>
        <v>131831.91535199928</v>
      </c>
      <c r="E57" s="518">
        <f t="shared" si="72"/>
        <v>154803.84049889311</v>
      </c>
      <c r="F57" s="518">
        <f t="shared" si="72"/>
        <v>145150.77312653165</v>
      </c>
      <c r="G57" s="518">
        <f t="shared" si="72"/>
        <v>109128.49749998073</v>
      </c>
      <c r="H57" s="518">
        <f t="shared" si="72"/>
        <v>104392.3476361176</v>
      </c>
      <c r="I57" s="518">
        <f t="shared" si="72"/>
        <v>103449.04698254749</v>
      </c>
      <c r="J57" s="518">
        <f t="shared" si="72"/>
        <v>118070.21596015859</v>
      </c>
      <c r="K57" s="518">
        <f t="shared" si="72"/>
        <v>126646.85623107239</v>
      </c>
      <c r="L57" s="518">
        <f t="shared" si="72"/>
        <v>150959.93503745424</v>
      </c>
      <c r="M57" s="518">
        <f t="shared" si="72"/>
        <v>147892.08271303313</v>
      </c>
      <c r="N57" s="518">
        <f t="shared" si="72"/>
        <v>165719.5709042481</v>
      </c>
      <c r="O57" s="518">
        <f t="shared" si="72"/>
        <v>171869.34822821175</v>
      </c>
      <c r="P57" s="518">
        <f t="shared" si="72"/>
        <v>180619.89095580118</v>
      </c>
      <c r="Q57" s="518">
        <f t="shared" si="72"/>
        <v>167138.33502967161</v>
      </c>
      <c r="R57" s="518">
        <f t="shared" si="72"/>
        <v>176088.10363735887</v>
      </c>
      <c r="S57" s="518">
        <f t="shared" si="72"/>
        <v>206524.87857601076</v>
      </c>
      <c r="T57" s="518">
        <f t="shared" si="72"/>
        <v>245923.74703889366</v>
      </c>
      <c r="U57" s="518">
        <f t="shared" si="72"/>
        <v>241233.74335287572</v>
      </c>
      <c r="V57" s="518">
        <f t="shared" si="72"/>
        <v>208695.68803894942</v>
      </c>
      <c r="W57" s="549">
        <f t="shared" ref="W57:BE57" si="73">SUM(W36:W39)+W40+W42+W43</f>
        <v>186877.85770168083</v>
      </c>
      <c r="X57" s="550">
        <f t="shared" si="73"/>
        <v>170507.54942006595</v>
      </c>
      <c r="Y57" s="550">
        <f>SUM(Y36:Y39)+Y40+Y42+Y43</f>
        <v>174990.08146165335</v>
      </c>
      <c r="Z57" s="550">
        <f t="shared" si="73"/>
        <v>200480.69767123589</v>
      </c>
      <c r="AA57" s="550">
        <f t="shared" si="73"/>
        <v>186108.56887067022</v>
      </c>
      <c r="AB57" s="550">
        <f t="shared" si="73"/>
        <v>191362.6238465808</v>
      </c>
      <c r="AC57" s="550">
        <f t="shared" si="73"/>
        <v>181608.46462000001</v>
      </c>
      <c r="AD57" s="550">
        <f t="shared" si="73"/>
        <v>199988.96739130432</v>
      </c>
      <c r="AE57" s="747">
        <f t="shared" si="73"/>
        <v>217402.06494497109</v>
      </c>
      <c r="AF57" s="549">
        <f t="shared" si="73"/>
        <v>234604.73218231238</v>
      </c>
      <c r="AG57" s="549">
        <f t="shared" si="73"/>
        <v>221691.7101389794</v>
      </c>
      <c r="AH57" s="549">
        <f t="shared" si="73"/>
        <v>193380.2688667941</v>
      </c>
      <c r="AI57" s="549">
        <f t="shared" si="73"/>
        <v>174922.92503067796</v>
      </c>
      <c r="AJ57" s="549">
        <f t="shared" si="73"/>
        <v>173289.05263576045</v>
      </c>
      <c r="AK57" s="549">
        <f t="shared" si="73"/>
        <v>168790.26044411285</v>
      </c>
      <c r="AL57" s="549">
        <f t="shared" si="73"/>
        <v>158268.11819745804</v>
      </c>
      <c r="AM57" s="549">
        <f t="shared" si="73"/>
        <v>151293.64665316095</v>
      </c>
      <c r="AN57" s="549">
        <f t="shared" si="73"/>
        <v>148856.70984207685</v>
      </c>
      <c r="AO57" s="549">
        <f t="shared" si="73"/>
        <v>141224.34641411275</v>
      </c>
      <c r="AP57" s="549">
        <f t="shared" si="73"/>
        <v>133898.46783884949</v>
      </c>
      <c r="AQ57" s="549">
        <f t="shared" si="73"/>
        <v>129951.25417710755</v>
      </c>
      <c r="AR57" s="549">
        <f t="shared" si="73"/>
        <v>128021.52792931457</v>
      </c>
      <c r="AS57" s="549">
        <f t="shared" si="73"/>
        <v>127943.19062319135</v>
      </c>
      <c r="AT57" s="549">
        <f t="shared" si="73"/>
        <v>125518.31803908948</v>
      </c>
      <c r="AU57" s="549">
        <f t="shared" si="73"/>
        <v>123026.70036302661</v>
      </c>
      <c r="AV57" s="549">
        <f t="shared" si="73"/>
        <v>121847.91866183904</v>
      </c>
      <c r="AW57" s="549">
        <f t="shared" si="73"/>
        <v>119573.30963674738</v>
      </c>
      <c r="AX57" s="549">
        <f t="shared" si="73"/>
        <v>117420.64354626097</v>
      </c>
      <c r="AY57" s="549">
        <f t="shared" si="73"/>
        <v>113873.29869227151</v>
      </c>
      <c r="AZ57" s="549">
        <f t="shared" si="73"/>
        <v>110836.22280382356</v>
      </c>
      <c r="BA57" s="549">
        <f t="shared" si="73"/>
        <v>107393.94796410047</v>
      </c>
      <c r="BB57" s="549">
        <f t="shared" si="73"/>
        <v>104473.95388374882</v>
      </c>
      <c r="BC57" s="549">
        <f t="shared" si="73"/>
        <v>101699.12996364236</v>
      </c>
      <c r="BD57" s="549">
        <f t="shared" si="73"/>
        <v>100049.99694326225</v>
      </c>
      <c r="BE57" s="549">
        <f t="shared" si="73"/>
        <v>96569.845134871997</v>
      </c>
      <c r="BF57" s="549">
        <f t="shared" ref="BF57:BO57" si="74">SUM(BF36:BF39)+BF40+BF42+BF43</f>
        <v>92054.522243245985</v>
      </c>
      <c r="BG57" s="549">
        <f t="shared" si="74"/>
        <v>90165.982890027663</v>
      </c>
      <c r="BH57" s="549">
        <f t="shared" si="74"/>
        <v>88299.509401167175</v>
      </c>
      <c r="BI57" s="549">
        <f t="shared" si="74"/>
        <v>86504.376676769214</v>
      </c>
      <c r="BJ57" s="549">
        <f t="shared" si="74"/>
        <v>84068.836159748855</v>
      </c>
      <c r="BK57" s="549">
        <f t="shared" si="74"/>
        <v>81550.955127837806</v>
      </c>
      <c r="BL57" s="549">
        <f t="shared" si="74"/>
        <v>78686.424344137922</v>
      </c>
      <c r="BM57" s="549">
        <f t="shared" si="74"/>
        <v>76700.637574431079</v>
      </c>
      <c r="BN57" s="549">
        <f t="shared" si="74"/>
        <v>73942.404529780964</v>
      </c>
      <c r="BO57" s="549">
        <f t="shared" si="74"/>
        <v>71695.170449192665</v>
      </c>
    </row>
    <row r="58" spans="1:77" s="324" customFormat="1">
      <c r="D58" s="551"/>
      <c r="E58" s="551"/>
      <c r="F58" s="551"/>
      <c r="G58" s="551"/>
      <c r="H58" s="551"/>
      <c r="I58" s="551"/>
      <c r="J58" s="551"/>
      <c r="K58" s="551"/>
      <c r="L58" s="552"/>
      <c r="M58" s="551"/>
      <c r="N58" s="551"/>
      <c r="O58" s="551"/>
      <c r="P58" s="551"/>
      <c r="Q58" s="551"/>
      <c r="R58" s="551"/>
      <c r="S58" s="551"/>
      <c r="T58" s="551"/>
      <c r="U58" s="2"/>
      <c r="V58" s="2"/>
      <c r="W58" s="549"/>
      <c r="X58" s="550"/>
      <c r="Y58" s="550"/>
      <c r="Z58" s="550"/>
      <c r="AA58" s="550"/>
      <c r="AB58" s="550"/>
      <c r="AC58" s="550"/>
      <c r="AD58" s="550"/>
      <c r="AE58" s="747"/>
      <c r="AF58" s="549"/>
      <c r="AG58" s="549"/>
      <c r="AH58" s="549"/>
      <c r="AI58" s="549"/>
      <c r="AJ58" s="549"/>
      <c r="AK58" s="549"/>
      <c r="AL58" s="549"/>
      <c r="AM58" s="549"/>
      <c r="AN58" s="549"/>
      <c r="AO58" s="549"/>
      <c r="AP58" s="549"/>
      <c r="AQ58" s="549"/>
      <c r="AR58" s="549"/>
      <c r="AS58" s="549"/>
      <c r="AT58" s="549"/>
      <c r="AU58" s="549"/>
      <c r="AV58" s="549"/>
      <c r="AW58" s="549"/>
      <c r="AX58" s="549"/>
      <c r="AY58" s="549"/>
      <c r="AZ58" s="549"/>
      <c r="BA58" s="549"/>
      <c r="BB58" s="549"/>
      <c r="BC58" s="549"/>
      <c r="BD58" s="549"/>
      <c r="BE58" s="549"/>
      <c r="BF58" s="549"/>
      <c r="BG58" s="549"/>
      <c r="BH58" s="549"/>
      <c r="BI58" s="549"/>
      <c r="BJ58" s="549"/>
      <c r="BK58" s="549"/>
      <c r="BL58" s="549"/>
      <c r="BM58" s="549"/>
      <c r="BN58" s="549"/>
      <c r="BO58" s="549"/>
    </row>
    <row r="59" spans="1:77">
      <c r="A59" s="324" t="s">
        <v>530</v>
      </c>
      <c r="D59" s="544"/>
      <c r="E59" s="544"/>
      <c r="F59" s="544"/>
      <c r="G59" s="544"/>
      <c r="H59" s="544"/>
      <c r="I59" s="544"/>
      <c r="J59" s="544"/>
      <c r="K59" s="544"/>
      <c r="L59" s="536"/>
      <c r="M59" s="544"/>
      <c r="N59" s="544"/>
      <c r="O59" s="544"/>
      <c r="P59" s="544"/>
      <c r="Q59" s="544"/>
      <c r="R59" s="544"/>
      <c r="S59" s="544"/>
      <c r="T59" s="544"/>
      <c r="U59" s="32"/>
      <c r="V59" s="32"/>
      <c r="W59" s="32"/>
      <c r="X59" s="521"/>
      <c r="Y59" s="553"/>
      <c r="Z59" s="553"/>
      <c r="AA59" s="553"/>
      <c r="AB59" s="553"/>
      <c r="AC59" s="521"/>
      <c r="AD59" s="521"/>
      <c r="AE59" s="748"/>
      <c r="AF59" s="310"/>
      <c r="AG59" s="310"/>
      <c r="AH59" s="310"/>
      <c r="AI59" s="310"/>
      <c r="AJ59" s="310"/>
      <c r="AK59" s="310"/>
      <c r="AL59" s="310"/>
      <c r="AM59" s="310"/>
      <c r="AN59" s="310"/>
      <c r="AO59" s="310"/>
      <c r="AP59" s="310"/>
      <c r="AQ59" s="310"/>
      <c r="AR59" s="310"/>
      <c r="AS59" s="310"/>
      <c r="AT59" s="310"/>
      <c r="AU59" s="310"/>
      <c r="AV59" s="310"/>
      <c r="AW59" s="310"/>
      <c r="AX59" s="310"/>
      <c r="AY59" s="310"/>
      <c r="AZ59" s="310"/>
      <c r="BA59" s="310"/>
      <c r="BB59" s="310"/>
      <c r="BC59" s="310"/>
      <c r="BD59" s="310"/>
      <c r="BE59" s="310"/>
      <c r="BF59" s="310"/>
      <c r="BG59" s="310"/>
      <c r="BH59" s="310"/>
      <c r="BI59" s="310"/>
      <c r="BJ59" s="310"/>
      <c r="BK59" s="310"/>
      <c r="BL59" s="310"/>
      <c r="BM59" s="310"/>
      <c r="BN59" s="310"/>
      <c r="BO59" s="310"/>
    </row>
    <row r="60" spans="1:77">
      <c r="A60" s="325" t="s">
        <v>324</v>
      </c>
      <c r="D60" s="544"/>
      <c r="E60" s="554">
        <f t="shared" ref="E60:T60" si="75">(E38/D38-1)*100</f>
        <v>-6.535177059929886</v>
      </c>
      <c r="F60" s="554">
        <f t="shared" si="75"/>
        <v>-19.736860497366628</v>
      </c>
      <c r="G60" s="554">
        <f t="shared" si="75"/>
        <v>-71.945970855344441</v>
      </c>
      <c r="H60" s="554">
        <f t="shared" si="75"/>
        <v>-10.584041541578914</v>
      </c>
      <c r="I60" s="554">
        <f t="shared" si="75"/>
        <v>-48.277899280126455</v>
      </c>
      <c r="J60" s="554">
        <f t="shared" si="75"/>
        <v>9.122653862941954</v>
      </c>
      <c r="K60" s="554">
        <f t="shared" si="75"/>
        <v>463.11927993343937</v>
      </c>
      <c r="L60" s="554">
        <f t="shared" si="75"/>
        <v>39.806993490677065</v>
      </c>
      <c r="M60" s="554">
        <f t="shared" si="75"/>
        <v>-42.596730349809505</v>
      </c>
      <c r="N60" s="554">
        <f t="shared" si="75"/>
        <v>-53.110936910257522</v>
      </c>
      <c r="O60" s="554">
        <f t="shared" si="75"/>
        <v>-36.594542658383801</v>
      </c>
      <c r="P60" s="554">
        <f t="shared" si="75"/>
        <v>-18.478668406359734</v>
      </c>
      <c r="Q60" s="554">
        <f t="shared" si="75"/>
        <v>-7.2314469322731778</v>
      </c>
      <c r="R60" s="554">
        <f t="shared" si="75"/>
        <v>92.500192500192483</v>
      </c>
      <c r="S60" s="554">
        <f t="shared" si="75"/>
        <v>-9.4279839552364404</v>
      </c>
      <c r="T60" s="554">
        <f t="shared" si="75"/>
        <v>80.525928817159411</v>
      </c>
      <c r="U60" s="554">
        <f>(U38/T79-1)*100</f>
        <v>240.29657397328404</v>
      </c>
      <c r="V60" s="554">
        <f t="shared" ref="V60:BE60" si="76">(V38/U38-1)*100</f>
        <v>-27.582870742738098</v>
      </c>
      <c r="W60" s="554">
        <f t="shared" si="76"/>
        <v>-40.305548235300968</v>
      </c>
      <c r="X60" s="554">
        <f t="shared" si="76"/>
        <v>21.492468843183744</v>
      </c>
      <c r="Y60" s="554">
        <f t="shared" si="76"/>
        <v>-17.682646390847001</v>
      </c>
      <c r="Z60" s="554">
        <f t="shared" si="76"/>
        <v>-8.7676776244394734</v>
      </c>
      <c r="AA60" s="554">
        <f t="shared" si="76"/>
        <v>-7.4970323523806393</v>
      </c>
      <c r="AB60" s="554">
        <f t="shared" si="76"/>
        <v>-17.307444735822052</v>
      </c>
      <c r="AC60" s="554">
        <f t="shared" si="76"/>
        <v>15.175442672405692</v>
      </c>
      <c r="AD60" s="554">
        <f t="shared" si="76"/>
        <v>60.808047990357835</v>
      </c>
      <c r="AE60" s="749">
        <f t="shared" si="76"/>
        <v>50.000937505859412</v>
      </c>
      <c r="AF60" s="554">
        <f t="shared" si="76"/>
        <v>-2.966067757927715</v>
      </c>
      <c r="AG60" s="554">
        <f t="shared" si="76"/>
        <v>-39.972834396133763</v>
      </c>
      <c r="AH60" s="554">
        <f t="shared" si="76"/>
        <v>-35.367384505173845</v>
      </c>
      <c r="AI60" s="554">
        <f t="shared" si="76"/>
        <v>79.753417171425028</v>
      </c>
      <c r="AJ60" s="554">
        <f t="shared" si="76"/>
        <v>54.941035862397335</v>
      </c>
      <c r="AK60" s="554">
        <f t="shared" si="76"/>
        <v>-1.5319977647713201</v>
      </c>
      <c r="AL60" s="554">
        <f t="shared" si="76"/>
        <v>-36.146757891989147</v>
      </c>
      <c r="AM60" s="554">
        <f t="shared" si="76"/>
        <v>-25.638314180858345</v>
      </c>
      <c r="AN60" s="554">
        <f t="shared" si="76"/>
        <v>17.559682538845255</v>
      </c>
      <c r="AO60" s="554">
        <f t="shared" si="76"/>
        <v>-0.15101381581761331</v>
      </c>
      <c r="AP60" s="554">
        <f t="shared" si="76"/>
        <v>2.6168402579073158</v>
      </c>
      <c r="AQ60" s="554">
        <f t="shared" si="76"/>
        <v>6.5768823907745411</v>
      </c>
      <c r="AR60" s="554">
        <f t="shared" si="76"/>
        <v>15.976763442510421</v>
      </c>
      <c r="AS60" s="554">
        <f t="shared" si="76"/>
        <v>7.6262762491582148</v>
      </c>
      <c r="AT60" s="554">
        <f t="shared" si="76"/>
        <v>1.599030890369546</v>
      </c>
      <c r="AU60" s="554">
        <f t="shared" si="76"/>
        <v>-9.8485751758675697</v>
      </c>
      <c r="AV60" s="554">
        <f t="shared" si="76"/>
        <v>-20.222192831636164</v>
      </c>
      <c r="AW60" s="554">
        <f t="shared" si="76"/>
        <v>-24.187665782493305</v>
      </c>
      <c r="AX60" s="554">
        <f t="shared" si="76"/>
        <v>-25.038268095342264</v>
      </c>
      <c r="AY60" s="554">
        <f t="shared" si="76"/>
        <v>-1.1668611435239118</v>
      </c>
      <c r="AZ60" s="554">
        <f t="shared" si="76"/>
        <v>-6.0507674144036905</v>
      </c>
      <c r="BA60" s="554">
        <f t="shared" si="76"/>
        <v>-17.279296261388733</v>
      </c>
      <c r="BB60" s="554">
        <f t="shared" si="76"/>
        <v>-34.409418913786396</v>
      </c>
      <c r="BC60" s="554">
        <f t="shared" si="76"/>
        <v>-38.969310943833413</v>
      </c>
      <c r="BD60" s="554">
        <f t="shared" si="76"/>
        <v>-49.525616698292175</v>
      </c>
      <c r="BE60" s="554">
        <f t="shared" si="76"/>
        <v>-18.04511278195482</v>
      </c>
      <c r="BF60" s="554">
        <f t="shared" ref="BF60:BF62" si="77">(BF38/BE38-1)*100</f>
        <v>-4.4408920985006262E-14</v>
      </c>
      <c r="BG60" s="554">
        <f t="shared" ref="BG60:BG62" si="78">(BG38/BF38-1)*100</f>
        <v>-19.954128440367036</v>
      </c>
      <c r="BH60" s="554">
        <f t="shared" ref="BH60:BH62" si="79">(BH38/BG38-1)*100</f>
        <v>-28.653295128939803</v>
      </c>
      <c r="BI60" s="554">
        <f t="shared" ref="BI60:BI62" si="80">(BI38/BH38-1)*100</f>
        <v>-0.40160642570266081</v>
      </c>
      <c r="BJ60" s="554">
        <f t="shared" ref="BJ60:BJ62" si="81">(BJ38/BI38-1)*100</f>
        <v>-7.7715611723760958E-14</v>
      </c>
      <c r="BK60" s="554">
        <f t="shared" ref="BK60:BK62" si="82">(BK38/BJ38-1)*100</f>
        <v>-3.2258064516129226</v>
      </c>
      <c r="BL60" s="554">
        <f t="shared" ref="BL60:BL62" si="83">(BL38/BK38-1)*100</f>
        <v>-4.4408920985006262E-14</v>
      </c>
      <c r="BM60" s="554">
        <f t="shared" ref="BM60:BM62" si="84">(BM38/BL38-1)*100</f>
        <v>-0.41666666666652086</v>
      </c>
      <c r="BN60" s="554">
        <f t="shared" ref="BN60:BN62" si="85">(BN38/BM38-1)*100</f>
        <v>-1.1102230246251565E-13</v>
      </c>
      <c r="BO60" s="554">
        <f t="shared" ref="BO60:BO62" si="86">(BO38/BN38-1)*100</f>
        <v>0.41841004184104413</v>
      </c>
    </row>
    <row r="61" spans="1:77">
      <c r="A61" s="325" t="s">
        <v>325</v>
      </c>
      <c r="D61" s="544"/>
      <c r="E61" s="554">
        <f t="shared" ref="E61:T61" si="87">(E39/D39-1)*100</f>
        <v>637.53061504634695</v>
      </c>
      <c r="F61" s="554">
        <f t="shared" si="87"/>
        <v>-9.3925289414011122</v>
      </c>
      <c r="G61" s="554">
        <f t="shared" si="87"/>
        <v>-91.671993512705257</v>
      </c>
      <c r="H61" s="554">
        <f t="shared" si="87"/>
        <v>-23.263055402917164</v>
      </c>
      <c r="I61" s="554">
        <f t="shared" si="87"/>
        <v>638.67837686933171</v>
      </c>
      <c r="J61" s="554">
        <f t="shared" si="87"/>
        <v>262.09938073115427</v>
      </c>
      <c r="K61" s="554">
        <f t="shared" si="87"/>
        <v>45.953149147157205</v>
      </c>
      <c r="L61" s="554">
        <f t="shared" si="87"/>
        <v>0.26264816637606714</v>
      </c>
      <c r="M61" s="554">
        <f t="shared" si="87"/>
        <v>-2.0692654784586595</v>
      </c>
      <c r="N61" s="554">
        <f t="shared" si="87"/>
        <v>-33.567677274914729</v>
      </c>
      <c r="O61" s="554">
        <f t="shared" si="87"/>
        <v>-62.414049944595696</v>
      </c>
      <c r="P61" s="554">
        <f t="shared" si="87"/>
        <v>-8.7680352610394756</v>
      </c>
      <c r="Q61" s="554">
        <f t="shared" si="87"/>
        <v>-13.592813682527627</v>
      </c>
      <c r="R61" s="554">
        <f t="shared" si="87"/>
        <v>-41.690869168062349</v>
      </c>
      <c r="S61" s="554">
        <f t="shared" si="87"/>
        <v>-46.257552283424239</v>
      </c>
      <c r="T61" s="554">
        <f t="shared" si="87"/>
        <v>32.067627494456772</v>
      </c>
      <c r="U61" s="554">
        <f>(U39/T80-1)*100</f>
        <v>72.015430492319553</v>
      </c>
      <c r="V61" s="554">
        <f t="shared" ref="V61:BE61" si="88">(V39/U39-1)*100</f>
        <v>46.53896063178302</v>
      </c>
      <c r="W61" s="554">
        <f t="shared" si="88"/>
        <v>-24.650164466847603</v>
      </c>
      <c r="X61" s="554">
        <f t="shared" si="88"/>
        <v>-51.177183109162328</v>
      </c>
      <c r="Y61" s="554">
        <f t="shared" si="88"/>
        <v>-35.448100737222077</v>
      </c>
      <c r="Z61" s="554">
        <f t="shared" si="88"/>
        <v>-0.90889460805588795</v>
      </c>
      <c r="AA61" s="554">
        <f t="shared" si="88"/>
        <v>-11.08887831167471</v>
      </c>
      <c r="AB61" s="554">
        <f t="shared" si="88"/>
        <v>141.58965704602537</v>
      </c>
      <c r="AC61" s="554">
        <f t="shared" si="88"/>
        <v>-9.3909722784522582</v>
      </c>
      <c r="AD61" s="554">
        <f t="shared" si="88"/>
        <v>-2.0151072869190267</v>
      </c>
      <c r="AE61" s="749">
        <f t="shared" si="88"/>
        <v>54.355777654631552</v>
      </c>
      <c r="AF61" s="554">
        <f t="shared" si="88"/>
        <v>32.855311780464213</v>
      </c>
      <c r="AG61" s="554">
        <f t="shared" si="88"/>
        <v>-9.580861212440384</v>
      </c>
      <c r="AH61" s="554">
        <f t="shared" si="88"/>
        <v>-24.617027943508461</v>
      </c>
      <c r="AI61" s="554">
        <f t="shared" si="88"/>
        <v>-11.220226648796594</v>
      </c>
      <c r="AJ61" s="554">
        <f t="shared" si="88"/>
        <v>-37.761901215894945</v>
      </c>
      <c r="AK61" s="554">
        <f t="shared" si="88"/>
        <v>29.263485579959948</v>
      </c>
      <c r="AL61" s="554">
        <f t="shared" si="88"/>
        <v>-54.358224327322148</v>
      </c>
      <c r="AM61" s="554">
        <f t="shared" si="88"/>
        <v>18.716029643493904</v>
      </c>
      <c r="AN61" s="554">
        <f t="shared" si="88"/>
        <v>-36.937767557498979</v>
      </c>
      <c r="AO61" s="554">
        <f t="shared" si="88"/>
        <v>2.9903274816764469</v>
      </c>
      <c r="AP61" s="554">
        <f t="shared" si="88"/>
        <v>-7.7165655481854944</v>
      </c>
      <c r="AQ61" s="554">
        <f t="shared" si="88"/>
        <v>-4.6654162070303595</v>
      </c>
      <c r="AR61" s="554">
        <f t="shared" si="88"/>
        <v>4.8969967668591297</v>
      </c>
      <c r="AS61" s="554">
        <f t="shared" si="88"/>
        <v>-6.2157123200232149</v>
      </c>
      <c r="AT61" s="554">
        <f t="shared" si="88"/>
        <v>-2.4853077636869947</v>
      </c>
      <c r="AU61" s="554">
        <f t="shared" si="88"/>
        <v>12.878054969628661</v>
      </c>
      <c r="AV61" s="554">
        <f t="shared" si="88"/>
        <v>-20.091888778048052</v>
      </c>
      <c r="AW61" s="554">
        <f t="shared" si="88"/>
        <v>-1.9341339475670849</v>
      </c>
      <c r="AX61" s="554">
        <f t="shared" si="88"/>
        <v>5.558245028956299</v>
      </c>
      <c r="AY61" s="554">
        <f t="shared" si="88"/>
        <v>-3.0795101319789242</v>
      </c>
      <c r="AZ61" s="554">
        <f t="shared" si="88"/>
        <v>-2.7287066246055924</v>
      </c>
      <c r="BA61" s="554">
        <f t="shared" si="88"/>
        <v>10.756175341873142</v>
      </c>
      <c r="BB61" s="554">
        <f t="shared" si="88"/>
        <v>-12.444487823922678</v>
      </c>
      <c r="BC61" s="554">
        <f t="shared" si="88"/>
        <v>-5.6667224049194109</v>
      </c>
      <c r="BD61" s="554">
        <f t="shared" si="88"/>
        <v>15.559450889251769</v>
      </c>
      <c r="BE61" s="554">
        <f t="shared" si="88"/>
        <v>-9.4813628074239098</v>
      </c>
      <c r="BF61" s="554">
        <f t="shared" si="77"/>
        <v>-5.0028243268690487</v>
      </c>
      <c r="BG61" s="554">
        <f t="shared" si="78"/>
        <v>7.3731988187026198</v>
      </c>
      <c r="BH61" s="554">
        <f t="shared" si="79"/>
        <v>-1.2921566093812564</v>
      </c>
      <c r="BI61" s="554">
        <f t="shared" si="80"/>
        <v>-10.005049277205169</v>
      </c>
      <c r="BJ61" s="554">
        <f t="shared" si="81"/>
        <v>9.8705400743927196</v>
      </c>
      <c r="BK61" s="554">
        <f t="shared" si="82"/>
        <v>-17.708471242410916</v>
      </c>
      <c r="BL61" s="554">
        <f t="shared" si="83"/>
        <v>4.235807860262053</v>
      </c>
      <c r="BM61" s="554">
        <f t="shared" si="84"/>
        <v>-8.3599761868017204</v>
      </c>
      <c r="BN61" s="554">
        <f t="shared" si="85"/>
        <v>3.8497166849127185</v>
      </c>
      <c r="BO61" s="554">
        <f t="shared" si="86"/>
        <v>-4.7496032343639305</v>
      </c>
    </row>
    <row r="62" spans="1:77">
      <c r="A62" s="325" t="s">
        <v>326</v>
      </c>
      <c r="D62" s="544"/>
      <c r="E62" s="554">
        <f t="shared" ref="E62:T62" si="89">(E40/D40-1)*100</f>
        <v>-7.7814036822960286</v>
      </c>
      <c r="F62" s="554">
        <f t="shared" si="89"/>
        <v>-27.565909454825732</v>
      </c>
      <c r="G62" s="554">
        <f t="shared" si="89"/>
        <v>-2.6290165530671872</v>
      </c>
      <c r="H62" s="554">
        <f t="shared" si="89"/>
        <v>25.046461190922109</v>
      </c>
      <c r="I62" s="554">
        <f t="shared" si="89"/>
        <v>-30.589714729158334</v>
      </c>
      <c r="J62" s="554">
        <f t="shared" si="89"/>
        <v>-12.419606531749949</v>
      </c>
      <c r="K62" s="554">
        <f t="shared" si="89"/>
        <v>-1.5987876650340405</v>
      </c>
      <c r="L62" s="554">
        <f t="shared" si="89"/>
        <v>60.815143910559911</v>
      </c>
      <c r="M62" s="554">
        <f t="shared" si="89"/>
        <v>37.865321528968089</v>
      </c>
      <c r="N62" s="554">
        <f t="shared" si="89"/>
        <v>38.579094345498333</v>
      </c>
      <c r="O62" s="554">
        <f t="shared" si="89"/>
        <v>26.610802529043486</v>
      </c>
      <c r="P62" s="554">
        <f t="shared" si="89"/>
        <v>5.5214661762428063</v>
      </c>
      <c r="Q62" s="554">
        <f t="shared" si="89"/>
        <v>-4.3573030222514912</v>
      </c>
      <c r="R62" s="554">
        <f t="shared" si="89"/>
        <v>-3.9457068415713836</v>
      </c>
      <c r="S62" s="554">
        <f t="shared" si="89"/>
        <v>-5.2681886001299745</v>
      </c>
      <c r="T62" s="554">
        <f t="shared" si="89"/>
        <v>30.303198407268404</v>
      </c>
      <c r="U62" s="554">
        <f>(U40/T40-1)*100</f>
        <v>-7.7950597609974803</v>
      </c>
      <c r="V62" s="554">
        <f t="shared" ref="V62:BE62" si="90">(V40/U40-1)*100</f>
        <v>-12.585877610730723</v>
      </c>
      <c r="W62" s="554">
        <f t="shared" si="90"/>
        <v>-28.200151171188772</v>
      </c>
      <c r="X62" s="554">
        <f t="shared" si="90"/>
        <v>-10.99092674875094</v>
      </c>
      <c r="Y62" s="554">
        <f t="shared" si="90"/>
        <v>31.633189892722946</v>
      </c>
      <c r="Z62" s="554">
        <f t="shared" si="90"/>
        <v>7.542581677608462</v>
      </c>
      <c r="AA62" s="554">
        <f t="shared" si="90"/>
        <v>-27.586462786994105</v>
      </c>
      <c r="AB62" s="554">
        <f t="shared" si="90"/>
        <v>19.602254828483524</v>
      </c>
      <c r="AC62" s="554">
        <f t="shared" si="90"/>
        <v>-17.126543797972527</v>
      </c>
      <c r="AD62" s="554">
        <f t="shared" si="90"/>
        <v>-1.6598397736432569</v>
      </c>
      <c r="AE62" s="749">
        <f t="shared" si="90"/>
        <v>23.982170213087063</v>
      </c>
      <c r="AF62" s="554">
        <f t="shared" si="90"/>
        <v>-0.60141346881652513</v>
      </c>
      <c r="AG62" s="554">
        <f t="shared" si="90"/>
        <v>0.56911690170238227</v>
      </c>
      <c r="AH62" s="554">
        <f t="shared" si="90"/>
        <v>-0.10812117857481596</v>
      </c>
      <c r="AI62" s="554">
        <f t="shared" si="90"/>
        <v>-0.71998211505664989</v>
      </c>
      <c r="AJ62" s="554">
        <f t="shared" si="90"/>
        <v>0.48591674666182971</v>
      </c>
      <c r="AK62" s="554">
        <f t="shared" si="90"/>
        <v>0.89957195216465724</v>
      </c>
      <c r="AL62" s="554">
        <f t="shared" si="90"/>
        <v>1.0284537900012936</v>
      </c>
      <c r="AM62" s="554">
        <f t="shared" si="90"/>
        <v>-2.3820683335293746</v>
      </c>
      <c r="AN62" s="554">
        <f t="shared" si="90"/>
        <v>-2.0719215076378417</v>
      </c>
      <c r="AO62" s="554">
        <f t="shared" si="90"/>
        <v>-0.88251992101231469</v>
      </c>
      <c r="AP62" s="554">
        <f t="shared" si="90"/>
        <v>-1.7571743146077234</v>
      </c>
      <c r="AQ62" s="554">
        <f t="shared" si="90"/>
        <v>-1.9352341406435047</v>
      </c>
      <c r="AR62" s="554">
        <f t="shared" si="90"/>
        <v>-2.0444505097730215</v>
      </c>
      <c r="AS62" s="554">
        <f t="shared" si="90"/>
        <v>-2.0033735195929103</v>
      </c>
      <c r="AT62" s="554">
        <f t="shared" si="90"/>
        <v>-4.7733111157399533</v>
      </c>
      <c r="AU62" s="554">
        <f t="shared" si="90"/>
        <v>-3.0148372279537261</v>
      </c>
      <c r="AV62" s="554">
        <f t="shared" si="90"/>
        <v>-1.1276499774359738E-2</v>
      </c>
      <c r="AW62" s="554">
        <f t="shared" si="90"/>
        <v>-1.5037028683106968E-2</v>
      </c>
      <c r="AX62" s="554">
        <f t="shared" si="90"/>
        <v>-3.1206527051924171</v>
      </c>
      <c r="AY62" s="554">
        <f t="shared" si="90"/>
        <v>-2.1461559358869065</v>
      </c>
      <c r="AZ62" s="554">
        <f t="shared" si="90"/>
        <v>3.9660506068184276E-3</v>
      </c>
      <c r="BA62" s="554">
        <f t="shared" si="90"/>
        <v>-3.965893317570135E-3</v>
      </c>
      <c r="BB62" s="554">
        <f t="shared" si="90"/>
        <v>-3.295788054255655</v>
      </c>
      <c r="BC62" s="554">
        <f t="shared" si="90"/>
        <v>2.6645352591003757E-13</v>
      </c>
      <c r="BD62" s="554">
        <f t="shared" si="90"/>
        <v>-2.3314683517128287E-13</v>
      </c>
      <c r="BE62" s="554">
        <f t="shared" si="90"/>
        <v>-3.4081122093261307</v>
      </c>
      <c r="BF62" s="554">
        <f t="shared" si="77"/>
        <v>-5.8848505434781266</v>
      </c>
      <c r="BG62" s="554">
        <f t="shared" si="78"/>
        <v>-5.5511151231257827E-14</v>
      </c>
      <c r="BH62" s="554">
        <f t="shared" si="79"/>
        <v>0</v>
      </c>
      <c r="BI62" s="554">
        <f t="shared" si="80"/>
        <v>4.5114138770063761E-3</v>
      </c>
      <c r="BJ62" s="554">
        <f t="shared" si="81"/>
        <v>1.9984014443252818E-13</v>
      </c>
      <c r="BK62" s="554">
        <f t="shared" si="82"/>
        <v>2.2204460492503131E-14</v>
      </c>
      <c r="BL62" s="554">
        <f t="shared" si="83"/>
        <v>-1.2212453270876722E-13</v>
      </c>
      <c r="BM62" s="554">
        <f t="shared" si="84"/>
        <v>-5.5511151231257827E-14</v>
      </c>
      <c r="BN62" s="554">
        <f t="shared" si="85"/>
        <v>8.8817841970012523E-14</v>
      </c>
      <c r="BO62" s="554">
        <f t="shared" si="86"/>
        <v>2.2204460492503131E-14</v>
      </c>
    </row>
    <row r="63" spans="1:77">
      <c r="A63" s="325" t="s">
        <v>332</v>
      </c>
      <c r="D63" s="54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4"/>
      <c r="P63" s="554">
        <f>(P27/O27-1)*100</f>
        <v>4.8164609230107347</v>
      </c>
      <c r="Q63" s="554">
        <f t="shared" ref="Q63:AA63" si="91">(Q27/P27-1)*100</f>
        <v>2.1735634633457623</v>
      </c>
      <c r="R63" s="554">
        <f t="shared" si="91"/>
        <v>3.7034428856216994</v>
      </c>
      <c r="S63" s="554">
        <f t="shared" si="91"/>
        <v>10.640357600846496</v>
      </c>
      <c r="T63" s="554">
        <f t="shared" si="91"/>
        <v>24.090175795469548</v>
      </c>
      <c r="U63" s="554">
        <f t="shared" si="91"/>
        <v>-8.9731871501585125</v>
      </c>
      <c r="V63" s="554">
        <f t="shared" si="91"/>
        <v>-10.239602269403147</v>
      </c>
      <c r="W63" s="554">
        <f t="shared" si="91"/>
        <v>1.1054213344239283</v>
      </c>
      <c r="X63" s="554">
        <f t="shared" ref="X63" si="92">(X27/W27-1)*100</f>
        <v>-6.5715723975962481</v>
      </c>
      <c r="Y63" s="554">
        <f t="shared" si="91"/>
        <v>-9.6086294731445587</v>
      </c>
      <c r="Z63" s="554">
        <f t="shared" si="91"/>
        <v>14.228611132075585</v>
      </c>
      <c r="AA63" s="554">
        <f t="shared" si="91"/>
        <v>12.88640144988895</v>
      </c>
      <c r="AB63" s="554">
        <f t="shared" ref="AB63" si="93">(AB27/AA27-1)*100</f>
        <v>4.0128614309593802</v>
      </c>
      <c r="AC63" s="554">
        <f t="shared" ref="AC63" si="94">(AC27/AB27-1)*100</f>
        <v>-18.558352586962059</v>
      </c>
      <c r="AD63" s="554">
        <f t="shared" ref="AD63" si="95">(AD27/AC27-1)*100</f>
        <v>8.2840022811426337</v>
      </c>
      <c r="AE63" s="749">
        <f t="shared" ref="AE63" si="96">(AE27/AD27-1)*100</f>
        <v>-11.000739087994782</v>
      </c>
      <c r="AF63" s="554">
        <f t="shared" ref="AF63" si="97">(AF27/AE27-1)*100</f>
        <v>28.861318824387403</v>
      </c>
      <c r="AG63" s="554">
        <f t="shared" ref="AG63" si="98">(AG27/AF27-1)*100</f>
        <v>7.7391776369556853</v>
      </c>
      <c r="AH63" s="554">
        <f t="shared" ref="AH63" si="99">(AH27/AG27-1)*100</f>
        <v>-16.042641532023683</v>
      </c>
      <c r="AI63" s="554">
        <f t="shared" ref="AI63" si="100">(AI27/AH27-1)*100</f>
        <v>-21.095854730422868</v>
      </c>
      <c r="AJ63" s="554">
        <f t="shared" ref="AJ63:AK63" si="101">(AJ27/AI27-1)*100</f>
        <v>-21.610864224115812</v>
      </c>
      <c r="AK63" s="554">
        <f t="shared" si="101"/>
        <v>-6.094093789621069</v>
      </c>
      <c r="AL63" s="554"/>
      <c r="AM63" s="554"/>
      <c r="AN63" s="554"/>
      <c r="AO63" s="554"/>
      <c r="AP63" s="554"/>
      <c r="AQ63" s="554"/>
      <c r="AR63" s="554"/>
      <c r="AS63" s="554"/>
      <c r="AT63" s="554"/>
      <c r="AU63" s="554"/>
      <c r="AV63" s="554"/>
      <c r="AW63" s="554"/>
      <c r="AX63" s="554"/>
      <c r="AY63" s="554"/>
      <c r="AZ63" s="554"/>
      <c r="BA63" s="554"/>
      <c r="BB63" s="554"/>
      <c r="BC63" s="554"/>
      <c r="BD63" s="554"/>
      <c r="BE63" s="554"/>
      <c r="BF63" s="554"/>
      <c r="BG63" s="554"/>
      <c r="BH63" s="554"/>
      <c r="BI63" s="554"/>
      <c r="BJ63" s="554"/>
      <c r="BK63" s="554"/>
      <c r="BL63" s="554"/>
      <c r="BM63" s="554"/>
      <c r="BN63" s="554"/>
      <c r="BO63" s="554"/>
    </row>
    <row r="64" spans="1:77">
      <c r="A64" s="325" t="s">
        <v>350</v>
      </c>
      <c r="D64" s="544"/>
      <c r="E64" s="554">
        <f t="shared" ref="E64:X64" si="102">(E83/D83-1)*100</f>
        <v>31.658722758115942</v>
      </c>
      <c r="F64" s="554">
        <f t="shared" si="102"/>
        <v>-15.675567182212991</v>
      </c>
      <c r="G64" s="554">
        <f t="shared" si="102"/>
        <v>-26.917474294150388</v>
      </c>
      <c r="H64" s="554">
        <f t="shared" si="102"/>
        <v>-15.415786097110962</v>
      </c>
      <c r="I64" s="554">
        <f t="shared" si="102"/>
        <v>6.7968613024016244</v>
      </c>
      <c r="J64" s="554">
        <f t="shared" si="102"/>
        <v>-1.0481834196746753</v>
      </c>
      <c r="K64" s="554">
        <f t="shared" si="102"/>
        <v>13.450002778779769</v>
      </c>
      <c r="L64" s="554">
        <f t="shared" si="102"/>
        <v>8.2009655314864816</v>
      </c>
      <c r="M64" s="554">
        <f t="shared" si="102"/>
        <v>14.548678966815398</v>
      </c>
      <c r="N64" s="554">
        <f t="shared" si="102"/>
        <v>14.304076071598759</v>
      </c>
      <c r="O64" s="554">
        <f t="shared" si="102"/>
        <v>12.282867589092184</v>
      </c>
      <c r="P64" s="554">
        <f t="shared" si="102"/>
        <v>4.5287518693685636</v>
      </c>
      <c r="Q64" s="554">
        <f t="shared" si="102"/>
        <v>-18.773042468528335</v>
      </c>
      <c r="R64" s="554">
        <f t="shared" si="102"/>
        <v>21.743301313032283</v>
      </c>
      <c r="S64" s="554">
        <f t="shared" si="102"/>
        <v>26.562895056575432</v>
      </c>
      <c r="T64" s="554">
        <f t="shared" si="102"/>
        <v>14.377262867915142</v>
      </c>
      <c r="U64" s="554">
        <f t="shared" si="102"/>
        <v>0.65503969072380208</v>
      </c>
      <c r="V64" s="554">
        <f t="shared" si="102"/>
        <v>-18.46534585482652</v>
      </c>
      <c r="W64" s="554">
        <f t="shared" si="102"/>
        <v>-13.872493826371002</v>
      </c>
      <c r="X64" s="554">
        <f t="shared" si="102"/>
        <v>-9.4396950528786832</v>
      </c>
      <c r="Y64" s="554">
        <f t="shared" ref="Y64:BE64" si="103">(Y56/X56-1)*100</f>
        <v>6.7492788464357023</v>
      </c>
      <c r="Z64" s="554">
        <f t="shared" si="103"/>
        <v>18.6878531550005</v>
      </c>
      <c r="AA64" s="554">
        <f t="shared" si="103"/>
        <v>-13.21000138208942</v>
      </c>
      <c r="AB64" s="554">
        <f t="shared" si="103"/>
        <v>-4.0773559587646719</v>
      </c>
      <c r="AC64" s="554">
        <f t="shared" si="103"/>
        <v>9.7710651269650626</v>
      </c>
      <c r="AD64" s="554">
        <f t="shared" si="103"/>
        <v>12.591830687117046</v>
      </c>
      <c r="AE64" s="749">
        <f t="shared" si="103"/>
        <v>13.862198743756714</v>
      </c>
      <c r="AF64" s="554">
        <f t="shared" si="103"/>
        <v>-0.61161372637695832</v>
      </c>
      <c r="AG64" s="554">
        <f t="shared" si="103"/>
        <v>-12.439860837707217</v>
      </c>
      <c r="AH64" s="554">
        <f t="shared" si="103"/>
        <v>-11.679626587227554</v>
      </c>
      <c r="AI64" s="554">
        <f t="shared" si="103"/>
        <v>-6.7982996907728577</v>
      </c>
      <c r="AJ64" s="554">
        <f t="shared" si="103"/>
        <v>9.4480385037765124</v>
      </c>
      <c r="AK64" s="554">
        <f t="shared" si="103"/>
        <v>38.556373317756275</v>
      </c>
      <c r="AL64" s="554">
        <f t="shared" si="103"/>
        <v>-4.356519423820993</v>
      </c>
      <c r="AM64" s="554">
        <f t="shared" si="103"/>
        <v>-4.1670837396026066</v>
      </c>
      <c r="AN64" s="554">
        <f t="shared" si="103"/>
        <v>-1.6295470863527561</v>
      </c>
      <c r="AO64" s="554">
        <f t="shared" si="103"/>
        <v>-6.3749653887304802</v>
      </c>
      <c r="AP64" s="554">
        <f t="shared" si="103"/>
        <v>-6.3295838238252911</v>
      </c>
      <c r="AQ64" s="554">
        <f t="shared" si="103"/>
        <v>-3.6598102698658597</v>
      </c>
      <c r="AR64" s="554">
        <f t="shared" si="103"/>
        <v>-2.3869525833989824</v>
      </c>
      <c r="AS64" s="554">
        <f t="shared" si="103"/>
        <v>-4.1211310458089123E-3</v>
      </c>
      <c r="AT64" s="554">
        <f t="shared" si="103"/>
        <v>-1.4221731288673101</v>
      </c>
      <c r="AU64" s="554">
        <f t="shared" si="103"/>
        <v>-1.3245091087352834</v>
      </c>
      <c r="AV64" s="554">
        <f t="shared" si="103"/>
        <v>0.35220639117055086</v>
      </c>
      <c r="AW64" s="554">
        <f t="shared" si="103"/>
        <v>-1.111258453785835</v>
      </c>
      <c r="AX64" s="554">
        <f t="shared" si="103"/>
        <v>-0.60970158593945945</v>
      </c>
      <c r="AY64" s="554">
        <f t="shared" si="103"/>
        <v>-3.2803842555947482</v>
      </c>
      <c r="AZ64" s="554">
        <f t="shared" si="103"/>
        <v>-3.1861172334903487</v>
      </c>
      <c r="BA64" s="554">
        <f t="shared" si="103"/>
        <v>-3.5714628781109425</v>
      </c>
      <c r="BB64" s="554">
        <f t="shared" si="103"/>
        <v>-1.6237485680135832</v>
      </c>
      <c r="BC64" s="554">
        <f t="shared" si="103"/>
        <v>-2.6439167637081429</v>
      </c>
      <c r="BD64" s="554">
        <f t="shared" si="103"/>
        <v>-1.6891329672156674</v>
      </c>
      <c r="BE64" s="554">
        <f t="shared" si="103"/>
        <v>-3.340033855268465</v>
      </c>
      <c r="BF64" s="554">
        <f t="shared" ref="BF64" si="104">(BF56/BE56-1)*100</f>
        <v>-4.3825180871908014</v>
      </c>
      <c r="BG64" s="554">
        <f t="shared" ref="BG64" si="105">(BG56/BF56-1)*100</f>
        <v>-2.591604757380761</v>
      </c>
      <c r="BH64" s="554">
        <f t="shared" ref="BH64" si="106">(BH56/BG56-1)*100</f>
        <v>-2.5101357306533845</v>
      </c>
      <c r="BI64" s="554">
        <f t="shared" ref="BI64" si="107">(BI56/BH56-1)*100</f>
        <v>-2.4795380850784254</v>
      </c>
      <c r="BJ64" s="554">
        <f t="shared" ref="BJ64" si="108">(BJ56/BI56-1)*100</f>
        <v>-3.7465081209366202</v>
      </c>
      <c r="BK64" s="554">
        <f t="shared" ref="BK64" si="109">(BK56/BJ56-1)*100</f>
        <v>-3.6470573127351358</v>
      </c>
      <c r="BL64" s="554">
        <f t="shared" ref="BL64" si="110">(BL56/BK56-1)*100</f>
        <v>-4.6514107502229285</v>
      </c>
      <c r="BM64" s="554">
        <f t="shared" ref="BM64" si="111">(BM56/BL56-1)*100</f>
        <v>-3.2387022826075307</v>
      </c>
      <c r="BN64" s="554">
        <f t="shared" ref="BN64" si="112">(BN56/BM56-1)*100</f>
        <v>-4.8494741708080547</v>
      </c>
      <c r="BO64" s="554">
        <f t="shared" ref="BO64" si="113">(BO56/BN56-1)*100</f>
        <v>-4.0521049994682308</v>
      </c>
      <c r="BP64" s="554"/>
      <c r="BQ64" s="554"/>
      <c r="BR64" s="554"/>
      <c r="BS64" s="554"/>
      <c r="BT64" s="554"/>
      <c r="BU64" s="554"/>
      <c r="BV64" s="554"/>
      <c r="BW64" s="554"/>
      <c r="BX64" s="554"/>
      <c r="BY64" s="554"/>
    </row>
    <row r="65" spans="1:106">
      <c r="A65" s="325" t="s">
        <v>303</v>
      </c>
      <c r="D65" s="544"/>
      <c r="E65" s="554">
        <f t="shared" ref="E65:L65" si="114">(E46/D46-1)*100</f>
        <v>17.425162249639925</v>
      </c>
      <c r="F65" s="554">
        <f t="shared" si="114"/>
        <v>-6.2356769323371424</v>
      </c>
      <c r="G65" s="554">
        <f t="shared" si="114"/>
        <v>-24.81714347821584</v>
      </c>
      <c r="H65" s="554">
        <f t="shared" si="114"/>
        <v>-4.3399753248357209</v>
      </c>
      <c r="I65" s="554">
        <f t="shared" si="114"/>
        <v>-0.90361092065693871</v>
      </c>
      <c r="J65" s="554">
        <f t="shared" si="114"/>
        <v>14.133691323495512</v>
      </c>
      <c r="K65" s="554">
        <f t="shared" si="114"/>
        <v>7.2640167557649571</v>
      </c>
      <c r="L65" s="554">
        <f t="shared" si="114"/>
        <v>19.197538359753395</v>
      </c>
      <c r="M65" s="554">
        <f t="shared" ref="M65:S65" si="115">(M46/L46-1)*100</f>
        <v>-2.0322294943091679</v>
      </c>
      <c r="N65" s="554">
        <f t="shared" si="115"/>
        <v>12.054389838979462</v>
      </c>
      <c r="O65" s="554">
        <f t="shared" si="115"/>
        <v>3.7109541681814573</v>
      </c>
      <c r="P65" s="554">
        <f t="shared" si="115"/>
        <v>5.0913922801233413</v>
      </c>
      <c r="Q65" s="554">
        <f t="shared" si="115"/>
        <v>-7.464048314273775</v>
      </c>
      <c r="R65" s="554">
        <f t="shared" si="115"/>
        <v>5.354707288485594</v>
      </c>
      <c r="S65" s="554">
        <f t="shared" si="115"/>
        <v>17.284969461272802</v>
      </c>
      <c r="T65" s="554">
        <f t="shared" ref="T65:V65" si="116">(T46/S46-1)*100</f>
        <v>19.077056834284623</v>
      </c>
      <c r="U65" s="554">
        <f t="shared" si="116"/>
        <v>-1.907096708833167</v>
      </c>
      <c r="V65" s="554">
        <f t="shared" si="116"/>
        <v>-13.488185716344725</v>
      </c>
      <c r="W65" s="554">
        <f t="shared" ref="W65:BE65" si="117">(W46/V46-1)*100</f>
        <v>-10.454375239989</v>
      </c>
      <c r="X65" s="554">
        <f t="shared" si="117"/>
        <v>-8.7598972307074146</v>
      </c>
      <c r="Y65" s="554">
        <f t="shared" si="117"/>
        <v>2.6289346464912988</v>
      </c>
      <c r="Z65" s="554">
        <f t="shared" si="117"/>
        <v>14.566892018487621</v>
      </c>
      <c r="AA65" s="554">
        <f t="shared" si="117"/>
        <v>-7.1688341907779289</v>
      </c>
      <c r="AB65" s="554">
        <f t="shared" si="117"/>
        <v>2.8231128785701998</v>
      </c>
      <c r="AC65" s="554">
        <f t="shared" si="117"/>
        <v>-5.0972123137279386</v>
      </c>
      <c r="AD65" s="554">
        <f t="shared" si="117"/>
        <v>10.120950479793954</v>
      </c>
      <c r="AE65" s="749">
        <f t="shared" si="117"/>
        <v>8.7070290830572503</v>
      </c>
      <c r="AF65" s="554">
        <f t="shared" si="117"/>
        <v>7.9128352537477742</v>
      </c>
      <c r="AG65" s="554">
        <f t="shared" si="117"/>
        <v>-5.5041609447580182</v>
      </c>
      <c r="AH65" s="554">
        <f t="shared" si="117"/>
        <v>-12.770635967595167</v>
      </c>
      <c r="AI65" s="554">
        <f t="shared" si="117"/>
        <v>-9.5445848453288065</v>
      </c>
      <c r="AJ65" s="554">
        <f t="shared" si="117"/>
        <v>-0.93405275187971037</v>
      </c>
      <c r="AK65" s="554">
        <f t="shared" si="117"/>
        <v>-2.5961202529646621</v>
      </c>
      <c r="AL65" s="554">
        <f t="shared" si="117"/>
        <v>-6.2338562775893784</v>
      </c>
      <c r="AM65" s="554">
        <f t="shared" si="117"/>
        <v>-4.4067444686463508</v>
      </c>
      <c r="AN65" s="554">
        <f t="shared" si="117"/>
        <v>-1.6107330776888196</v>
      </c>
      <c r="AO65" s="554">
        <f t="shared" si="117"/>
        <v>-5.1273224002205353</v>
      </c>
      <c r="AP65" s="554">
        <f t="shared" si="117"/>
        <v>-5.1874048358358067</v>
      </c>
      <c r="AQ65" s="554">
        <f t="shared" si="117"/>
        <v>-2.9479154806256402</v>
      </c>
      <c r="AR65" s="554">
        <f t="shared" si="117"/>
        <v>-1.4849616188874704</v>
      </c>
      <c r="AS65" s="554">
        <f t="shared" si="117"/>
        <v>-6.1190728926840965E-2</v>
      </c>
      <c r="AT65" s="554">
        <f t="shared" si="117"/>
        <v>-1.8952728725074808</v>
      </c>
      <c r="AU65" s="554">
        <f t="shared" si="117"/>
        <v>-1.9850629892020244</v>
      </c>
      <c r="AV65" s="554">
        <f t="shared" si="117"/>
        <v>-0.95815111492809635</v>
      </c>
      <c r="AW65" s="554">
        <f t="shared" si="117"/>
        <v>-1.8667606718866581</v>
      </c>
      <c r="AX65" s="554">
        <f t="shared" si="117"/>
        <v>-1.8002897946255869</v>
      </c>
      <c r="AY65" s="554">
        <f t="shared" si="117"/>
        <v>-3.0210572407499137</v>
      </c>
      <c r="AZ65" s="554">
        <f t="shared" si="117"/>
        <v>-2.6670658734979202</v>
      </c>
      <c r="BA65" s="554">
        <f t="shared" si="117"/>
        <v>-3.1057309177847325</v>
      </c>
      <c r="BB65" s="554">
        <f t="shared" si="117"/>
        <v>-2.7189558962184113</v>
      </c>
      <c r="BC65" s="554">
        <f t="shared" si="117"/>
        <v>-2.6559958888835444</v>
      </c>
      <c r="BD65" s="554">
        <f t="shared" si="117"/>
        <v>-1.6215802642261301</v>
      </c>
      <c r="BE65" s="554">
        <f t="shared" si="117"/>
        <v>-3.4784127083620331</v>
      </c>
      <c r="BF65" s="554">
        <f t="shared" ref="BF65" si="118">(BF46/BE46-1)*100</f>
        <v>-4.6757068786015044</v>
      </c>
      <c r="BG65" s="554">
        <f t="shared" ref="BG65" si="119">(BG46/BF46-1)*100</f>
        <v>-2.0515443534952271</v>
      </c>
      <c r="BH65" s="554">
        <f t="shared" ref="BH65" si="120">(BH46/BG46-1)*100</f>
        <v>-2.0700417486015033</v>
      </c>
      <c r="BI65" s="554">
        <f t="shared" ref="BI65" si="121">(BI46/BH46-1)*100</f>
        <v>-2.0330041883270478</v>
      </c>
      <c r="BJ65" s="554">
        <f t="shared" ref="BJ65" si="122">(BJ46/BI46-1)*100</f>
        <v>-2.815511319295394</v>
      </c>
      <c r="BK65" s="554">
        <f t="shared" ref="BK65" si="123">(BK46/BJ46-1)*100</f>
        <v>-2.9950230631557107</v>
      </c>
      <c r="BL65" s="554">
        <f t="shared" ref="BL65" si="124">(BL46/BK46-1)*100</f>
        <v>-3.5125655845593684</v>
      </c>
      <c r="BM65" s="554">
        <f t="shared" ref="BM65" si="125">(BM46/BL46-1)*100</f>
        <v>-2.5236713782061271</v>
      </c>
      <c r="BN65" s="554">
        <f t="shared" ref="BN65" si="126">(BN46/BM46-1)*100</f>
        <v>-3.5961018472284723</v>
      </c>
      <c r="BO65" s="554">
        <f t="shared" ref="BO65" si="127">(BO46/BN46-1)*100</f>
        <v>-3.0391682484212534</v>
      </c>
    </row>
    <row r="66" spans="1:106" s="541" customFormat="1">
      <c r="A66" s="541" t="s">
        <v>112</v>
      </c>
      <c r="D66" s="555"/>
      <c r="E66" s="535"/>
      <c r="F66" s="535"/>
      <c r="G66" s="535"/>
      <c r="H66" s="556">
        <f t="shared" ref="H66" si="128">(H57/G57-1)*100-H65</f>
        <v>0</v>
      </c>
      <c r="I66" s="556">
        <f t="shared" ref="I66" si="129">(I57/H57-1)*100-I65</f>
        <v>0</v>
      </c>
      <c r="J66" s="556">
        <f t="shared" ref="J66" si="130">(J57/I57-1)*100-J65</f>
        <v>0</v>
      </c>
      <c r="K66" s="556">
        <f t="shared" ref="K66" si="131">(K57/J57-1)*100-K65</f>
        <v>2.2204460492503131E-14</v>
      </c>
      <c r="L66" s="556">
        <f t="shared" ref="L66" si="132">(L57/K57-1)*100-L65</f>
        <v>0</v>
      </c>
      <c r="M66" s="556">
        <f t="shared" ref="M66" si="133">(M57/L57-1)*100-M65</f>
        <v>0</v>
      </c>
      <c r="N66" s="556">
        <f t="shared" ref="N66" si="134">(N57/M57-1)*100-N65</f>
        <v>0</v>
      </c>
      <c r="O66" s="556">
        <f t="shared" ref="O66" si="135">(O57/N57-1)*100-O65</f>
        <v>2.2204460492503131E-14</v>
      </c>
      <c r="P66" s="556">
        <f t="shared" ref="P66" si="136">(P57/O57-1)*100-P65</f>
        <v>-2.2204460492503131E-14</v>
      </c>
      <c r="Q66" s="556">
        <f t="shared" ref="Q66" si="137">(Q57/P57-1)*100-Q65</f>
        <v>2.3092638912203256E-14</v>
      </c>
      <c r="R66" s="556">
        <f t="shared" ref="R66" si="138">(R57/Q57-1)*100-R65</f>
        <v>-2.2204460492503131E-14</v>
      </c>
      <c r="S66" s="556">
        <f t="shared" ref="S66" si="139">(S57/R57-1)*100-S65</f>
        <v>0</v>
      </c>
      <c r="T66" s="556">
        <f t="shared" ref="T66" si="140">(T57/S57-1)*100-T65</f>
        <v>0</v>
      </c>
      <c r="U66" s="556">
        <f t="shared" ref="U66" si="141">(U57/T57-1)*100-U65</f>
        <v>0</v>
      </c>
      <c r="V66" s="556">
        <f t="shared" ref="V66" si="142">(V57/U57-1)*100-V65</f>
        <v>0</v>
      </c>
      <c r="W66" s="556">
        <f t="shared" ref="W66" si="143">(W57/V57-1)*100-W65</f>
        <v>0</v>
      </c>
      <c r="X66" s="556">
        <f t="shared" ref="X66" si="144">(X57/W57-1)*100-X65</f>
        <v>0</v>
      </c>
      <c r="Y66" s="556">
        <f t="shared" ref="Y66:BE66" si="145">(Y57/X57-1)*100-Y65</f>
        <v>0</v>
      </c>
      <c r="Z66" s="556">
        <f t="shared" si="145"/>
        <v>-2.3092638912203256E-14</v>
      </c>
      <c r="AA66" s="556">
        <f t="shared" si="145"/>
        <v>1.1546319456101628E-14</v>
      </c>
      <c r="AB66" s="556">
        <f t="shared" si="145"/>
        <v>0</v>
      </c>
      <c r="AC66" s="556">
        <f t="shared" si="145"/>
        <v>0</v>
      </c>
      <c r="AD66" s="556">
        <f t="shared" si="145"/>
        <v>0</v>
      </c>
      <c r="AE66" s="750">
        <f t="shared" si="145"/>
        <v>0</v>
      </c>
      <c r="AF66" s="556">
        <f t="shared" si="145"/>
        <v>0</v>
      </c>
      <c r="AG66" s="556">
        <f t="shared" si="145"/>
        <v>0</v>
      </c>
      <c r="AH66" s="556">
        <f t="shared" si="145"/>
        <v>0</v>
      </c>
      <c r="AI66" s="556">
        <f t="shared" si="145"/>
        <v>0</v>
      </c>
      <c r="AJ66" s="556">
        <f t="shared" si="145"/>
        <v>1.1102230246251565E-14</v>
      </c>
      <c r="AK66" s="556">
        <f t="shared" si="145"/>
        <v>-2.2204460492503131E-14</v>
      </c>
      <c r="AL66" s="556">
        <f t="shared" si="145"/>
        <v>-1.0658141036401503E-14</v>
      </c>
      <c r="AM66" s="556">
        <f t="shared" si="145"/>
        <v>3.2862601528904634E-14</v>
      </c>
      <c r="AN66" s="556">
        <f t="shared" si="145"/>
        <v>0</v>
      </c>
      <c r="AO66" s="556">
        <f t="shared" si="145"/>
        <v>0</v>
      </c>
      <c r="AP66" s="556">
        <f t="shared" si="145"/>
        <v>-4.4408920985006262E-14</v>
      </c>
      <c r="AQ66" s="556">
        <f t="shared" si="145"/>
        <v>3.3306690738754696E-14</v>
      </c>
      <c r="AR66" s="556">
        <f t="shared" si="145"/>
        <v>-2.2204460492503131E-14</v>
      </c>
      <c r="AS66" s="556">
        <f t="shared" si="145"/>
        <v>0</v>
      </c>
      <c r="AT66" s="556">
        <f t="shared" si="145"/>
        <v>1.1102230246251565E-14</v>
      </c>
      <c r="AU66" s="556">
        <f t="shared" si="145"/>
        <v>-1.1102230246251565E-14</v>
      </c>
      <c r="AV66" s="556">
        <f t="shared" si="145"/>
        <v>1.1102230246251565E-14</v>
      </c>
      <c r="AW66" s="556">
        <f t="shared" si="145"/>
        <v>0</v>
      </c>
      <c r="AX66" s="556">
        <f t="shared" si="145"/>
        <v>0</v>
      </c>
      <c r="AY66" s="556">
        <f t="shared" si="145"/>
        <v>0</v>
      </c>
      <c r="AZ66" s="556">
        <f t="shared" si="145"/>
        <v>-1.1102230246251565E-14</v>
      </c>
      <c r="BA66" s="556">
        <f t="shared" si="145"/>
        <v>2.2204460492503131E-14</v>
      </c>
      <c r="BB66" s="556">
        <f t="shared" si="145"/>
        <v>-1.1102230246251565E-14</v>
      </c>
      <c r="BC66" s="556">
        <f t="shared" si="145"/>
        <v>0</v>
      </c>
      <c r="BD66" s="556">
        <f t="shared" si="145"/>
        <v>-1.1102230246251565E-14</v>
      </c>
      <c r="BE66" s="556">
        <f t="shared" si="145"/>
        <v>1.1102230246251565E-14</v>
      </c>
      <c r="BF66" s="556">
        <f t="shared" ref="BF66" si="146">(BF57/BE57-1)*100-BF65</f>
        <v>2.2204460492503131E-14</v>
      </c>
      <c r="BG66" s="556">
        <f t="shared" ref="BG66" si="147">(BG57/BF57-1)*100-BG65</f>
        <v>0</v>
      </c>
      <c r="BH66" s="556">
        <f t="shared" ref="BH66" si="148">(BH57/BG57-1)*100-BH65</f>
        <v>-3.3306690738754696E-14</v>
      </c>
      <c r="BI66" s="556">
        <f t="shared" ref="BI66" si="149">(BI57/BH57-1)*100-BI65</f>
        <v>0</v>
      </c>
      <c r="BJ66" s="556">
        <f t="shared" ref="BJ66" si="150">(BJ57/BI57-1)*100-BJ65</f>
        <v>0</v>
      </c>
      <c r="BK66" s="556">
        <f t="shared" ref="BK66" si="151">(BK57/BJ57-1)*100-BK65</f>
        <v>2.2204460492503131E-14</v>
      </c>
      <c r="BL66" s="556">
        <f t="shared" ref="BL66" si="152">(BL57/BK57-1)*100-BL65</f>
        <v>0</v>
      </c>
      <c r="BM66" s="556">
        <f t="shared" ref="BM66" si="153">(BM57/BL57-1)*100-BM65</f>
        <v>-2.2204460492503131E-14</v>
      </c>
      <c r="BN66" s="556">
        <f t="shared" ref="BN66" si="154">(BN57/BM57-1)*100-BN65</f>
        <v>2.2204460492503131E-14</v>
      </c>
      <c r="BO66" s="556">
        <f t="shared" ref="BO66" si="155">(BO57/BN57-1)*100-BO65</f>
        <v>0</v>
      </c>
    </row>
    <row r="67" spans="1:106" s="543" customFormat="1">
      <c r="D67" s="557"/>
      <c r="E67" s="558"/>
      <c r="F67" s="558"/>
      <c r="G67" s="558"/>
      <c r="H67" s="558"/>
      <c r="I67" s="558"/>
      <c r="J67" s="558"/>
      <c r="K67" s="558"/>
      <c r="L67" s="558"/>
      <c r="M67" s="558"/>
      <c r="N67" s="558"/>
      <c r="O67" s="558"/>
      <c r="P67" s="558"/>
      <c r="Q67" s="558"/>
      <c r="R67" s="558"/>
      <c r="S67" s="558"/>
      <c r="T67" s="558"/>
      <c r="U67" s="558"/>
      <c r="V67" s="558"/>
      <c r="W67" s="558"/>
      <c r="X67" s="558"/>
      <c r="Y67" s="559"/>
      <c r="Z67" s="559"/>
      <c r="AA67" s="559"/>
      <c r="AB67" s="559"/>
      <c r="AC67" s="559"/>
      <c r="AD67" s="559"/>
      <c r="AE67" s="751"/>
      <c r="AF67" s="559"/>
      <c r="AG67" s="559"/>
      <c r="AH67" s="559"/>
      <c r="AI67" s="559"/>
      <c r="AJ67" s="559"/>
      <c r="AK67" s="559"/>
      <c r="AL67" s="559"/>
      <c r="AM67" s="559"/>
      <c r="AN67" s="559"/>
      <c r="AO67" s="559"/>
      <c r="AP67" s="559"/>
      <c r="AQ67" s="559"/>
      <c r="AR67" s="559"/>
      <c r="AS67" s="559"/>
      <c r="AT67" s="559"/>
      <c r="AU67" s="559"/>
      <c r="AV67" s="559"/>
      <c r="AW67" s="559"/>
      <c r="AX67" s="559"/>
      <c r="AY67" s="559"/>
      <c r="AZ67" s="559"/>
      <c r="BA67" s="559"/>
      <c r="BB67" s="559"/>
      <c r="BC67" s="559"/>
      <c r="BD67" s="559"/>
      <c r="BE67" s="559"/>
    </row>
    <row r="68" spans="1:106" s="560" customFormat="1">
      <c r="A68" s="498" t="s">
        <v>532</v>
      </c>
      <c r="D68" s="561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2"/>
      <c r="P68" s="562"/>
      <c r="Q68" s="562"/>
      <c r="R68" s="562"/>
      <c r="S68" s="562"/>
      <c r="T68" s="562"/>
      <c r="U68" s="562"/>
      <c r="V68" s="562"/>
      <c r="W68" s="562"/>
      <c r="X68" s="562"/>
      <c r="Y68" s="563"/>
      <c r="Z68" s="563"/>
      <c r="AA68" s="563"/>
      <c r="AB68" s="563"/>
      <c r="AC68" s="563"/>
      <c r="AD68" s="563"/>
      <c r="AE68" s="752"/>
      <c r="AF68" s="563"/>
      <c r="AG68" s="563"/>
      <c r="AH68" s="563"/>
      <c r="AI68" s="563"/>
      <c r="AJ68" s="563"/>
      <c r="AK68" s="563"/>
      <c r="AL68" s="563"/>
      <c r="AM68" s="563"/>
      <c r="AN68" s="563"/>
      <c r="AO68" s="563"/>
      <c r="AP68" s="563"/>
      <c r="AQ68" s="563"/>
      <c r="AR68" s="563"/>
      <c r="AS68" s="563"/>
      <c r="AT68" s="563"/>
      <c r="AU68" s="563"/>
      <c r="AV68" s="563"/>
      <c r="AW68" s="563"/>
      <c r="AX68" s="563"/>
      <c r="AY68" s="563"/>
      <c r="AZ68" s="563"/>
      <c r="BA68" s="563"/>
      <c r="BB68" s="563"/>
      <c r="BC68" s="563"/>
      <c r="BD68" s="563"/>
      <c r="BE68" s="563"/>
    </row>
    <row r="70" spans="1:106">
      <c r="A70" s="489" t="s">
        <v>531</v>
      </c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36"/>
      <c r="W70" s="544"/>
      <c r="X70" s="544"/>
      <c r="Y70" s="544"/>
      <c r="Z70" s="544"/>
      <c r="AA70" s="544"/>
      <c r="AB70" s="544"/>
      <c r="AC70" s="544"/>
      <c r="AD70" s="544"/>
      <c r="AE70" s="744"/>
      <c r="AF70" s="544"/>
      <c r="AG70" s="544"/>
      <c r="AH70" s="544"/>
      <c r="AI70" s="544"/>
      <c r="AJ70" s="544"/>
      <c r="AK70" s="544"/>
    </row>
    <row r="71" spans="1:106">
      <c r="A71" s="325" t="s">
        <v>324</v>
      </c>
      <c r="D71" s="544"/>
      <c r="E71" s="544"/>
      <c r="F71" s="544"/>
      <c r="G71" s="544"/>
      <c r="H71" s="544"/>
      <c r="I71" s="544"/>
      <c r="J71" s="544"/>
      <c r="K71" s="544"/>
      <c r="L71" s="554">
        <f t="shared" ref="L71:AM71" si="156">L60</f>
        <v>39.806993490677065</v>
      </c>
      <c r="M71" s="554">
        <f t="shared" si="156"/>
        <v>-42.596730349809505</v>
      </c>
      <c r="N71" s="554">
        <f t="shared" si="156"/>
        <v>-53.110936910257522</v>
      </c>
      <c r="O71" s="554">
        <f t="shared" si="156"/>
        <v>-36.594542658383801</v>
      </c>
      <c r="P71" s="554">
        <f t="shared" si="156"/>
        <v>-18.478668406359734</v>
      </c>
      <c r="Q71" s="554">
        <f t="shared" si="156"/>
        <v>-7.2314469322731778</v>
      </c>
      <c r="R71" s="554">
        <f t="shared" si="156"/>
        <v>92.500192500192483</v>
      </c>
      <c r="S71" s="554">
        <f t="shared" si="156"/>
        <v>-9.4279839552364404</v>
      </c>
      <c r="T71" s="554">
        <f t="shared" si="156"/>
        <v>80.525928817159411</v>
      </c>
      <c r="U71" s="554">
        <f t="shared" si="156"/>
        <v>240.29657397328404</v>
      </c>
      <c r="V71" s="554">
        <f t="shared" si="156"/>
        <v>-27.582870742738098</v>
      </c>
      <c r="W71" s="554">
        <f t="shared" si="156"/>
        <v>-40.305548235300968</v>
      </c>
      <c r="X71" s="554">
        <f t="shared" si="156"/>
        <v>21.492468843183744</v>
      </c>
      <c r="Y71" s="554">
        <f t="shared" si="156"/>
        <v>-17.682646390847001</v>
      </c>
      <c r="Z71" s="554">
        <f t="shared" si="156"/>
        <v>-8.7676776244394734</v>
      </c>
      <c r="AA71" s="554">
        <f t="shared" si="156"/>
        <v>-7.4970323523806393</v>
      </c>
      <c r="AB71" s="554">
        <f t="shared" si="156"/>
        <v>-17.307444735822052</v>
      </c>
      <c r="AC71" s="554">
        <f t="shared" si="156"/>
        <v>15.175442672405692</v>
      </c>
      <c r="AD71" s="554">
        <f t="shared" si="156"/>
        <v>60.808047990357835</v>
      </c>
      <c r="AE71" s="749">
        <f t="shared" si="156"/>
        <v>50.000937505859412</v>
      </c>
      <c r="AF71" s="554">
        <f t="shared" si="156"/>
        <v>-2.966067757927715</v>
      </c>
      <c r="AG71" s="554">
        <f t="shared" si="156"/>
        <v>-39.972834396133763</v>
      </c>
      <c r="AH71" s="554">
        <f t="shared" si="156"/>
        <v>-35.367384505173845</v>
      </c>
      <c r="AI71" s="554">
        <f t="shared" si="156"/>
        <v>79.753417171425028</v>
      </c>
      <c r="AJ71" s="554">
        <f t="shared" si="156"/>
        <v>54.941035862397335</v>
      </c>
      <c r="AK71" s="554">
        <f t="shared" si="156"/>
        <v>-1.5319977647713201</v>
      </c>
      <c r="AL71" s="554">
        <f t="shared" si="156"/>
        <v>-36.146757891989147</v>
      </c>
      <c r="AM71" s="554">
        <f t="shared" si="156"/>
        <v>-25.638314180858345</v>
      </c>
      <c r="AN71" s="554">
        <v>0</v>
      </c>
      <c r="AO71" s="554">
        <v>0</v>
      </c>
      <c r="AP71" s="554">
        <v>0</v>
      </c>
      <c r="AQ71" s="554">
        <v>0</v>
      </c>
      <c r="AR71" s="554">
        <v>0</v>
      </c>
      <c r="AS71" s="554">
        <v>0</v>
      </c>
      <c r="AT71" s="554">
        <v>0</v>
      </c>
      <c r="AU71" s="554">
        <v>0</v>
      </c>
      <c r="AV71" s="554">
        <v>0</v>
      </c>
      <c r="AW71" s="554">
        <v>0</v>
      </c>
      <c r="AX71" s="554">
        <v>0</v>
      </c>
      <c r="AY71" s="554">
        <v>0</v>
      </c>
      <c r="AZ71" s="554">
        <v>0</v>
      </c>
      <c r="BA71" s="554">
        <v>0</v>
      </c>
      <c r="BB71" s="554">
        <v>0</v>
      </c>
      <c r="BC71" s="554">
        <v>0</v>
      </c>
      <c r="BD71" s="554">
        <v>0</v>
      </c>
      <c r="BE71" s="554">
        <v>0</v>
      </c>
      <c r="BF71" s="554">
        <v>0</v>
      </c>
      <c r="BG71" s="554">
        <v>0</v>
      </c>
      <c r="BH71" s="554">
        <v>0</v>
      </c>
      <c r="BI71" s="554">
        <v>0</v>
      </c>
      <c r="BJ71" s="554">
        <v>0</v>
      </c>
      <c r="BK71" s="554">
        <v>0</v>
      </c>
      <c r="BL71" s="554">
        <v>0</v>
      </c>
      <c r="BM71" s="554">
        <v>0</v>
      </c>
      <c r="BN71" s="554">
        <v>0</v>
      </c>
      <c r="BO71" s="554">
        <v>0</v>
      </c>
    </row>
    <row r="72" spans="1:106">
      <c r="A72" s="325" t="s">
        <v>325</v>
      </c>
      <c r="D72" s="544"/>
      <c r="E72" s="544"/>
      <c r="F72" s="544"/>
      <c r="G72" s="544"/>
      <c r="H72" s="544"/>
      <c r="I72" s="544"/>
      <c r="J72" s="544"/>
      <c r="K72" s="544"/>
      <c r="L72" s="554">
        <f t="shared" ref="L72:AM72" si="157">L61</f>
        <v>0.26264816637606714</v>
      </c>
      <c r="M72" s="554">
        <f t="shared" si="157"/>
        <v>-2.0692654784586595</v>
      </c>
      <c r="N72" s="554">
        <f t="shared" si="157"/>
        <v>-33.567677274914729</v>
      </c>
      <c r="O72" s="554">
        <f t="shared" si="157"/>
        <v>-62.414049944595696</v>
      </c>
      <c r="P72" s="554">
        <f t="shared" si="157"/>
        <v>-8.7680352610394756</v>
      </c>
      <c r="Q72" s="554">
        <f t="shared" si="157"/>
        <v>-13.592813682527627</v>
      </c>
      <c r="R72" s="554">
        <f t="shared" si="157"/>
        <v>-41.690869168062349</v>
      </c>
      <c r="S72" s="554">
        <f t="shared" si="157"/>
        <v>-46.257552283424239</v>
      </c>
      <c r="T72" s="554">
        <f t="shared" si="157"/>
        <v>32.067627494456772</v>
      </c>
      <c r="U72" s="554">
        <f t="shared" si="157"/>
        <v>72.015430492319553</v>
      </c>
      <c r="V72" s="554">
        <f t="shared" si="157"/>
        <v>46.53896063178302</v>
      </c>
      <c r="W72" s="554">
        <f t="shared" si="157"/>
        <v>-24.650164466847603</v>
      </c>
      <c r="X72" s="554">
        <f t="shared" si="157"/>
        <v>-51.177183109162328</v>
      </c>
      <c r="Y72" s="554">
        <f t="shared" si="157"/>
        <v>-35.448100737222077</v>
      </c>
      <c r="Z72" s="554">
        <f t="shared" si="157"/>
        <v>-0.90889460805588795</v>
      </c>
      <c r="AA72" s="554">
        <f t="shared" si="157"/>
        <v>-11.08887831167471</v>
      </c>
      <c r="AB72" s="554">
        <f t="shared" si="157"/>
        <v>141.58965704602537</v>
      </c>
      <c r="AC72" s="554">
        <f t="shared" si="157"/>
        <v>-9.3909722784522582</v>
      </c>
      <c r="AD72" s="554">
        <f t="shared" si="157"/>
        <v>-2.0151072869190267</v>
      </c>
      <c r="AE72" s="749">
        <f t="shared" si="157"/>
        <v>54.355777654631552</v>
      </c>
      <c r="AF72" s="554">
        <f t="shared" si="157"/>
        <v>32.855311780464213</v>
      </c>
      <c r="AG72" s="554">
        <f t="shared" si="157"/>
        <v>-9.580861212440384</v>
      </c>
      <c r="AH72" s="554">
        <f t="shared" si="157"/>
        <v>-24.617027943508461</v>
      </c>
      <c r="AI72" s="554">
        <f t="shared" si="157"/>
        <v>-11.220226648796594</v>
      </c>
      <c r="AJ72" s="554">
        <f t="shared" si="157"/>
        <v>-37.761901215894945</v>
      </c>
      <c r="AK72" s="554">
        <f t="shared" si="157"/>
        <v>29.263485579959948</v>
      </c>
      <c r="AL72" s="554">
        <f t="shared" si="157"/>
        <v>-54.358224327322148</v>
      </c>
      <c r="AM72" s="554">
        <f t="shared" si="157"/>
        <v>18.716029643493904</v>
      </c>
      <c r="AN72" s="554">
        <v>0</v>
      </c>
      <c r="AO72" s="554">
        <v>0</v>
      </c>
      <c r="AP72" s="554">
        <v>0</v>
      </c>
      <c r="AQ72" s="554">
        <v>0</v>
      </c>
      <c r="AR72" s="554">
        <v>0</v>
      </c>
      <c r="AS72" s="554">
        <v>0</v>
      </c>
      <c r="AT72" s="554">
        <v>0</v>
      </c>
      <c r="AU72" s="554">
        <v>0</v>
      </c>
      <c r="AV72" s="554">
        <v>0</v>
      </c>
      <c r="AW72" s="554">
        <v>0</v>
      </c>
      <c r="AX72" s="554">
        <v>0</v>
      </c>
      <c r="AY72" s="554">
        <v>0</v>
      </c>
      <c r="AZ72" s="554">
        <v>0</v>
      </c>
      <c r="BA72" s="554">
        <v>0</v>
      </c>
      <c r="BB72" s="554">
        <v>0</v>
      </c>
      <c r="BC72" s="554">
        <v>0</v>
      </c>
      <c r="BD72" s="554">
        <v>0</v>
      </c>
      <c r="BE72" s="554">
        <v>0</v>
      </c>
      <c r="BF72" s="554">
        <v>0</v>
      </c>
      <c r="BG72" s="554">
        <v>0</v>
      </c>
      <c r="BH72" s="554">
        <v>0</v>
      </c>
      <c r="BI72" s="554">
        <v>0</v>
      </c>
      <c r="BJ72" s="554">
        <v>0</v>
      </c>
      <c r="BK72" s="554">
        <v>0</v>
      </c>
      <c r="BL72" s="554">
        <v>0</v>
      </c>
      <c r="BM72" s="554">
        <v>0</v>
      </c>
      <c r="BN72" s="554">
        <v>0</v>
      </c>
      <c r="BO72" s="554">
        <v>0</v>
      </c>
    </row>
    <row r="73" spans="1:106">
      <c r="A73" s="325" t="s">
        <v>326</v>
      </c>
      <c r="D73" s="544"/>
      <c r="E73" s="544"/>
      <c r="F73" s="544"/>
      <c r="G73" s="544"/>
      <c r="H73" s="544"/>
      <c r="I73" s="544"/>
      <c r="J73" s="544"/>
      <c r="K73" s="544"/>
      <c r="L73" s="554">
        <f t="shared" ref="L73:AM73" si="158">L62</f>
        <v>60.815143910559911</v>
      </c>
      <c r="M73" s="554">
        <f t="shared" si="158"/>
        <v>37.865321528968089</v>
      </c>
      <c r="N73" s="554">
        <f t="shared" si="158"/>
        <v>38.579094345498333</v>
      </c>
      <c r="O73" s="554">
        <f t="shared" si="158"/>
        <v>26.610802529043486</v>
      </c>
      <c r="P73" s="554">
        <f t="shared" si="158"/>
        <v>5.5214661762428063</v>
      </c>
      <c r="Q73" s="554">
        <f t="shared" si="158"/>
        <v>-4.3573030222514912</v>
      </c>
      <c r="R73" s="554">
        <f t="shared" si="158"/>
        <v>-3.9457068415713836</v>
      </c>
      <c r="S73" s="554">
        <f t="shared" si="158"/>
        <v>-5.2681886001299745</v>
      </c>
      <c r="T73" s="554">
        <f t="shared" si="158"/>
        <v>30.303198407268404</v>
      </c>
      <c r="U73" s="554">
        <f t="shared" si="158"/>
        <v>-7.7950597609974803</v>
      </c>
      <c r="V73" s="554">
        <f t="shared" si="158"/>
        <v>-12.585877610730723</v>
      </c>
      <c r="W73" s="554">
        <f t="shared" si="158"/>
        <v>-28.200151171188772</v>
      </c>
      <c r="X73" s="554">
        <f t="shared" si="158"/>
        <v>-10.99092674875094</v>
      </c>
      <c r="Y73" s="554">
        <f t="shared" si="158"/>
        <v>31.633189892722946</v>
      </c>
      <c r="Z73" s="554">
        <f t="shared" si="158"/>
        <v>7.542581677608462</v>
      </c>
      <c r="AA73" s="554">
        <f t="shared" si="158"/>
        <v>-27.586462786994105</v>
      </c>
      <c r="AB73" s="554">
        <f t="shared" si="158"/>
        <v>19.602254828483524</v>
      </c>
      <c r="AC73" s="554">
        <f t="shared" si="158"/>
        <v>-17.126543797972527</v>
      </c>
      <c r="AD73" s="554">
        <f t="shared" si="158"/>
        <v>-1.6598397736432569</v>
      </c>
      <c r="AE73" s="749">
        <f t="shared" si="158"/>
        <v>23.982170213087063</v>
      </c>
      <c r="AF73" s="554">
        <f t="shared" si="158"/>
        <v>-0.60141346881652513</v>
      </c>
      <c r="AG73" s="554">
        <f t="shared" si="158"/>
        <v>0.56911690170238227</v>
      </c>
      <c r="AH73" s="554">
        <f t="shared" si="158"/>
        <v>-0.10812117857481596</v>
      </c>
      <c r="AI73" s="554">
        <f t="shared" si="158"/>
        <v>-0.71998211505664989</v>
      </c>
      <c r="AJ73" s="554">
        <f t="shared" si="158"/>
        <v>0.48591674666182971</v>
      </c>
      <c r="AK73" s="554">
        <f t="shared" si="158"/>
        <v>0.89957195216465724</v>
      </c>
      <c r="AL73" s="554">
        <f t="shared" si="158"/>
        <v>1.0284537900012936</v>
      </c>
      <c r="AM73" s="554">
        <f t="shared" si="158"/>
        <v>-2.3820683335293746</v>
      </c>
      <c r="AN73" s="554">
        <f t="shared" ref="AN73:BE73" si="159">AN62</f>
        <v>-2.0719215076378417</v>
      </c>
      <c r="AO73" s="554">
        <f t="shared" si="159"/>
        <v>-0.88251992101231469</v>
      </c>
      <c r="AP73" s="554">
        <f t="shared" si="159"/>
        <v>-1.7571743146077234</v>
      </c>
      <c r="AQ73" s="554">
        <f t="shared" si="159"/>
        <v>-1.9352341406435047</v>
      </c>
      <c r="AR73" s="554">
        <f t="shared" si="159"/>
        <v>-2.0444505097730215</v>
      </c>
      <c r="AS73" s="554">
        <f t="shared" si="159"/>
        <v>-2.0033735195929103</v>
      </c>
      <c r="AT73" s="554">
        <f t="shared" si="159"/>
        <v>-4.7733111157399533</v>
      </c>
      <c r="AU73" s="554">
        <f t="shared" si="159"/>
        <v>-3.0148372279537261</v>
      </c>
      <c r="AV73" s="554">
        <f t="shared" si="159"/>
        <v>-1.1276499774359738E-2</v>
      </c>
      <c r="AW73" s="554">
        <f t="shared" si="159"/>
        <v>-1.5037028683106968E-2</v>
      </c>
      <c r="AX73" s="554">
        <f t="shared" si="159"/>
        <v>-3.1206527051924171</v>
      </c>
      <c r="AY73" s="554">
        <f t="shared" si="159"/>
        <v>-2.1461559358869065</v>
      </c>
      <c r="AZ73" s="554">
        <f t="shared" si="159"/>
        <v>3.9660506068184276E-3</v>
      </c>
      <c r="BA73" s="554">
        <f t="shared" si="159"/>
        <v>-3.965893317570135E-3</v>
      </c>
      <c r="BB73" s="554">
        <f t="shared" si="159"/>
        <v>-3.295788054255655</v>
      </c>
      <c r="BC73" s="554">
        <f t="shared" si="159"/>
        <v>2.6645352591003757E-13</v>
      </c>
      <c r="BD73" s="554">
        <f t="shared" si="159"/>
        <v>-2.3314683517128287E-13</v>
      </c>
      <c r="BE73" s="554">
        <f t="shared" si="159"/>
        <v>-3.4081122093261307</v>
      </c>
      <c r="BF73" s="554">
        <f t="shared" ref="BF73:BO73" si="160">BF62</f>
        <v>-5.8848505434781266</v>
      </c>
      <c r="BG73" s="554">
        <f t="shared" si="160"/>
        <v>-5.5511151231257827E-14</v>
      </c>
      <c r="BH73" s="554">
        <f t="shared" si="160"/>
        <v>0</v>
      </c>
      <c r="BI73" s="554">
        <f t="shared" si="160"/>
        <v>4.5114138770063761E-3</v>
      </c>
      <c r="BJ73" s="554">
        <f t="shared" si="160"/>
        <v>1.9984014443252818E-13</v>
      </c>
      <c r="BK73" s="554">
        <f t="shared" si="160"/>
        <v>2.2204460492503131E-14</v>
      </c>
      <c r="BL73" s="554">
        <f t="shared" si="160"/>
        <v>-1.2212453270876722E-13</v>
      </c>
      <c r="BM73" s="554">
        <f t="shared" si="160"/>
        <v>-5.5511151231257827E-14</v>
      </c>
      <c r="BN73" s="554">
        <f t="shared" si="160"/>
        <v>8.8817841970012523E-14</v>
      </c>
      <c r="BO73" s="554">
        <f t="shared" si="160"/>
        <v>2.2204460492503131E-14</v>
      </c>
    </row>
    <row r="74" spans="1:106">
      <c r="A74" s="325" t="s">
        <v>332</v>
      </c>
      <c r="D74" s="544"/>
      <c r="E74" s="544"/>
      <c r="F74" s="544"/>
      <c r="G74" s="544"/>
      <c r="H74" s="544"/>
      <c r="I74" s="544"/>
      <c r="J74" s="544"/>
      <c r="K74" s="544"/>
      <c r="L74" s="554"/>
      <c r="M74" s="554"/>
      <c r="N74" s="554"/>
      <c r="O74" s="554"/>
      <c r="P74" s="554">
        <f>P63</f>
        <v>4.8164609230107347</v>
      </c>
      <c r="Q74" s="554">
        <f t="shared" ref="Q74:AK74" si="161">Q63</f>
        <v>2.1735634633457623</v>
      </c>
      <c r="R74" s="554">
        <f t="shared" si="161"/>
        <v>3.7034428856216994</v>
      </c>
      <c r="S74" s="554">
        <f t="shared" si="161"/>
        <v>10.640357600846496</v>
      </c>
      <c r="T74" s="554">
        <f t="shared" si="161"/>
        <v>24.090175795469548</v>
      </c>
      <c r="U74" s="554">
        <f t="shared" si="161"/>
        <v>-8.9731871501585125</v>
      </c>
      <c r="V74" s="554">
        <f t="shared" si="161"/>
        <v>-10.239602269403147</v>
      </c>
      <c r="W74" s="554">
        <f t="shared" si="161"/>
        <v>1.1054213344239283</v>
      </c>
      <c r="X74" s="554">
        <f t="shared" si="161"/>
        <v>-6.5715723975962481</v>
      </c>
      <c r="Y74" s="554">
        <f t="shared" si="161"/>
        <v>-9.6086294731445587</v>
      </c>
      <c r="Z74" s="554">
        <f t="shared" si="161"/>
        <v>14.228611132075585</v>
      </c>
      <c r="AA74" s="554">
        <f t="shared" si="161"/>
        <v>12.88640144988895</v>
      </c>
      <c r="AB74" s="554">
        <f t="shared" si="161"/>
        <v>4.0128614309593802</v>
      </c>
      <c r="AC74" s="554">
        <f t="shared" si="161"/>
        <v>-18.558352586962059</v>
      </c>
      <c r="AD74" s="554">
        <f t="shared" si="161"/>
        <v>8.2840022811426337</v>
      </c>
      <c r="AE74" s="749">
        <f t="shared" si="161"/>
        <v>-11.000739087994782</v>
      </c>
      <c r="AF74" s="554">
        <f t="shared" si="161"/>
        <v>28.861318824387403</v>
      </c>
      <c r="AG74" s="554">
        <f t="shared" si="161"/>
        <v>7.7391776369556853</v>
      </c>
      <c r="AH74" s="554">
        <f t="shared" si="161"/>
        <v>-16.042641532023683</v>
      </c>
      <c r="AI74" s="554">
        <f t="shared" si="161"/>
        <v>-21.095854730422868</v>
      </c>
      <c r="AJ74" s="554">
        <f t="shared" si="161"/>
        <v>-21.610864224115812</v>
      </c>
      <c r="AK74" s="554">
        <f t="shared" si="161"/>
        <v>-6.094093789621069</v>
      </c>
      <c r="AL74" s="554"/>
      <c r="AM74" s="554"/>
      <c r="AN74" s="554"/>
      <c r="AO74" s="554"/>
      <c r="AP74" s="554"/>
      <c r="AQ74" s="554"/>
      <c r="AR74" s="554"/>
      <c r="AS74" s="554"/>
      <c r="AT74" s="554"/>
      <c r="AU74" s="554"/>
      <c r="AV74" s="554"/>
      <c r="AW74" s="554"/>
      <c r="AX74" s="554"/>
      <c r="AY74" s="554"/>
      <c r="AZ74" s="554"/>
      <c r="BA74" s="554"/>
      <c r="BB74" s="554"/>
      <c r="BC74" s="554"/>
      <c r="BD74" s="554"/>
      <c r="BE74" s="554"/>
      <c r="BF74" s="554"/>
      <c r="BG74" s="554"/>
      <c r="BH74" s="554"/>
      <c r="BI74" s="554"/>
      <c r="BJ74" s="554"/>
      <c r="BK74" s="554"/>
      <c r="BL74" s="554"/>
      <c r="BM74" s="554"/>
      <c r="BN74" s="554"/>
      <c r="BO74" s="554"/>
    </row>
    <row r="75" spans="1:106">
      <c r="A75" s="325" t="s">
        <v>350</v>
      </c>
      <c r="D75" s="544"/>
      <c r="E75" s="544"/>
      <c r="F75" s="544"/>
      <c r="G75" s="544"/>
      <c r="H75" s="544"/>
      <c r="I75" s="544"/>
      <c r="J75" s="544"/>
      <c r="K75" s="544"/>
      <c r="L75" s="554">
        <f>L64</f>
        <v>8.2009655314864816</v>
      </c>
      <c r="M75" s="554">
        <f>M64</f>
        <v>14.548678966815398</v>
      </c>
      <c r="N75" s="554">
        <f>N64</f>
        <v>14.304076071598759</v>
      </c>
      <c r="O75" s="554">
        <f>O64</f>
        <v>12.282867589092184</v>
      </c>
      <c r="P75" s="554">
        <f>P64</f>
        <v>4.5287518693685636</v>
      </c>
      <c r="Q75" s="554">
        <f t="shared" ref="Q75:X75" si="162">Q64</f>
        <v>-18.773042468528335</v>
      </c>
      <c r="R75" s="554">
        <f t="shared" si="162"/>
        <v>21.743301313032283</v>
      </c>
      <c r="S75" s="554">
        <f t="shared" si="162"/>
        <v>26.562895056575432</v>
      </c>
      <c r="T75" s="554">
        <f t="shared" si="162"/>
        <v>14.377262867915142</v>
      </c>
      <c r="U75" s="554">
        <f t="shared" si="162"/>
        <v>0.65503969072380208</v>
      </c>
      <c r="V75" s="554">
        <f t="shared" si="162"/>
        <v>-18.46534585482652</v>
      </c>
      <c r="W75" s="554">
        <f t="shared" si="162"/>
        <v>-13.872493826371002</v>
      </c>
      <c r="X75" s="554">
        <f t="shared" si="162"/>
        <v>-9.4396950528786832</v>
      </c>
      <c r="Y75" s="554">
        <f t="shared" ref="Y75:BE75" si="163">(Y83/X83-1)*100</f>
        <v>4.2119978782486411</v>
      </c>
      <c r="Z75" s="554">
        <f t="shared" si="163"/>
        <v>18.355792289104112</v>
      </c>
      <c r="AA75" s="554">
        <f t="shared" si="163"/>
        <v>-9.0120560398962439</v>
      </c>
      <c r="AB75" s="554">
        <f t="shared" si="163"/>
        <v>-7.4216094889562818</v>
      </c>
      <c r="AC75" s="554">
        <f t="shared" si="163"/>
        <v>-0.75530979053519687</v>
      </c>
      <c r="AD75" s="554">
        <f t="shared" si="163"/>
        <v>21.984469633279001</v>
      </c>
      <c r="AE75" s="749">
        <f t="shared" si="163"/>
        <v>18.243781544093409</v>
      </c>
      <c r="AF75" s="554">
        <f t="shared" si="163"/>
        <v>-7.5942446417890386</v>
      </c>
      <c r="AG75" s="554">
        <f t="shared" si="163"/>
        <v>-18.02318210565177</v>
      </c>
      <c r="AH75" s="554">
        <f t="shared" si="163"/>
        <v>1.362377997008557</v>
      </c>
      <c r="AI75" s="554">
        <f t="shared" si="163"/>
        <v>-4.181422335927687</v>
      </c>
      <c r="AJ75" s="554">
        <f t="shared" si="163"/>
        <v>10.689050171572623</v>
      </c>
      <c r="AK75" s="554">
        <f t="shared" si="163"/>
        <v>-2.1310737620103715</v>
      </c>
      <c r="AL75" s="554">
        <f t="shared" si="163"/>
        <v>-6.2338562775893669</v>
      </c>
      <c r="AM75" s="554">
        <f t="shared" si="163"/>
        <v>-4.4067444686463624</v>
      </c>
      <c r="AN75" s="554">
        <f t="shared" si="163"/>
        <v>-1.6107330776888196</v>
      </c>
      <c r="AO75" s="554">
        <f t="shared" si="163"/>
        <v>-5.127322400220546</v>
      </c>
      <c r="AP75" s="554">
        <f t="shared" si="163"/>
        <v>-5.1874048358358298</v>
      </c>
      <c r="AQ75" s="554">
        <f t="shared" si="163"/>
        <v>-2.947915480625618</v>
      </c>
      <c r="AR75" s="554">
        <f t="shared" si="163"/>
        <v>-1.4849616188874593</v>
      </c>
      <c r="AS75" s="554">
        <f t="shared" si="163"/>
        <v>-6.1190728926840965E-2</v>
      </c>
      <c r="AT75" s="554">
        <f t="shared" si="163"/>
        <v>-1.8952728725074919</v>
      </c>
      <c r="AU75" s="554">
        <f t="shared" si="163"/>
        <v>-1.9850629892020133</v>
      </c>
      <c r="AV75" s="554">
        <f t="shared" si="163"/>
        <v>-0.95815111492810745</v>
      </c>
      <c r="AW75" s="554">
        <f t="shared" si="163"/>
        <v>-1.866760671886647</v>
      </c>
      <c r="AX75" s="554">
        <f t="shared" si="163"/>
        <v>-1.8002897946255758</v>
      </c>
      <c r="AY75" s="554">
        <f t="shared" si="163"/>
        <v>-3.0210572407498915</v>
      </c>
      <c r="AZ75" s="554">
        <f t="shared" si="163"/>
        <v>-2.6670658734979313</v>
      </c>
      <c r="BA75" s="554">
        <f t="shared" si="163"/>
        <v>-3.1057309177847325</v>
      </c>
      <c r="BB75" s="554">
        <f t="shared" si="163"/>
        <v>-2.7189558962184002</v>
      </c>
      <c r="BC75" s="554">
        <f t="shared" si="163"/>
        <v>-2.6559958888835555</v>
      </c>
      <c r="BD75" s="554">
        <f t="shared" si="163"/>
        <v>-1.6215802642261301</v>
      </c>
      <c r="BE75" s="554">
        <f t="shared" si="163"/>
        <v>-3.4784127083620442</v>
      </c>
      <c r="BF75" s="554">
        <f t="shared" ref="BF75" si="164">(BF83/BE83-1)*100</f>
        <v>-4.6757068786015044</v>
      </c>
      <c r="BG75" s="554">
        <f t="shared" ref="BG75" si="165">(BG83/BF83-1)*100</f>
        <v>-2.0515443534952271</v>
      </c>
      <c r="BH75" s="554">
        <f t="shared" ref="BH75" si="166">(BH83/BG83-1)*100</f>
        <v>-2.0700417486015033</v>
      </c>
      <c r="BI75" s="554">
        <f t="shared" ref="BI75" si="167">(BI83/BH83-1)*100</f>
        <v>-2.0330041883270478</v>
      </c>
      <c r="BJ75" s="554">
        <f t="shared" ref="BJ75" si="168">(BJ83/BI83-1)*100</f>
        <v>-2.815511319295394</v>
      </c>
      <c r="BK75" s="554">
        <f t="shared" ref="BK75" si="169">(BK83/BJ83-1)*100</f>
        <v>-2.9950230631557107</v>
      </c>
      <c r="BL75" s="554">
        <f t="shared" ref="BL75" si="170">(BL83/BK83-1)*100</f>
        <v>-3.5125655845593573</v>
      </c>
      <c r="BM75" s="554">
        <f t="shared" ref="BM75" si="171">(BM83/BL83-1)*100</f>
        <v>-2.523671378206116</v>
      </c>
      <c r="BN75" s="554">
        <f t="shared" ref="BN75" si="172">(BN83/BM83-1)*100</f>
        <v>-3.5961018472284834</v>
      </c>
      <c r="BO75" s="554">
        <f t="shared" ref="BO75" si="173">(BO83/BN83-1)*100</f>
        <v>-3.0391682484212423</v>
      </c>
    </row>
    <row r="76" spans="1:106" s="324" customFormat="1">
      <c r="A76" s="324" t="s">
        <v>404</v>
      </c>
      <c r="C76" s="648">
        <v>-5.4</v>
      </c>
      <c r="D76" s="534">
        <v>24.1</v>
      </c>
      <c r="E76" s="534">
        <v>21.7</v>
      </c>
      <c r="F76" s="534">
        <v>-12.5</v>
      </c>
      <c r="G76" s="534">
        <v>-22.1</v>
      </c>
      <c r="H76" s="534">
        <v>-3</v>
      </c>
      <c r="I76" s="534">
        <v>-5.4</v>
      </c>
      <c r="J76" s="534">
        <v>13.8</v>
      </c>
      <c r="K76" s="534">
        <v>10.5</v>
      </c>
      <c r="L76" s="534">
        <v>19.7</v>
      </c>
      <c r="M76" s="534">
        <v>3.2</v>
      </c>
      <c r="N76" s="534">
        <v>9.3000000000000007</v>
      </c>
      <c r="O76" s="534">
        <v>5.5</v>
      </c>
      <c r="P76" s="534">
        <v>2.9</v>
      </c>
      <c r="Q76" s="534">
        <v>-8</v>
      </c>
      <c r="R76" s="534">
        <v>11.4</v>
      </c>
      <c r="S76" s="534">
        <v>14.6</v>
      </c>
      <c r="T76" s="534">
        <v>19</v>
      </c>
      <c r="U76" s="534">
        <v>-1.8</v>
      </c>
      <c r="V76" s="534">
        <v>-12.2</v>
      </c>
      <c r="W76" s="534">
        <v>-16</v>
      </c>
      <c r="X76" s="534">
        <v>-5.4</v>
      </c>
      <c r="Y76" s="534">
        <v>0.7</v>
      </c>
      <c r="Z76" s="534">
        <v>14.3</v>
      </c>
      <c r="AA76" s="534">
        <v>-3.3</v>
      </c>
      <c r="AB76" s="534">
        <v>-0.9</v>
      </c>
      <c r="AC76" s="534">
        <v>-6</v>
      </c>
      <c r="AD76" s="534">
        <v>10.199999999999999</v>
      </c>
      <c r="AE76" s="727">
        <v>9.8000000000000007</v>
      </c>
      <c r="AF76" s="699">
        <v>4</v>
      </c>
      <c r="AG76" s="699">
        <v>-7</v>
      </c>
      <c r="AH76" s="699">
        <v>-6.5</v>
      </c>
      <c r="AI76" s="554">
        <f t="shared" ref="AI76:BE76" si="174">AI65</f>
        <v>-9.5445848453288065</v>
      </c>
      <c r="AJ76" s="554">
        <f t="shared" si="174"/>
        <v>-0.93405275187971037</v>
      </c>
      <c r="AK76" s="554">
        <f t="shared" si="174"/>
        <v>-2.5961202529646621</v>
      </c>
      <c r="AL76" s="554">
        <f t="shared" si="174"/>
        <v>-6.2338562775893784</v>
      </c>
      <c r="AM76" s="554">
        <f t="shared" si="174"/>
        <v>-4.4067444686463508</v>
      </c>
      <c r="AN76" s="554">
        <f t="shared" si="174"/>
        <v>-1.6107330776888196</v>
      </c>
      <c r="AO76" s="554">
        <f t="shared" si="174"/>
        <v>-5.1273224002205353</v>
      </c>
      <c r="AP76" s="554">
        <f t="shared" si="174"/>
        <v>-5.1874048358358067</v>
      </c>
      <c r="AQ76" s="554">
        <f t="shared" si="174"/>
        <v>-2.9479154806256402</v>
      </c>
      <c r="AR76" s="554">
        <f t="shared" si="174"/>
        <v>-1.4849616188874704</v>
      </c>
      <c r="AS76" s="554">
        <f t="shared" si="174"/>
        <v>-6.1190728926840965E-2</v>
      </c>
      <c r="AT76" s="554">
        <f t="shared" si="174"/>
        <v>-1.8952728725074808</v>
      </c>
      <c r="AU76" s="554">
        <f t="shared" si="174"/>
        <v>-1.9850629892020244</v>
      </c>
      <c r="AV76" s="554">
        <f t="shared" si="174"/>
        <v>-0.95815111492809635</v>
      </c>
      <c r="AW76" s="554">
        <f t="shared" si="174"/>
        <v>-1.8667606718866581</v>
      </c>
      <c r="AX76" s="554">
        <f t="shared" si="174"/>
        <v>-1.8002897946255869</v>
      </c>
      <c r="AY76" s="554">
        <f t="shared" si="174"/>
        <v>-3.0210572407499137</v>
      </c>
      <c r="AZ76" s="554">
        <f t="shared" si="174"/>
        <v>-2.6670658734979202</v>
      </c>
      <c r="BA76" s="554">
        <f t="shared" si="174"/>
        <v>-3.1057309177847325</v>
      </c>
      <c r="BB76" s="554">
        <f t="shared" si="174"/>
        <v>-2.7189558962184113</v>
      </c>
      <c r="BC76" s="554">
        <f t="shared" si="174"/>
        <v>-2.6559958888835444</v>
      </c>
      <c r="BD76" s="554">
        <f t="shared" si="174"/>
        <v>-1.6215802642261301</v>
      </c>
      <c r="BE76" s="554">
        <f t="shared" si="174"/>
        <v>-3.4784127083620331</v>
      </c>
      <c r="BF76" s="554">
        <f t="shared" ref="BF76:BO76" si="175">BF65</f>
        <v>-4.6757068786015044</v>
      </c>
      <c r="BG76" s="554">
        <f t="shared" si="175"/>
        <v>-2.0515443534952271</v>
      </c>
      <c r="BH76" s="554">
        <f t="shared" si="175"/>
        <v>-2.0700417486015033</v>
      </c>
      <c r="BI76" s="554">
        <f t="shared" si="175"/>
        <v>-2.0330041883270478</v>
      </c>
      <c r="BJ76" s="554">
        <f t="shared" si="175"/>
        <v>-2.815511319295394</v>
      </c>
      <c r="BK76" s="554">
        <f t="shared" si="175"/>
        <v>-2.9950230631557107</v>
      </c>
      <c r="BL76" s="554">
        <f t="shared" si="175"/>
        <v>-3.5125655845593684</v>
      </c>
      <c r="BM76" s="554">
        <f t="shared" si="175"/>
        <v>-2.5236713782061271</v>
      </c>
      <c r="BN76" s="554">
        <f t="shared" si="175"/>
        <v>-3.5961018472284723</v>
      </c>
      <c r="BO76" s="554">
        <f t="shared" si="175"/>
        <v>-3.0391682484212534</v>
      </c>
    </row>
    <row r="77" spans="1:106">
      <c r="D77" s="544"/>
      <c r="E77" s="544"/>
      <c r="F77" s="544"/>
      <c r="G77" s="544"/>
      <c r="H77" s="544"/>
      <c r="I77" s="544"/>
      <c r="J77" s="544"/>
      <c r="K77" s="54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44"/>
      <c r="AA77" s="544"/>
      <c r="AB77" s="554"/>
      <c r="AC77" s="554"/>
      <c r="AD77" s="554"/>
      <c r="AI77" s="554"/>
      <c r="AJ77" s="554"/>
      <c r="AK77" s="554"/>
      <c r="AL77" s="554"/>
      <c r="AM77" s="554"/>
      <c r="AN77" s="554"/>
      <c r="AO77" s="554"/>
      <c r="AP77" s="554"/>
      <c r="AQ77" s="554"/>
      <c r="AR77" s="554"/>
      <c r="AS77" s="554"/>
      <c r="AT77" s="554"/>
      <c r="AU77" s="554"/>
      <c r="AV77" s="554"/>
      <c r="AW77" s="554"/>
      <c r="AX77" s="554"/>
      <c r="AY77" s="554"/>
      <c r="AZ77" s="554"/>
      <c r="BA77" s="554"/>
      <c r="BB77" s="554"/>
      <c r="BC77" s="554"/>
      <c r="BD77" s="554"/>
      <c r="BE77" s="554"/>
    </row>
    <row r="78" spans="1:106">
      <c r="A78" s="489" t="s">
        <v>535</v>
      </c>
      <c r="D78" s="544"/>
      <c r="E78" s="544"/>
      <c r="F78" s="544"/>
      <c r="G78" s="544"/>
      <c r="H78" s="544"/>
      <c r="I78" s="544"/>
      <c r="J78" s="544"/>
      <c r="K78" s="54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54"/>
      <c r="AB78" s="554"/>
      <c r="AC78" s="554"/>
      <c r="AD78" s="554"/>
      <c r="AE78" s="749"/>
      <c r="AF78" s="554"/>
      <c r="AG78" s="554"/>
      <c r="AH78" s="554"/>
      <c r="AI78" s="554"/>
      <c r="AJ78" s="554"/>
      <c r="AK78" s="554"/>
      <c r="AL78" s="554"/>
      <c r="AM78" s="554"/>
      <c r="AN78" s="554"/>
      <c r="AO78" s="554"/>
      <c r="AP78" s="554"/>
      <c r="AQ78" s="554"/>
      <c r="AR78" s="554"/>
      <c r="AS78" s="554"/>
      <c r="AT78" s="554"/>
      <c r="AU78" s="554"/>
      <c r="AV78" s="554"/>
      <c r="AW78" s="554"/>
      <c r="AX78" s="554"/>
      <c r="AY78" s="554"/>
      <c r="AZ78" s="554"/>
      <c r="BA78" s="554"/>
      <c r="BB78" s="554"/>
      <c r="BC78" s="554"/>
      <c r="BD78" s="554"/>
      <c r="BE78" s="554"/>
    </row>
    <row r="79" spans="1:106">
      <c r="A79" s="325" t="s">
        <v>324</v>
      </c>
      <c r="C79" s="517">
        <f t="shared" ref="C79:X79" si="176">C138</f>
        <v>12300.220046296296</v>
      </c>
      <c r="D79" s="517">
        <f t="shared" si="176"/>
        <v>15418.248269795793</v>
      </c>
      <c r="E79" s="517">
        <f t="shared" si="176"/>
        <v>14839.722586906493</v>
      </c>
      <c r="F79" s="517">
        <f t="shared" si="176"/>
        <v>7959.0607954577317</v>
      </c>
      <c r="G79" s="517">
        <f t="shared" si="176"/>
        <v>1200.7225730185853</v>
      </c>
      <c r="H79" s="517">
        <f t="shared" si="176"/>
        <v>3344.0085076792652</v>
      </c>
      <c r="I79" s="517">
        <f t="shared" si="176"/>
        <v>1293.7743985813731</v>
      </c>
      <c r="J79" s="517">
        <f t="shared" si="176"/>
        <v>5166.7600457705757</v>
      </c>
      <c r="K79" s="517">
        <f t="shared" si="176"/>
        <v>9433.9226368371383</v>
      </c>
      <c r="L79" s="517">
        <f t="shared" si="176"/>
        <v>14705.67711428077</v>
      </c>
      <c r="M79" s="517">
        <f t="shared" si="176"/>
        <v>7423.1422882612096</v>
      </c>
      <c r="N79" s="517">
        <f t="shared" si="176"/>
        <v>4715.7145391335744</v>
      </c>
      <c r="O79" s="517">
        <f t="shared" si="176"/>
        <v>2143.800546492067</v>
      </c>
      <c r="P79" s="517">
        <f t="shared" si="176"/>
        <v>549.30713657590434</v>
      </c>
      <c r="Q79" s="517">
        <f t="shared" si="176"/>
        <v>564.92121655151038</v>
      </c>
      <c r="R79" s="517">
        <f t="shared" si="176"/>
        <v>501.89950047474122</v>
      </c>
      <c r="S79" s="517">
        <f t="shared" si="176"/>
        <v>320.0940288988312</v>
      </c>
      <c r="T79" s="517">
        <f t="shared" si="176"/>
        <v>3056.2100291055508</v>
      </c>
      <c r="U79" s="517">
        <f t="shared" si="176"/>
        <v>4075.1279383923229</v>
      </c>
      <c r="V79" s="517">
        <f t="shared" si="176"/>
        <v>3884.3305144979181</v>
      </c>
      <c r="W79" s="517">
        <f t="shared" si="176"/>
        <v>1124.677980157312</v>
      </c>
      <c r="X79" s="517">
        <f t="shared" si="176"/>
        <v>2306.2542551165384</v>
      </c>
      <c r="Y79" s="517">
        <f t="shared" ref="Y79:AE79" si="177">Y138</f>
        <v>2359.468678656825</v>
      </c>
      <c r="Z79" s="517">
        <f t="shared" si="177"/>
        <v>758.18853164460984</v>
      </c>
      <c r="AA79" s="517">
        <f t="shared" si="177"/>
        <v>527.15220888076783</v>
      </c>
      <c r="AB79" s="517">
        <f t="shared" si="177"/>
        <v>827.66551465711063</v>
      </c>
      <c r="AC79" s="517">
        <f t="shared" si="177"/>
        <v>952.99993611168668</v>
      </c>
      <c r="AD79" s="517">
        <f t="shared" si="177"/>
        <v>2281.0135429457268</v>
      </c>
      <c r="AE79" s="763">
        <f t="shared" si="177"/>
        <v>3117.8146580819866</v>
      </c>
      <c r="AF79" s="505">
        <f t="shared" ref="AF79:AK79" si="178">AE79*(1+AF71/100)</f>
        <v>3025.3381627566728</v>
      </c>
      <c r="AG79" s="505">
        <f t="shared" si="178"/>
        <v>1816.0247490349122</v>
      </c>
      <c r="AH79" s="505">
        <f t="shared" si="178"/>
        <v>1173.7442933346165</v>
      </c>
      <c r="AI79" s="505">
        <f t="shared" si="178"/>
        <v>2109.8454761235676</v>
      </c>
      <c r="AJ79" s="505">
        <f t="shared" si="178"/>
        <v>3269.0164358017846</v>
      </c>
      <c r="AK79" s="505">
        <f t="shared" si="178"/>
        <v>3218.9351770752942</v>
      </c>
      <c r="AL79" s="514">
        <f t="shared" ref="AL79:BQ79" si="179">(AK79/AK$85)*AL$85</f>
        <v>3018.2713844676532</v>
      </c>
      <c r="AM79" s="514">
        <f t="shared" si="179"/>
        <v>2885.2638771838892</v>
      </c>
      <c r="AN79" s="514">
        <f t="shared" si="179"/>
        <v>2838.7899775354813</v>
      </c>
      <c r="AO79" s="514">
        <f t="shared" si="179"/>
        <v>2693.236063122089</v>
      </c>
      <c r="AP79" s="514">
        <f t="shared" si="179"/>
        <v>2553.5270053432196</v>
      </c>
      <c r="AQ79" s="514">
        <f t="shared" si="179"/>
        <v>2478.2511874507509</v>
      </c>
      <c r="AR79" s="514">
        <f t="shared" si="179"/>
        <v>2441.4501084974841</v>
      </c>
      <c r="AS79" s="514">
        <f t="shared" si="179"/>
        <v>2439.9561673797093</v>
      </c>
      <c r="AT79" s="514">
        <f t="shared" si="179"/>
        <v>2393.7123400382884</v>
      </c>
      <c r="AU79" s="514">
        <f t="shared" si="179"/>
        <v>2346.1956423082265</v>
      </c>
      <c r="AV79" s="514">
        <f t="shared" si="179"/>
        <v>2323.7155426030558</v>
      </c>
      <c r="AW79" s="514">
        <f t="shared" si="179"/>
        <v>2280.3373347272245</v>
      </c>
      <c r="AX79" s="514">
        <f t="shared" si="179"/>
        <v>2239.2846544070931</v>
      </c>
      <c r="AY79" s="514">
        <f t="shared" si="179"/>
        <v>2171.634583214126</v>
      </c>
      <c r="AZ79" s="514">
        <f t="shared" si="179"/>
        <v>2113.7156583481433</v>
      </c>
      <c r="BA79" s="514">
        <f t="shared" si="179"/>
        <v>2048.0693376327681</v>
      </c>
      <c r="BB79" s="514">
        <f t="shared" si="179"/>
        <v>1992.3832356185608</v>
      </c>
      <c r="BC79" s="514">
        <f t="shared" si="179"/>
        <v>1939.4656187897269</v>
      </c>
      <c r="BD79" s="514">
        <f t="shared" si="179"/>
        <v>1908.0156270839814</v>
      </c>
      <c r="BE79" s="514">
        <f t="shared" si="179"/>
        <v>1841.6469690339586</v>
      </c>
      <c r="BF79" s="514">
        <f t="shared" si="179"/>
        <v>1755.5369550232815</v>
      </c>
      <c r="BG79" s="514">
        <f t="shared" si="179"/>
        <v>1719.5213357489793</v>
      </c>
      <c r="BH79" s="514">
        <f t="shared" si="179"/>
        <v>1683.9265262228653</v>
      </c>
      <c r="BI79" s="514">
        <f t="shared" si="179"/>
        <v>1649.6922294164042</v>
      </c>
      <c r="BJ79" s="514">
        <f t="shared" si="179"/>
        <v>1603.2449579636489</v>
      </c>
      <c r="BK79" s="514">
        <f t="shared" si="179"/>
        <v>1555.2274017137565</v>
      </c>
      <c r="BL79" s="514">
        <f t="shared" si="179"/>
        <v>1500.5990192395222</v>
      </c>
      <c r="BM79" s="514">
        <f t="shared" si="179"/>
        <v>1462.7288312893327</v>
      </c>
      <c r="BN79" s="514">
        <f t="shared" si="179"/>
        <v>1410.1276127673934</v>
      </c>
      <c r="BO79" s="514">
        <f t="shared" si="179"/>
        <v>1367.2714620979461</v>
      </c>
      <c r="BP79" s="514">
        <f t="shared" si="179"/>
        <v>1373.2864518863857</v>
      </c>
      <c r="BQ79" s="514">
        <f t="shared" si="179"/>
        <v>1380.1528841458176</v>
      </c>
      <c r="BR79" s="514">
        <f t="shared" ref="BR79:CN79" si="180">(BQ79/BQ$85)*BR$85</f>
        <v>1387.0536485665466</v>
      </c>
      <c r="BS79" s="514">
        <f t="shared" si="180"/>
        <v>1393.9889168093791</v>
      </c>
      <c r="BT79" s="514">
        <f t="shared" si="180"/>
        <v>1400.9588613934259</v>
      </c>
      <c r="BU79" s="514">
        <f t="shared" si="180"/>
        <v>1407.9636557003928</v>
      </c>
      <c r="BV79" s="514">
        <f t="shared" si="180"/>
        <v>1415.0034739788946</v>
      </c>
      <c r="BW79" s="514">
        <f t="shared" si="180"/>
        <v>1422.0784913487889</v>
      </c>
      <c r="BX79" s="514">
        <f t="shared" si="180"/>
        <v>1429.1888838055329</v>
      </c>
      <c r="BY79" s="514">
        <f t="shared" si="180"/>
        <v>1436.3348282245604</v>
      </c>
      <c r="BZ79" s="514">
        <f t="shared" si="180"/>
        <v>1443.5165023656832</v>
      </c>
      <c r="CA79" s="514">
        <f t="shared" si="180"/>
        <v>1450.7340848775113</v>
      </c>
      <c r="CB79" s="514">
        <f t="shared" si="180"/>
        <v>1457.9877553018987</v>
      </c>
      <c r="CC79" s="514">
        <f t="shared" si="180"/>
        <v>1465.2776940784079</v>
      </c>
      <c r="CD79" s="514">
        <f t="shared" si="180"/>
        <v>1472.6040825487999</v>
      </c>
      <c r="CE79" s="514">
        <f t="shared" si="180"/>
        <v>1479.9671029615438</v>
      </c>
      <c r="CF79" s="514">
        <f t="shared" si="180"/>
        <v>1487.3669384763514</v>
      </c>
      <c r="CG79" s="514">
        <f t="shared" si="180"/>
        <v>1494.803773168733</v>
      </c>
      <c r="CH79" s="514">
        <f t="shared" si="180"/>
        <v>1502.2777920345766</v>
      </c>
      <c r="CI79" s="514">
        <f t="shared" si="180"/>
        <v>1509.7891809947494</v>
      </c>
      <c r="CJ79" s="514">
        <f t="shared" si="180"/>
        <v>1517.338126899723</v>
      </c>
      <c r="CK79" s="514">
        <f t="shared" si="180"/>
        <v>1524.9248175342216</v>
      </c>
      <c r="CL79" s="514">
        <f t="shared" si="180"/>
        <v>1532.5494416218924</v>
      </c>
      <c r="CM79" s="514">
        <f t="shared" si="180"/>
        <v>1540.2121888300017</v>
      </c>
      <c r="CN79" s="514">
        <f t="shared" si="180"/>
        <v>1547.9132497741514</v>
      </c>
      <c r="CO79" s="514">
        <f t="shared" ref="CO79:CO81" si="181">(CN79/CN$85)*CO$85</f>
        <v>1555.6528160230218</v>
      </c>
      <c r="CP79" s="514">
        <f t="shared" ref="CP79:CP81" si="182">(CO79/CO$85)*CP$85</f>
        <v>1563.4310801031368</v>
      </c>
      <c r="CQ79" s="514">
        <f t="shared" ref="CQ79:CQ81" si="183">(CP79/CP$85)*CQ$85</f>
        <v>1571.2482355036523</v>
      </c>
      <c r="CR79" s="514">
        <f t="shared" ref="CR79:CR81" si="184">(CQ79/CQ$85)*CR$85</f>
        <v>1579.1044766811704</v>
      </c>
      <c r="CS79" s="514">
        <f t="shared" ref="CS79:CS81" si="185">(CR79/CR$85)*CS$85</f>
        <v>1586.9999990645763</v>
      </c>
      <c r="CT79" s="514"/>
      <c r="CU79" s="514"/>
      <c r="CV79" s="514"/>
      <c r="CW79" s="514"/>
      <c r="CX79" s="514"/>
      <c r="CY79" s="514"/>
      <c r="CZ79" s="514"/>
      <c r="DA79" s="514"/>
      <c r="DB79" s="514"/>
    </row>
    <row r="80" spans="1:106">
      <c r="A80" s="325" t="s">
        <v>325</v>
      </c>
      <c r="C80" s="517">
        <f t="shared" ref="C80:X80" si="186">C137</f>
        <v>4187.2850694444442</v>
      </c>
      <c r="D80" s="517">
        <f t="shared" si="186"/>
        <v>1734.4463270019533</v>
      </c>
      <c r="E80" s="517">
        <f t="shared" si="186"/>
        <v>2459.2071031250002</v>
      </c>
      <c r="F80" s="517">
        <f t="shared" si="186"/>
        <v>5638.572265625</v>
      </c>
      <c r="G80" s="517">
        <f t="shared" si="186"/>
        <v>2173.6285703125</v>
      </c>
      <c r="H80" s="517">
        <f t="shared" si="186"/>
        <v>377.80903244018555</v>
      </c>
      <c r="I80" s="517">
        <f t="shared" si="186"/>
        <v>4378.8306318359373</v>
      </c>
      <c r="J80" s="517">
        <f t="shared" si="186"/>
        <v>16371.13850390625</v>
      </c>
      <c r="K80" s="517">
        <f t="shared" si="186"/>
        <v>17742.426853515626</v>
      </c>
      <c r="L80" s="517">
        <f t="shared" si="186"/>
        <v>17400.819386718751</v>
      </c>
      <c r="M80" s="517">
        <f t="shared" si="186"/>
        <v>13850.123679687498</v>
      </c>
      <c r="N80" s="517">
        <f t="shared" si="186"/>
        <v>8892.3440371093748</v>
      </c>
      <c r="O80" s="517">
        <f t="shared" si="186"/>
        <v>3638.5188955078124</v>
      </c>
      <c r="P80" s="517">
        <f t="shared" si="186"/>
        <v>4322.0162437500003</v>
      </c>
      <c r="Q80" s="517">
        <f t="shared" si="186"/>
        <v>5003.5707148437505</v>
      </c>
      <c r="R80" s="517">
        <f t="shared" si="186"/>
        <v>3724.4747434570313</v>
      </c>
      <c r="S80" s="517">
        <f t="shared" si="186"/>
        <v>2607.2838999999999</v>
      </c>
      <c r="T80" s="517">
        <f t="shared" si="186"/>
        <v>3118.7743</v>
      </c>
      <c r="U80" s="517">
        <f t="shared" si="186"/>
        <v>5068.5420156250002</v>
      </c>
      <c r="V80" s="517">
        <f t="shared" si="186"/>
        <v>6890.9691162109375</v>
      </c>
      <c r="W80" s="517">
        <f t="shared" si="186"/>
        <v>5218.0791132812501</v>
      </c>
      <c r="X80" s="517">
        <f t="shared" si="186"/>
        <v>2769.2837397460939</v>
      </c>
      <c r="Y80" s="517">
        <f t="shared" ref="Y80:AE80" si="187">Y137</f>
        <v>789.41672729492188</v>
      </c>
      <c r="Z80" s="517">
        <f t="shared" si="187"/>
        <v>530.7515881884766</v>
      </c>
      <c r="AA80" s="517">
        <f t="shared" si="187"/>
        <v>456.96999734863277</v>
      </c>
      <c r="AB80" s="517">
        <f t="shared" si="187"/>
        <v>1482.2528755371095</v>
      </c>
      <c r="AC80" s="517">
        <f t="shared" si="187"/>
        <v>1309.9999812316894</v>
      </c>
      <c r="AD80" s="517">
        <f t="shared" si="187"/>
        <v>584.49258674072257</v>
      </c>
      <c r="AE80" s="763">
        <f t="shared" si="187"/>
        <v>1160.3144790039064</v>
      </c>
      <c r="AF80" s="505">
        <f t="shared" ref="AF80:AK80" si="188">AE80*(1+AF72/100)</f>
        <v>1541.5394187145089</v>
      </c>
      <c r="AG80" s="505">
        <f t="shared" si="188"/>
        <v>1393.8466664724115</v>
      </c>
      <c r="AH80" s="505">
        <f t="shared" si="188"/>
        <v>1050.7230430972368</v>
      </c>
      <c r="AI80" s="505">
        <f t="shared" si="188"/>
        <v>932.82953621059414</v>
      </c>
      <c r="AJ80" s="505">
        <f t="shared" si="188"/>
        <v>580.5753682340586</v>
      </c>
      <c r="AK80" s="505">
        <f t="shared" si="188"/>
        <v>750.47195739803169</v>
      </c>
      <c r="AL80" s="514">
        <f t="shared" ref="AL80:BQ80" si="189">(AK80/AK$85)*AL$85</f>
        <v>703.68861417022663</v>
      </c>
      <c r="AM80" s="514">
        <f t="shared" si="189"/>
        <v>672.67885508878589</v>
      </c>
      <c r="AN80" s="514">
        <f t="shared" si="189"/>
        <v>661.84379426325233</v>
      </c>
      <c r="AO80" s="514">
        <f t="shared" si="189"/>
        <v>627.90892914552308</v>
      </c>
      <c r="AP80" s="514">
        <f t="shared" si="189"/>
        <v>595.33675099038328</v>
      </c>
      <c r="AQ80" s="514">
        <f t="shared" si="189"/>
        <v>577.78672674608413</v>
      </c>
      <c r="AR80" s="514">
        <f t="shared" si="189"/>
        <v>569.20681561487856</v>
      </c>
      <c r="AS80" s="514">
        <f t="shared" si="189"/>
        <v>568.85851381530256</v>
      </c>
      <c r="AT80" s="514">
        <f t="shared" si="189"/>
        <v>558.07709272001193</v>
      </c>
      <c r="AU80" s="514">
        <f t="shared" si="189"/>
        <v>546.9989109012123</v>
      </c>
      <c r="AV80" s="514">
        <f t="shared" si="189"/>
        <v>541.75783473776778</v>
      </c>
      <c r="AW80" s="514">
        <f t="shared" si="189"/>
        <v>531.64451254201845</v>
      </c>
      <c r="AX80" s="514">
        <f t="shared" si="189"/>
        <v>522.07337063903753</v>
      </c>
      <c r="AY80" s="514">
        <f t="shared" si="189"/>
        <v>506.30123527331978</v>
      </c>
      <c r="AZ80" s="514">
        <f t="shared" si="189"/>
        <v>492.79784781024665</v>
      </c>
      <c r="BA80" s="514">
        <f t="shared" si="189"/>
        <v>477.49287268862605</v>
      </c>
      <c r="BB80" s="514">
        <f t="shared" si="189"/>
        <v>464.51005207263603</v>
      </c>
      <c r="BC80" s="514">
        <f t="shared" si="189"/>
        <v>452.172684186136</v>
      </c>
      <c r="BD80" s="514">
        <f t="shared" si="189"/>
        <v>444.84034117915201</v>
      </c>
      <c r="BE80" s="514">
        <f t="shared" si="189"/>
        <v>429.36695821965537</v>
      </c>
      <c r="BF80" s="514">
        <f t="shared" si="189"/>
        <v>409.29101781973685</v>
      </c>
      <c r="BG80" s="514">
        <f t="shared" si="189"/>
        <v>400.8942310542929</v>
      </c>
      <c r="BH80" s="514">
        <f t="shared" si="189"/>
        <v>392.59555310373406</v>
      </c>
      <c r="BI80" s="514">
        <f t="shared" si="189"/>
        <v>384.61406906594937</v>
      </c>
      <c r="BJ80" s="514">
        <f t="shared" si="189"/>
        <v>373.78521641579499</v>
      </c>
      <c r="BK80" s="514">
        <f t="shared" si="189"/>
        <v>362.59026297747545</v>
      </c>
      <c r="BL80" s="514">
        <f t="shared" si="189"/>
        <v>349.85404218716536</v>
      </c>
      <c r="BM80" s="514">
        <f t="shared" si="189"/>
        <v>341.0248758589907</v>
      </c>
      <c r="BN80" s="514">
        <f t="shared" si="189"/>
        <v>328.76127399871689</v>
      </c>
      <c r="BO80" s="514">
        <f t="shared" si="189"/>
        <v>318.76966574624271</v>
      </c>
      <c r="BP80" s="514">
        <f t="shared" si="189"/>
        <v>320.17201804970256</v>
      </c>
      <c r="BQ80" s="514">
        <f t="shared" si="189"/>
        <v>321.77287813995099</v>
      </c>
      <c r="BR80" s="514">
        <f t="shared" ref="BR80:CN80" si="190">(BQ80/BQ$85)*BR$85</f>
        <v>323.38174253065074</v>
      </c>
      <c r="BS80" s="514">
        <f t="shared" si="190"/>
        <v>324.99865124330398</v>
      </c>
      <c r="BT80" s="514">
        <f t="shared" si="190"/>
        <v>326.62364449952048</v>
      </c>
      <c r="BU80" s="514">
        <f t="shared" si="190"/>
        <v>328.25676272201804</v>
      </c>
      <c r="BV80" s="514">
        <f t="shared" si="190"/>
        <v>329.89804653562805</v>
      </c>
      <c r="BW80" s="514">
        <f t="shared" si="190"/>
        <v>331.5475367683062</v>
      </c>
      <c r="BX80" s="514">
        <f t="shared" si="190"/>
        <v>333.20527445214771</v>
      </c>
      <c r="BY80" s="514">
        <f t="shared" si="190"/>
        <v>334.87130082440842</v>
      </c>
      <c r="BZ80" s="514">
        <f t="shared" si="190"/>
        <v>336.54565732853041</v>
      </c>
      <c r="CA80" s="514">
        <f t="shared" si="190"/>
        <v>338.22838561517301</v>
      </c>
      <c r="CB80" s="514">
        <f t="shared" si="190"/>
        <v>339.91952754324882</v>
      </c>
      <c r="CC80" s="514">
        <f t="shared" si="190"/>
        <v>341.61912518096506</v>
      </c>
      <c r="CD80" s="514">
        <f t="shared" si="190"/>
        <v>343.32722080686983</v>
      </c>
      <c r="CE80" s="514">
        <f t="shared" si="190"/>
        <v>345.04385691090414</v>
      </c>
      <c r="CF80" s="514">
        <f t="shared" si="190"/>
        <v>346.76907619545869</v>
      </c>
      <c r="CG80" s="514">
        <f t="shared" si="190"/>
        <v>348.50292157643594</v>
      </c>
      <c r="CH80" s="514">
        <f t="shared" si="190"/>
        <v>350.24543618431807</v>
      </c>
      <c r="CI80" s="514">
        <f t="shared" si="190"/>
        <v>351.99666336523961</v>
      </c>
      <c r="CJ80" s="514">
        <f t="shared" si="190"/>
        <v>353.75664668206582</v>
      </c>
      <c r="CK80" s="514">
        <f t="shared" si="190"/>
        <v>355.52542991547614</v>
      </c>
      <c r="CL80" s="514">
        <f t="shared" si="190"/>
        <v>357.30305706505345</v>
      </c>
      <c r="CM80" s="514">
        <f t="shared" si="190"/>
        <v>359.08957235037866</v>
      </c>
      <c r="CN80" s="514">
        <f t="shared" si="190"/>
        <v>360.88502021213048</v>
      </c>
      <c r="CO80" s="514">
        <f t="shared" si="181"/>
        <v>362.68944531319107</v>
      </c>
      <c r="CP80" s="514">
        <f t="shared" si="182"/>
        <v>364.502892539757</v>
      </c>
      <c r="CQ80" s="514">
        <f t="shared" si="183"/>
        <v>366.32540700245573</v>
      </c>
      <c r="CR80" s="514">
        <f t="shared" si="184"/>
        <v>368.15703403746801</v>
      </c>
      <c r="CS80" s="514">
        <f t="shared" si="185"/>
        <v>369.99781920765531</v>
      </c>
      <c r="CT80" s="514"/>
      <c r="CU80" s="514"/>
      <c r="CV80" s="514"/>
      <c r="CW80" s="514"/>
      <c r="CX80" s="514"/>
      <c r="CY80" s="514"/>
      <c r="CZ80" s="514"/>
      <c r="DA80" s="514"/>
      <c r="DB80" s="514"/>
    </row>
    <row r="81" spans="1:106">
      <c r="A81" s="325" t="s">
        <v>326</v>
      </c>
      <c r="C81" s="564">
        <f t="shared" ref="C81:X81" si="191">C140</f>
        <v>10995.10988425926</v>
      </c>
      <c r="D81" s="564">
        <f t="shared" si="191"/>
        <v>16022.063267667869</v>
      </c>
      <c r="E81" s="564">
        <f t="shared" si="191"/>
        <v>13622.712205888341</v>
      </c>
      <c r="F81" s="564">
        <f t="shared" si="191"/>
        <v>7632.3167457874333</v>
      </c>
      <c r="G81" s="564">
        <f t="shared" si="191"/>
        <v>8721.5647871398323</v>
      </c>
      <c r="H81" s="564">
        <f t="shared" si="191"/>
        <v>10503.9805706565</v>
      </c>
      <c r="I81" s="564">
        <f t="shared" si="191"/>
        <v>5997.15540544945</v>
      </c>
      <c r="J81" s="564">
        <f t="shared" si="191"/>
        <v>6796.1832132777463</v>
      </c>
      <c r="K81" s="564">
        <f t="shared" si="191"/>
        <v>6190.743567568702</v>
      </c>
      <c r="L81" s="564">
        <f t="shared" si="191"/>
        <v>11404.458746860762</v>
      </c>
      <c r="M81" s="564">
        <f t="shared" si="191"/>
        <v>17257.481533689526</v>
      </c>
      <c r="N81" s="564">
        <f t="shared" si="191"/>
        <v>25268.25988443067</v>
      </c>
      <c r="O81" s="564">
        <f t="shared" si="191"/>
        <v>33001.990632778041</v>
      </c>
      <c r="P81" s="564">
        <f t="shared" si="191"/>
        <v>34133.628661046925</v>
      </c>
      <c r="Q81" s="564">
        <f t="shared" si="191"/>
        <v>31368.756975416618</v>
      </c>
      <c r="R81" s="564">
        <f t="shared" si="191"/>
        <v>32579.090415329294</v>
      </c>
      <c r="S81" s="564">
        <f t="shared" si="191"/>
        <v>32143.275494643181</v>
      </c>
      <c r="T81" s="564">
        <f t="shared" si="191"/>
        <v>38296.740645598955</v>
      </c>
      <c r="U81" s="564">
        <f t="shared" si="191"/>
        <v>37597.90030471186</v>
      </c>
      <c r="V81" s="564">
        <f t="shared" si="191"/>
        <v>31414.818539427593</v>
      </c>
      <c r="W81" s="564">
        <f t="shared" si="191"/>
        <v>21977.442801037698</v>
      </c>
      <c r="X81" s="564">
        <f t="shared" si="191"/>
        <v>22786.392842559981</v>
      </c>
      <c r="Y81" s="564">
        <f t="shared" ref="Y81:AE81" si="192">Y140</f>
        <v>26948.557442574165</v>
      </c>
      <c r="Z81" s="564">
        <f t="shared" si="192"/>
        <v>28906.101976755032</v>
      </c>
      <c r="AA81" s="564">
        <f t="shared" si="192"/>
        <v>20607.041895325114</v>
      </c>
      <c r="AB81" s="564">
        <f t="shared" si="192"/>
        <v>26987.138948302993</v>
      </c>
      <c r="AC81" s="564">
        <f t="shared" si="192"/>
        <v>27014.999896869394</v>
      </c>
      <c r="AD81" s="564">
        <f t="shared" si="192"/>
        <v>19960.879418892022</v>
      </c>
      <c r="AE81" s="778">
        <f t="shared" si="192"/>
        <v>25158.236510936651</v>
      </c>
      <c r="AF81" s="505">
        <f t="shared" ref="AF81:AK81" si="193">AE81*(1+AF73/100)</f>
        <v>25006.931488043163</v>
      </c>
      <c r="AG81" s="505">
        <f t="shared" si="193"/>
        <v>25149.250161738753</v>
      </c>
      <c r="AH81" s="505">
        <f t="shared" si="193"/>
        <v>25122.058496061152</v>
      </c>
      <c r="AI81" s="505">
        <f t="shared" si="193"/>
        <v>24941.184167955442</v>
      </c>
      <c r="AJ81" s="505">
        <f t="shared" si="193"/>
        <v>25062.377558643308</v>
      </c>
      <c r="AK81" s="505">
        <f t="shared" si="193"/>
        <v>25287.831677706472</v>
      </c>
      <c r="AL81" s="514">
        <f t="shared" ref="AL81:BQ81" si="194">(AK81/AK$85)*AL$85</f>
        <v>23711.424595199533</v>
      </c>
      <c r="AM81" s="514">
        <f t="shared" si="194"/>
        <v>22666.522703413328</v>
      </c>
      <c r="AN81" s="514">
        <f t="shared" si="194"/>
        <v>22301.4255246676</v>
      </c>
      <c r="AO81" s="514">
        <f t="shared" si="194"/>
        <v>21157.959538172818</v>
      </c>
      <c r="AP81" s="514">
        <f t="shared" si="194"/>
        <v>20060.410521925456</v>
      </c>
      <c r="AQ81" s="514">
        <f t="shared" si="194"/>
        <v>19469.04657467256</v>
      </c>
      <c r="AR81" s="514">
        <f t="shared" si="194"/>
        <v>19179.93870547535</v>
      </c>
      <c r="AS81" s="514">
        <f t="shared" si="194"/>
        <v>19168.202361173746</v>
      </c>
      <c r="AT81" s="514">
        <f t="shared" si="194"/>
        <v>18804.912621675081</v>
      </c>
      <c r="AU81" s="514">
        <f t="shared" si="194"/>
        <v>18431.623261070428</v>
      </c>
      <c r="AV81" s="514">
        <f t="shared" si="194"/>
        <v>18255.020457295137</v>
      </c>
      <c r="AW81" s="514">
        <f t="shared" si="194"/>
        <v>17914.242914753489</v>
      </c>
      <c r="AX81" s="514">
        <f t="shared" si="194"/>
        <v>17591.734627774746</v>
      </c>
      <c r="AY81" s="514">
        <f t="shared" si="194"/>
        <v>17060.278255028847</v>
      </c>
      <c r="AZ81" s="514">
        <f t="shared" si="194"/>
        <v>16605.269395765186</v>
      </c>
      <c r="BA81" s="514">
        <f t="shared" si="194"/>
        <v>16089.554410159459</v>
      </c>
      <c r="BB81" s="514">
        <f t="shared" si="194"/>
        <v>15652.08652184916</v>
      </c>
      <c r="BC81" s="514">
        <f t="shared" si="194"/>
        <v>15236.36774730435</v>
      </c>
      <c r="BD81" s="514">
        <f t="shared" si="194"/>
        <v>14989.297814929147</v>
      </c>
      <c r="BE81" s="514">
        <f t="shared" si="194"/>
        <v>14467.908174840419</v>
      </c>
      <c r="BF81" s="514">
        <f t="shared" si="194"/>
        <v>13791.431197119655</v>
      </c>
      <c r="BG81" s="514">
        <f t="shared" si="194"/>
        <v>13508.493869128968</v>
      </c>
      <c r="BH81" s="514">
        <f t="shared" si="194"/>
        <v>13228.862406430722</v>
      </c>
      <c r="BI81" s="514">
        <f t="shared" si="194"/>
        <v>12959.919079639963</v>
      </c>
      <c r="BJ81" s="514">
        <f t="shared" si="194"/>
        <v>12595.031090981178</v>
      </c>
      <c r="BK81" s="514">
        <f t="shared" si="194"/>
        <v>12217.807004994658</v>
      </c>
      <c r="BL81" s="514">
        <f t="shared" si="194"/>
        <v>11788.648520949333</v>
      </c>
      <c r="BM81" s="514">
        <f t="shared" si="194"/>
        <v>11491.141772348816</v>
      </c>
      <c r="BN81" s="514">
        <f t="shared" si="194"/>
        <v>11077.908610805736</v>
      </c>
      <c r="BO81" s="514">
        <f t="shared" si="194"/>
        <v>10741.232329717004</v>
      </c>
      <c r="BP81" s="514">
        <f t="shared" si="194"/>
        <v>10788.48585951669</v>
      </c>
      <c r="BQ81" s="514">
        <f t="shared" si="194"/>
        <v>10842.428288814273</v>
      </c>
      <c r="BR81" s="514">
        <f t="shared" ref="BR81:CN81" si="195">(BQ81/BQ$85)*BR$85</f>
        <v>10896.640430258343</v>
      </c>
      <c r="BS81" s="514">
        <f t="shared" si="195"/>
        <v>10951.123632409634</v>
      </c>
      <c r="BT81" s="514">
        <f t="shared" si="195"/>
        <v>11005.879250571681</v>
      </c>
      <c r="BU81" s="514">
        <f t="shared" si="195"/>
        <v>11060.908646824537</v>
      </c>
      <c r="BV81" s="514">
        <f t="shared" si="195"/>
        <v>11116.213190058659</v>
      </c>
      <c r="BW81" s="514">
        <f t="shared" si="195"/>
        <v>11171.794256008952</v>
      </c>
      <c r="BX81" s="514">
        <f t="shared" si="195"/>
        <v>11227.653227288996</v>
      </c>
      <c r="BY81" s="514">
        <f t="shared" si="195"/>
        <v>11283.79149342544</v>
      </c>
      <c r="BZ81" s="514">
        <f t="shared" si="195"/>
        <v>11340.210450892566</v>
      </c>
      <c r="CA81" s="514">
        <f t="shared" si="195"/>
        <v>11396.911503147026</v>
      </c>
      <c r="CB81" s="514">
        <f t="shared" si="195"/>
        <v>11453.896060662761</v>
      </c>
      <c r="CC81" s="514">
        <f t="shared" si="195"/>
        <v>11511.165540966073</v>
      </c>
      <c r="CD81" s="514">
        <f t="shared" si="195"/>
        <v>11568.721368670902</v>
      </c>
      <c r="CE81" s="514">
        <f t="shared" si="195"/>
        <v>11626.564975514257</v>
      </c>
      <c r="CF81" s="514">
        <f t="shared" si="195"/>
        <v>11684.697800391827</v>
      </c>
      <c r="CG81" s="514">
        <f t="shared" si="195"/>
        <v>11743.121289393785</v>
      </c>
      <c r="CH81" s="514">
        <f t="shared" si="195"/>
        <v>11801.836895840752</v>
      </c>
      <c r="CI81" s="514">
        <f t="shared" si="195"/>
        <v>11860.846080319956</v>
      </c>
      <c r="CJ81" s="514">
        <f t="shared" si="195"/>
        <v>11920.150310721554</v>
      </c>
      <c r="CK81" s="514">
        <f t="shared" si="195"/>
        <v>11979.751062275162</v>
      </c>
      <c r="CL81" s="514">
        <f t="shared" si="195"/>
        <v>12039.649817586536</v>
      </c>
      <c r="CM81" s="514">
        <f t="shared" si="195"/>
        <v>12099.848066674465</v>
      </c>
      <c r="CN81" s="514">
        <f t="shared" si="195"/>
        <v>12160.347307007836</v>
      </c>
      <c r="CO81" s="514">
        <f t="shared" si="181"/>
        <v>12221.149043542873</v>
      </c>
      <c r="CP81" s="514">
        <f t="shared" si="182"/>
        <v>12282.254788760587</v>
      </c>
      <c r="CQ81" s="514">
        <f t="shared" si="183"/>
        <v>12343.666062704388</v>
      </c>
      <c r="CR81" s="514">
        <f t="shared" si="184"/>
        <v>12405.38439301791</v>
      </c>
      <c r="CS81" s="514">
        <f t="shared" si="185"/>
        <v>12467.411314982999</v>
      </c>
      <c r="CT81" s="514"/>
      <c r="CU81" s="514"/>
      <c r="CV81" s="514"/>
      <c r="CW81" s="514"/>
      <c r="CX81" s="514"/>
      <c r="CY81" s="514"/>
      <c r="CZ81" s="514"/>
      <c r="DA81" s="514"/>
      <c r="DB81" s="514"/>
    </row>
    <row r="82" spans="1:106">
      <c r="A82" s="325" t="s">
        <v>534</v>
      </c>
      <c r="C82" s="564">
        <f t="shared" ref="C82:X82" si="196">C108</f>
        <v>20722.593263888888</v>
      </c>
      <c r="D82" s="564">
        <f t="shared" si="196"/>
        <v>25323.680391300815</v>
      </c>
      <c r="E82" s="564">
        <f t="shared" si="196"/>
        <v>34117.338094665829</v>
      </c>
      <c r="F82" s="564">
        <f t="shared" si="196"/>
        <v>35529.397727117037</v>
      </c>
      <c r="G82" s="564">
        <f t="shared" si="196"/>
        <v>39374.525220903015</v>
      </c>
      <c r="H82" s="564">
        <f t="shared" si="196"/>
        <v>41945.236748169569</v>
      </c>
      <c r="I82" s="564">
        <f t="shared" si="196"/>
        <v>32966.652856652283</v>
      </c>
      <c r="J82" s="564">
        <f t="shared" si="196"/>
        <v>36816.01706848199</v>
      </c>
      <c r="K82" s="564">
        <f t="shared" si="196"/>
        <v>35389.22217661787</v>
      </c>
      <c r="L82" s="564">
        <f t="shared" si="196"/>
        <v>45758.606966761778</v>
      </c>
      <c r="M82" s="564">
        <f t="shared" si="196"/>
        <v>43310.572175463101</v>
      </c>
      <c r="N82" s="564">
        <f t="shared" si="196"/>
        <v>46671.887294332293</v>
      </c>
      <c r="O82" s="564">
        <f t="shared" si="196"/>
        <v>47268.416984995682</v>
      </c>
      <c r="P82" s="564">
        <f t="shared" si="196"/>
        <v>49217.837202146562</v>
      </c>
      <c r="Q82" s="564">
        <f t="shared" si="196"/>
        <v>51059.929748350041</v>
      </c>
      <c r="R82" s="564">
        <f t="shared" si="196"/>
        <v>53132.213455169098</v>
      </c>
      <c r="S82" s="564">
        <f t="shared" si="196"/>
        <v>61594.878748907853</v>
      </c>
      <c r="T82" s="564">
        <f t="shared" si="196"/>
        <v>74771.510736422846</v>
      </c>
      <c r="U82" s="564">
        <f t="shared" si="196"/>
        <v>68820.341830589954</v>
      </c>
      <c r="V82" s="564">
        <f t="shared" si="196"/>
        <v>67102.229142853481</v>
      </c>
      <c r="W82" s="564">
        <f t="shared" si="196"/>
        <v>60777.106026571142</v>
      </c>
      <c r="X82" s="564">
        <f t="shared" si="196"/>
        <v>59580.485900742133</v>
      </c>
      <c r="Y82" s="564">
        <f t="shared" ref="Y82:AE82" si="197">Y108</f>
        <v>55951.5039928267</v>
      </c>
      <c r="Z82" s="564">
        <f t="shared" si="197"/>
        <v>64428.424489734549</v>
      </c>
      <c r="AA82" s="564">
        <f t="shared" si="197"/>
        <v>75571.711274935922</v>
      </c>
      <c r="AB82" s="564">
        <f t="shared" si="197"/>
        <v>72748.100734554493</v>
      </c>
      <c r="AC82" s="564">
        <f t="shared" si="197"/>
        <v>62929.998702198704</v>
      </c>
      <c r="AD82" s="564">
        <f t="shared" si="197"/>
        <v>68622.589776898982</v>
      </c>
      <c r="AE82" s="778">
        <f t="shared" si="197"/>
        <v>62105.397321168537</v>
      </c>
      <c r="AF82" s="505">
        <f t="shared" ref="AF82:AK82" si="198">AE82*(1+AF74/100)</f>
        <v>80029.834049183541</v>
      </c>
      <c r="AG82" s="505">
        <f t="shared" si="198"/>
        <v>86223.485068810696</v>
      </c>
      <c r="AH82" s="505">
        <f t="shared" si="198"/>
        <v>72390.960442803436</v>
      </c>
      <c r="AI82" s="505">
        <f t="shared" si="198"/>
        <v>57119.46858983174</v>
      </c>
      <c r="AJ82" s="505">
        <f t="shared" si="198"/>
        <v>44775.457787346728</v>
      </c>
      <c r="AK82" s="505">
        <f t="shared" si="198"/>
        <v>42046.799395053626</v>
      </c>
      <c r="AL82" s="540">
        <f t="shared" ref="AL82:BE82" si="199">AK82*(1+AL76/100)</f>
        <v>39425.662351439663</v>
      </c>
      <c r="AM82" s="540">
        <f t="shared" si="199"/>
        <v>37688.274156540407</v>
      </c>
      <c r="AN82" s="540">
        <f t="shared" si="199"/>
        <v>37081.216658290963</v>
      </c>
      <c r="AO82" s="540">
        <f t="shared" si="199"/>
        <v>35179.943130296102</v>
      </c>
      <c r="AP82" s="540">
        <f t="shared" si="199"/>
        <v>33355.017059110833</v>
      </c>
      <c r="AQ82" s="540">
        <f t="shared" si="199"/>
        <v>32371.739347659983</v>
      </c>
      <c r="AR82" s="540">
        <f t="shared" si="199"/>
        <v>31891.03144298094</v>
      </c>
      <c r="AS82" s="540">
        <f t="shared" si="199"/>
        <v>31871.517088378692</v>
      </c>
      <c r="AT82" s="540">
        <f t="shared" si="199"/>
        <v>31267.464870946063</v>
      </c>
      <c r="AU82" s="540">
        <f t="shared" si="199"/>
        <v>30646.78599813117</v>
      </c>
      <c r="AV82" s="540">
        <f t="shared" si="199"/>
        <v>30353.143476400448</v>
      </c>
      <c r="AW82" s="540">
        <f t="shared" si="199"/>
        <v>29786.522931301675</v>
      </c>
      <c r="AX82" s="540">
        <f t="shared" si="199"/>
        <v>29250.279198795641</v>
      </c>
      <c r="AY82" s="540">
        <f t="shared" si="199"/>
        <v>28366.61152112086</v>
      </c>
      <c r="AZ82" s="540">
        <f t="shared" si="199"/>
        <v>27610.055305773316</v>
      </c>
      <c r="BA82" s="540">
        <f t="shared" si="199"/>
        <v>26752.561281724451</v>
      </c>
      <c r="BB82" s="540">
        <f t="shared" si="199"/>
        <v>26025.170939365562</v>
      </c>
      <c r="BC82" s="540">
        <f t="shared" si="199"/>
        <v>25333.943469141097</v>
      </c>
      <c r="BD82" s="540">
        <f t="shared" si="199"/>
        <v>24923.133241695301</v>
      </c>
      <c r="BE82" s="540">
        <f t="shared" si="199"/>
        <v>24056.203807694168</v>
      </c>
      <c r="BF82" s="540">
        <f t="shared" ref="BF82:BY82" si="200">BE82*(BF85/BE85)</f>
        <v>22931.406231527413</v>
      </c>
      <c r="BG82" s="540">
        <f t="shared" si="200"/>
        <v>22460.95826180746</v>
      </c>
      <c r="BH82" s="540">
        <f t="shared" si="200"/>
        <v>21996.007048652085</v>
      </c>
      <c r="BI82" s="540">
        <f t="shared" si="200"/>
        <v>21548.827304088274</v>
      </c>
      <c r="BJ82" s="540">
        <f t="shared" si="200"/>
        <v>20942.117632166253</v>
      </c>
      <c r="BK82" s="540">
        <f>BJ82*(BK85/BJ85)</f>
        <v>20314.896379169677</v>
      </c>
      <c r="BL82" s="540">
        <f t="shared" si="200"/>
        <v>19601.322320416064</v>
      </c>
      <c r="BM82" s="540">
        <f t="shared" si="200"/>
        <v>19106.649359265797</v>
      </c>
      <c r="BN82" s="540">
        <f t="shared" si="200"/>
        <v>18419.554788713773</v>
      </c>
      <c r="BO82" s="540">
        <f>BN82*(BO85/BN85)</f>
        <v>17859.753528074627</v>
      </c>
      <c r="BP82" s="540">
        <f t="shared" si="200"/>
        <v>17938.323320594525</v>
      </c>
      <c r="BQ82" s="540">
        <f t="shared" si="200"/>
        <v>18028.014937197495</v>
      </c>
      <c r="BR82" s="540">
        <f t="shared" si="200"/>
        <v>18118.155011883482</v>
      </c>
      <c r="BS82" s="540">
        <f t="shared" si="200"/>
        <v>18208.745786942898</v>
      </c>
      <c r="BT82" s="540">
        <f t="shared" si="200"/>
        <v>18299.789515877612</v>
      </c>
      <c r="BU82" s="540">
        <f t="shared" si="200"/>
        <v>18391.288463456996</v>
      </c>
      <c r="BV82" s="540">
        <f t="shared" si="200"/>
        <v>18483.244905774278</v>
      </c>
      <c r="BW82" s="540">
        <f t="shared" si="200"/>
        <v>18575.661130303146</v>
      </c>
      <c r="BX82" s="540">
        <f t="shared" si="200"/>
        <v>18668.539435954659</v>
      </c>
      <c r="BY82" s="540">
        <f t="shared" si="200"/>
        <v>18761.88213313443</v>
      </c>
      <c r="BZ82" s="540">
        <f t="shared" ref="BZ82:CN82" si="201">BY82*(BZ85/BY85)</f>
        <v>18855.691543800101</v>
      </c>
      <c r="CA82" s="540">
        <f t="shared" si="201"/>
        <v>18949.970001519101</v>
      </c>
      <c r="CB82" s="540">
        <f t="shared" si="201"/>
        <v>19044.719851526694</v>
      </c>
      <c r="CC82" s="540">
        <f t="shared" si="201"/>
        <v>19139.943450784325</v>
      </c>
      <c r="CD82" s="540">
        <f t="shared" si="201"/>
        <v>19235.643168038245</v>
      </c>
      <c r="CE82" s="540">
        <f t="shared" si="201"/>
        <v>19331.821383878432</v>
      </c>
      <c r="CF82" s="540">
        <f t="shared" si="201"/>
        <v>19428.480490797821</v>
      </c>
      <c r="CG82" s="540">
        <f t="shared" si="201"/>
        <v>19525.62289325181</v>
      </c>
      <c r="CH82" s="540">
        <f t="shared" si="201"/>
        <v>19623.251007718067</v>
      </c>
      <c r="CI82" s="540">
        <f t="shared" si="201"/>
        <v>19721.367262756656</v>
      </c>
      <c r="CJ82" s="540">
        <f t="shared" si="201"/>
        <v>19819.974099070438</v>
      </c>
      <c r="CK82" s="540">
        <f t="shared" si="201"/>
        <v>19919.073969565787</v>
      </c>
      <c r="CL82" s="540">
        <f t="shared" si="201"/>
        <v>20018.669339413613</v>
      </c>
      <c r="CM82" s="540">
        <f t="shared" si="201"/>
        <v>20118.76268611068</v>
      </c>
      <c r="CN82" s="540">
        <f t="shared" si="201"/>
        <v>20219.356499541231</v>
      </c>
      <c r="CO82" s="540">
        <f t="shared" ref="CO82" si="202">CN82*(CO85/CN85)</f>
        <v>20320.453282038936</v>
      </c>
      <c r="CP82" s="540">
        <f t="shared" ref="CP82" si="203">CO82*(CP85/CO85)</f>
        <v>20422.055548449127</v>
      </c>
      <c r="CQ82" s="540">
        <f t="shared" ref="CQ82" si="204">CP82*(CQ85/CP85)</f>
        <v>20524.165826191369</v>
      </c>
      <c r="CR82" s="540">
        <f t="shared" ref="CR82" si="205">CQ82*(CR85/CQ85)</f>
        <v>20626.786655322325</v>
      </c>
      <c r="CS82" s="540">
        <f t="shared" ref="CS82" si="206">CR82*(CS85/CR85)</f>
        <v>20729.920588598936</v>
      </c>
      <c r="CT82" s="514"/>
      <c r="CU82" s="514"/>
      <c r="CV82" s="514"/>
      <c r="CW82" s="514"/>
      <c r="CX82" s="514"/>
      <c r="CY82" s="514"/>
      <c r="CZ82" s="514"/>
      <c r="DA82" s="514"/>
      <c r="DB82" s="514"/>
    </row>
    <row r="83" spans="1:106">
      <c r="A83" s="325" t="s">
        <v>373</v>
      </c>
      <c r="C83" s="517">
        <f t="shared" ref="C83:L83" si="207">C85-SUM(C79:C82)</f>
        <v>56007.935717592612</v>
      </c>
      <c r="D83" s="517">
        <f t="shared" si="207"/>
        <v>66613.420589041605</v>
      </c>
      <c r="E83" s="517">
        <f t="shared" si="207"/>
        <v>87702.378733024016</v>
      </c>
      <c r="F83" s="517">
        <f t="shared" si="207"/>
        <v>73954.533434329962</v>
      </c>
      <c r="G83" s="517">
        <f t="shared" si="207"/>
        <v>54047.840907785343</v>
      </c>
      <c r="H83" s="517">
        <f t="shared" si="207"/>
        <v>45715.941363334321</v>
      </c>
      <c r="I83" s="517">
        <f t="shared" si="207"/>
        <v>48823.190490887406</v>
      </c>
      <c r="J83" s="517">
        <f t="shared" si="207"/>
        <v>48311.43390320574</v>
      </c>
      <c r="K83" s="517">
        <f t="shared" si="207"/>
        <v>54809.323105655261</v>
      </c>
      <c r="L83" s="517">
        <f t="shared" si="207"/>
        <v>59304.216801591101</v>
      </c>
      <c r="M83" s="517">
        <f t="shared" ref="M83:S83" si="208">M85-SUM(M79:M82)</f>
        <v>67932.196917838795</v>
      </c>
      <c r="N83" s="517">
        <f>N85-SUM(N79:N82)</f>
        <v>77649.270042074728</v>
      </c>
      <c r="O83" s="517">
        <f t="shared" si="208"/>
        <v>87186.827065239399</v>
      </c>
      <c r="P83" s="517">
        <f t="shared" si="208"/>
        <v>91135.302125799557</v>
      </c>
      <c r="Q83" s="517">
        <f t="shared" si="208"/>
        <v>74026.433153901598</v>
      </c>
      <c r="R83" s="517">
        <f t="shared" si="208"/>
        <v>90122.223565844848</v>
      </c>
      <c r="S83" s="517">
        <f t="shared" si="208"/>
        <v>114061.29523429251</v>
      </c>
      <c r="T83" s="517">
        <f t="shared" ref="T83:W83" si="209">T85-SUM(T79:T82)</f>
        <v>130460.18748067552</v>
      </c>
      <c r="U83" s="517">
        <f t="shared" si="209"/>
        <v>131314.75348926664</v>
      </c>
      <c r="V83" s="517">
        <f t="shared" si="209"/>
        <v>107067.03009906068</v>
      </c>
      <c r="W83" s="517">
        <f t="shared" si="209"/>
        <v>92214.162958489702</v>
      </c>
      <c r="X83" s="517">
        <f t="shared" ref="X83:Y83" si="210">X85-SUM(X79:X82)</f>
        <v>83509.427179643666</v>
      </c>
      <c r="Y83" s="517">
        <f t="shared" si="210"/>
        <v>87026.84248058786</v>
      </c>
      <c r="Z83" s="514">
        <f t="shared" ref="Z83:AK83" si="211">Z85-SUM(Z79:Z82)</f>
        <v>103001.30892209039</v>
      </c>
      <c r="AA83" s="514">
        <f>AA85-SUM(AA79:AA82)</f>
        <v>93718.773240204959</v>
      </c>
      <c r="AB83" s="514">
        <f t="shared" si="211"/>
        <v>86763.331872476483</v>
      </c>
      <c r="AC83" s="514">
        <f t="shared" si="211"/>
        <v>86107.99993224912</v>
      </c>
      <c r="AD83" s="514">
        <f t="shared" si="211"/>
        <v>105038.38702917832</v>
      </c>
      <c r="AE83" s="733">
        <f t="shared" si="211"/>
        <v>124201.36089622097</v>
      </c>
      <c r="AF83" s="514">
        <f t="shared" si="211"/>
        <v>114769.20570133065</v>
      </c>
      <c r="AG83" s="514">
        <f t="shared" si="211"/>
        <v>94084.142756569752</v>
      </c>
      <c r="AH83" s="514">
        <f t="shared" si="211"/>
        <v>95365.924416159382</v>
      </c>
      <c r="AI83" s="514">
        <f t="shared" si="211"/>
        <v>91378.272351758176</v>
      </c>
      <c r="AJ83" s="514">
        <f t="shared" si="211"/>
        <v>101145.74172935387</v>
      </c>
      <c r="AK83" s="514">
        <f t="shared" si="211"/>
        <v>98990.251365968841</v>
      </c>
      <c r="AL83" s="514">
        <f t="shared" ref="AL83:BQ83" si="212">(AK83/AK$85)*AL$85</f>
        <v>92819.341366989902</v>
      </c>
      <c r="AM83" s="514">
        <f t="shared" si="212"/>
        <v>88729.03017546609</v>
      </c>
      <c r="AN83" s="514">
        <f t="shared" si="212"/>
        <v>87299.842336917369</v>
      </c>
      <c r="AO83" s="514">
        <f t="shared" si="212"/>
        <v>82823.697965419386</v>
      </c>
      <c r="AP83" s="514">
        <f t="shared" si="212"/>
        <v>78527.297451943159</v>
      </c>
      <c r="AQ83" s="514">
        <f t="shared" si="212"/>
        <v>76212.379093840398</v>
      </c>
      <c r="AR83" s="514">
        <f t="shared" si="212"/>
        <v>75080.654515455855</v>
      </c>
      <c r="AS83" s="514">
        <f t="shared" si="212"/>
        <v>75034.712115674803</v>
      </c>
      <c r="AT83" s="514">
        <f t="shared" si="212"/>
        <v>73612.599571982326</v>
      </c>
      <c r="AU83" s="514">
        <f t="shared" si="212"/>
        <v>72151.343102489423</v>
      </c>
      <c r="AV83" s="514">
        <f t="shared" si="212"/>
        <v>71460.024204117319</v>
      </c>
      <c r="AW83" s="514">
        <f t="shared" si="212"/>
        <v>70126.036576154176</v>
      </c>
      <c r="AX83" s="514">
        <f t="shared" si="212"/>
        <v>68863.564696298272</v>
      </c>
      <c r="AY83" s="514">
        <f t="shared" si="212"/>
        <v>66783.156988802264</v>
      </c>
      <c r="AZ83" s="514">
        <f t="shared" si="212"/>
        <v>65002.006199509371</v>
      </c>
      <c r="BA83" s="514">
        <f t="shared" si="212"/>
        <v>62983.218795790861</v>
      </c>
      <c r="BB83" s="514">
        <f t="shared" si="212"/>
        <v>61270.732854714566</v>
      </c>
      <c r="BC83" s="514">
        <f t="shared" si="212"/>
        <v>59643.384709004524</v>
      </c>
      <c r="BD83" s="514">
        <f t="shared" si="212"/>
        <v>58676.21935364684</v>
      </c>
      <c r="BE83" s="514">
        <f t="shared" si="212"/>
        <v>56635.218282863199</v>
      </c>
      <c r="BF83" s="514">
        <f t="shared" si="212"/>
        <v>53987.121485900389</v>
      </c>
      <c r="BG83" s="514">
        <f t="shared" si="212"/>
        <v>52879.551743441792</v>
      </c>
      <c r="BH83" s="514">
        <f t="shared" si="212"/>
        <v>51784.922945879211</v>
      </c>
      <c r="BI83" s="514">
        <f t="shared" si="212"/>
        <v>50732.133293467552</v>
      </c>
      <c r="BJ83" s="514">
        <f t="shared" si="212"/>
        <v>49303.764338069945</v>
      </c>
      <c r="BK83" s="514">
        <f t="shared" si="212"/>
        <v>47827.105225140811</v>
      </c>
      <c r="BL83" s="514">
        <f t="shared" si="212"/>
        <v>46147.146786911522</v>
      </c>
      <c r="BM83" s="514">
        <f t="shared" si="212"/>
        <v>44982.544451591471</v>
      </c>
      <c r="BN83" s="514">
        <f t="shared" si="212"/>
        <v>43364.926339637415</v>
      </c>
      <c r="BO83" s="514">
        <f t="shared" si="212"/>
        <v>42046.993267371894</v>
      </c>
      <c r="BP83" s="514">
        <f t="shared" si="212"/>
        <v>42231.96914242582</v>
      </c>
      <c r="BQ83" s="514">
        <f t="shared" si="212"/>
        <v>42443.128988137942</v>
      </c>
      <c r="BR83" s="514">
        <f t="shared" ref="BR83:CN83" si="213">(BQ83/BQ$85)*BR$85</f>
        <v>42655.344633078632</v>
      </c>
      <c r="BS83" s="514">
        <f t="shared" si="213"/>
        <v>42868.621356244017</v>
      </c>
      <c r="BT83" s="514">
        <f t="shared" si="213"/>
        <v>43082.964463025237</v>
      </c>
      <c r="BU83" s="514">
        <f t="shared" si="213"/>
        <v>43298.379285340357</v>
      </c>
      <c r="BV83" s="514">
        <f t="shared" si="213"/>
        <v>43514.871181767056</v>
      </c>
      <c r="BW83" s="514">
        <f t="shared" si="213"/>
        <v>43732.445537675885</v>
      </c>
      <c r="BX83" s="514">
        <f t="shared" si="213"/>
        <v>43951.107765364264</v>
      </c>
      <c r="BY83" s="514">
        <f t="shared" si="213"/>
        <v>44170.86330419108</v>
      </c>
      <c r="BZ83" s="514">
        <f t="shared" si="213"/>
        <v>44391.717620712028</v>
      </c>
      <c r="CA83" s="514">
        <f t="shared" si="213"/>
        <v>44613.676208815581</v>
      </c>
      <c r="CB83" s="514">
        <f t="shared" si="213"/>
        <v>44836.744589859656</v>
      </c>
      <c r="CC83" s="514">
        <f t="shared" si="213"/>
        <v>45060.928312808945</v>
      </c>
      <c r="CD83" s="514">
        <f t="shared" si="213"/>
        <v>45286.232954372987</v>
      </c>
      <c r="CE83" s="514">
        <f t="shared" si="213"/>
        <v>45512.664119144851</v>
      </c>
      <c r="CF83" s="514">
        <f t="shared" si="213"/>
        <v>45740.227439740571</v>
      </c>
      <c r="CG83" s="514">
        <f t="shared" si="213"/>
        <v>45968.928576939274</v>
      </c>
      <c r="CH83" s="514">
        <f t="shared" si="213"/>
        <v>46198.773219823961</v>
      </c>
      <c r="CI83" s="514">
        <f t="shared" si="213"/>
        <v>46429.767085923078</v>
      </c>
      <c r="CJ83" s="514">
        <f t="shared" si="213"/>
        <v>46661.915921352695</v>
      </c>
      <c r="CK83" s="514">
        <f t="shared" si="213"/>
        <v>46895.225500959452</v>
      </c>
      <c r="CL83" s="514">
        <f t="shared" si="213"/>
        <v>47129.701628464245</v>
      </c>
      <c r="CM83" s="514">
        <f t="shared" si="213"/>
        <v>47365.350136606554</v>
      </c>
      <c r="CN83" s="514">
        <f t="shared" si="213"/>
        <v>47602.176887289577</v>
      </c>
      <c r="CO83" s="514">
        <f t="shared" ref="CO83" si="214">(CN83/CN$85)*CO$85</f>
        <v>47840.187771726021</v>
      </c>
      <c r="CP83" s="514">
        <f t="shared" ref="CP83" si="215">(CO83/CO$85)*CP$85</f>
        <v>48079.388710584644</v>
      </c>
      <c r="CQ83" s="514">
        <f t="shared" ref="CQ83" si="216">(CP83/CP$85)*CQ$85</f>
        <v>48319.785654137559</v>
      </c>
      <c r="CR83" s="514">
        <f t="shared" ref="CR83" si="217">(CQ83/CQ$85)*CR$85</f>
        <v>48561.384582408245</v>
      </c>
      <c r="CS83" s="514">
        <f t="shared" ref="CS83" si="218">(CR83/CR$85)*CS$85</f>
        <v>48804.191505320283</v>
      </c>
      <c r="CT83" s="514"/>
      <c r="CU83" s="514"/>
      <c r="CV83" s="514"/>
      <c r="CW83" s="514"/>
      <c r="CX83" s="514"/>
      <c r="CY83" s="514"/>
      <c r="CZ83" s="514"/>
      <c r="DA83" s="514"/>
      <c r="DB83" s="514"/>
    </row>
    <row r="84" spans="1:106">
      <c r="C84" s="517"/>
      <c r="D84" s="517"/>
      <c r="E84" s="517"/>
      <c r="F84" s="517"/>
      <c r="G84" s="517"/>
      <c r="H84" s="517"/>
      <c r="I84" s="517"/>
      <c r="J84" s="517"/>
      <c r="K84" s="517"/>
      <c r="L84" s="517"/>
      <c r="M84" s="517"/>
      <c r="N84" s="517"/>
      <c r="O84" s="517"/>
      <c r="P84" s="517"/>
      <c r="Q84" s="517"/>
      <c r="R84" s="517"/>
      <c r="S84" s="517"/>
      <c r="T84" s="517"/>
      <c r="U84" s="517"/>
      <c r="V84" s="517"/>
      <c r="W84" s="517"/>
      <c r="X84" s="517"/>
      <c r="Y84" s="514"/>
      <c r="Z84" s="514"/>
      <c r="AA84" s="514"/>
      <c r="AB84" s="514"/>
      <c r="AC84" s="514"/>
      <c r="AD84" s="514"/>
      <c r="AE84" s="733"/>
      <c r="AF84" s="514"/>
      <c r="AG84" s="514"/>
      <c r="AH84" s="514"/>
      <c r="AI84" s="514"/>
      <c r="AJ84" s="514"/>
      <c r="AK84" s="514"/>
      <c r="AL84" s="514"/>
      <c r="AM84" s="514"/>
      <c r="AN84" s="514"/>
      <c r="AO84" s="514"/>
      <c r="AP84" s="514"/>
      <c r="AQ84" s="514"/>
      <c r="AR84" s="514"/>
      <c r="AS84" s="514"/>
      <c r="AT84" s="514"/>
      <c r="AU84" s="514"/>
      <c r="AV84" s="514"/>
      <c r="AW84" s="514"/>
      <c r="AX84" s="514"/>
      <c r="AY84" s="514"/>
      <c r="AZ84" s="514"/>
      <c r="BA84" s="514"/>
      <c r="BB84" s="514"/>
      <c r="BC84" s="514"/>
      <c r="BD84" s="514"/>
      <c r="BE84" s="514"/>
      <c r="BF84" s="514"/>
      <c r="BG84" s="514"/>
      <c r="BH84" s="514"/>
      <c r="BI84" s="514"/>
      <c r="BJ84" s="514"/>
      <c r="BK84" s="514"/>
      <c r="BL84" s="514"/>
      <c r="BM84" s="514"/>
      <c r="BN84" s="514"/>
      <c r="BO84" s="514"/>
      <c r="BP84" s="514"/>
      <c r="BQ84" s="514"/>
      <c r="BR84" s="514"/>
      <c r="BS84" s="514"/>
      <c r="BT84" s="514"/>
      <c r="BU84" s="514"/>
      <c r="BV84" s="514"/>
      <c r="BW84" s="514"/>
      <c r="BX84" s="514"/>
      <c r="BY84" s="514"/>
      <c r="BZ84" s="514"/>
      <c r="CA84" s="514"/>
      <c r="CB84" s="514"/>
      <c r="CC84" s="514"/>
      <c r="CD84" s="514"/>
      <c r="CE84" s="514"/>
      <c r="CF84" s="514"/>
      <c r="CG84" s="514"/>
      <c r="CH84" s="514"/>
      <c r="CI84" s="514"/>
      <c r="CJ84" s="514"/>
      <c r="CK84" s="514"/>
      <c r="CL84" s="514"/>
      <c r="CM84" s="514"/>
      <c r="CN84" s="514"/>
      <c r="CO84" s="514"/>
      <c r="CP84" s="514"/>
      <c r="CQ84" s="514"/>
      <c r="CR84" s="514"/>
      <c r="CS84" s="514"/>
      <c r="CT84" s="514"/>
      <c r="CU84" s="514"/>
      <c r="CV84" s="514"/>
      <c r="CW84" s="514"/>
      <c r="CX84" s="514"/>
      <c r="CY84" s="514"/>
      <c r="CZ84" s="514"/>
      <c r="DA84" s="514"/>
      <c r="DB84" s="514"/>
    </row>
    <row r="85" spans="1:106" s="541" customFormat="1">
      <c r="A85" s="324" t="s">
        <v>374</v>
      </c>
      <c r="C85" s="517">
        <f t="shared" ref="C85:AD85" si="219">C118</f>
        <v>104213.14398148149</v>
      </c>
      <c r="D85" s="517">
        <f t="shared" si="219"/>
        <v>125111.85884480804</v>
      </c>
      <c r="E85" s="517">
        <f t="shared" si="219"/>
        <v>152741.35872360968</v>
      </c>
      <c r="F85" s="517">
        <f t="shared" si="219"/>
        <v>130713.88096831716</v>
      </c>
      <c r="G85" s="517">
        <f t="shared" si="219"/>
        <v>105518.28205915928</v>
      </c>
      <c r="H85" s="517">
        <f t="shared" si="219"/>
        <v>101886.97622227985</v>
      </c>
      <c r="I85" s="517">
        <f t="shared" si="219"/>
        <v>93459.603783406448</v>
      </c>
      <c r="J85" s="517">
        <f t="shared" si="219"/>
        <v>113461.5327346423</v>
      </c>
      <c r="K85" s="517">
        <f t="shared" si="219"/>
        <v>123565.63834019459</v>
      </c>
      <c r="L85" s="517">
        <f t="shared" si="219"/>
        <v>148573.77901621317</v>
      </c>
      <c r="M85" s="517">
        <f t="shared" si="219"/>
        <v>149773.51659494013</v>
      </c>
      <c r="N85" s="517">
        <f t="shared" si="219"/>
        <v>163197.47579708064</v>
      </c>
      <c r="O85" s="517">
        <f t="shared" si="219"/>
        <v>173239.554125013</v>
      </c>
      <c r="P85" s="517">
        <f t="shared" si="219"/>
        <v>179358.09136931895</v>
      </c>
      <c r="Q85" s="517">
        <f t="shared" si="219"/>
        <v>162023.61180906353</v>
      </c>
      <c r="R85" s="517">
        <f t="shared" si="219"/>
        <v>180059.90168027501</v>
      </c>
      <c r="S85" s="517">
        <f t="shared" si="219"/>
        <v>210726.82740674238</v>
      </c>
      <c r="T85" s="517">
        <f t="shared" si="219"/>
        <v>249703.42319180287</v>
      </c>
      <c r="U85" s="517">
        <f t="shared" si="219"/>
        <v>246876.66557858579</v>
      </c>
      <c r="V85" s="517">
        <f t="shared" si="219"/>
        <v>216359.37741205061</v>
      </c>
      <c r="W85" s="517">
        <f t="shared" si="219"/>
        <v>181311.4688795371</v>
      </c>
      <c r="X85" s="517">
        <f t="shared" si="219"/>
        <v>170951.84391780841</v>
      </c>
      <c r="Y85" s="517">
        <f t="shared" si="219"/>
        <v>173075.78932194048</v>
      </c>
      <c r="Z85" s="517">
        <f t="shared" si="219"/>
        <v>197624.77550841306</v>
      </c>
      <c r="AA85" s="517">
        <f t="shared" si="219"/>
        <v>190881.6486166954</v>
      </c>
      <c r="AB85" s="517">
        <f t="shared" si="219"/>
        <v>188808.48994552818</v>
      </c>
      <c r="AC85" s="517">
        <f t="shared" si="219"/>
        <v>178315.9984486606</v>
      </c>
      <c r="AD85" s="517">
        <f t="shared" si="219"/>
        <v>196487.36235465578</v>
      </c>
      <c r="AE85" s="753">
        <f t="shared" ref="AE85:BE85" si="220">AD85*(1+AE76/100)</f>
        <v>215743.12386541205</v>
      </c>
      <c r="AF85" s="540">
        <f t="shared" si="220"/>
        <v>224372.84882002854</v>
      </c>
      <c r="AG85" s="540">
        <f t="shared" si="220"/>
        <v>208666.74940262653</v>
      </c>
      <c r="AH85" s="540">
        <f t="shared" si="220"/>
        <v>195103.41069145582</v>
      </c>
      <c r="AI85" s="540">
        <f t="shared" si="220"/>
        <v>176481.60012187951</v>
      </c>
      <c r="AJ85" s="540">
        <f t="shared" si="220"/>
        <v>174833.16887937975</v>
      </c>
      <c r="AK85" s="540">
        <f t="shared" si="220"/>
        <v>170294.28957320226</v>
      </c>
      <c r="AL85" s="540">
        <f t="shared" si="220"/>
        <v>159678.38831226696</v>
      </c>
      <c r="AM85" s="540">
        <f t="shared" si="220"/>
        <v>152641.76976769249</v>
      </c>
      <c r="AN85" s="540">
        <f t="shared" si="220"/>
        <v>150183.11829167465</v>
      </c>
      <c r="AO85" s="540">
        <f t="shared" si="220"/>
        <v>142482.7456261559</v>
      </c>
      <c r="AP85" s="540">
        <f t="shared" si="220"/>
        <v>135091.58878931304</v>
      </c>
      <c r="AQ85" s="540">
        <f t="shared" si="220"/>
        <v>131109.20293036976</v>
      </c>
      <c r="AR85" s="540">
        <f t="shared" si="220"/>
        <v>129162.28158802449</v>
      </c>
      <c r="AS85" s="540">
        <f t="shared" si="220"/>
        <v>129083.24624642223</v>
      </c>
      <c r="AT85" s="540">
        <f t="shared" si="220"/>
        <v>126636.76649736176</v>
      </c>
      <c r="AU85" s="540">
        <f t="shared" si="220"/>
        <v>124122.94691490044</v>
      </c>
      <c r="AV85" s="540">
        <f t="shared" si="220"/>
        <v>122933.66151515371</v>
      </c>
      <c r="AW85" s="540">
        <f t="shared" si="220"/>
        <v>120638.78426947856</v>
      </c>
      <c r="AX85" s="540">
        <f t="shared" si="220"/>
        <v>118466.93654791477</v>
      </c>
      <c r="AY85" s="540">
        <f t="shared" si="220"/>
        <v>114887.98258343939</v>
      </c>
      <c r="AZ85" s="540">
        <f t="shared" si="220"/>
        <v>111823.84440720624</v>
      </c>
      <c r="BA85" s="540">
        <f t="shared" si="220"/>
        <v>108350.89669799614</v>
      </c>
      <c r="BB85" s="540">
        <f t="shared" si="220"/>
        <v>105404.88360362046</v>
      </c>
      <c r="BC85" s="540">
        <f t="shared" si="220"/>
        <v>102605.33422842581</v>
      </c>
      <c r="BD85" s="540">
        <f t="shared" si="220"/>
        <v>100941.5063785344</v>
      </c>
      <c r="BE85" s="540">
        <f t="shared" si="220"/>
        <v>97430.344192651377</v>
      </c>
      <c r="BF85" s="540">
        <f t="shared" ref="BF85" si="221">BE85*(1+BF76/100)</f>
        <v>92874.786887390452</v>
      </c>
      <c r="BG85" s="540">
        <f t="shared" ref="BG85" si="222">BF85*(1+BG76/100)</f>
        <v>90969.419441181468</v>
      </c>
      <c r="BH85" s="540">
        <f t="shared" ref="BH85" si="223">BG85*(1+BH76/100)</f>
        <v>89086.314480288594</v>
      </c>
      <c r="BI85" s="540">
        <f t="shared" ref="BI85" si="224">BH85*(1+BI76/100)</f>
        <v>87275.18597567812</v>
      </c>
      <c r="BJ85" s="540">
        <f t="shared" ref="BJ85" si="225">BI85*(1+BJ76/100)</f>
        <v>84817.943235596802</v>
      </c>
      <c r="BK85" s="540">
        <f t="shared" ref="BK85" si="226">BJ85*(1+BK76/100)</f>
        <v>82277.626273996357</v>
      </c>
      <c r="BL85" s="540">
        <f t="shared" ref="BL85" si="227">BK85*(1+BL76/100)</f>
        <v>79387.570689703585</v>
      </c>
      <c r="BM85" s="540">
        <f t="shared" ref="BM85" si="228">BL85*(1+BM76/100)</f>
        <v>77384.089290354386</v>
      </c>
      <c r="BN85" s="540">
        <f t="shared" ref="BN85" si="229">BM85*(1+BN76/100)</f>
        <v>74601.27862592302</v>
      </c>
      <c r="BO85" s="540">
        <f t="shared" ref="BO85" si="230">BN85*(1+BO76/100)</f>
        <v>72334.020253007693</v>
      </c>
      <c r="BP85" s="540">
        <f t="shared" ref="BP85:CN85" si="231">BP86/BP32</f>
        <v>72652.236792473108</v>
      </c>
      <c r="BQ85" s="540">
        <f t="shared" si="231"/>
        <v>73015.497976435465</v>
      </c>
      <c r="BR85" s="540">
        <f t="shared" si="231"/>
        <v>73380.575466317634</v>
      </c>
      <c r="BS85" s="540">
        <f t="shared" si="231"/>
        <v>73747.478343649214</v>
      </c>
      <c r="BT85" s="540">
        <f t="shared" si="231"/>
        <v>74116.215735367456</v>
      </c>
      <c r="BU85" s="540">
        <f t="shared" si="231"/>
        <v>74486.796814044283</v>
      </c>
      <c r="BV85" s="540">
        <f t="shared" si="231"/>
        <v>74859.230798114499</v>
      </c>
      <c r="BW85" s="540">
        <f t="shared" si="231"/>
        <v>75233.526952105065</v>
      </c>
      <c r="BX85" s="540">
        <f t="shared" si="231"/>
        <v>75609.694586865589</v>
      </c>
      <c r="BY85" s="540">
        <f t="shared" si="231"/>
        <v>75987.743059799905</v>
      </c>
      <c r="BZ85" s="540">
        <f t="shared" si="231"/>
        <v>76367.681775098899</v>
      </c>
      <c r="CA85" s="540">
        <f t="shared" si="231"/>
        <v>76749.520183974382</v>
      </c>
      <c r="CB85" s="540">
        <f t="shared" si="231"/>
        <v>77133.26778489424</v>
      </c>
      <c r="CC85" s="540">
        <f t="shared" si="231"/>
        <v>77518.934123818704</v>
      </c>
      <c r="CD85" s="540">
        <f t="shared" si="231"/>
        <v>77906.528794437792</v>
      </c>
      <c r="CE85" s="540">
        <f t="shared" si="231"/>
        <v>78296.061438409975</v>
      </c>
      <c r="CF85" s="540">
        <f t="shared" si="231"/>
        <v>78687.541745602022</v>
      </c>
      <c r="CG85" s="540">
        <f t="shared" si="231"/>
        <v>79080.979454330023</v>
      </c>
      <c r="CH85" s="540">
        <f t="shared" si="231"/>
        <v>79476.384351601664</v>
      </c>
      <c r="CI85" s="540">
        <f t="shared" si="231"/>
        <v>79873.766273359666</v>
      </c>
      <c r="CJ85" s="540">
        <f t="shared" si="231"/>
        <v>80273.135104726462</v>
      </c>
      <c r="CK85" s="540">
        <f t="shared" si="231"/>
        <v>80674.500780250091</v>
      </c>
      <c r="CL85" s="540">
        <f t="shared" si="231"/>
        <v>81077.873284151327</v>
      </c>
      <c r="CM85" s="540">
        <f t="shared" si="231"/>
        <v>81483.262650572069</v>
      </c>
      <c r="CN85" s="540">
        <f t="shared" si="231"/>
        <v>81890.678963824917</v>
      </c>
      <c r="CO85" s="540">
        <f t="shared" ref="CO85:CS85" si="232">CO86/CO32</f>
        <v>82300.132358644027</v>
      </c>
      <c r="CP85" s="540">
        <f t="shared" si="232"/>
        <v>82711.633020437235</v>
      </c>
      <c r="CQ85" s="540">
        <f t="shared" si="232"/>
        <v>83125.191185539414</v>
      </c>
      <c r="CR85" s="540">
        <f t="shared" si="232"/>
        <v>83540.817141467109</v>
      </c>
      <c r="CS85" s="540">
        <f t="shared" si="232"/>
        <v>83958.521227174439</v>
      </c>
      <c r="CT85" s="565"/>
      <c r="CU85" s="565"/>
      <c r="CV85" s="565"/>
      <c r="CW85" s="565"/>
      <c r="CX85" s="565"/>
      <c r="CY85" s="565"/>
      <c r="CZ85" s="565"/>
      <c r="DA85" s="565"/>
      <c r="DB85" s="565"/>
    </row>
    <row r="86" spans="1:106">
      <c r="A86" s="324" t="s">
        <v>357</v>
      </c>
      <c r="C86" s="517">
        <f t="shared" ref="C86:P86" si="233">C85*C32</f>
        <v>48699.026979870701</v>
      </c>
      <c r="D86" s="517">
        <f t="shared" si="233"/>
        <v>61329.828550232458</v>
      </c>
      <c r="E86" s="517">
        <f t="shared" si="233"/>
        <v>78018.508313943428</v>
      </c>
      <c r="F86" s="517">
        <f t="shared" si="233"/>
        <v>68503.074404647574</v>
      </c>
      <c r="G86" s="517">
        <f t="shared" si="233"/>
        <v>56791.914474455356</v>
      </c>
      <c r="H86" s="517">
        <f t="shared" si="233"/>
        <v>58401.913753680579</v>
      </c>
      <c r="I86" s="517">
        <f t="shared" si="233"/>
        <v>53517.7478228045</v>
      </c>
      <c r="J86" s="517">
        <f t="shared" si="233"/>
        <v>66725.676097865929</v>
      </c>
      <c r="K86" s="517">
        <f t="shared" si="233"/>
        <v>73903.159701330442</v>
      </c>
      <c r="L86" s="517">
        <f t="shared" si="233"/>
        <v>92148.064175297055</v>
      </c>
      <c r="M86" s="517">
        <f t="shared" si="233"/>
        <v>96700.741129830203</v>
      </c>
      <c r="N86" s="517">
        <f t="shared" si="233"/>
        <v>112532.88825529988</v>
      </c>
      <c r="O86" s="517">
        <f t="shared" si="233"/>
        <v>128177.7983558853</v>
      </c>
      <c r="P86" s="517">
        <f t="shared" si="233"/>
        <v>140932.52755715745</v>
      </c>
      <c r="Q86" s="517">
        <f t="shared" ref="Q86:W86" si="234">Q85*Q32</f>
        <v>130112.63498078915</v>
      </c>
      <c r="R86" s="517">
        <f t="shared" si="234"/>
        <v>150958.88181010351</v>
      </c>
      <c r="S86" s="517">
        <f t="shared" si="234"/>
        <v>180732.86118888203</v>
      </c>
      <c r="T86" s="517">
        <f t="shared" si="234"/>
        <v>219515.73534526402</v>
      </c>
      <c r="U86" s="517">
        <f t="shared" si="234"/>
        <v>226363.03704322074</v>
      </c>
      <c r="V86" s="517">
        <f t="shared" si="234"/>
        <v>201952.37743783245</v>
      </c>
      <c r="W86" s="517">
        <f t="shared" si="234"/>
        <v>165345.76931374226</v>
      </c>
      <c r="X86" s="517">
        <f t="shared" ref="X86:BO86" si="235">X85*X32</f>
        <v>149194.74899733433</v>
      </c>
      <c r="Y86" s="517">
        <f t="shared" si="235"/>
        <v>153163.05651097145</v>
      </c>
      <c r="Z86" s="517">
        <f t="shared" si="235"/>
        <v>178735.1581804583</v>
      </c>
      <c r="AA86" s="517">
        <f t="shared" si="235"/>
        <v>179887.29681024674</v>
      </c>
      <c r="AB86" s="514">
        <f t="shared" si="235"/>
        <v>178289.41449058376</v>
      </c>
      <c r="AC86" s="514">
        <f t="shared" si="235"/>
        <v>178315.9984486606</v>
      </c>
      <c r="AD86" s="514">
        <f t="shared" si="235"/>
        <v>216922.04803954001</v>
      </c>
      <c r="AE86" s="733">
        <f t="shared" si="235"/>
        <v>253423.95490724948</v>
      </c>
      <c r="AF86" s="514">
        <f t="shared" si="235"/>
        <v>272521.9841490598</v>
      </c>
      <c r="AG86" s="514">
        <f t="shared" si="235"/>
        <v>258514.35416379818</v>
      </c>
      <c r="AH86" s="514">
        <f t="shared" si="235"/>
        <v>249372.92409099531</v>
      </c>
      <c r="AI86" s="514">
        <f t="shared" si="235"/>
        <v>231882.88936452722</v>
      </c>
      <c r="AJ86" s="514">
        <f t="shared" si="235"/>
        <v>234229.44858244402</v>
      </c>
      <c r="AK86" s="514">
        <f t="shared" si="235"/>
        <v>232837.1991782058</v>
      </c>
      <c r="AL86" s="514">
        <f t="shared" si="235"/>
        <v>223114.8934719555</v>
      </c>
      <c r="AM86" s="514">
        <f t="shared" si="235"/>
        <v>218072.89191787568</v>
      </c>
      <c r="AN86" s="514">
        <f t="shared" si="235"/>
        <v>219245.40492376676</v>
      </c>
      <c r="AO86" s="514">
        <f t="shared" si="235"/>
        <v>212484.94751625182</v>
      </c>
      <c r="AP86" s="514">
        <f t="shared" si="235"/>
        <v>205769.69966566129</v>
      </c>
      <c r="AQ86" s="514">
        <f t="shared" si="235"/>
        <v>203879.75331980665</v>
      </c>
      <c r="AR86" s="514">
        <f t="shared" si="235"/>
        <v>204977.7245411686</v>
      </c>
      <c r="AS86" s="514">
        <f t="shared" si="235"/>
        <v>209169.14717730525</v>
      </c>
      <c r="AT86" s="514">
        <f t="shared" si="235"/>
        <v>209308.91749466251</v>
      </c>
      <c r="AU86" s="514">
        <f t="shared" si="235"/>
        <v>209257.08371318408</v>
      </c>
      <c r="AV86" s="514">
        <f t="shared" si="235"/>
        <v>211397.1263251706</v>
      </c>
      <c r="AW86" s="514">
        <f t="shared" si="235"/>
        <v>211599.86486762244</v>
      </c>
      <c r="AX86" s="514">
        <f t="shared" si="235"/>
        <v>211946.2631768685</v>
      </c>
      <c r="AY86" s="514">
        <f t="shared" si="235"/>
        <v>209654.11015159814</v>
      </c>
      <c r="AZ86" s="514">
        <f t="shared" si="235"/>
        <v>208143.74686590632</v>
      </c>
      <c r="BA86" s="514">
        <f t="shared" si="235"/>
        <v>205712.94940937738</v>
      </c>
      <c r="BB86" s="514">
        <f t="shared" si="235"/>
        <v>204122.09914296886</v>
      </c>
      <c r="BC86" s="514">
        <f t="shared" si="235"/>
        <v>202674.63707305738</v>
      </c>
      <c r="BD86" s="514">
        <f t="shared" si="235"/>
        <v>203375.8672608425</v>
      </c>
      <c r="BE86" s="514">
        <f t="shared" si="235"/>
        <v>200227.64755326582</v>
      </c>
      <c r="BF86" s="514">
        <f t="shared" si="235"/>
        <v>194682.90145703091</v>
      </c>
      <c r="BG86" s="514">
        <f t="shared" si="235"/>
        <v>194502.6732926679</v>
      </c>
      <c r="BH86" s="514">
        <f t="shared" si="235"/>
        <v>194285.91448843095</v>
      </c>
      <c r="BI86" s="514">
        <f t="shared" si="235"/>
        <v>194142.79518374268</v>
      </c>
      <c r="BJ86" s="514">
        <f t="shared" si="235"/>
        <v>192450.21646594288</v>
      </c>
      <c r="BK86" s="514">
        <f t="shared" si="235"/>
        <v>190420.01385964869</v>
      </c>
      <c r="BL86" s="514">
        <f t="shared" si="235"/>
        <v>187406.01370643554</v>
      </c>
      <c r="BM86" s="514">
        <f t="shared" si="235"/>
        <v>186330.03181303898</v>
      </c>
      <c r="BN86" s="514">
        <f t="shared" si="235"/>
        <v>183222.00237901026</v>
      </c>
      <c r="BO86" s="514">
        <f t="shared" si="235"/>
        <v>181206.64900775746</v>
      </c>
      <c r="BP86" s="566">
        <f>Formue!BK58</f>
        <v>185643.9016185533</v>
      </c>
      <c r="BQ86" s="566">
        <f>Formue!BL58</f>
        <v>190303.56354917897</v>
      </c>
      <c r="BR86" s="566">
        <f>Formue!BM58</f>
        <v>195080.18299426333</v>
      </c>
      <c r="BS86" s="566">
        <f>Formue!BN58</f>
        <v>199976.69558741932</v>
      </c>
      <c r="BT86" s="566">
        <f>Formue!BO58</f>
        <v>204996.11064666352</v>
      </c>
      <c r="BU86" s="566">
        <f>Formue!BP58</f>
        <v>210141.51302389475</v>
      </c>
      <c r="BV86" s="566">
        <f>Formue!BQ58</f>
        <v>215416.06500079448</v>
      </c>
      <c r="BW86" s="566">
        <f>Formue!BR58</f>
        <v>220823.0082323144</v>
      </c>
      <c r="BX86" s="566">
        <f>Formue!BS58</f>
        <v>226365.66573894548</v>
      </c>
      <c r="BY86" s="566">
        <f>Formue!BT58</f>
        <v>232047.44394899296</v>
      </c>
      <c r="BZ86" s="566">
        <f>Formue!BU58</f>
        <v>237871.83479211267</v>
      </c>
      <c r="CA86" s="566">
        <f>Formue!BV58</f>
        <v>243842.41784539467</v>
      </c>
      <c r="CB86" s="566">
        <f>Formue!BW58</f>
        <v>249962.86253331404</v>
      </c>
      <c r="CC86" s="566">
        <f>Formue!BX58</f>
        <v>256236.9303829002</v>
      </c>
      <c r="CD86" s="566">
        <f>Formue!BY58</f>
        <v>262668.47733551101</v>
      </c>
      <c r="CE86" s="566">
        <f>Formue!BZ58</f>
        <v>269261.45611663233</v>
      </c>
      <c r="CF86" s="566">
        <f>Formue!CA58</f>
        <v>276019.91866515978</v>
      </c>
      <c r="CG86" s="566">
        <f>Formue!CB58</f>
        <v>282948.01862365525</v>
      </c>
      <c r="CH86" s="566">
        <f>Formue!CC58</f>
        <v>290050.01389110897</v>
      </c>
      <c r="CI86" s="566">
        <f>Formue!CD58</f>
        <v>297330.26923977578</v>
      </c>
      <c r="CJ86" s="566">
        <f>Formue!CE58</f>
        <v>304793.25899769412</v>
      </c>
      <c r="CK86" s="566">
        <f>Formue!CF58</f>
        <v>312443.56979853625</v>
      </c>
      <c r="CL86" s="566">
        <f>Formue!CG58</f>
        <v>320285.90340047947</v>
      </c>
      <c r="CM86" s="566">
        <f>Formue!CH58</f>
        <v>328325.07957583142</v>
      </c>
      <c r="CN86" s="566">
        <f>Formue!CI58</f>
        <v>336566.03907318471</v>
      </c>
      <c r="CO86" s="566">
        <f>Formue!CJ58</f>
        <v>345013.84665392165</v>
      </c>
      <c r="CP86" s="566">
        <f>Formue!CK58</f>
        <v>353673.69420493499</v>
      </c>
      <c r="CQ86" s="566">
        <f>Formue!CL58</f>
        <v>362550.9039294789</v>
      </c>
      <c r="CR86" s="566">
        <f>Formue!CM58</f>
        <v>371650.93161810882</v>
      </c>
      <c r="CS86" s="566">
        <f>Formue!CN58</f>
        <v>380979.37000172329</v>
      </c>
      <c r="CT86" s="567"/>
      <c r="CU86" s="567"/>
      <c r="CV86" s="567"/>
      <c r="CW86" s="567"/>
      <c r="CX86" s="567"/>
      <c r="CY86" s="567"/>
      <c r="CZ86" s="567"/>
      <c r="DA86" s="567"/>
      <c r="DB86" s="567"/>
    </row>
    <row r="87" spans="1:106" s="541" customFormat="1">
      <c r="A87" s="541" t="s">
        <v>112</v>
      </c>
      <c r="D87" s="555"/>
      <c r="E87" s="535"/>
      <c r="F87" s="535"/>
      <c r="G87" s="535"/>
      <c r="H87" s="535"/>
      <c r="I87" s="535"/>
      <c r="J87" s="535"/>
      <c r="K87" s="535"/>
      <c r="L87" s="535"/>
      <c r="M87" s="535"/>
      <c r="N87" s="535"/>
      <c r="O87" s="535"/>
      <c r="P87" s="535"/>
      <c r="Q87" s="535"/>
      <c r="R87" s="535"/>
      <c r="S87" s="535"/>
      <c r="T87" s="535"/>
      <c r="U87" s="535"/>
      <c r="V87" s="535"/>
      <c r="W87" s="535"/>
      <c r="X87" s="535"/>
      <c r="Y87" s="535"/>
      <c r="Z87" s="535">
        <f t="shared" ref="Z87:BE87" si="236">(Z85/Y85-1)*100-Z76</f>
        <v>-0.11604840131122884</v>
      </c>
      <c r="AA87" s="535">
        <f t="shared" si="236"/>
        <v>-0.1120857945923901</v>
      </c>
      <c r="AB87" s="535">
        <f t="shared" si="236"/>
        <v>-0.18609637761997166</v>
      </c>
      <c r="AC87" s="535">
        <f t="shared" si="236"/>
        <v>0.4427861798509678</v>
      </c>
      <c r="AD87" s="535">
        <f t="shared" si="236"/>
        <v>-9.4595750885666519E-3</v>
      </c>
      <c r="AE87" s="754">
        <f t="shared" si="236"/>
        <v>0</v>
      </c>
      <c r="AF87" s="556">
        <f t="shared" si="236"/>
        <v>0</v>
      </c>
      <c r="AG87" s="556">
        <f t="shared" si="236"/>
        <v>0</v>
      </c>
      <c r="AH87" s="556">
        <f t="shared" si="236"/>
        <v>0</v>
      </c>
      <c r="AI87" s="556">
        <f t="shared" si="236"/>
        <v>0</v>
      </c>
      <c r="AJ87" s="556">
        <f t="shared" si="236"/>
        <v>0</v>
      </c>
      <c r="AK87" s="556">
        <f t="shared" si="236"/>
        <v>0</v>
      </c>
      <c r="AL87" s="556">
        <f t="shared" si="236"/>
        <v>0</v>
      </c>
      <c r="AM87" s="556">
        <f t="shared" si="236"/>
        <v>-1.1546319456101628E-14</v>
      </c>
      <c r="AN87" s="556">
        <f t="shared" si="236"/>
        <v>0</v>
      </c>
      <c r="AO87" s="556">
        <f t="shared" si="236"/>
        <v>-1.0658141036401503E-14</v>
      </c>
      <c r="AP87" s="556">
        <f t="shared" si="236"/>
        <v>-1.1546319456101628E-14</v>
      </c>
      <c r="AQ87" s="556">
        <f t="shared" si="236"/>
        <v>1.1102230246251565E-14</v>
      </c>
      <c r="AR87" s="556">
        <f t="shared" si="236"/>
        <v>0</v>
      </c>
      <c r="AS87" s="556">
        <f t="shared" si="236"/>
        <v>0</v>
      </c>
      <c r="AT87" s="556">
        <f t="shared" si="236"/>
        <v>0</v>
      </c>
      <c r="AU87" s="556">
        <f t="shared" si="236"/>
        <v>0</v>
      </c>
      <c r="AV87" s="556">
        <f t="shared" si="236"/>
        <v>0</v>
      </c>
      <c r="AW87" s="556">
        <f t="shared" si="236"/>
        <v>0</v>
      </c>
      <c r="AX87" s="556">
        <f t="shared" si="236"/>
        <v>0</v>
      </c>
      <c r="AY87" s="556">
        <f t="shared" si="236"/>
        <v>0</v>
      </c>
      <c r="AZ87" s="556">
        <f t="shared" si="236"/>
        <v>0</v>
      </c>
      <c r="BA87" s="556">
        <f t="shared" si="236"/>
        <v>0</v>
      </c>
      <c r="BB87" s="556">
        <f t="shared" si="236"/>
        <v>0</v>
      </c>
      <c r="BC87" s="556">
        <f t="shared" si="236"/>
        <v>0</v>
      </c>
      <c r="BD87" s="556">
        <f t="shared" si="236"/>
        <v>0</v>
      </c>
      <c r="BE87" s="556">
        <f t="shared" si="236"/>
        <v>-1.1102230246251565E-14</v>
      </c>
      <c r="BF87" s="556">
        <f t="shared" ref="BF87" si="237">(BF85/BE85-1)*100-BF76</f>
        <v>0</v>
      </c>
      <c r="BG87" s="556">
        <f t="shared" ref="BG87" si="238">(BG85/BF85-1)*100-BG76</f>
        <v>0</v>
      </c>
      <c r="BH87" s="556">
        <f t="shared" ref="BH87" si="239">(BH85/BG85-1)*100-BH76</f>
        <v>0</v>
      </c>
      <c r="BI87" s="556">
        <f t="shared" ref="BI87" si="240">(BI85/BH85-1)*100-BI76</f>
        <v>0</v>
      </c>
      <c r="BJ87" s="556">
        <f t="shared" ref="BJ87" si="241">(BJ85/BI85-1)*100-BJ76</f>
        <v>1.1102230246251565E-14</v>
      </c>
      <c r="BK87" s="556">
        <f t="shared" ref="BK87" si="242">(BK85/BJ85-1)*100-BK76</f>
        <v>0</v>
      </c>
      <c r="BL87" s="556">
        <f t="shared" ref="BL87" si="243">(BL85/BK85-1)*100-BL76</f>
        <v>0</v>
      </c>
      <c r="BM87" s="556">
        <f t="shared" ref="BM87" si="244">(BM85/BL85-1)*100-BM76</f>
        <v>1.1102230246251565E-14</v>
      </c>
      <c r="BN87" s="556">
        <f t="shared" ref="BN87" si="245">(BN85/BM85-1)*100-BN76</f>
        <v>0</v>
      </c>
      <c r="BO87" s="556">
        <f t="shared" ref="BO87" si="246">(BO85/BN85-1)*100-BO76</f>
        <v>0</v>
      </c>
    </row>
    <row r="88" spans="1:106" s="543" customFormat="1">
      <c r="D88" s="557"/>
      <c r="E88" s="557"/>
      <c r="F88" s="557"/>
      <c r="G88" s="557"/>
      <c r="H88" s="557"/>
      <c r="I88" s="557"/>
      <c r="J88" s="557"/>
      <c r="K88" s="557"/>
      <c r="L88" s="568"/>
      <c r="M88" s="557"/>
      <c r="N88" s="557"/>
      <c r="O88" s="557"/>
      <c r="P88" s="557"/>
      <c r="Q88" s="558"/>
      <c r="R88" s="557"/>
      <c r="S88" s="557"/>
      <c r="T88" s="557"/>
      <c r="U88" s="557"/>
      <c r="V88" s="557"/>
      <c r="W88" s="557"/>
      <c r="X88" s="557"/>
      <c r="Y88" s="559"/>
      <c r="Z88" s="559"/>
      <c r="AA88" s="559"/>
      <c r="AB88" s="559"/>
      <c r="AC88" s="559"/>
      <c r="AD88" s="559"/>
      <c r="AE88" s="751"/>
      <c r="AF88" s="559"/>
      <c r="AG88" s="559"/>
      <c r="AH88" s="559"/>
      <c r="AI88" s="559"/>
      <c r="AJ88" s="559"/>
      <c r="AK88" s="559"/>
      <c r="AL88" s="559"/>
      <c r="AM88" s="559"/>
      <c r="AN88" s="559"/>
      <c r="AO88" s="559"/>
      <c r="AP88" s="559"/>
      <c r="AQ88" s="559"/>
      <c r="AR88" s="559"/>
      <c r="AS88" s="559"/>
      <c r="AT88" s="559"/>
      <c r="AU88" s="559"/>
      <c r="AV88" s="559"/>
      <c r="AW88" s="559"/>
      <c r="AX88" s="559"/>
      <c r="AY88" s="559"/>
      <c r="AZ88" s="559"/>
      <c r="BA88" s="559"/>
      <c r="BB88" s="559"/>
      <c r="BC88" s="559"/>
      <c r="BD88" s="559"/>
      <c r="BE88" s="559"/>
    </row>
    <row r="89" spans="1:106">
      <c r="A89" s="325" t="s">
        <v>563</v>
      </c>
      <c r="D89" s="487"/>
      <c r="E89" s="487"/>
      <c r="F89" s="487"/>
      <c r="G89" s="487"/>
      <c r="H89" s="487"/>
      <c r="I89" s="487"/>
      <c r="J89" s="487"/>
      <c r="K89" s="487"/>
      <c r="L89" s="569"/>
      <c r="M89" s="487"/>
      <c r="N89" s="487"/>
      <c r="O89" s="487"/>
      <c r="P89" s="487"/>
      <c r="Q89" s="531"/>
      <c r="R89" s="487"/>
      <c r="S89" s="487"/>
      <c r="T89" s="487"/>
      <c r="U89" s="487"/>
      <c r="V89" s="487"/>
      <c r="W89" s="487"/>
      <c r="X89" s="487"/>
      <c r="Y89" s="535">
        <f>(Y22/X22-1)*100</f>
        <v>4.0657397315422061</v>
      </c>
      <c r="Z89" s="535">
        <f t="shared" ref="Z89:AJ89" si="247">(Z22/Y22-1)*100</f>
        <v>17.087363642894339</v>
      </c>
      <c r="AA89" s="535">
        <f t="shared" si="247"/>
        <v>-3.2699252267906043</v>
      </c>
      <c r="AB89" s="535">
        <f t="shared" si="247"/>
        <v>3.028759104327361</v>
      </c>
      <c r="AC89" s="535">
        <f t="shared" si="247"/>
        <v>0.50205215976211193</v>
      </c>
      <c r="AD89" s="535">
        <f t="shared" si="247"/>
        <v>21.573529329692541</v>
      </c>
      <c r="AE89" s="754">
        <f t="shared" si="247"/>
        <v>15.664278944372922</v>
      </c>
      <c r="AF89" s="535">
        <f t="shared" si="247"/>
        <v>11.581871652375209</v>
      </c>
      <c r="AG89" s="535">
        <f t="shared" si="247"/>
        <v>-3.6142441636531686</v>
      </c>
      <c r="AH89" s="535">
        <f t="shared" si="247"/>
        <v>-10.005549304593231</v>
      </c>
      <c r="AI89" s="535">
        <f t="shared" si="247"/>
        <v>-7.0136061443807796</v>
      </c>
      <c r="AJ89" s="535">
        <f t="shared" si="247"/>
        <v>1.011958762609666</v>
      </c>
      <c r="AK89" s="556"/>
      <c r="AL89" s="522"/>
      <c r="AM89" s="522"/>
      <c r="AN89" s="522"/>
      <c r="AO89" s="522"/>
      <c r="AP89" s="522"/>
      <c r="AQ89" s="522"/>
      <c r="AR89" s="522"/>
      <c r="AS89" s="522"/>
      <c r="AT89" s="522"/>
      <c r="AU89" s="522"/>
      <c r="AV89" s="522"/>
      <c r="AW89" s="522"/>
      <c r="AX89" s="522"/>
      <c r="AY89" s="522"/>
      <c r="AZ89" s="522"/>
      <c r="BA89" s="522"/>
      <c r="BB89" s="522"/>
      <c r="BC89" s="522"/>
      <c r="BD89" s="522"/>
      <c r="BE89" s="522"/>
    </row>
    <row r="90" spans="1:106">
      <c r="A90" s="325" t="s">
        <v>564</v>
      </c>
      <c r="D90" s="487"/>
      <c r="E90" s="487"/>
      <c r="F90" s="487"/>
      <c r="G90" s="487"/>
      <c r="H90" s="487"/>
      <c r="I90" s="487"/>
      <c r="J90" s="487"/>
      <c r="K90" s="487"/>
      <c r="L90" s="569"/>
      <c r="M90" s="487"/>
      <c r="N90" s="487"/>
      <c r="O90" s="487"/>
      <c r="P90" s="487"/>
      <c r="Q90" s="531"/>
      <c r="R90" s="487"/>
      <c r="S90" s="487"/>
      <c r="T90" s="487"/>
      <c r="U90" s="487"/>
      <c r="V90" s="487"/>
      <c r="W90" s="487"/>
      <c r="X90" s="487"/>
      <c r="Y90" s="535">
        <f>(Y86/X86-1)*100</f>
        <v>2.6598171452455244</v>
      </c>
      <c r="Z90" s="535">
        <f t="shared" ref="Z90:AJ90" si="248">(Z86/Y86-1)*100</f>
        <v>16.695998533859925</v>
      </c>
      <c r="AA90" s="535">
        <f t="shared" si="248"/>
        <v>0.6446066020347363</v>
      </c>
      <c r="AB90" s="535">
        <f t="shared" si="248"/>
        <v>-0.88826857037520579</v>
      </c>
      <c r="AC90" s="535">
        <f t="shared" si="248"/>
        <v>1.4910564462167208E-2</v>
      </c>
      <c r="AD90" s="535">
        <f t="shared" si="248"/>
        <v>21.65035662910222</v>
      </c>
      <c r="AE90" s="754">
        <f t="shared" si="248"/>
        <v>16.827199999999998</v>
      </c>
      <c r="AF90" s="535">
        <f t="shared" si="248"/>
        <v>7.5360000000000094</v>
      </c>
      <c r="AG90" s="535">
        <f t="shared" si="248"/>
        <v>-5.1399999999999775</v>
      </c>
      <c r="AH90" s="535">
        <f t="shared" si="248"/>
        <v>-3.5361402280241427</v>
      </c>
      <c r="AI90" s="535">
        <f t="shared" si="248"/>
        <v>-7.0136061443807911</v>
      </c>
      <c r="AJ90" s="535">
        <f t="shared" si="248"/>
        <v>1.011958762609666</v>
      </c>
      <c r="AK90" s="556"/>
      <c r="AL90" s="522"/>
      <c r="AM90" s="522"/>
      <c r="AN90" s="522"/>
      <c r="AO90" s="522"/>
      <c r="AP90" s="522"/>
      <c r="AQ90" s="522"/>
      <c r="AR90" s="522"/>
      <c r="AS90" s="522"/>
      <c r="AT90" s="522"/>
      <c r="AU90" s="522"/>
      <c r="AV90" s="522"/>
      <c r="AW90" s="522"/>
      <c r="AX90" s="522"/>
      <c r="AY90" s="522"/>
      <c r="AZ90" s="522"/>
      <c r="BA90" s="522"/>
      <c r="BB90" s="522"/>
      <c r="BC90" s="522"/>
      <c r="BD90" s="522"/>
      <c r="BE90" s="522"/>
    </row>
    <row r="91" spans="1:106">
      <c r="A91" s="324"/>
      <c r="D91" s="544"/>
      <c r="E91" s="544"/>
      <c r="F91" s="544"/>
      <c r="G91" s="544"/>
      <c r="H91" s="544"/>
      <c r="I91" s="544"/>
      <c r="J91" s="544"/>
      <c r="K91" s="544"/>
      <c r="L91" s="536"/>
      <c r="M91" s="544"/>
      <c r="N91" s="544"/>
      <c r="O91" s="544"/>
      <c r="P91" s="544"/>
      <c r="Q91" s="554"/>
      <c r="R91" s="544"/>
      <c r="S91" s="544"/>
      <c r="T91" s="544"/>
      <c r="U91" s="544"/>
      <c r="V91" s="544"/>
      <c r="W91" s="544"/>
      <c r="X91" s="544"/>
      <c r="Y91" s="504"/>
      <c r="Z91" s="554"/>
      <c r="AA91" s="554"/>
      <c r="AB91" s="554"/>
      <c r="AC91" s="544"/>
      <c r="AD91" s="544"/>
      <c r="AE91" s="744"/>
      <c r="AF91" s="544"/>
      <c r="AH91" s="544"/>
      <c r="AI91" s="544"/>
      <c r="AJ91" s="544"/>
      <c r="AK91" s="544"/>
    </row>
    <row r="92" spans="1:106" s="498" customFormat="1">
      <c r="A92" s="498" t="s">
        <v>549</v>
      </c>
      <c r="O92" s="570"/>
      <c r="U92" s="571"/>
      <c r="V92" s="571"/>
      <c r="X92" s="571"/>
      <c r="Y92" s="571"/>
      <c r="Z92" s="571"/>
      <c r="AA92" s="571"/>
      <c r="AE92" s="755"/>
      <c r="AF92" s="323"/>
      <c r="AG92" s="498" t="s">
        <v>541</v>
      </c>
    </row>
    <row r="93" spans="1:106">
      <c r="A93" s="489" t="s">
        <v>536</v>
      </c>
      <c r="O93" s="487"/>
      <c r="U93" s="504"/>
      <c r="V93" s="504"/>
      <c r="X93" s="504"/>
      <c r="Y93" s="504"/>
      <c r="Z93" s="504"/>
      <c r="AA93" s="504"/>
      <c r="AF93" s="32"/>
    </row>
    <row r="94" spans="1:106">
      <c r="A94" s="325" t="s">
        <v>537</v>
      </c>
      <c r="C94" s="572"/>
      <c r="D94" s="572"/>
      <c r="E94" s="572"/>
      <c r="F94" s="487"/>
      <c r="G94" s="487"/>
      <c r="H94" s="487"/>
      <c r="I94" s="487"/>
      <c r="J94" s="487"/>
      <c r="K94" s="487"/>
      <c r="L94" s="487"/>
      <c r="M94" s="487"/>
      <c r="N94" s="487"/>
      <c r="O94" s="487"/>
      <c r="P94" s="487"/>
      <c r="Q94" s="487"/>
      <c r="R94" s="487"/>
      <c r="S94" s="487"/>
      <c r="T94" s="487"/>
      <c r="U94" s="487"/>
      <c r="V94" s="517">
        <f>SUM(Y94:BE94)</f>
        <v>7000872.8537638737</v>
      </c>
      <c r="W94" s="541"/>
      <c r="X94" s="555"/>
      <c r="Y94" s="517">
        <f t="shared" ref="Y94:BE94" si="249">X85*(1+Y65/100)*Y32</f>
        <v>155260.61918469358</v>
      </c>
      <c r="Z94" s="555">
        <f t="shared" si="249"/>
        <v>179334.5849435729</v>
      </c>
      <c r="AA94" s="555">
        <f t="shared" si="249"/>
        <v>172890.6521539714</v>
      </c>
      <c r="AB94" s="555">
        <f t="shared" si="249"/>
        <v>185335.64968991544</v>
      </c>
      <c r="AC94" s="555">
        <f t="shared" si="249"/>
        <v>179184.52034666095</v>
      </c>
      <c r="AD94" s="555">
        <f t="shared" si="249"/>
        <v>216785.05267351647</v>
      </c>
      <c r="AE94" s="756">
        <f t="shared" si="249"/>
        <v>250901.32273630018</v>
      </c>
      <c r="AF94" s="555">
        <f t="shared" si="249"/>
        <v>282775.19210098032</v>
      </c>
      <c r="AG94" s="555">
        <f t="shared" si="249"/>
        <v>262672.37424228061</v>
      </c>
      <c r="AH94" s="555">
        <f t="shared" si="249"/>
        <v>232648.57299848861</v>
      </c>
      <c r="AI94" s="555">
        <f t="shared" si="249"/>
        <v>231882.88936452722</v>
      </c>
      <c r="AJ94" s="555">
        <f t="shared" si="249"/>
        <v>234229.44858244402</v>
      </c>
      <c r="AK94" s="555">
        <f t="shared" si="249"/>
        <v>232837.1991782058</v>
      </c>
      <c r="AL94" s="555">
        <f t="shared" si="249"/>
        <v>223114.8934719555</v>
      </c>
      <c r="AM94" s="555">
        <f t="shared" si="249"/>
        <v>218072.89191787568</v>
      </c>
      <c r="AN94" s="555">
        <f t="shared" si="249"/>
        <v>219245.40492376676</v>
      </c>
      <c r="AO94" s="555">
        <f t="shared" si="249"/>
        <v>212484.94751625182</v>
      </c>
      <c r="AP94" s="555">
        <f t="shared" si="249"/>
        <v>205769.69966566129</v>
      </c>
      <c r="AQ94" s="555">
        <f t="shared" si="249"/>
        <v>203879.75331980665</v>
      </c>
      <c r="AR94" s="555">
        <f t="shared" si="249"/>
        <v>204977.7245411686</v>
      </c>
      <c r="AS94" s="555">
        <f t="shared" si="249"/>
        <v>209169.14717730525</v>
      </c>
      <c r="AT94" s="555">
        <f t="shared" si="249"/>
        <v>209308.91749466251</v>
      </c>
      <c r="AU94" s="555">
        <f t="shared" si="249"/>
        <v>209257.08371318408</v>
      </c>
      <c r="AV94" s="555">
        <f t="shared" si="249"/>
        <v>211397.1263251706</v>
      </c>
      <c r="AW94" s="555">
        <f t="shared" si="249"/>
        <v>211599.86486762244</v>
      </c>
      <c r="AX94" s="555">
        <f t="shared" si="249"/>
        <v>211946.2631768685</v>
      </c>
      <c r="AY94" s="555">
        <f t="shared" si="249"/>
        <v>209654.11015159814</v>
      </c>
      <c r="AZ94" s="555">
        <f t="shared" si="249"/>
        <v>208143.74686590632</v>
      </c>
      <c r="BA94" s="555">
        <f t="shared" si="249"/>
        <v>205712.94940937738</v>
      </c>
      <c r="BB94" s="555">
        <f t="shared" si="249"/>
        <v>204122.09914296886</v>
      </c>
      <c r="BC94" s="555">
        <f t="shared" si="249"/>
        <v>202674.63707305738</v>
      </c>
      <c r="BD94" s="555">
        <f t="shared" si="249"/>
        <v>203375.8672608425</v>
      </c>
      <c r="BE94" s="555">
        <f t="shared" si="249"/>
        <v>200227.64755326582</v>
      </c>
      <c r="BF94" s="555">
        <f t="shared" ref="BF94" si="250">BE85*(1+BF65/100)*BF32</f>
        <v>194682.90145703091</v>
      </c>
      <c r="BG94" s="555">
        <f t="shared" ref="BG94" si="251">BF85*(1+BG65/100)*BG32</f>
        <v>194502.6732926679</v>
      </c>
      <c r="BH94" s="555">
        <f t="shared" ref="BH94" si="252">BG85*(1+BH65/100)*BH32</f>
        <v>194285.91448843095</v>
      </c>
      <c r="BI94" s="555">
        <f t="shared" ref="BI94" si="253">BH85*(1+BI65/100)*BI32</f>
        <v>194142.79518374268</v>
      </c>
      <c r="BJ94" s="555">
        <f t="shared" ref="BJ94" si="254">BI85*(1+BJ65/100)*BJ32</f>
        <v>192450.21646594288</v>
      </c>
      <c r="BK94" s="555">
        <f t="shared" ref="BK94" si="255">BJ85*(1+BK65/100)*BK32</f>
        <v>190420.01385964869</v>
      </c>
      <c r="BL94" s="555">
        <f t="shared" ref="BL94" si="256">BK85*(1+BL65/100)*BL32</f>
        <v>187406.01370643554</v>
      </c>
      <c r="BM94" s="555">
        <f t="shared" ref="BM94" si="257">BL85*(1+BM65/100)*BM32</f>
        <v>186330.03181303898</v>
      </c>
      <c r="BN94" s="555">
        <f t="shared" ref="BN94" si="258">BM85*(1+BN65/100)*BN32</f>
        <v>183222.00237901026</v>
      </c>
      <c r="BO94" s="555">
        <f t="shared" ref="BO94" si="259">BN85*(1+BO65/100)*BO32</f>
        <v>181206.64900775746</v>
      </c>
      <c r="BP94" s="555"/>
      <c r="BQ94" s="555"/>
      <c r="BR94" s="555"/>
      <c r="BS94" s="487"/>
      <c r="BT94" s="487"/>
      <c r="BU94" s="487"/>
      <c r="BV94" s="487"/>
      <c r="BW94" s="487"/>
      <c r="BX94" s="487"/>
      <c r="BY94" s="487"/>
      <c r="BZ94" s="487"/>
      <c r="CA94" s="487"/>
      <c r="CB94" s="487"/>
      <c r="CC94" s="487"/>
      <c r="CD94" s="487"/>
      <c r="CE94" s="487"/>
      <c r="CF94" s="487"/>
      <c r="CG94" s="487"/>
      <c r="CH94" s="487"/>
      <c r="CI94" s="487"/>
      <c r="CJ94" s="487"/>
      <c r="CK94" s="487"/>
      <c r="CL94" s="487"/>
      <c r="CM94" s="487"/>
      <c r="CN94" s="487"/>
      <c r="CO94" s="487"/>
      <c r="CP94" s="487"/>
      <c r="CQ94" s="487"/>
      <c r="CR94" s="487"/>
      <c r="CS94" s="487"/>
    </row>
    <row r="95" spans="1:106">
      <c r="A95" s="325" t="s">
        <v>538</v>
      </c>
      <c r="C95" s="572"/>
      <c r="D95" s="572"/>
      <c r="E95" s="572"/>
      <c r="F95" s="487"/>
      <c r="G95" s="487"/>
      <c r="H95" s="487"/>
      <c r="I95" s="487"/>
      <c r="J95" s="487"/>
      <c r="K95" s="487"/>
      <c r="L95" s="487"/>
      <c r="M95" s="487"/>
      <c r="N95" s="487"/>
      <c r="O95" s="487"/>
      <c r="P95" s="487"/>
      <c r="Q95" s="487"/>
      <c r="R95" s="487"/>
      <c r="S95" s="487"/>
      <c r="T95" s="487"/>
      <c r="U95" s="487"/>
      <c r="V95" s="517">
        <f>SUM(Y95:BE95)</f>
        <v>7002230.5024850564</v>
      </c>
      <c r="W95" s="541"/>
      <c r="X95" s="555"/>
      <c r="Y95" s="517">
        <f t="shared" ref="Y95:BE95" si="260">Y86</f>
        <v>153163.05651097145</v>
      </c>
      <c r="Z95" s="555">
        <f t="shared" si="260"/>
        <v>178735.1581804583</v>
      </c>
      <c r="AA95" s="555">
        <f t="shared" si="260"/>
        <v>179887.29681024674</v>
      </c>
      <c r="AB95" s="555">
        <f t="shared" si="260"/>
        <v>178289.41449058376</v>
      </c>
      <c r="AC95" s="555">
        <f t="shared" si="260"/>
        <v>178315.9984486606</v>
      </c>
      <c r="AD95" s="555">
        <f t="shared" si="260"/>
        <v>216922.04803954001</v>
      </c>
      <c r="AE95" s="756">
        <f t="shared" si="260"/>
        <v>253423.95490724948</v>
      </c>
      <c r="AF95" s="555">
        <f t="shared" si="260"/>
        <v>272521.9841490598</v>
      </c>
      <c r="AG95" s="555">
        <f t="shared" si="260"/>
        <v>258514.35416379818</v>
      </c>
      <c r="AH95" s="555">
        <f t="shared" si="260"/>
        <v>249372.92409099531</v>
      </c>
      <c r="AI95" s="555">
        <f t="shared" si="260"/>
        <v>231882.88936452722</v>
      </c>
      <c r="AJ95" s="555">
        <f t="shared" si="260"/>
        <v>234229.44858244402</v>
      </c>
      <c r="AK95" s="555">
        <f t="shared" si="260"/>
        <v>232837.1991782058</v>
      </c>
      <c r="AL95" s="555">
        <f t="shared" si="260"/>
        <v>223114.8934719555</v>
      </c>
      <c r="AM95" s="555">
        <f t="shared" si="260"/>
        <v>218072.89191787568</v>
      </c>
      <c r="AN95" s="555">
        <f t="shared" si="260"/>
        <v>219245.40492376676</v>
      </c>
      <c r="AO95" s="555">
        <f t="shared" si="260"/>
        <v>212484.94751625182</v>
      </c>
      <c r="AP95" s="555">
        <f t="shared" si="260"/>
        <v>205769.69966566129</v>
      </c>
      <c r="AQ95" s="555">
        <f t="shared" si="260"/>
        <v>203879.75331980665</v>
      </c>
      <c r="AR95" s="555">
        <f t="shared" si="260"/>
        <v>204977.7245411686</v>
      </c>
      <c r="AS95" s="555">
        <f t="shared" si="260"/>
        <v>209169.14717730525</v>
      </c>
      <c r="AT95" s="555">
        <f t="shared" si="260"/>
        <v>209308.91749466251</v>
      </c>
      <c r="AU95" s="555">
        <f t="shared" si="260"/>
        <v>209257.08371318408</v>
      </c>
      <c r="AV95" s="555">
        <f t="shared" si="260"/>
        <v>211397.1263251706</v>
      </c>
      <c r="AW95" s="555">
        <f t="shared" si="260"/>
        <v>211599.86486762244</v>
      </c>
      <c r="AX95" s="555">
        <f t="shared" si="260"/>
        <v>211946.2631768685</v>
      </c>
      <c r="AY95" s="555">
        <f t="shared" si="260"/>
        <v>209654.11015159814</v>
      </c>
      <c r="AZ95" s="555">
        <f t="shared" si="260"/>
        <v>208143.74686590632</v>
      </c>
      <c r="BA95" s="555">
        <f t="shared" si="260"/>
        <v>205712.94940937738</v>
      </c>
      <c r="BB95" s="555">
        <f t="shared" si="260"/>
        <v>204122.09914296886</v>
      </c>
      <c r="BC95" s="555">
        <f t="shared" si="260"/>
        <v>202674.63707305738</v>
      </c>
      <c r="BD95" s="555">
        <f t="shared" si="260"/>
        <v>203375.8672608425</v>
      </c>
      <c r="BE95" s="555">
        <f t="shared" si="260"/>
        <v>200227.64755326582</v>
      </c>
      <c r="BF95" s="555">
        <f t="shared" ref="BF95:BO95" si="261">BF86</f>
        <v>194682.90145703091</v>
      </c>
      <c r="BG95" s="555">
        <f t="shared" si="261"/>
        <v>194502.6732926679</v>
      </c>
      <c r="BH95" s="555">
        <f t="shared" si="261"/>
        <v>194285.91448843095</v>
      </c>
      <c r="BI95" s="555">
        <f t="shared" si="261"/>
        <v>194142.79518374268</v>
      </c>
      <c r="BJ95" s="555">
        <f t="shared" si="261"/>
        <v>192450.21646594288</v>
      </c>
      <c r="BK95" s="555">
        <f t="shared" si="261"/>
        <v>190420.01385964869</v>
      </c>
      <c r="BL95" s="555">
        <f t="shared" si="261"/>
        <v>187406.01370643554</v>
      </c>
      <c r="BM95" s="555">
        <f t="shared" si="261"/>
        <v>186330.03181303898</v>
      </c>
      <c r="BN95" s="555">
        <f t="shared" si="261"/>
        <v>183222.00237901026</v>
      </c>
      <c r="BO95" s="555">
        <f t="shared" si="261"/>
        <v>181206.64900775746</v>
      </c>
      <c r="BP95" s="555"/>
      <c r="BQ95" s="555"/>
      <c r="BR95" s="555"/>
      <c r="BS95" s="487"/>
      <c r="BT95" s="487"/>
      <c r="BU95" s="487"/>
      <c r="BV95" s="487"/>
      <c r="BW95" s="487"/>
      <c r="BX95" s="487"/>
      <c r="BY95" s="487"/>
      <c r="BZ95" s="487"/>
      <c r="CA95" s="487"/>
      <c r="CB95" s="487"/>
      <c r="CC95" s="487"/>
      <c r="CD95" s="487"/>
      <c r="CE95" s="487"/>
      <c r="CF95" s="487"/>
      <c r="CG95" s="487"/>
      <c r="CH95" s="487"/>
      <c r="CI95" s="487"/>
      <c r="CJ95" s="487"/>
      <c r="CK95" s="487"/>
      <c r="CL95" s="487"/>
      <c r="CM95" s="487"/>
      <c r="CN95" s="487"/>
      <c r="CO95" s="487"/>
      <c r="CP95" s="487"/>
      <c r="CQ95" s="487"/>
      <c r="CR95" s="487"/>
      <c r="CS95" s="487"/>
    </row>
    <row r="96" spans="1:106">
      <c r="A96" s="325" t="s">
        <v>539</v>
      </c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649">
        <f>V94-V95</f>
        <v>-1357.6487211827189</v>
      </c>
      <c r="W96" s="649"/>
      <c r="X96" s="650"/>
      <c r="Y96" s="555"/>
      <c r="Z96" s="555"/>
      <c r="AA96" s="555"/>
      <c r="AB96" s="555"/>
      <c r="AC96" s="555"/>
      <c r="AD96" s="555"/>
      <c r="AE96" s="756"/>
      <c r="AF96" s="555"/>
      <c r="AG96" s="555"/>
      <c r="AH96" s="555"/>
      <c r="AI96" s="555"/>
      <c r="AJ96" s="555"/>
      <c r="AK96" s="555"/>
      <c r="AL96" s="555"/>
      <c r="AM96" s="555"/>
      <c r="AN96" s="555"/>
      <c r="AO96" s="555"/>
      <c r="AP96" s="555"/>
      <c r="AQ96" s="555"/>
      <c r="AR96" s="555"/>
      <c r="AS96" s="555"/>
      <c r="AT96" s="555"/>
      <c r="AU96" s="555"/>
      <c r="AV96" s="555"/>
      <c r="AW96" s="555"/>
      <c r="AX96" s="555"/>
      <c r="AY96" s="555"/>
      <c r="AZ96" s="555"/>
      <c r="BA96" s="555"/>
      <c r="BB96" s="555"/>
      <c r="BC96" s="555"/>
      <c r="BD96" s="555"/>
      <c r="BE96" s="555"/>
      <c r="BF96" s="555"/>
      <c r="BG96" s="555"/>
      <c r="BH96" s="555"/>
      <c r="BI96" s="555"/>
      <c r="BJ96" s="555"/>
      <c r="BK96" s="555"/>
      <c r="BL96" s="555"/>
      <c r="BM96" s="555"/>
      <c r="BN96" s="555"/>
      <c r="BO96" s="555"/>
      <c r="BP96" s="555"/>
      <c r="BQ96" s="555"/>
      <c r="BR96" s="555"/>
      <c r="BS96" s="544"/>
      <c r="BT96" s="544"/>
      <c r="BU96" s="544"/>
      <c r="BV96" s="544"/>
      <c r="BW96" s="544"/>
      <c r="BX96" s="544"/>
      <c r="BY96" s="544"/>
      <c r="BZ96" s="544"/>
      <c r="CA96" s="544"/>
      <c r="CB96" s="544"/>
      <c r="CC96" s="544"/>
      <c r="CD96" s="544"/>
      <c r="CE96" s="544"/>
      <c r="CF96" s="544"/>
      <c r="CG96" s="544"/>
      <c r="CH96" s="544"/>
      <c r="CI96" s="544"/>
      <c r="CJ96" s="544"/>
      <c r="CK96" s="544"/>
      <c r="CL96" s="544"/>
      <c r="CM96" s="544"/>
      <c r="CN96" s="544"/>
      <c r="CO96" s="544"/>
      <c r="CP96" s="544"/>
      <c r="CQ96" s="544"/>
      <c r="CR96" s="544"/>
      <c r="CS96" s="544"/>
    </row>
    <row r="97" spans="1:97">
      <c r="C97" s="544"/>
      <c r="D97" s="544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73"/>
      <c r="W97" s="573"/>
      <c r="X97" s="574"/>
      <c r="Y97" s="554"/>
      <c r="Z97" s="554"/>
      <c r="AA97" s="544"/>
      <c r="AB97" s="544"/>
      <c r="AC97" s="544"/>
      <c r="AD97" s="544"/>
      <c r="AE97" s="744"/>
      <c r="AF97" s="544"/>
      <c r="AG97" s="544"/>
      <c r="AH97" s="544"/>
      <c r="AI97" s="544"/>
      <c r="AJ97" s="544"/>
      <c r="AK97" s="544"/>
      <c r="AL97" s="544"/>
      <c r="AM97" s="544"/>
      <c r="AN97" s="544"/>
      <c r="AO97" s="544"/>
      <c r="AP97" s="544"/>
      <c r="AQ97" s="544"/>
      <c r="AR97" s="544"/>
      <c r="AS97" s="544"/>
      <c r="AT97" s="544"/>
      <c r="AU97" s="544"/>
      <c r="AV97" s="544"/>
      <c r="AW97" s="544"/>
      <c r="AX97" s="544"/>
      <c r="AY97" s="544"/>
      <c r="AZ97" s="544"/>
      <c r="BA97" s="544"/>
      <c r="BB97" s="544"/>
      <c r="BC97" s="544"/>
      <c r="BD97" s="544"/>
      <c r="BE97" s="544"/>
      <c r="BF97" s="544"/>
      <c r="BG97" s="544"/>
      <c r="BH97" s="544"/>
      <c r="BI97" s="544"/>
      <c r="BJ97" s="544"/>
      <c r="BK97" s="544"/>
      <c r="BL97" s="544"/>
      <c r="BM97" s="544"/>
      <c r="BN97" s="544"/>
      <c r="BO97" s="544"/>
      <c r="BP97" s="544"/>
      <c r="BQ97" s="544"/>
      <c r="BR97" s="544"/>
      <c r="BS97" s="544"/>
      <c r="BT97" s="544"/>
      <c r="BU97" s="544"/>
      <c r="BV97" s="544"/>
      <c r="BW97" s="544"/>
      <c r="BX97" s="544"/>
      <c r="BY97" s="544"/>
      <c r="BZ97" s="544"/>
      <c r="CA97" s="544"/>
      <c r="CB97" s="544"/>
      <c r="CC97" s="544"/>
      <c r="CD97" s="544"/>
      <c r="CE97" s="544"/>
      <c r="CF97" s="544"/>
      <c r="CG97" s="544"/>
      <c r="CH97" s="544"/>
      <c r="CI97" s="544"/>
      <c r="CJ97" s="544"/>
      <c r="CK97" s="544"/>
      <c r="CL97" s="544"/>
      <c r="CM97" s="544"/>
      <c r="CN97" s="544"/>
      <c r="CO97" s="544"/>
      <c r="CP97" s="544"/>
      <c r="CQ97" s="544"/>
      <c r="CR97" s="544"/>
      <c r="CS97" s="544"/>
    </row>
    <row r="98" spans="1:97" s="575" customFormat="1" ht="13.5" outlineLevel="1" thickBot="1">
      <c r="D98" s="576"/>
      <c r="E98" s="576"/>
      <c r="F98" s="576"/>
      <c r="G98" s="576"/>
      <c r="H98" s="576"/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576"/>
      <c r="T98" s="576"/>
      <c r="U98" s="576"/>
      <c r="V98" s="576"/>
      <c r="W98" s="576"/>
      <c r="X98" s="576"/>
      <c r="Y98" s="576"/>
      <c r="Z98" s="576"/>
      <c r="AA98" s="576"/>
      <c r="AB98" s="576"/>
      <c r="AC98" s="576"/>
      <c r="AD98" s="576"/>
      <c r="AE98" s="757"/>
      <c r="AF98" s="576"/>
      <c r="AG98" s="576"/>
      <c r="AH98" s="576"/>
      <c r="AI98" s="576"/>
      <c r="AJ98" s="576"/>
      <c r="AK98" s="576"/>
      <c r="AL98" s="577"/>
      <c r="AM98" s="577"/>
      <c r="AN98" s="577"/>
      <c r="AO98" s="577"/>
      <c r="AP98" s="577"/>
      <c r="AQ98" s="577"/>
      <c r="AR98" s="577"/>
      <c r="AS98" s="577"/>
      <c r="AT98" s="577"/>
      <c r="AU98" s="577"/>
      <c r="AV98" s="577"/>
      <c r="AW98" s="577"/>
      <c r="AX98" s="577"/>
      <c r="AY98" s="577"/>
      <c r="AZ98" s="577"/>
      <c r="BA98" s="577"/>
      <c r="BB98" s="577"/>
      <c r="BC98" s="577"/>
      <c r="BD98" s="577"/>
      <c r="BE98" s="577"/>
    </row>
    <row r="99" spans="1:97" ht="13.5" outlineLevel="1" thickTop="1">
      <c r="D99" s="544"/>
      <c r="E99" s="544"/>
      <c r="F99" s="544"/>
      <c r="G99" s="544"/>
      <c r="H99" s="544"/>
      <c r="I99" s="544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54"/>
      <c r="Z99" s="544"/>
      <c r="AA99" s="544"/>
      <c r="AB99" s="544"/>
      <c r="AC99" s="544"/>
      <c r="AD99" s="544"/>
      <c r="AE99" s="744"/>
      <c r="AF99" s="544"/>
      <c r="AG99" s="544"/>
      <c r="AH99" s="544"/>
      <c r="AI99" s="544"/>
      <c r="AJ99" s="544"/>
      <c r="AK99" s="544"/>
      <c r="AL99" s="487"/>
      <c r="AM99" s="487"/>
      <c r="AN99" s="487"/>
      <c r="AO99" s="487"/>
      <c r="AP99" s="487"/>
      <c r="AQ99" s="487"/>
      <c r="AR99" s="487"/>
      <c r="AS99" s="487"/>
      <c r="AT99" s="487"/>
      <c r="AU99" s="487"/>
      <c r="AV99" s="487"/>
      <c r="AW99" s="487"/>
      <c r="AX99" s="487"/>
      <c r="AY99" s="487"/>
      <c r="AZ99" s="487"/>
      <c r="BA99" s="487"/>
      <c r="BB99" s="487"/>
      <c r="BC99" s="487"/>
      <c r="BD99" s="487"/>
      <c r="BE99" s="487"/>
    </row>
    <row r="100" spans="1:97" outlineLevel="1">
      <c r="A100" s="489" t="s">
        <v>509</v>
      </c>
      <c r="D100" s="544"/>
      <c r="E100" s="544"/>
      <c r="F100" s="544"/>
      <c r="G100" s="544"/>
      <c r="H100" s="544"/>
      <c r="I100" s="544"/>
      <c r="J100" s="544"/>
      <c r="K100" s="544"/>
      <c r="L100" s="536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  <c r="AA100" s="544"/>
      <c r="AB100" s="544"/>
      <c r="AC100" s="544"/>
      <c r="AD100" s="544"/>
      <c r="AE100" s="744"/>
      <c r="AF100" s="544"/>
      <c r="AG100" s="544"/>
      <c r="AH100" s="544"/>
      <c r="AI100" s="544"/>
      <c r="AJ100" s="544"/>
      <c r="AK100" s="544"/>
    </row>
    <row r="101" spans="1:97">
      <c r="A101" s="324"/>
      <c r="D101" s="544"/>
      <c r="E101" s="544"/>
      <c r="F101" s="544"/>
      <c r="G101" s="544"/>
      <c r="H101" s="544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54"/>
      <c r="Z101" s="544"/>
      <c r="AB101" s="544"/>
      <c r="AC101" s="544"/>
      <c r="AD101" s="544"/>
      <c r="AE101" s="744"/>
      <c r="AF101" s="544"/>
      <c r="AG101" s="544"/>
      <c r="AH101" s="544"/>
      <c r="AI101" s="544"/>
      <c r="AJ101" s="544"/>
      <c r="AK101" s="544"/>
    </row>
    <row r="102" spans="1:97">
      <c r="A102" s="324" t="s">
        <v>487</v>
      </c>
      <c r="I102" s="487"/>
      <c r="J102" s="487"/>
      <c r="K102" s="487"/>
      <c r="L102" s="487"/>
      <c r="M102" s="487"/>
      <c r="N102" s="487"/>
      <c r="S102" s="325" t="s">
        <v>232</v>
      </c>
      <c r="Y102" s="544"/>
    </row>
    <row r="103" spans="1:97">
      <c r="A103" s="578" t="s">
        <v>505</v>
      </c>
      <c r="B103" s="578" t="s">
        <v>687</v>
      </c>
      <c r="AD103" s="776"/>
      <c r="AE103" s="758"/>
      <c r="AG103" s="579"/>
    </row>
    <row r="104" spans="1:97">
      <c r="A104" s="580"/>
      <c r="B104" s="581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  <c r="AD104" s="324"/>
      <c r="AE104" s="759"/>
      <c r="AF104" s="324"/>
      <c r="AG104" s="324"/>
      <c r="AH104" s="324"/>
      <c r="AI104" s="324"/>
      <c r="AJ104" s="324"/>
      <c r="AK104" s="324"/>
      <c r="AL104" s="324"/>
      <c r="AM104" s="324"/>
      <c r="AN104" s="324"/>
      <c r="AO104" s="324"/>
      <c r="AP104" s="324"/>
      <c r="AQ104" s="324"/>
      <c r="AR104" s="324"/>
      <c r="AS104" s="324"/>
      <c r="AT104" s="324"/>
      <c r="AU104" s="324"/>
      <c r="AV104" s="324"/>
      <c r="AW104" s="324"/>
      <c r="AX104" s="324"/>
      <c r="AY104" s="324"/>
      <c r="AZ104" s="324"/>
      <c r="BA104" s="324"/>
      <c r="BB104" s="324"/>
      <c r="BC104" s="324"/>
      <c r="BD104" s="324"/>
      <c r="BE104" s="324"/>
      <c r="BF104" s="324"/>
      <c r="BG104" s="324"/>
      <c r="BH104" s="324"/>
      <c r="BI104" s="324"/>
      <c r="BJ104" s="324"/>
      <c r="BK104" s="324"/>
      <c r="BL104" s="324"/>
      <c r="BM104" s="324"/>
      <c r="BN104" s="324"/>
      <c r="BO104" s="324"/>
    </row>
    <row r="105" spans="1:97">
      <c r="A105" s="582" t="s">
        <v>508</v>
      </c>
      <c r="B105" s="581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/>
      <c r="AE105" s="759"/>
      <c r="AF105" s="324"/>
      <c r="AG105" s="324"/>
      <c r="AH105" s="324"/>
      <c r="AI105" s="324"/>
      <c r="AJ105" s="324"/>
      <c r="AK105" s="324"/>
      <c r="AL105" s="324"/>
      <c r="AM105" s="324"/>
      <c r="AN105" s="324"/>
      <c r="AO105" s="324"/>
      <c r="AP105" s="324"/>
      <c r="AQ105" s="324"/>
      <c r="AR105" s="324"/>
      <c r="AS105" s="324"/>
      <c r="AT105" s="324"/>
      <c r="AU105" s="324"/>
      <c r="AV105" s="324"/>
      <c r="AW105" s="324"/>
      <c r="AX105" s="324"/>
      <c r="AY105" s="324"/>
      <c r="AZ105" s="324"/>
      <c r="BA105" s="324"/>
      <c r="BB105" s="324"/>
      <c r="BC105" s="324"/>
      <c r="BD105" s="324"/>
      <c r="BE105" s="324"/>
      <c r="BF105" s="324"/>
      <c r="BG105" s="324"/>
      <c r="BH105" s="324"/>
      <c r="BI105" s="324"/>
      <c r="BJ105" s="324"/>
      <c r="BK105" s="324"/>
      <c r="BL105" s="324"/>
      <c r="BM105" s="324"/>
      <c r="BN105" s="324"/>
      <c r="BO105" s="324"/>
    </row>
    <row r="106" spans="1:97">
      <c r="A106" s="325" t="s">
        <v>521</v>
      </c>
      <c r="B106" s="325" t="s">
        <v>336</v>
      </c>
      <c r="C106" s="583">
        <f>[2]!FAMEData(""&amp;B103&amp;"'jk1066", "1996", "2024", 0,"Annual", "Across", "No Heading", "Normal")</f>
        <v>4187.2850694444442</v>
      </c>
      <c r="D106" s="583">
        <v>1734.4463270019533</v>
      </c>
      <c r="E106" s="583">
        <v>2459.2071031250002</v>
      </c>
      <c r="F106" s="583">
        <v>5638.572265625</v>
      </c>
      <c r="G106" s="583">
        <v>2173.6285703125</v>
      </c>
      <c r="H106" s="583">
        <v>377.80903244018555</v>
      </c>
      <c r="I106" s="583">
        <v>4378.8306318359373</v>
      </c>
      <c r="J106" s="583">
        <v>16371.13850390625</v>
      </c>
      <c r="K106" s="583">
        <v>17742.426853515626</v>
      </c>
      <c r="L106" s="583">
        <v>17400.819386718751</v>
      </c>
      <c r="M106" s="583">
        <v>13850.123679687498</v>
      </c>
      <c r="N106" s="583">
        <v>8892.3440371093748</v>
      </c>
      <c r="O106" s="583">
        <v>3638.5188955078124</v>
      </c>
      <c r="P106" s="583">
        <v>4322.0162437500003</v>
      </c>
      <c r="Q106" s="583">
        <v>5003.5707148437505</v>
      </c>
      <c r="R106" s="583">
        <v>3724.4747434570313</v>
      </c>
      <c r="S106" s="583">
        <v>2607.2838999999999</v>
      </c>
      <c r="T106" s="583">
        <v>3118.7743</v>
      </c>
      <c r="U106" s="583">
        <v>5068.5420156250002</v>
      </c>
      <c r="V106" s="583">
        <v>6890.9691162109375</v>
      </c>
      <c r="W106" s="583">
        <v>5218.0791132812501</v>
      </c>
      <c r="X106" s="583">
        <v>2769.2837397460939</v>
      </c>
      <c r="Y106" s="584">
        <v>789.41672729492188</v>
      </c>
      <c r="Z106" s="584">
        <v>530.7515881884766</v>
      </c>
      <c r="AA106" s="584">
        <v>456.96999734863277</v>
      </c>
      <c r="AB106" s="584">
        <v>1482.2528755371095</v>
      </c>
      <c r="AC106" s="780">
        <v>1309.9999812316894</v>
      </c>
      <c r="AD106" s="780">
        <v>584.49258674072257</v>
      </c>
      <c r="AE106" s="781">
        <v>1160.3144790039064</v>
      </c>
      <c r="AF106" s="584"/>
      <c r="AG106" s="584"/>
      <c r="AH106" s="584"/>
      <c r="AI106" s="584"/>
      <c r="AJ106" s="584"/>
      <c r="AK106" s="584"/>
      <c r="AL106" s="584"/>
      <c r="AM106" s="584"/>
      <c r="AN106" s="584"/>
      <c r="AO106" s="584"/>
      <c r="AP106" s="584"/>
      <c r="AQ106" s="584"/>
      <c r="AR106" s="584"/>
      <c r="AS106" s="584"/>
      <c r="AT106" s="584"/>
      <c r="AU106" s="584"/>
      <c r="AV106" s="584"/>
      <c r="AW106" s="584"/>
      <c r="AX106" s="584"/>
      <c r="AY106" s="584"/>
      <c r="AZ106" s="584"/>
      <c r="BA106" s="584"/>
      <c r="BB106" s="584"/>
      <c r="BC106" s="584"/>
      <c r="BD106" s="584"/>
      <c r="BE106" s="584"/>
      <c r="BF106" s="584"/>
      <c r="BG106" s="584"/>
      <c r="BH106" s="584"/>
      <c r="BI106" s="584"/>
      <c r="BJ106" s="584"/>
      <c r="BK106" s="584"/>
      <c r="BL106" s="584"/>
      <c r="BM106" s="584"/>
      <c r="BN106" s="584"/>
      <c r="BO106" s="584"/>
    </row>
    <row r="107" spans="1:97">
      <c r="A107" s="325" t="s">
        <v>520</v>
      </c>
      <c r="B107" s="325" t="s">
        <v>331</v>
      </c>
      <c r="C107" s="583">
        <f>[2]!FAMEData(""&amp;B103&amp;"'jk2166", "1996", "2024", 0,"Annual", "Across", "No Heading", "Normal")</f>
        <v>12300.220046296296</v>
      </c>
      <c r="D107" s="583">
        <v>15418.248269795793</v>
      </c>
      <c r="E107" s="583">
        <v>14839.722586906493</v>
      </c>
      <c r="F107" s="583">
        <v>7959.0607954577317</v>
      </c>
      <c r="G107" s="583">
        <v>1200.7225730185853</v>
      </c>
      <c r="H107" s="583">
        <v>3344.0085076792652</v>
      </c>
      <c r="I107" s="583">
        <v>1293.7743985813731</v>
      </c>
      <c r="J107" s="583">
        <v>5166.7600457705757</v>
      </c>
      <c r="K107" s="583">
        <v>9433.9226368371383</v>
      </c>
      <c r="L107" s="583">
        <v>14705.67711428077</v>
      </c>
      <c r="M107" s="583">
        <v>7423.1422882612096</v>
      </c>
      <c r="N107" s="583">
        <v>4715.7145391335744</v>
      </c>
      <c r="O107" s="583">
        <v>2143.800546492067</v>
      </c>
      <c r="P107" s="583">
        <v>549.30713657590434</v>
      </c>
      <c r="Q107" s="583">
        <v>564.92121655151038</v>
      </c>
      <c r="R107" s="583">
        <v>501.89950047474122</v>
      </c>
      <c r="S107" s="583">
        <v>320.0940288988312</v>
      </c>
      <c r="T107" s="583">
        <v>3056.2100291055508</v>
      </c>
      <c r="U107" s="583">
        <v>4075.1279383923229</v>
      </c>
      <c r="V107" s="583">
        <v>3884.3305144979181</v>
      </c>
      <c r="W107" s="583">
        <v>1124.677980157312</v>
      </c>
      <c r="X107" s="583">
        <v>2306.2542551165384</v>
      </c>
      <c r="Y107" s="584">
        <v>2359.468678656825</v>
      </c>
      <c r="Z107" s="584">
        <v>758.18853164460984</v>
      </c>
      <c r="AA107" s="584">
        <v>527.15220888076783</v>
      </c>
      <c r="AB107" s="584">
        <v>827.66551465711063</v>
      </c>
      <c r="AC107" s="780">
        <v>952.99993611168668</v>
      </c>
      <c r="AD107" s="780">
        <v>2281.0135429457268</v>
      </c>
      <c r="AE107" s="781">
        <v>3117.8146580819866</v>
      </c>
      <c r="AF107" s="584"/>
      <c r="AG107" s="584"/>
      <c r="AH107" s="584"/>
      <c r="AI107" s="584"/>
      <c r="AJ107" s="584"/>
      <c r="AK107" s="584"/>
      <c r="AL107" s="584"/>
      <c r="AM107" s="584"/>
      <c r="AN107" s="584"/>
      <c r="AO107" s="584"/>
      <c r="AP107" s="584"/>
      <c r="AQ107" s="584"/>
      <c r="AR107" s="584"/>
      <c r="AS107" s="584"/>
      <c r="AT107" s="584"/>
      <c r="AU107" s="584"/>
      <c r="AV107" s="584"/>
      <c r="AW107" s="584"/>
      <c r="AX107" s="584"/>
      <c r="AY107" s="584"/>
      <c r="AZ107" s="584"/>
      <c r="BA107" s="584"/>
      <c r="BB107" s="584"/>
      <c r="BC107" s="584"/>
      <c r="BD107" s="584"/>
      <c r="BE107" s="584"/>
      <c r="BF107" s="584"/>
      <c r="BG107" s="584"/>
      <c r="BH107" s="584"/>
      <c r="BI107" s="584"/>
      <c r="BJ107" s="584"/>
      <c r="BK107" s="584"/>
      <c r="BL107" s="584"/>
      <c r="BM107" s="584"/>
      <c r="BN107" s="584"/>
      <c r="BO107" s="584"/>
    </row>
    <row r="108" spans="1:97">
      <c r="A108" s="325" t="s">
        <v>519</v>
      </c>
      <c r="B108" s="325" t="s">
        <v>332</v>
      </c>
      <c r="C108" s="583">
        <f>[2]!FAMEData(""&amp;B103&amp;"'jk2266", "1996", "2024", 0,"Annual", "Across", "No Heading", "Normal")</f>
        <v>20722.593263888888</v>
      </c>
      <c r="D108" s="583">
        <v>25323.680391300815</v>
      </c>
      <c r="E108" s="583">
        <v>34117.338094665829</v>
      </c>
      <c r="F108" s="583">
        <v>35529.397727117037</v>
      </c>
      <c r="G108" s="583">
        <v>39374.525220903015</v>
      </c>
      <c r="H108" s="583">
        <v>41945.236748169569</v>
      </c>
      <c r="I108" s="583">
        <v>32966.652856652283</v>
      </c>
      <c r="J108" s="583">
        <v>36816.01706848199</v>
      </c>
      <c r="K108" s="583">
        <v>35389.22217661787</v>
      </c>
      <c r="L108" s="583">
        <v>45758.606966761778</v>
      </c>
      <c r="M108" s="583">
        <v>43310.572175463101</v>
      </c>
      <c r="N108" s="583">
        <v>46671.887294332293</v>
      </c>
      <c r="O108" s="583">
        <v>47268.416984995682</v>
      </c>
      <c r="P108" s="583">
        <v>49217.837202146562</v>
      </c>
      <c r="Q108" s="583">
        <v>51059.929748350041</v>
      </c>
      <c r="R108" s="583">
        <v>53132.213455169098</v>
      </c>
      <c r="S108" s="583">
        <v>61594.878748907853</v>
      </c>
      <c r="T108" s="583">
        <v>74771.510736422846</v>
      </c>
      <c r="U108" s="583">
        <v>68820.341830589954</v>
      </c>
      <c r="V108" s="583">
        <v>67102.229142853481</v>
      </c>
      <c r="W108" s="583">
        <v>60777.106026571142</v>
      </c>
      <c r="X108" s="583">
        <v>59580.485900742133</v>
      </c>
      <c r="Y108" s="584">
        <v>55951.5039928267</v>
      </c>
      <c r="Z108" s="584">
        <v>64428.424489734549</v>
      </c>
      <c r="AA108" s="584">
        <v>75571.711274935922</v>
      </c>
      <c r="AB108" s="584">
        <v>72748.100734554493</v>
      </c>
      <c r="AC108" s="780">
        <v>62929.998702198704</v>
      </c>
      <c r="AD108" s="780">
        <v>68622.589776898982</v>
      </c>
      <c r="AE108" s="781">
        <v>62105.397321168537</v>
      </c>
      <c r="AF108" s="584"/>
      <c r="AG108" s="584"/>
      <c r="AH108" s="584"/>
      <c r="AI108" s="584"/>
      <c r="AJ108" s="584"/>
      <c r="AK108" s="584"/>
      <c r="AL108" s="584"/>
      <c r="AM108" s="584"/>
      <c r="AN108" s="584"/>
      <c r="AO108" s="584"/>
      <c r="AP108" s="584"/>
      <c r="AQ108" s="584"/>
      <c r="AR108" s="584"/>
      <c r="AS108" s="584"/>
      <c r="AT108" s="584"/>
      <c r="AU108" s="584"/>
      <c r="AV108" s="584"/>
      <c r="AW108" s="584"/>
      <c r="AX108" s="584"/>
      <c r="AY108" s="584"/>
      <c r="AZ108" s="584"/>
      <c r="BA108" s="584"/>
      <c r="BB108" s="584"/>
      <c r="BC108" s="584"/>
      <c r="BD108" s="584"/>
      <c r="BE108" s="584"/>
      <c r="BF108" s="584"/>
      <c r="BG108" s="584"/>
      <c r="BH108" s="584"/>
      <c r="BI108" s="584"/>
      <c r="BJ108" s="584"/>
      <c r="BK108" s="584"/>
      <c r="BL108" s="584"/>
      <c r="BM108" s="584"/>
      <c r="BN108" s="584"/>
      <c r="BO108" s="584"/>
    </row>
    <row r="109" spans="1:97">
      <c r="A109" s="325" t="s">
        <v>518</v>
      </c>
      <c r="B109" s="325" t="s">
        <v>333</v>
      </c>
      <c r="C109" s="583">
        <f>[2]!FAMEData(""&amp;B103&amp;"'jk2366", "1996", "2024", 0,"Annual", "Across", "No Heading", "Normal")</f>
        <v>10995.10988425926</v>
      </c>
      <c r="D109" s="583">
        <v>16022.063267667869</v>
      </c>
      <c r="E109" s="583">
        <v>13622.712205888341</v>
      </c>
      <c r="F109" s="583">
        <v>7632.3167457874333</v>
      </c>
      <c r="G109" s="583">
        <v>8721.5647871398323</v>
      </c>
      <c r="H109" s="583">
        <v>10503.9805706565</v>
      </c>
      <c r="I109" s="583">
        <v>5997.15540544945</v>
      </c>
      <c r="J109" s="583">
        <v>6796.1832132777463</v>
      </c>
      <c r="K109" s="583">
        <v>6190.743567568702</v>
      </c>
      <c r="L109" s="583">
        <v>11404.458746860762</v>
      </c>
      <c r="M109" s="583">
        <v>17257.481533689526</v>
      </c>
      <c r="N109" s="583">
        <v>25268.25988443067</v>
      </c>
      <c r="O109" s="583">
        <v>33001.990632778041</v>
      </c>
      <c r="P109" s="583">
        <v>34133.628661046925</v>
      </c>
      <c r="Q109" s="583">
        <v>31368.756975416618</v>
      </c>
      <c r="R109" s="583">
        <v>32579.090415329294</v>
      </c>
      <c r="S109" s="583">
        <v>32143.275494643181</v>
      </c>
      <c r="T109" s="583">
        <v>38296.740645598955</v>
      </c>
      <c r="U109" s="583">
        <v>37597.90030471186</v>
      </c>
      <c r="V109" s="583">
        <v>31414.818539427593</v>
      </c>
      <c r="W109" s="583">
        <v>21977.442801037698</v>
      </c>
      <c r="X109" s="583">
        <v>22786.392842559981</v>
      </c>
      <c r="Y109" s="584">
        <v>26948.557442574165</v>
      </c>
      <c r="Z109" s="584">
        <v>28906.101976755032</v>
      </c>
      <c r="AA109" s="584">
        <v>20607.041895325114</v>
      </c>
      <c r="AB109" s="584">
        <v>26987.138948302993</v>
      </c>
      <c r="AC109" s="780">
        <v>27014.999896869394</v>
      </c>
      <c r="AD109" s="780">
        <v>19960.879418892022</v>
      </c>
      <c r="AE109" s="781">
        <v>25158.236510936651</v>
      </c>
      <c r="AF109" s="584"/>
      <c r="AG109" s="584"/>
      <c r="AH109" s="584"/>
      <c r="AI109" s="584"/>
      <c r="AJ109" s="584"/>
      <c r="AK109" s="584"/>
      <c r="AL109" s="584"/>
      <c r="AM109" s="584"/>
      <c r="AN109" s="584"/>
      <c r="AO109" s="584"/>
      <c r="AP109" s="584"/>
      <c r="AQ109" s="584"/>
      <c r="AR109" s="584"/>
      <c r="AS109" s="584"/>
      <c r="AT109" s="584"/>
      <c r="AU109" s="584"/>
      <c r="AV109" s="584"/>
      <c r="AW109" s="584"/>
      <c r="AX109" s="584"/>
      <c r="AY109" s="584"/>
      <c r="AZ109" s="584"/>
      <c r="BA109" s="584"/>
      <c r="BB109" s="584"/>
      <c r="BC109" s="584"/>
      <c r="BD109" s="584"/>
      <c r="BE109" s="584"/>
      <c r="BF109" s="584"/>
      <c r="BG109" s="584"/>
      <c r="BH109" s="584"/>
      <c r="BI109" s="584"/>
      <c r="BJ109" s="584"/>
      <c r="BK109" s="584"/>
      <c r="BL109" s="584"/>
      <c r="BM109" s="584"/>
      <c r="BN109" s="584"/>
      <c r="BO109" s="584"/>
    </row>
    <row r="110" spans="1:97">
      <c r="A110" s="325" t="s">
        <v>517</v>
      </c>
      <c r="B110" s="325" t="s">
        <v>338</v>
      </c>
      <c r="C110" s="583">
        <f>[2]!FAMEData(""&amp;B103&amp;"'jk4066", "1996", "2024", 0,"Annual", "Across", "No Heading", "Normal")</f>
        <v>36.986817129629628</v>
      </c>
      <c r="D110" s="583">
        <v>31.207622528076168</v>
      </c>
      <c r="E110" s="583">
        <v>28.978507995605465</v>
      </c>
      <c r="F110" s="583">
        <v>-25.634834289550781</v>
      </c>
      <c r="G110" s="583">
        <v>8.9164638519287109</v>
      </c>
      <c r="H110" s="583">
        <v>17.832927703857422</v>
      </c>
      <c r="I110" s="583">
        <v>14.489253997802733</v>
      </c>
      <c r="J110" s="583">
        <v>7.8019061088562012</v>
      </c>
      <c r="K110" s="583">
        <v>7.8019061088562003</v>
      </c>
      <c r="L110" s="583">
        <v>13.003176689147949</v>
      </c>
      <c r="M110" s="583">
        <v>13.003175735473633</v>
      </c>
      <c r="N110" s="583">
        <v>12.190476417541504</v>
      </c>
      <c r="O110" s="583">
        <v>4.5714287757873526</v>
      </c>
      <c r="P110" s="583">
        <v>22.857143402099609</v>
      </c>
      <c r="Q110" s="583">
        <v>5</v>
      </c>
      <c r="R110" s="583">
        <v>5.7142858505249032</v>
      </c>
      <c r="S110" s="583">
        <v>4.2857141494750977</v>
      </c>
      <c r="T110" s="583">
        <v>1.4285714626312258</v>
      </c>
      <c r="U110" s="583">
        <v>2.1428570747375488</v>
      </c>
      <c r="V110" s="583">
        <v>0.71428573131561268</v>
      </c>
      <c r="W110" s="583">
        <v>-5.8207660913467407E-11</v>
      </c>
      <c r="X110" s="583">
        <v>2.9103830456733704E-10</v>
      </c>
      <c r="Y110" s="584">
        <v>1.4285714328289032</v>
      </c>
      <c r="Z110" s="584">
        <v>7.8571428060531616</v>
      </c>
      <c r="AA110" s="584">
        <v>11.428571224212646</v>
      </c>
      <c r="AB110" s="584">
        <v>17.142858505249023</v>
      </c>
      <c r="AC110" s="780">
        <v>47.999997138977051</v>
      </c>
      <c r="AD110" s="780">
        <v>232.53053665161133</v>
      </c>
      <c r="AE110" s="781">
        <v>7.7504394054412842</v>
      </c>
      <c r="AF110" s="584"/>
      <c r="AG110" s="584"/>
      <c r="AH110" s="584"/>
      <c r="AI110" s="584"/>
      <c r="AJ110" s="584"/>
      <c r="AK110" s="584"/>
      <c r="AL110" s="584"/>
      <c r="AM110" s="584"/>
      <c r="AN110" s="584"/>
      <c r="AO110" s="584"/>
      <c r="AP110" s="584"/>
      <c r="AQ110" s="584"/>
      <c r="AR110" s="584"/>
      <c r="AS110" s="584"/>
      <c r="AT110" s="584"/>
      <c r="AU110" s="584"/>
      <c r="AV110" s="584"/>
      <c r="AW110" s="584"/>
      <c r="AX110" s="584"/>
      <c r="AY110" s="584"/>
      <c r="AZ110" s="584"/>
      <c r="BA110" s="584"/>
      <c r="BB110" s="584"/>
      <c r="BC110" s="584"/>
      <c r="BD110" s="584"/>
      <c r="BE110" s="584"/>
      <c r="BF110" s="584"/>
      <c r="BG110" s="584"/>
      <c r="BH110" s="584"/>
      <c r="BI110" s="584"/>
      <c r="BJ110" s="584"/>
      <c r="BK110" s="584"/>
      <c r="BL110" s="584"/>
      <c r="BM110" s="584"/>
      <c r="BN110" s="584"/>
      <c r="BO110" s="584"/>
    </row>
    <row r="111" spans="1:97">
      <c r="A111" s="325" t="s">
        <v>516</v>
      </c>
      <c r="B111" s="325" t="s">
        <v>340</v>
      </c>
      <c r="C111" s="583">
        <f>[2]!FAMEData(""&amp;B103&amp;"'jk5066", "1996", "2024", 0,"Annual", "Across", "No Heading", "Normal")</f>
        <v>643.78186342592596</v>
      </c>
      <c r="D111" s="583">
        <v>1131.0643310546875</v>
      </c>
      <c r="E111" s="583">
        <v>2632.12744140625</v>
      </c>
      <c r="F111" s="583">
        <v>1589.2091064453125</v>
      </c>
      <c r="G111" s="583">
        <v>557.91381835937489</v>
      </c>
      <c r="H111" s="583">
        <v>880.76751708984375</v>
      </c>
      <c r="I111" s="583">
        <v>2568.65966796875</v>
      </c>
      <c r="J111" s="583">
        <v>4539.5224609375</v>
      </c>
      <c r="K111" s="583">
        <v>12226.702148437498</v>
      </c>
      <c r="L111" s="583">
        <v>13019.001953125</v>
      </c>
      <c r="M111" s="583">
        <v>16622.16796875</v>
      </c>
      <c r="N111" s="583">
        <v>9164.0439453125</v>
      </c>
      <c r="O111" s="583">
        <v>3756.5998535156255</v>
      </c>
      <c r="P111" s="583">
        <v>6312.3417968749991</v>
      </c>
      <c r="Q111" s="583">
        <v>5154.80517578125</v>
      </c>
      <c r="R111" s="583">
        <v>4131.5087890625</v>
      </c>
      <c r="S111" s="583">
        <v>3189.112548828125</v>
      </c>
      <c r="T111" s="583">
        <v>3584.8618164062505</v>
      </c>
      <c r="U111" s="583">
        <v>6029.0244140625</v>
      </c>
      <c r="V111" s="583">
        <v>6997.998046875</v>
      </c>
      <c r="W111" s="583">
        <v>5122.701171875</v>
      </c>
      <c r="X111" s="583">
        <v>3163.6046142578125</v>
      </c>
      <c r="Y111" s="584">
        <v>1513.986083984375</v>
      </c>
      <c r="Z111" s="584">
        <v>1767.2721252441406</v>
      </c>
      <c r="AA111" s="584">
        <v>1590.98828125</v>
      </c>
      <c r="AB111" s="584">
        <v>2793.7249145507813</v>
      </c>
      <c r="AC111" s="780">
        <v>2800.9999389648438</v>
      </c>
      <c r="AD111" s="780">
        <v>2745.1761474609375</v>
      </c>
      <c r="AE111" s="781">
        <v>2651.1243896484375</v>
      </c>
      <c r="AF111" s="584"/>
      <c r="AG111" s="584"/>
      <c r="AH111" s="584"/>
      <c r="AI111" s="584"/>
      <c r="AJ111" s="584"/>
      <c r="AK111" s="584"/>
      <c r="AL111" s="584"/>
      <c r="AM111" s="584"/>
      <c r="AN111" s="584"/>
      <c r="AO111" s="584"/>
      <c r="AP111" s="584"/>
      <c r="AQ111" s="584"/>
      <c r="AR111" s="584"/>
      <c r="AS111" s="584"/>
      <c r="AT111" s="584"/>
      <c r="AU111" s="584"/>
      <c r="AV111" s="584"/>
      <c r="AW111" s="584"/>
      <c r="AX111" s="584"/>
      <c r="AY111" s="584"/>
      <c r="AZ111" s="584"/>
      <c r="BA111" s="584"/>
      <c r="BB111" s="584"/>
      <c r="BC111" s="584"/>
      <c r="BD111" s="584"/>
      <c r="BE111" s="584"/>
      <c r="BF111" s="584"/>
      <c r="BG111" s="584"/>
      <c r="BH111" s="584"/>
      <c r="BI111" s="584"/>
      <c r="BJ111" s="584"/>
      <c r="BK111" s="584"/>
      <c r="BL111" s="584"/>
      <c r="BM111" s="584"/>
      <c r="BN111" s="584"/>
      <c r="BO111" s="584"/>
    </row>
    <row r="112" spans="1:97">
      <c r="A112" s="325" t="s">
        <v>515</v>
      </c>
      <c r="B112" s="325" t="s">
        <v>400</v>
      </c>
      <c r="C112" s="583">
        <f>[2]!FAMEData(""&amp;B103&amp;"'jk7266", "1996", "2024", 0,"Annual", "Across", "No Heading", "Normal")</f>
        <v>14658.743807870371</v>
      </c>
      <c r="D112" s="583">
        <v>18229.436235892397</v>
      </c>
      <c r="E112" s="583">
        <v>23051.504354821751</v>
      </c>
      <c r="F112" s="583">
        <v>20214.590786100562</v>
      </c>
      <c r="G112" s="583">
        <v>14291.267323103839</v>
      </c>
      <c r="H112" s="583">
        <v>11685.53698145757</v>
      </c>
      <c r="I112" s="583">
        <v>11091.472449903664</v>
      </c>
      <c r="J112" s="583">
        <v>12361.239700094322</v>
      </c>
      <c r="K112" s="583">
        <v>11231.06904839916</v>
      </c>
      <c r="L112" s="583">
        <v>11889.429189578819</v>
      </c>
      <c r="M112" s="583">
        <v>13930.994574995735</v>
      </c>
      <c r="N112" s="583">
        <v>17463.744609807745</v>
      </c>
      <c r="O112" s="583">
        <v>21795.491306484859</v>
      </c>
      <c r="P112" s="583">
        <v>22009.500052895346</v>
      </c>
      <c r="Q112" s="583">
        <v>17793.571863301022</v>
      </c>
      <c r="R112" s="583">
        <v>22895.931071246105</v>
      </c>
      <c r="S112" s="583">
        <v>29132.226535154277</v>
      </c>
      <c r="T112" s="583">
        <v>33699.164750473508</v>
      </c>
      <c r="U112" s="583">
        <v>33346.766592799868</v>
      </c>
      <c r="V112" s="583">
        <v>26891.044900472582</v>
      </c>
      <c r="W112" s="583">
        <v>23457.124169457293</v>
      </c>
      <c r="X112" s="583">
        <v>21324.50094589073</v>
      </c>
      <c r="Y112" s="584">
        <v>22666.680356511344</v>
      </c>
      <c r="Z112" s="584">
        <v>26925.92876358845</v>
      </c>
      <c r="AA112" s="584">
        <v>24515.353250789725</v>
      </c>
      <c r="AB112" s="584">
        <v>21974.398236006451</v>
      </c>
      <c r="AC112" s="780">
        <v>21552.447265400024</v>
      </c>
      <c r="AD112" s="780">
        <v>24794.372100909917</v>
      </c>
      <c r="AE112" s="781">
        <v>40490.018602565317</v>
      </c>
      <c r="AF112" s="584"/>
      <c r="AG112" s="584"/>
      <c r="AH112" s="584"/>
      <c r="AI112" s="584"/>
      <c r="AJ112" s="584"/>
      <c r="AK112" s="584"/>
      <c r="AL112" s="584"/>
      <c r="AM112" s="584"/>
      <c r="AN112" s="584"/>
      <c r="AO112" s="584"/>
      <c r="AP112" s="584"/>
      <c r="AQ112" s="584"/>
      <c r="AR112" s="584"/>
      <c r="AS112" s="584"/>
      <c r="AT112" s="584"/>
      <c r="AU112" s="584"/>
      <c r="AV112" s="584"/>
      <c r="AW112" s="584"/>
      <c r="AX112" s="584"/>
      <c r="AY112" s="584"/>
      <c r="AZ112" s="584"/>
      <c r="BA112" s="584"/>
      <c r="BB112" s="584"/>
      <c r="BC112" s="584"/>
      <c r="BD112" s="584"/>
      <c r="BE112" s="584"/>
      <c r="BF112" s="584"/>
      <c r="BG112" s="584"/>
      <c r="BH112" s="584"/>
      <c r="BI112" s="584"/>
      <c r="BJ112" s="584"/>
      <c r="BK112" s="584"/>
      <c r="BL112" s="584"/>
      <c r="BM112" s="584"/>
      <c r="BN112" s="584"/>
      <c r="BO112" s="584"/>
    </row>
    <row r="113" spans="1:67">
      <c r="A113" s="585" t="s">
        <v>566</v>
      </c>
      <c r="B113" s="586" t="s">
        <v>565</v>
      </c>
      <c r="C113" s="583">
        <f>[2]!FAMEData(""&amp;B103&amp;"'jk7166", "1996", "2024", 0,"Annual", "Across", "No Heading", "Normal")</f>
        <v>7317.7961226851849</v>
      </c>
      <c r="D113" s="583">
        <v>9111.3314776421266</v>
      </c>
      <c r="E113" s="583">
        <v>11583.03456403004</v>
      </c>
      <c r="F113" s="583">
        <v>10269.701872302685</v>
      </c>
      <c r="G113" s="583">
        <v>7110.8612629006639</v>
      </c>
      <c r="H113" s="583">
        <v>5935.9842710406137</v>
      </c>
      <c r="I113" s="583">
        <v>5871.741708181703</v>
      </c>
      <c r="J113" s="583">
        <v>6120.9833735823686</v>
      </c>
      <c r="K113" s="583">
        <v>5569.6908800040892</v>
      </c>
      <c r="L113" s="583">
        <v>5904.1051613612226</v>
      </c>
      <c r="M113" s="583">
        <v>6904.4830180429235</v>
      </c>
      <c r="N113" s="583">
        <v>8791.7888980130483</v>
      </c>
      <c r="O113" s="583">
        <v>11031.769916202931</v>
      </c>
      <c r="P113" s="583">
        <v>11358.019273466465</v>
      </c>
      <c r="Q113" s="583">
        <v>9143.3394009399708</v>
      </c>
      <c r="R113" s="583">
        <v>11898.960914886798</v>
      </c>
      <c r="S113" s="583">
        <v>15081.973125327097</v>
      </c>
      <c r="T113" s="583">
        <v>17394.127734172413</v>
      </c>
      <c r="U113" s="583">
        <v>17285.077860981106</v>
      </c>
      <c r="V113" s="583">
        <v>13956.160543181557</v>
      </c>
      <c r="W113" s="583">
        <v>11938.228837488487</v>
      </c>
      <c r="X113" s="583">
        <v>10520.477621889322</v>
      </c>
      <c r="Y113" s="584">
        <v>11118.374318865981</v>
      </c>
      <c r="Z113" s="584">
        <v>13137.70986365078</v>
      </c>
      <c r="AA113" s="584">
        <v>12091.292586028449</v>
      </c>
      <c r="AB113" s="584">
        <v>10715.374109128963</v>
      </c>
      <c r="AC113" s="780">
        <v>10551.301513381841</v>
      </c>
      <c r="AD113" s="780">
        <v>21569.461936824177</v>
      </c>
      <c r="AE113" s="781">
        <v>19616.278118133458</v>
      </c>
      <c r="AF113" s="584"/>
      <c r="AG113" s="584"/>
      <c r="AH113" s="584"/>
      <c r="AI113" s="584"/>
      <c r="AJ113" s="584"/>
      <c r="AK113" s="584"/>
      <c r="AL113" s="584"/>
      <c r="AM113" s="584"/>
      <c r="AN113" s="584"/>
      <c r="AO113" s="584"/>
      <c r="AP113" s="584"/>
      <c r="AQ113" s="584"/>
      <c r="AR113" s="584"/>
      <c r="AS113" s="584"/>
      <c r="AT113" s="584"/>
      <c r="AU113" s="584"/>
      <c r="AV113" s="584"/>
      <c r="AW113" s="584"/>
      <c r="AX113" s="584"/>
      <c r="AY113" s="584"/>
      <c r="AZ113" s="584"/>
      <c r="BA113" s="584"/>
      <c r="BB113" s="584"/>
      <c r="BC113" s="584"/>
      <c r="BD113" s="584"/>
      <c r="BE113" s="584"/>
      <c r="BF113" s="584"/>
      <c r="BG113" s="584"/>
      <c r="BH113" s="584"/>
      <c r="BI113" s="584"/>
      <c r="BJ113" s="584"/>
      <c r="BK113" s="584"/>
      <c r="BL113" s="584"/>
      <c r="BM113" s="584"/>
      <c r="BN113" s="584"/>
      <c r="BO113" s="584"/>
    </row>
    <row r="114" spans="1:67">
      <c r="A114" s="325" t="s">
        <v>514</v>
      </c>
      <c r="B114" s="325" t="s">
        <v>401</v>
      </c>
      <c r="C114" s="583">
        <f>[2]!FAMEData(""&amp;B103&amp;"'jk7666", "1996", "2024", 0,"Annual", "Across", "No Heading", "Normal")</f>
        <v>15278.243032407407</v>
      </c>
      <c r="D114" s="583">
        <v>18839.475550252053</v>
      </c>
      <c r="E114" s="583">
        <v>24104.347573954801</v>
      </c>
      <c r="F114" s="583">
        <v>21973.296040115198</v>
      </c>
      <c r="G114" s="583">
        <v>15285.884463809965</v>
      </c>
      <c r="H114" s="583">
        <v>12752.985528295128</v>
      </c>
      <c r="I114" s="583">
        <v>12866.108172728345</v>
      </c>
      <c r="J114" s="583">
        <v>13342.311019769972</v>
      </c>
      <c r="K114" s="583">
        <v>12378.592981454593</v>
      </c>
      <c r="L114" s="583">
        <v>12838.261370771996</v>
      </c>
      <c r="M114" s="583">
        <v>15171.779381634053</v>
      </c>
      <c r="N114" s="583">
        <v>19898.885571620336</v>
      </c>
      <c r="O114" s="583">
        <v>24523.542337975126</v>
      </c>
      <c r="P114" s="583">
        <v>24189.908399783515</v>
      </c>
      <c r="Q114" s="583">
        <v>19544.11185591407</v>
      </c>
      <c r="R114" s="583">
        <v>24927.867339147422</v>
      </c>
      <c r="S114" s="583">
        <v>31621.496390657991</v>
      </c>
      <c r="T114" s="583">
        <v>37440.40353739266</v>
      </c>
      <c r="U114" s="583">
        <v>36499.737939221239</v>
      </c>
      <c r="V114" s="583">
        <v>29053.61427083032</v>
      </c>
      <c r="W114" s="583">
        <v>25405.487967730707</v>
      </c>
      <c r="X114" s="583">
        <v>23815.513373917645</v>
      </c>
      <c r="Y114" s="584">
        <v>25375.559755239163</v>
      </c>
      <c r="Z114" s="584">
        <v>30051.168045271159</v>
      </c>
      <c r="AA114" s="584">
        <v>27256.265541434281</v>
      </c>
      <c r="AB114" s="584">
        <v>25698.674822217217</v>
      </c>
      <c r="AC114" s="780">
        <v>25310.000491362207</v>
      </c>
      <c r="AD114" s="780">
        <v>24146.674847936494</v>
      </c>
      <c r="AE114" s="781">
        <v>28047.800854232719</v>
      </c>
      <c r="AF114" s="584"/>
      <c r="AG114" s="584"/>
      <c r="AH114" s="584"/>
      <c r="AI114" s="584"/>
      <c r="AJ114" s="584"/>
      <c r="AK114" s="584"/>
      <c r="AL114" s="584"/>
      <c r="AM114" s="584"/>
      <c r="AN114" s="584"/>
      <c r="AO114" s="584"/>
      <c r="AP114" s="584"/>
      <c r="AQ114" s="584"/>
      <c r="AR114" s="584"/>
      <c r="AS114" s="584"/>
      <c r="AT114" s="584"/>
      <c r="AU114" s="584"/>
      <c r="AV114" s="584"/>
      <c r="AW114" s="584"/>
      <c r="AX114" s="584"/>
      <c r="AY114" s="584"/>
      <c r="AZ114" s="584"/>
      <c r="BA114" s="584"/>
      <c r="BB114" s="584"/>
      <c r="BC114" s="584"/>
      <c r="BD114" s="584"/>
      <c r="BE114" s="584"/>
      <c r="BF114" s="584"/>
      <c r="BG114" s="584"/>
      <c r="BH114" s="584"/>
      <c r="BI114" s="584"/>
      <c r="BJ114" s="584"/>
      <c r="BK114" s="584"/>
      <c r="BL114" s="584"/>
      <c r="BM114" s="584"/>
      <c r="BN114" s="584"/>
      <c r="BO114" s="584"/>
    </row>
    <row r="115" spans="1:67">
      <c r="A115" s="325" t="s">
        <v>513</v>
      </c>
      <c r="B115" s="325" t="s">
        <v>402</v>
      </c>
      <c r="C115" s="583">
        <f>[2]!FAMEData(""&amp;B103&amp;"'jk7466", "1996", "2024", 0,"Annual", "Across", "No Heading", "Normal")</f>
        <v>16321.268078703704</v>
      </c>
      <c r="D115" s="583">
        <v>17661.536571672281</v>
      </c>
      <c r="E115" s="583">
        <v>24674.218810346829</v>
      </c>
      <c r="F115" s="583">
        <v>18262.959819124495</v>
      </c>
      <c r="G115" s="583">
        <v>15336.090375759562</v>
      </c>
      <c r="H115" s="583">
        <v>12979.902937747305</v>
      </c>
      <c r="I115" s="583">
        <v>14952.865478341513</v>
      </c>
      <c r="J115" s="583">
        <v>10550.881042712726</v>
      </c>
      <c r="K115" s="583">
        <v>12163.360541251064</v>
      </c>
      <c r="L115" s="583">
        <v>14248.838750064937</v>
      </c>
      <c r="M115" s="583">
        <v>13708.877598680578</v>
      </c>
      <c r="N115" s="583">
        <v>19403.820540903536</v>
      </c>
      <c r="O115" s="583">
        <v>23581.434622285105</v>
      </c>
      <c r="P115" s="583">
        <v>24574.722822658405</v>
      </c>
      <c r="Q115" s="583">
        <v>19758.138457965269</v>
      </c>
      <c r="R115" s="583">
        <v>23601.187165651503</v>
      </c>
      <c r="S115" s="583">
        <v>31892.270964999756</v>
      </c>
      <c r="T115" s="583">
        <v>34789.446570768057</v>
      </c>
      <c r="U115" s="583">
        <v>34950.602725127203</v>
      </c>
      <c r="V115" s="583">
        <v>27231.440700016807</v>
      </c>
      <c r="W115" s="583">
        <v>23724.354311938274</v>
      </c>
      <c r="X115" s="583">
        <v>21877.717623687851</v>
      </c>
      <c r="Y115" s="584">
        <v>23431.189994554141</v>
      </c>
      <c r="Z115" s="584">
        <v>28130.875035436049</v>
      </c>
      <c r="AA115" s="584">
        <v>25688.530963091554</v>
      </c>
      <c r="AB115" s="584">
        <v>22752.66093206784</v>
      </c>
      <c r="AC115" s="780">
        <v>23336.250728833256</v>
      </c>
      <c r="AD115" s="780">
        <v>29062.311459395227</v>
      </c>
      <c r="AE115" s="781">
        <v>30741.402480410139</v>
      </c>
      <c r="AF115" s="584"/>
      <c r="AG115" s="584"/>
      <c r="AH115" s="584"/>
      <c r="AI115" s="584"/>
      <c r="AJ115" s="584"/>
      <c r="AK115" s="584"/>
      <c r="AL115" s="584"/>
      <c r="AM115" s="584"/>
      <c r="AN115" s="584"/>
      <c r="AO115" s="584"/>
      <c r="AP115" s="584"/>
      <c r="AQ115" s="584"/>
      <c r="AR115" s="584"/>
      <c r="AS115" s="584"/>
      <c r="AT115" s="584"/>
      <c r="AU115" s="584"/>
      <c r="AV115" s="584"/>
      <c r="AW115" s="584"/>
      <c r="AX115" s="584"/>
      <c r="AY115" s="584"/>
      <c r="AZ115" s="584"/>
      <c r="BA115" s="584"/>
      <c r="BB115" s="584"/>
      <c r="BC115" s="584"/>
      <c r="BD115" s="584"/>
      <c r="BE115" s="584"/>
      <c r="BF115" s="584"/>
      <c r="BG115" s="584"/>
      <c r="BH115" s="584"/>
      <c r="BI115" s="584"/>
      <c r="BJ115" s="584"/>
      <c r="BK115" s="584"/>
      <c r="BL115" s="584"/>
      <c r="BM115" s="584"/>
      <c r="BN115" s="584"/>
      <c r="BO115" s="584"/>
    </row>
    <row r="116" spans="1:67">
      <c r="A116" s="325" t="s">
        <v>451</v>
      </c>
      <c r="B116" s="325" t="s">
        <v>452</v>
      </c>
      <c r="C116" s="583">
        <f>[2]!FAMEData(""&amp;B103&amp;"'jk6066", "1996", "2024", 0,"Annual", "Across", "No Heading", "Normal")</f>
        <v>1751.1159953703705</v>
      </c>
      <c r="D116" s="583">
        <v>1609.3688</v>
      </c>
      <c r="E116" s="583">
        <v>1628.16748046875</v>
      </c>
      <c r="F116" s="583">
        <v>1670.41064453125</v>
      </c>
      <c r="G116" s="583">
        <v>1456.9072000000001</v>
      </c>
      <c r="H116" s="583">
        <v>1462.9312</v>
      </c>
      <c r="I116" s="583">
        <v>1457.853759765625</v>
      </c>
      <c r="J116" s="583">
        <v>1388.6944000000001</v>
      </c>
      <c r="K116" s="583">
        <v>1232.1056000000001</v>
      </c>
      <c r="L116" s="583">
        <v>1391.5771999999999</v>
      </c>
      <c r="M116" s="583">
        <v>1580.8912</v>
      </c>
      <c r="N116" s="583">
        <v>2914.7959999999998</v>
      </c>
      <c r="O116" s="583">
        <v>2493.4176000000002</v>
      </c>
      <c r="P116" s="583">
        <v>2667.95263671875</v>
      </c>
      <c r="Q116" s="583">
        <v>2627.4663999999998</v>
      </c>
      <c r="R116" s="583">
        <v>2661.0540000000001</v>
      </c>
      <c r="S116" s="583">
        <v>3139.9299551757813</v>
      </c>
      <c r="T116" s="583">
        <v>3550.7545</v>
      </c>
      <c r="U116" s="583">
        <v>3201.4011</v>
      </c>
      <c r="V116" s="583">
        <v>2936.0573519531249</v>
      </c>
      <c r="W116" s="583">
        <v>2566.2664999999997</v>
      </c>
      <c r="X116" s="583">
        <v>2807.6129999999998</v>
      </c>
      <c r="Y116" s="584">
        <v>2919.6233999999995</v>
      </c>
      <c r="Z116" s="584">
        <v>2980.4979460937502</v>
      </c>
      <c r="AA116" s="584">
        <v>2564.9140463867188</v>
      </c>
      <c r="AB116" s="584">
        <v>2811.3560000000002</v>
      </c>
      <c r="AC116" s="780">
        <v>2508.999997167969</v>
      </c>
      <c r="AD116" s="780">
        <v>2487.86</v>
      </c>
      <c r="AE116" s="781">
        <v>2612.5622469726563</v>
      </c>
      <c r="AF116" s="584"/>
      <c r="AG116" s="584"/>
      <c r="AH116" s="584"/>
      <c r="AI116" s="584"/>
      <c r="AJ116" s="584"/>
      <c r="AK116" s="584"/>
      <c r="AL116" s="584"/>
      <c r="AM116" s="584"/>
      <c r="AN116" s="584"/>
      <c r="AO116" s="584"/>
      <c r="AP116" s="584"/>
      <c r="AQ116" s="584"/>
      <c r="AR116" s="584"/>
      <c r="AS116" s="584"/>
      <c r="AT116" s="584"/>
      <c r="AU116" s="584"/>
      <c r="AV116" s="584"/>
      <c r="AW116" s="584"/>
      <c r="AX116" s="584"/>
      <c r="AY116" s="584"/>
      <c r="AZ116" s="584"/>
      <c r="BA116" s="584"/>
      <c r="BB116" s="584"/>
      <c r="BC116" s="584"/>
      <c r="BD116" s="584"/>
      <c r="BE116" s="584"/>
      <c r="BF116" s="584"/>
      <c r="BG116" s="584"/>
      <c r="BH116" s="584"/>
      <c r="BI116" s="584"/>
      <c r="BJ116" s="584"/>
      <c r="BK116" s="584"/>
      <c r="BL116" s="584"/>
      <c r="BM116" s="584"/>
      <c r="BN116" s="584"/>
      <c r="BO116" s="584"/>
    </row>
    <row r="117" spans="1:67">
      <c r="C117" s="583"/>
      <c r="D117" s="583"/>
      <c r="E117" s="583"/>
      <c r="F117" s="583"/>
      <c r="G117" s="583"/>
      <c r="H117" s="583"/>
      <c r="I117" s="583"/>
      <c r="J117" s="583"/>
      <c r="K117" s="583"/>
      <c r="L117" s="583"/>
      <c r="M117" s="583"/>
      <c r="N117" s="583"/>
      <c r="O117" s="583"/>
      <c r="P117" s="583"/>
      <c r="Q117" s="583"/>
      <c r="R117" s="583"/>
      <c r="S117" s="583"/>
      <c r="T117" s="583"/>
      <c r="U117" s="583"/>
      <c r="V117" s="583"/>
      <c r="W117" s="583"/>
      <c r="X117" s="583"/>
      <c r="Y117" s="584"/>
      <c r="Z117" s="584"/>
      <c r="AA117" s="584"/>
      <c r="AB117" s="584"/>
      <c r="AC117" s="584"/>
      <c r="AD117" s="584"/>
      <c r="AE117" s="760"/>
      <c r="AF117" s="584"/>
      <c r="AG117" s="584"/>
      <c r="AH117" s="584"/>
      <c r="AI117" s="584"/>
      <c r="AJ117" s="584"/>
      <c r="AK117" s="584"/>
      <c r="AL117" s="584"/>
      <c r="AM117" s="584"/>
      <c r="AN117" s="584"/>
      <c r="AO117" s="584"/>
      <c r="AP117" s="584"/>
      <c r="AQ117" s="584"/>
      <c r="AR117" s="584"/>
      <c r="AS117" s="584"/>
      <c r="AT117" s="584"/>
      <c r="AU117" s="584"/>
      <c r="AV117" s="584"/>
      <c r="AW117" s="584"/>
      <c r="AX117" s="584"/>
      <c r="AY117" s="584"/>
      <c r="AZ117" s="584"/>
      <c r="BA117" s="584"/>
      <c r="BB117" s="584"/>
      <c r="BC117" s="584"/>
      <c r="BD117" s="584"/>
      <c r="BE117" s="584"/>
      <c r="BF117" s="584"/>
      <c r="BG117" s="584"/>
      <c r="BH117" s="584"/>
      <c r="BI117" s="584"/>
      <c r="BJ117" s="584"/>
      <c r="BK117" s="584"/>
      <c r="BL117" s="584"/>
      <c r="BM117" s="584"/>
      <c r="BN117" s="584"/>
      <c r="BO117" s="584"/>
    </row>
    <row r="118" spans="1:67">
      <c r="A118" s="325" t="s">
        <v>506</v>
      </c>
      <c r="C118" s="587">
        <f t="shared" ref="C118:AE118" si="262">SUM(C106:C116)</f>
        <v>104213.14398148149</v>
      </c>
      <c r="D118" s="587">
        <f t="shared" si="262"/>
        <v>125111.85884480804</v>
      </c>
      <c r="E118" s="587">
        <f t="shared" si="262"/>
        <v>152741.35872360968</v>
      </c>
      <c r="F118" s="587">
        <f t="shared" si="262"/>
        <v>130713.88096831716</v>
      </c>
      <c r="G118" s="587">
        <f t="shared" si="262"/>
        <v>105518.28205915928</v>
      </c>
      <c r="H118" s="587">
        <f t="shared" si="262"/>
        <v>101886.97622227985</v>
      </c>
      <c r="I118" s="587">
        <f t="shared" si="262"/>
        <v>93459.603783406448</v>
      </c>
      <c r="J118" s="587">
        <f t="shared" si="262"/>
        <v>113461.5327346423</v>
      </c>
      <c r="K118" s="587">
        <f t="shared" si="262"/>
        <v>123565.63834019459</v>
      </c>
      <c r="L118" s="587">
        <f t="shared" si="262"/>
        <v>148573.77901621317</v>
      </c>
      <c r="M118" s="587">
        <f t="shared" si="262"/>
        <v>149773.51659494013</v>
      </c>
      <c r="N118" s="587">
        <f t="shared" si="262"/>
        <v>163197.47579708064</v>
      </c>
      <c r="O118" s="587">
        <f t="shared" si="262"/>
        <v>173239.554125013</v>
      </c>
      <c r="P118" s="587">
        <f t="shared" si="262"/>
        <v>179358.09136931895</v>
      </c>
      <c r="Q118" s="587">
        <f t="shared" si="262"/>
        <v>162023.61180906353</v>
      </c>
      <c r="R118" s="587">
        <f t="shared" si="262"/>
        <v>180059.90168027501</v>
      </c>
      <c r="S118" s="587">
        <f t="shared" si="262"/>
        <v>210726.82740674238</v>
      </c>
      <c r="T118" s="587">
        <f t="shared" si="262"/>
        <v>249703.42319180287</v>
      </c>
      <c r="U118" s="587">
        <f t="shared" si="262"/>
        <v>246876.66557858579</v>
      </c>
      <c r="V118" s="587">
        <f t="shared" si="262"/>
        <v>216359.37741205061</v>
      </c>
      <c r="W118" s="587">
        <f t="shared" si="262"/>
        <v>181311.4688795371</v>
      </c>
      <c r="X118" s="587">
        <f t="shared" si="262"/>
        <v>170951.84391780841</v>
      </c>
      <c r="Y118" s="587">
        <f t="shared" si="262"/>
        <v>173075.78932194048</v>
      </c>
      <c r="Z118" s="587">
        <f t="shared" si="262"/>
        <v>197624.77550841306</v>
      </c>
      <c r="AA118" s="587">
        <f t="shared" si="262"/>
        <v>190881.6486166954</v>
      </c>
      <c r="AB118" s="587">
        <f t="shared" si="262"/>
        <v>188808.48994552818</v>
      </c>
      <c r="AC118" s="587">
        <f t="shared" si="262"/>
        <v>178315.9984486606</v>
      </c>
      <c r="AD118" s="587">
        <f t="shared" si="262"/>
        <v>196487.36235465578</v>
      </c>
      <c r="AE118" s="779">
        <f t="shared" si="262"/>
        <v>215708.70010055928</v>
      </c>
      <c r="AF118" s="584"/>
      <c r="AG118" s="584"/>
      <c r="AH118" s="584"/>
      <c r="AI118" s="584"/>
      <c r="AJ118" s="584"/>
      <c r="AK118" s="584"/>
      <c r="AL118" s="584"/>
      <c r="AM118" s="584"/>
      <c r="AN118" s="584"/>
      <c r="AO118" s="584"/>
      <c r="AP118" s="584"/>
      <c r="AQ118" s="584"/>
      <c r="AR118" s="584"/>
      <c r="AS118" s="584"/>
      <c r="AT118" s="584"/>
      <c r="AU118" s="584"/>
      <c r="AV118" s="584"/>
      <c r="AW118" s="584"/>
      <c r="AX118" s="584"/>
      <c r="AY118" s="584"/>
      <c r="AZ118" s="584"/>
      <c r="BA118" s="584"/>
      <c r="BB118" s="584"/>
      <c r="BC118" s="584"/>
      <c r="BD118" s="584"/>
      <c r="BE118" s="584"/>
      <c r="BF118" s="584"/>
      <c r="BG118" s="584"/>
      <c r="BH118" s="584"/>
      <c r="BI118" s="584"/>
      <c r="BJ118" s="584"/>
      <c r="BK118" s="584"/>
      <c r="BL118" s="584"/>
      <c r="BM118" s="584"/>
      <c r="BN118" s="584"/>
      <c r="BO118" s="584"/>
    </row>
    <row r="119" spans="1:67">
      <c r="A119" s="325" t="s">
        <v>522</v>
      </c>
      <c r="C119" s="515">
        <f>[2]!FAMEData(""&amp;B103&amp;"'jks66", "1996", "2024", 0,"Annual", "Across", "No Heading", "Normal")</f>
        <v>102461.36815972222</v>
      </c>
      <c r="D119" s="515">
        <v>127129.5654296875</v>
      </c>
      <c r="E119" s="515">
        <v>154929.5185546875</v>
      </c>
      <c r="F119" s="515">
        <v>135849.6240234375</v>
      </c>
      <c r="G119" s="515">
        <v>105871.96960449219</v>
      </c>
      <c r="H119" s="515">
        <v>102652.79638671875</v>
      </c>
      <c r="I119" s="515">
        <v>97217.145507812515</v>
      </c>
      <c r="J119" s="515">
        <v>110576.830078125</v>
      </c>
      <c r="K119" s="515">
        <v>121957.9599609375</v>
      </c>
      <c r="L119" s="515">
        <v>145837.3037109375</v>
      </c>
      <c r="M119" s="515">
        <v>150911.14697265625</v>
      </c>
      <c r="N119" s="515">
        <v>165129.4814453125</v>
      </c>
      <c r="O119" s="515">
        <v>174331.2333984375</v>
      </c>
      <c r="P119" s="515">
        <v>179444.06878662112</v>
      </c>
      <c r="Q119" s="515">
        <v>165103.89038085938</v>
      </c>
      <c r="R119" s="515">
        <v>183973.47735595703</v>
      </c>
      <c r="S119" s="515">
        <v>210833.33377075192</v>
      </c>
      <c r="T119" s="515">
        <v>250718.2255859375</v>
      </c>
      <c r="U119" s="515">
        <v>246212.75732421875</v>
      </c>
      <c r="V119" s="515">
        <v>216106.2490234375</v>
      </c>
      <c r="W119" s="515">
        <v>181568.99243164063</v>
      </c>
      <c r="X119" s="515">
        <v>171739.31353759766</v>
      </c>
      <c r="Y119" s="584">
        <v>172996.56713867188</v>
      </c>
      <c r="Z119" s="584">
        <v>197908.41300964355</v>
      </c>
      <c r="AA119" s="584">
        <v>191306.33548355103</v>
      </c>
      <c r="AB119" s="584">
        <v>189653.85311889648</v>
      </c>
      <c r="AC119" s="780">
        <v>178315.99845881684</v>
      </c>
      <c r="AD119" s="780">
        <v>196487.36227645999</v>
      </c>
      <c r="AE119" s="781">
        <v>215708.70002253188</v>
      </c>
      <c r="AF119" s="584"/>
      <c r="AG119" s="584"/>
      <c r="AH119" s="584"/>
      <c r="AI119" s="584"/>
      <c r="AJ119" s="584"/>
      <c r="AK119" s="584"/>
      <c r="AL119" s="584"/>
      <c r="AM119" s="584"/>
      <c r="AN119" s="584"/>
      <c r="AO119" s="584"/>
      <c r="AP119" s="584"/>
      <c r="AQ119" s="584"/>
      <c r="AR119" s="584"/>
      <c r="AS119" s="584"/>
      <c r="AT119" s="584"/>
      <c r="AU119" s="584"/>
      <c r="AV119" s="584"/>
      <c r="AW119" s="584"/>
      <c r="AX119" s="584"/>
      <c r="AY119" s="584"/>
      <c r="AZ119" s="584"/>
      <c r="BA119" s="584"/>
      <c r="BB119" s="584"/>
      <c r="BC119" s="584"/>
      <c r="BD119" s="584"/>
      <c r="BE119" s="584"/>
      <c r="BF119" s="584"/>
      <c r="BG119" s="584"/>
      <c r="BH119" s="584"/>
      <c r="BI119" s="584"/>
      <c r="BJ119" s="584"/>
      <c r="BK119" s="584"/>
      <c r="BL119" s="584"/>
      <c r="BM119" s="584"/>
      <c r="BN119" s="584"/>
      <c r="BO119" s="584"/>
    </row>
    <row r="120" spans="1:67" s="541" customFormat="1">
      <c r="A120" s="325" t="s">
        <v>507</v>
      </c>
      <c r="C120" s="587">
        <f>C119-C118</f>
        <v>-1751.7758217592782</v>
      </c>
      <c r="D120" s="587">
        <f t="shared" ref="D120:AE120" si="263">D119-D118</f>
        <v>2017.7065848794591</v>
      </c>
      <c r="E120" s="587">
        <f t="shared" si="263"/>
        <v>2188.1598310778209</v>
      </c>
      <c r="F120" s="587">
        <f t="shared" si="263"/>
        <v>5135.7430551203433</v>
      </c>
      <c r="G120" s="587">
        <f t="shared" si="263"/>
        <v>353.68754533291212</v>
      </c>
      <c r="H120" s="587">
        <f t="shared" si="263"/>
        <v>765.82016443890461</v>
      </c>
      <c r="I120" s="587">
        <f t="shared" si="263"/>
        <v>3757.5417244060664</v>
      </c>
      <c r="J120" s="587">
        <f t="shared" si="263"/>
        <v>-2884.7026565173001</v>
      </c>
      <c r="K120" s="587">
        <f t="shared" si="263"/>
        <v>-1607.6783792570932</v>
      </c>
      <c r="L120" s="587">
        <f t="shared" si="263"/>
        <v>-2736.4753052756714</v>
      </c>
      <c r="M120" s="587">
        <f t="shared" si="263"/>
        <v>1137.6303777161229</v>
      </c>
      <c r="N120" s="587">
        <f t="shared" si="263"/>
        <v>1932.0056482318614</v>
      </c>
      <c r="O120" s="587">
        <f t="shared" si="263"/>
        <v>1091.6792734244955</v>
      </c>
      <c r="P120" s="587">
        <f t="shared" si="263"/>
        <v>85.977417302172398</v>
      </c>
      <c r="Q120" s="587">
        <f t="shared" si="263"/>
        <v>3080.2785717958468</v>
      </c>
      <c r="R120" s="587">
        <f t="shared" si="263"/>
        <v>3913.5756756820192</v>
      </c>
      <c r="S120" s="587">
        <f t="shared" si="263"/>
        <v>106.50636400954681</v>
      </c>
      <c r="T120" s="587">
        <f t="shared" si="263"/>
        <v>1014.8023941346328</v>
      </c>
      <c r="U120" s="587">
        <f t="shared" si="263"/>
        <v>-663.90825436703744</v>
      </c>
      <c r="V120" s="587">
        <f t="shared" si="263"/>
        <v>-253.1283886131132</v>
      </c>
      <c r="W120" s="587">
        <f t="shared" si="263"/>
        <v>257.52355210352107</v>
      </c>
      <c r="X120" s="587">
        <f t="shared" si="263"/>
        <v>787.4696197892481</v>
      </c>
      <c r="Y120" s="587">
        <f t="shared" si="263"/>
        <v>-79.222183268604567</v>
      </c>
      <c r="Z120" s="587">
        <f t="shared" si="263"/>
        <v>283.63750123049249</v>
      </c>
      <c r="AA120" s="587">
        <f t="shared" si="263"/>
        <v>424.68686685562716</v>
      </c>
      <c r="AB120" s="587">
        <f t="shared" si="263"/>
        <v>845.36317336829961</v>
      </c>
      <c r="AC120" s="587">
        <f t="shared" si="263"/>
        <v>1.0156247299164534E-5</v>
      </c>
      <c r="AD120" s="587">
        <f t="shared" si="263"/>
        <v>-7.8195793321356177E-5</v>
      </c>
      <c r="AE120" s="779">
        <f t="shared" si="263"/>
        <v>-7.8027398558333516E-5</v>
      </c>
      <c r="AF120" s="651"/>
      <c r="AG120" s="651"/>
      <c r="AH120" s="651"/>
      <c r="AI120" s="651"/>
      <c r="AJ120" s="651"/>
      <c r="AK120" s="651"/>
      <c r="AL120" s="651"/>
      <c r="AM120" s="651"/>
      <c r="AN120" s="651"/>
      <c r="AO120" s="651"/>
      <c r="AP120" s="651"/>
      <c r="AQ120" s="651"/>
      <c r="AR120" s="651"/>
      <c r="AS120" s="651"/>
      <c r="AT120" s="651"/>
      <c r="AU120" s="651"/>
      <c r="AV120" s="651"/>
      <c r="AW120" s="651"/>
      <c r="AX120" s="651"/>
      <c r="AY120" s="651"/>
      <c r="AZ120" s="651"/>
      <c r="BA120" s="651"/>
      <c r="BB120" s="651"/>
      <c r="BC120" s="651"/>
      <c r="BD120" s="651"/>
      <c r="BE120" s="651"/>
      <c r="BF120" s="651"/>
      <c r="BG120" s="651"/>
      <c r="BH120" s="651"/>
      <c r="BI120" s="651"/>
      <c r="BJ120" s="651"/>
      <c r="BK120" s="651"/>
      <c r="BL120" s="651"/>
      <c r="BM120" s="651"/>
      <c r="BN120" s="651"/>
      <c r="BO120" s="651"/>
    </row>
    <row r="121" spans="1:67">
      <c r="C121" s="583"/>
      <c r="D121" s="583"/>
      <c r="E121" s="583"/>
      <c r="F121" s="583"/>
      <c r="G121" s="583"/>
      <c r="H121" s="583"/>
      <c r="I121" s="583"/>
      <c r="J121" s="583"/>
      <c r="K121" s="583"/>
      <c r="L121" s="583"/>
      <c r="M121" s="583"/>
      <c r="N121" s="583"/>
      <c r="O121" s="583"/>
      <c r="P121" s="583"/>
      <c r="Q121" s="583"/>
      <c r="R121" s="583"/>
      <c r="S121" s="583"/>
      <c r="T121" s="583"/>
      <c r="U121" s="583"/>
      <c r="V121" s="583"/>
      <c r="W121" s="583"/>
      <c r="X121" s="583"/>
      <c r="Y121" s="584"/>
      <c r="Z121" s="584"/>
      <c r="AA121" s="584"/>
      <c r="AB121" s="584"/>
      <c r="AC121" s="584"/>
      <c r="AD121" s="584"/>
      <c r="AE121" s="760"/>
      <c r="AF121" s="584"/>
      <c r="AG121" s="584"/>
      <c r="AH121" s="584"/>
      <c r="AI121" s="584"/>
      <c r="AJ121" s="584"/>
      <c r="AK121" s="584"/>
      <c r="AL121" s="584"/>
      <c r="AM121" s="584"/>
      <c r="AN121" s="584"/>
      <c r="AO121" s="584"/>
      <c r="AP121" s="584"/>
      <c r="AQ121" s="584"/>
      <c r="AR121" s="584"/>
      <c r="AS121" s="584"/>
      <c r="AT121" s="584"/>
      <c r="AU121" s="584"/>
      <c r="AV121" s="584"/>
      <c r="AW121" s="584"/>
      <c r="AX121" s="584"/>
      <c r="AY121" s="584"/>
      <c r="AZ121" s="584"/>
      <c r="BA121" s="584"/>
      <c r="BB121" s="584"/>
      <c r="BC121" s="584"/>
      <c r="BD121" s="584"/>
      <c r="BE121" s="584"/>
      <c r="BF121" s="584"/>
      <c r="BG121" s="584"/>
      <c r="BH121" s="584"/>
      <c r="BI121" s="584"/>
      <c r="BJ121" s="584"/>
      <c r="BK121" s="584"/>
      <c r="BL121" s="584"/>
      <c r="BM121" s="584"/>
      <c r="BN121" s="584"/>
      <c r="BO121" s="584"/>
    </row>
    <row r="122" spans="1:67">
      <c r="A122" s="590" t="s">
        <v>510</v>
      </c>
      <c r="C122" s="583"/>
      <c r="D122" s="583"/>
      <c r="E122" s="591"/>
      <c r="F122" s="591"/>
      <c r="G122" s="591"/>
      <c r="H122" s="591"/>
      <c r="I122" s="591"/>
      <c r="J122" s="591"/>
      <c r="K122" s="591"/>
      <c r="L122" s="591"/>
      <c r="M122" s="591"/>
      <c r="N122" s="591"/>
      <c r="O122" s="591"/>
      <c r="P122" s="592"/>
      <c r="Q122" s="592"/>
      <c r="R122" s="592"/>
      <c r="S122" s="592"/>
      <c r="T122" s="593"/>
      <c r="U122" s="584"/>
      <c r="V122" s="584"/>
      <c r="W122" s="584"/>
      <c r="X122" s="584"/>
      <c r="Y122" s="584"/>
      <c r="Z122" s="584"/>
      <c r="AA122" s="584"/>
      <c r="AB122" s="584"/>
      <c r="AC122" s="584"/>
      <c r="AD122" s="584"/>
      <c r="AE122" s="760"/>
      <c r="AF122" s="584"/>
      <c r="AG122" s="584"/>
      <c r="AH122" s="584"/>
      <c r="AI122" s="584"/>
      <c r="AJ122" s="584"/>
      <c r="AK122" s="584"/>
      <c r="AL122" s="584"/>
      <c r="AM122" s="584"/>
      <c r="AN122" s="584"/>
      <c r="AO122" s="584"/>
      <c r="AP122" s="584"/>
      <c r="AQ122" s="584"/>
      <c r="AR122" s="584"/>
      <c r="AS122" s="584"/>
      <c r="AT122" s="584"/>
      <c r="AU122" s="584"/>
      <c r="AV122" s="584"/>
      <c r="AW122" s="584"/>
      <c r="AX122" s="584"/>
      <c r="AY122" s="584"/>
      <c r="AZ122" s="584"/>
      <c r="BA122" s="584"/>
      <c r="BB122" s="584"/>
      <c r="BC122" s="584"/>
      <c r="BD122" s="584"/>
      <c r="BE122" s="584"/>
      <c r="BF122" s="584"/>
      <c r="BG122" s="584"/>
      <c r="BH122" s="584"/>
      <c r="BI122" s="584"/>
      <c r="BJ122" s="584"/>
      <c r="BK122" s="584"/>
      <c r="BL122" s="584"/>
      <c r="BM122" s="584"/>
      <c r="BN122" s="584"/>
      <c r="BO122" s="584"/>
    </row>
    <row r="123" spans="1:67">
      <c r="A123" s="325" t="s">
        <v>337</v>
      </c>
      <c r="B123" s="594" t="s">
        <v>336</v>
      </c>
      <c r="C123" s="583">
        <f>[2]!FAMEData(""&amp;B103&amp;"'jk1068", "1996", "2024", 0,"Annual", "Across", "No Heading", "Normal")</f>
        <v>214.47590277777778</v>
      </c>
      <c r="D123" s="595">
        <v>-60.864775657653809</v>
      </c>
      <c r="E123" s="596">
        <v>55.331617156127933</v>
      </c>
      <c r="F123" s="596">
        <v>144.91614028076171</v>
      </c>
      <c r="G123" s="596">
        <v>63.559712235107426</v>
      </c>
      <c r="H123" s="596">
        <v>51.336690496719356</v>
      </c>
      <c r="I123" s="596">
        <v>39.669259071350098</v>
      </c>
      <c r="J123" s="596">
        <v>1038.0122335449219</v>
      </c>
      <c r="K123" s="596">
        <v>-4.2195620536804199</v>
      </c>
      <c r="L123" s="596">
        <v>4.2195620536804199</v>
      </c>
      <c r="M123" s="596">
        <v>12.658688</v>
      </c>
      <c r="N123" s="596">
        <v>215.197677</v>
      </c>
      <c r="O123" s="596">
        <v>247.64809533081055</v>
      </c>
      <c r="P123" s="592">
        <v>337.12098000000003</v>
      </c>
      <c r="Q123" s="592">
        <v>88.962486267089844</v>
      </c>
      <c r="R123" s="592">
        <v>223.16012000000001</v>
      </c>
      <c r="S123" s="592">
        <v>598.47486730232242</v>
      </c>
      <c r="T123" s="593">
        <v>23.82688242187487</v>
      </c>
      <c r="U123" s="487">
        <v>162.81691555496215</v>
      </c>
      <c r="V123" s="531">
        <v>105.12588565670777</v>
      </c>
      <c r="W123" s="531">
        <v>-131.40734513183594</v>
      </c>
      <c r="X123" s="531">
        <v>9.7338780899734498</v>
      </c>
      <c r="Y123" s="531">
        <v>86.388174300000003</v>
      </c>
      <c r="Z123" s="531">
        <v>205.91151446533203</v>
      </c>
      <c r="AA123" s="531">
        <v>-72.878791925598136</v>
      </c>
      <c r="AB123" s="531">
        <v>40.363638557519529</v>
      </c>
      <c r="AC123" s="531">
        <v>455.99999235351561</v>
      </c>
      <c r="AD123" s="531">
        <v>408.32134649414064</v>
      </c>
      <c r="AE123" s="739">
        <v>350.14313084960941</v>
      </c>
      <c r="AF123" s="531"/>
      <c r="AG123" s="531"/>
      <c r="AH123" s="531"/>
      <c r="AI123" s="531"/>
      <c r="AJ123" s="531"/>
      <c r="AK123" s="531"/>
      <c r="AL123" s="531"/>
      <c r="AM123" s="531"/>
      <c r="AN123" s="531"/>
      <c r="AO123" s="531"/>
      <c r="AP123" s="531"/>
      <c r="AQ123" s="531"/>
      <c r="AR123" s="531"/>
      <c r="AS123" s="531"/>
      <c r="AT123" s="531"/>
      <c r="AU123" s="531"/>
      <c r="AV123" s="531"/>
      <c r="AW123" s="531"/>
      <c r="AX123" s="531"/>
      <c r="AY123" s="531"/>
      <c r="AZ123" s="531"/>
      <c r="BA123" s="531"/>
      <c r="BB123" s="531"/>
      <c r="BC123" s="531"/>
      <c r="BD123" s="531"/>
      <c r="BE123" s="531"/>
      <c r="BF123" s="531"/>
      <c r="BG123" s="531"/>
      <c r="BH123" s="531"/>
      <c r="BI123" s="531"/>
      <c r="BJ123" s="531"/>
      <c r="BK123" s="531"/>
      <c r="BL123" s="531"/>
      <c r="BM123" s="531"/>
      <c r="BN123" s="531"/>
      <c r="BO123" s="531"/>
    </row>
    <row r="124" spans="1:67">
      <c r="A124" s="325" t="s">
        <v>339</v>
      </c>
      <c r="B124" s="594" t="s">
        <v>338</v>
      </c>
      <c r="C124" s="583">
        <f>[2]!FAMEData(""&amp;B103&amp;"'jk4068", "1996", "2024", 0,"Annual", "Across", "No Heading", "Normal")</f>
        <v>2.908449074074074</v>
      </c>
      <c r="D124" s="595">
        <v>20.359179019927979</v>
      </c>
      <c r="E124" s="596">
        <v>106.5862806069336</v>
      </c>
      <c r="F124" s="596">
        <v>158.49519006614685</v>
      </c>
      <c r="G124" s="596">
        <v>2.1418267827906798</v>
      </c>
      <c r="H124" s="596">
        <v>2.8557690863094329</v>
      </c>
      <c r="I124" s="596">
        <v>2.8557690710757444</v>
      </c>
      <c r="J124" s="596">
        <v>0</v>
      </c>
      <c r="K124" s="596">
        <v>1.4278845651417496</v>
      </c>
      <c r="L124" s="596">
        <v>0.71394229551448818</v>
      </c>
      <c r="M124" s="596">
        <v>0</v>
      </c>
      <c r="N124" s="596">
        <v>3.5697113374542235</v>
      </c>
      <c r="O124" s="596">
        <v>0</v>
      </c>
      <c r="P124" s="592">
        <v>2.1418269276618958</v>
      </c>
      <c r="Q124" s="592">
        <v>0.71394233203582769</v>
      </c>
      <c r="R124" s="592">
        <v>-9.28125</v>
      </c>
      <c r="S124" s="592">
        <v>1.5468749099578858</v>
      </c>
      <c r="T124" s="593">
        <v>3.86718745477063</v>
      </c>
      <c r="U124" s="487">
        <v>4.6406249538574222</v>
      </c>
      <c r="V124" s="531">
        <v>0.7734374893836975</v>
      </c>
      <c r="W124" s="531">
        <v>2.3203125</v>
      </c>
      <c r="X124" s="531">
        <v>-1.5468749471229555</v>
      </c>
      <c r="Y124" s="531">
        <v>6.1874998342285155</v>
      </c>
      <c r="Z124" s="531">
        <v>2.749999848234558</v>
      </c>
      <c r="AA124" s="531">
        <v>1.3749999850988388</v>
      </c>
      <c r="AB124" s="531">
        <v>4.1249999710556029</v>
      </c>
      <c r="AC124" s="531">
        <v>55.000000703124996</v>
      </c>
      <c r="AD124" s="531">
        <v>37.297849412719728</v>
      </c>
      <c r="AE124" s="739">
        <v>38.31109756225586</v>
      </c>
      <c r="AF124" s="531"/>
      <c r="AG124" s="531"/>
      <c r="AH124" s="531"/>
      <c r="AI124" s="531"/>
      <c r="AJ124" s="531"/>
      <c r="AK124" s="531"/>
      <c r="AL124" s="531"/>
      <c r="AM124" s="531"/>
      <c r="AN124" s="531"/>
      <c r="AO124" s="531"/>
      <c r="AP124" s="531"/>
      <c r="AQ124" s="531"/>
      <c r="AR124" s="531"/>
      <c r="AS124" s="531"/>
      <c r="AT124" s="531"/>
      <c r="AU124" s="531"/>
      <c r="AV124" s="531"/>
      <c r="AW124" s="531"/>
      <c r="AX124" s="531"/>
      <c r="AY124" s="531"/>
      <c r="AZ124" s="531"/>
      <c r="BA124" s="531"/>
      <c r="BB124" s="531"/>
      <c r="BC124" s="531"/>
      <c r="BD124" s="531"/>
      <c r="BE124" s="531"/>
      <c r="BF124" s="531"/>
      <c r="BG124" s="531"/>
      <c r="BH124" s="531"/>
      <c r="BI124" s="531"/>
      <c r="BJ124" s="531"/>
      <c r="BK124" s="531"/>
      <c r="BL124" s="531"/>
      <c r="BM124" s="531"/>
      <c r="BN124" s="531"/>
      <c r="BO124" s="531"/>
    </row>
    <row r="125" spans="1:67">
      <c r="A125" s="325" t="s">
        <v>341</v>
      </c>
      <c r="B125" s="594" t="s">
        <v>340</v>
      </c>
      <c r="C125" s="583">
        <f>[2]!FAMEData(""&amp;B103&amp;"'jk5068", "1996", "2024", 0,"Annual", "Across", "No Heading", "Normal")</f>
        <v>785.67907407407404</v>
      </c>
      <c r="D125" s="595">
        <v>866.06207275390625</v>
      </c>
      <c r="E125" s="596">
        <v>1686.7525634765625</v>
      </c>
      <c r="F125" s="596">
        <v>1607.5623779296873</v>
      </c>
      <c r="G125" s="596">
        <v>3049.0144042968745</v>
      </c>
      <c r="H125" s="596">
        <v>2353.86669921875</v>
      </c>
      <c r="I125" s="596">
        <v>1699.6281738281252</v>
      </c>
      <c r="J125" s="596">
        <v>1775.6873779296875</v>
      </c>
      <c r="K125" s="596">
        <v>2620.80908203125</v>
      </c>
      <c r="L125" s="596">
        <v>1399.218994140625</v>
      </c>
      <c r="M125" s="596">
        <v>2575.259521484375</v>
      </c>
      <c r="N125" s="596">
        <v>3251.188720703125</v>
      </c>
      <c r="O125" s="596">
        <v>4774.3486328125</v>
      </c>
      <c r="P125" s="592">
        <v>2785.03662109375</v>
      </c>
      <c r="Q125" s="592">
        <v>1882.50439453125</v>
      </c>
      <c r="R125" s="592">
        <v>2901.889892578125</v>
      </c>
      <c r="S125" s="592">
        <v>4057.8000488281245</v>
      </c>
      <c r="T125" s="593">
        <v>4685.294921875</v>
      </c>
      <c r="U125" s="487">
        <v>3086.040283203125</v>
      </c>
      <c r="V125" s="531">
        <v>2810.968505859375</v>
      </c>
      <c r="W125" s="531">
        <v>1668.0471496582031</v>
      </c>
      <c r="X125" s="531">
        <v>2113.3361206054688</v>
      </c>
      <c r="Y125" s="531">
        <v>1743.765380859375</v>
      </c>
      <c r="Z125" s="531">
        <v>1978.8797607421875</v>
      </c>
      <c r="AA125" s="531">
        <v>3220.247802734375</v>
      </c>
      <c r="AB125" s="531">
        <v>1855.9320678710938</v>
      </c>
      <c r="AC125" s="531">
        <v>1934</v>
      </c>
      <c r="AD125" s="531">
        <v>2182.7153930664063</v>
      </c>
      <c r="AE125" s="739">
        <v>3565.9757690429688</v>
      </c>
      <c r="AF125" s="531"/>
      <c r="AG125" s="531"/>
      <c r="AH125" s="531"/>
      <c r="AI125" s="531"/>
      <c r="AJ125" s="531"/>
      <c r="AK125" s="531"/>
      <c r="AL125" s="531"/>
      <c r="AM125" s="531"/>
      <c r="AN125" s="531"/>
      <c r="AO125" s="531"/>
      <c r="AP125" s="531"/>
      <c r="AQ125" s="531"/>
      <c r="AR125" s="531"/>
      <c r="AS125" s="531"/>
      <c r="AT125" s="531"/>
      <c r="AU125" s="531"/>
      <c r="AV125" s="531"/>
      <c r="AW125" s="531"/>
      <c r="AX125" s="531"/>
      <c r="AY125" s="531"/>
      <c r="AZ125" s="531"/>
      <c r="BA125" s="531"/>
      <c r="BB125" s="531"/>
      <c r="BC125" s="531"/>
      <c r="BD125" s="531"/>
      <c r="BE125" s="531"/>
      <c r="BF125" s="531"/>
      <c r="BG125" s="531"/>
      <c r="BH125" s="531"/>
      <c r="BI125" s="531"/>
      <c r="BJ125" s="531"/>
      <c r="BK125" s="531"/>
      <c r="BL125" s="531"/>
      <c r="BM125" s="531"/>
      <c r="BN125" s="531"/>
      <c r="BO125" s="531"/>
    </row>
    <row r="126" spans="1:67">
      <c r="A126" s="325" t="s">
        <v>343</v>
      </c>
      <c r="B126" s="594" t="s">
        <v>342</v>
      </c>
      <c r="C126" s="583">
        <f>[2]!FAMEData(""&amp;B103&amp;"'jk7068", "1996", "2024", 0,"Annual", "Across", "No Heading", "Normal")</f>
        <v>4326.2334027777779</v>
      </c>
      <c r="D126" s="595">
        <v>-225.12922668457037</v>
      </c>
      <c r="E126" s="596">
        <v>147.66540527343753</v>
      </c>
      <c r="F126" s="596">
        <v>-3841.663330078125</v>
      </c>
      <c r="G126" s="596">
        <v>2279.96435546875</v>
      </c>
      <c r="H126" s="596">
        <v>1377.1295166015625</v>
      </c>
      <c r="I126" s="596">
        <v>4765.84375</v>
      </c>
      <c r="J126" s="596">
        <v>-1548.4501953125</v>
      </c>
      <c r="K126" s="596">
        <v>1465.256103515625</v>
      </c>
      <c r="L126" s="596">
        <v>2294.646240234375</v>
      </c>
      <c r="M126" s="596">
        <v>-387.59222412109386</v>
      </c>
      <c r="N126" s="596">
        <v>6052.02783203125</v>
      </c>
      <c r="O126" s="596">
        <v>5982.9799804687491</v>
      </c>
      <c r="P126" s="592">
        <v>7614.30908203125</v>
      </c>
      <c r="Q126" s="592">
        <v>712.49200439453136</v>
      </c>
      <c r="R126" s="592">
        <v>-3179.658447265625</v>
      </c>
      <c r="S126" s="592">
        <v>5430.5908203125</v>
      </c>
      <c r="T126" s="593">
        <v>1001.0913085937499</v>
      </c>
      <c r="U126" s="487">
        <v>1359.1525878906252</v>
      </c>
      <c r="V126" s="531">
        <v>1908.6538085937502</v>
      </c>
      <c r="W126" s="531">
        <v>172.70364952087402</v>
      </c>
      <c r="X126" s="531">
        <v>1693.3927917480469</v>
      </c>
      <c r="Y126" s="531">
        <v>167.37694048881531</v>
      </c>
      <c r="Z126" s="531">
        <v>1118.4851379394531</v>
      </c>
      <c r="AA126" s="531">
        <v>1764.5735473632813</v>
      </c>
      <c r="AB126" s="531">
        <v>-830.82447814941406</v>
      </c>
      <c r="AC126" s="531">
        <v>1602</v>
      </c>
      <c r="AD126" s="531">
        <v>3703.7924194335938</v>
      </c>
      <c r="AE126" s="739">
        <v>5914.242919921875</v>
      </c>
      <c r="AF126" s="531"/>
      <c r="AG126" s="531"/>
      <c r="AH126" s="531"/>
      <c r="AI126" s="531"/>
      <c r="AJ126" s="531"/>
      <c r="AK126" s="531"/>
      <c r="AL126" s="531"/>
      <c r="AM126" s="531"/>
      <c r="AN126" s="531"/>
      <c r="AO126" s="531"/>
      <c r="AP126" s="531"/>
      <c r="AQ126" s="531"/>
      <c r="AR126" s="531"/>
      <c r="AS126" s="531"/>
      <c r="AT126" s="531"/>
      <c r="AU126" s="531"/>
      <c r="AV126" s="531"/>
      <c r="AW126" s="531"/>
      <c r="AX126" s="531"/>
      <c r="AY126" s="531"/>
      <c r="AZ126" s="531"/>
      <c r="BA126" s="531"/>
      <c r="BB126" s="531"/>
      <c r="BC126" s="531"/>
      <c r="BD126" s="531"/>
      <c r="BE126" s="531"/>
      <c r="BF126" s="531"/>
      <c r="BG126" s="531"/>
      <c r="BH126" s="531"/>
      <c r="BI126" s="531"/>
      <c r="BJ126" s="531"/>
      <c r="BK126" s="531"/>
      <c r="BL126" s="531"/>
      <c r="BM126" s="531"/>
      <c r="BN126" s="531"/>
      <c r="BO126" s="531"/>
    </row>
    <row r="127" spans="1:67">
      <c r="A127" s="325" t="s">
        <v>511</v>
      </c>
      <c r="B127" s="594" t="s">
        <v>349</v>
      </c>
      <c r="C127" s="583">
        <f>[2]!FAMEData(""&amp;B103&amp;"'jk9068", "1996", "2024", 0,"Annual", "Across", "No Heading", "Normal")</f>
        <v>0</v>
      </c>
      <c r="D127" s="595">
        <v>0</v>
      </c>
      <c r="E127" s="596">
        <v>0</v>
      </c>
      <c r="F127" s="596">
        <v>0</v>
      </c>
      <c r="G127" s="596">
        <v>0</v>
      </c>
      <c r="H127" s="596">
        <v>597.73812221679691</v>
      </c>
      <c r="I127" s="596">
        <v>485.52732976562504</v>
      </c>
      <c r="J127" s="596">
        <v>537.08778383789058</v>
      </c>
      <c r="K127" s="596">
        <v>-697.98747865234373</v>
      </c>
      <c r="L127" s="596">
        <v>-4250.7435863281253</v>
      </c>
      <c r="M127" s="596">
        <v>5010.6806179687501</v>
      </c>
      <c r="N127" s="596">
        <v>511.62923739257815</v>
      </c>
      <c r="O127" s="596">
        <v>1253.4916856933594</v>
      </c>
      <c r="P127" s="592">
        <v>85.96512508392334</v>
      </c>
      <c r="Q127" s="592">
        <v>-2192.111046386719</v>
      </c>
      <c r="R127" s="592">
        <v>105.48891596923829</v>
      </c>
      <c r="S127" s="592">
        <v>2074.6154116484377</v>
      </c>
      <c r="T127" s="593">
        <v>481.03443312644958</v>
      </c>
      <c r="U127" s="487">
        <v>372.6323676109314</v>
      </c>
      <c r="V127" s="531">
        <v>376.99063999999998</v>
      </c>
      <c r="W127" s="531">
        <v>17.857450485229492</v>
      </c>
      <c r="X127" s="531">
        <v>234.13103585937498</v>
      </c>
      <c r="Y127" s="531">
        <v>27.315286987701416</v>
      </c>
      <c r="Z127" s="531">
        <v>183.92292652282714</v>
      </c>
      <c r="AA127" s="531">
        <v>366.14286158203123</v>
      </c>
      <c r="AB127" s="531">
        <v>59.158457341018675</v>
      </c>
      <c r="AC127" s="531">
        <v>317.00000186035157</v>
      </c>
      <c r="AD127" s="531">
        <v>312.80806220092774</v>
      </c>
      <c r="AE127" s="739">
        <v>75.144223213195801</v>
      </c>
      <c r="AF127" s="531"/>
      <c r="AG127" s="531"/>
      <c r="AH127" s="531"/>
      <c r="AI127" s="531"/>
      <c r="AJ127" s="531"/>
      <c r="AK127" s="531"/>
      <c r="AL127" s="531"/>
      <c r="AM127" s="531"/>
      <c r="AN127" s="531"/>
      <c r="AO127" s="531"/>
      <c r="AP127" s="531"/>
      <c r="AQ127" s="531"/>
      <c r="AR127" s="531"/>
      <c r="AS127" s="531"/>
      <c r="AT127" s="531"/>
      <c r="AU127" s="531"/>
      <c r="AV127" s="531"/>
      <c r="AW127" s="531"/>
      <c r="AX127" s="531"/>
      <c r="AY127" s="531"/>
      <c r="AZ127" s="531"/>
      <c r="BA127" s="531"/>
      <c r="BB127" s="531"/>
      <c r="BC127" s="531"/>
      <c r="BD127" s="531"/>
      <c r="BE127" s="531"/>
      <c r="BF127" s="531"/>
      <c r="BG127" s="531"/>
      <c r="BH127" s="531"/>
      <c r="BI127" s="531"/>
      <c r="BJ127" s="531"/>
      <c r="BK127" s="531"/>
      <c r="BL127" s="531"/>
      <c r="BM127" s="531"/>
      <c r="BN127" s="531"/>
      <c r="BO127" s="531"/>
    </row>
    <row r="128" spans="1:67">
      <c r="A128" s="325" t="s">
        <v>453</v>
      </c>
      <c r="B128" s="594" t="s">
        <v>452</v>
      </c>
      <c r="C128" s="583">
        <f>[2]!FAMEData(""&amp;B103&amp;"'jk6068", "1996", "2024", 0,"Annual", "Across", "No Heading", "Normal")</f>
        <v>52.005162037037039</v>
      </c>
      <c r="D128" s="595">
        <v>55.591720000000002</v>
      </c>
      <c r="E128" s="596">
        <v>50.032550811767578</v>
      </c>
      <c r="F128" s="596">
        <v>53.606304168701172</v>
      </c>
      <c r="G128" s="596">
        <v>68.683074951171875</v>
      </c>
      <c r="H128" s="596">
        <v>88.975800000000007</v>
      </c>
      <c r="I128" s="596">
        <v>98.647087097167969</v>
      </c>
      <c r="J128" s="596">
        <v>102.2342529296875</v>
      </c>
      <c r="K128" s="596">
        <v>73.536919999999995</v>
      </c>
      <c r="L128" s="596">
        <v>156.87876</v>
      </c>
      <c r="M128" s="596">
        <v>137.70468</v>
      </c>
      <c r="N128" s="596">
        <v>427.359375</v>
      </c>
      <c r="O128" s="596">
        <v>553.761474609375</v>
      </c>
      <c r="P128" s="592">
        <v>389.68400000000003</v>
      </c>
      <c r="Q128" s="592">
        <v>421.31884765625</v>
      </c>
      <c r="R128" s="592">
        <v>438.873779296875</v>
      </c>
      <c r="S128" s="592">
        <v>791.26361855468747</v>
      </c>
      <c r="T128" s="593">
        <v>952.77158315429688</v>
      </c>
      <c r="U128" s="487">
        <v>842.12713623046875</v>
      </c>
      <c r="V128" s="531">
        <v>628.86898791503904</v>
      </c>
      <c r="W128" s="531">
        <v>757.77511596679688</v>
      </c>
      <c r="X128" s="531">
        <v>980.85849091796877</v>
      </c>
      <c r="Y128" s="531">
        <v>1092.8232656738282</v>
      </c>
      <c r="Z128" s="531">
        <v>1192.1708818359375</v>
      </c>
      <c r="AA128" s="531">
        <v>1547.1922999999999</v>
      </c>
      <c r="AB128" s="531">
        <v>877.96169897460936</v>
      </c>
      <c r="AC128" s="531">
        <v>708</v>
      </c>
      <c r="AD128" s="531">
        <v>733.56687167968744</v>
      </c>
      <c r="AE128" s="739">
        <v>756.68328222656248</v>
      </c>
      <c r="AF128" s="531"/>
      <c r="AG128" s="531"/>
      <c r="AH128" s="531"/>
      <c r="AI128" s="531"/>
      <c r="AJ128" s="531"/>
      <c r="AK128" s="531"/>
      <c r="AL128" s="531"/>
      <c r="AM128" s="531"/>
      <c r="AN128" s="531"/>
      <c r="AO128" s="531"/>
      <c r="AP128" s="531"/>
      <c r="AQ128" s="531"/>
      <c r="AR128" s="531"/>
      <c r="AS128" s="531"/>
      <c r="AT128" s="531"/>
      <c r="AU128" s="531"/>
      <c r="AV128" s="531"/>
      <c r="AW128" s="531"/>
      <c r="AX128" s="531"/>
      <c r="AY128" s="531"/>
      <c r="AZ128" s="531"/>
      <c r="BA128" s="531"/>
      <c r="BB128" s="531"/>
      <c r="BC128" s="531"/>
      <c r="BD128" s="531"/>
      <c r="BE128" s="531"/>
      <c r="BF128" s="531"/>
      <c r="BG128" s="531"/>
      <c r="BH128" s="531"/>
      <c r="BI128" s="531"/>
      <c r="BJ128" s="531"/>
      <c r="BK128" s="531"/>
      <c r="BL128" s="531"/>
      <c r="BM128" s="531"/>
      <c r="BN128" s="531"/>
      <c r="BO128" s="531"/>
    </row>
    <row r="129" spans="1:106">
      <c r="C129" s="584"/>
      <c r="D129" s="584"/>
      <c r="E129" s="584"/>
      <c r="F129" s="584"/>
      <c r="G129" s="487"/>
      <c r="H129" s="544"/>
      <c r="I129" s="544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  <c r="AA129" s="544"/>
      <c r="AB129" s="544"/>
      <c r="AC129" s="544"/>
      <c r="AD129" s="544"/>
      <c r="AE129" s="744"/>
      <c r="AF129" s="544"/>
      <c r="AG129" s="544"/>
      <c r="AH129" s="544"/>
      <c r="AI129" s="544"/>
      <c r="AJ129" s="544"/>
      <c r="AK129" s="544"/>
    </row>
    <row r="130" spans="1:106">
      <c r="A130" s="325" t="s">
        <v>512</v>
      </c>
      <c r="C130" s="517">
        <f>SUM(C123:C128)</f>
        <v>5381.3019907407406</v>
      </c>
      <c r="D130" s="517">
        <f t="shared" ref="D130:AE130" si="264">SUM(D123:D128)</f>
        <v>656.01896943161012</v>
      </c>
      <c r="E130" s="517">
        <f t="shared" si="264"/>
        <v>2046.3684173248291</v>
      </c>
      <c r="F130" s="517">
        <f t="shared" si="264"/>
        <v>-1877.0833176328279</v>
      </c>
      <c r="G130" s="517">
        <f t="shared" si="264"/>
        <v>5463.3633737346945</v>
      </c>
      <c r="H130" s="517">
        <f t="shared" si="264"/>
        <v>4471.9025976201383</v>
      </c>
      <c r="I130" s="517">
        <f t="shared" si="264"/>
        <v>7092.1713688333439</v>
      </c>
      <c r="J130" s="517">
        <f t="shared" si="264"/>
        <v>1904.5714529296874</v>
      </c>
      <c r="K130" s="517">
        <f t="shared" si="264"/>
        <v>3458.8229494059924</v>
      </c>
      <c r="L130" s="517">
        <f t="shared" si="264"/>
        <v>-395.06608760393061</v>
      </c>
      <c r="M130" s="517">
        <f t="shared" si="264"/>
        <v>7348.7112833320307</v>
      </c>
      <c r="N130" s="517">
        <f t="shared" si="264"/>
        <v>10460.972553464408</v>
      </c>
      <c r="O130" s="517">
        <f t="shared" si="264"/>
        <v>12812.229868914794</v>
      </c>
      <c r="P130" s="517">
        <f t="shared" si="264"/>
        <v>11214.257635136584</v>
      </c>
      <c r="Q130" s="517">
        <f t="shared" si="264"/>
        <v>913.88062879443805</v>
      </c>
      <c r="R130" s="517">
        <f t="shared" si="264"/>
        <v>480.4730105786133</v>
      </c>
      <c r="S130" s="517">
        <f t="shared" si="264"/>
        <v>12954.29164155603</v>
      </c>
      <c r="T130" s="517">
        <f t="shared" si="264"/>
        <v>7147.8863166261417</v>
      </c>
      <c r="U130" s="517">
        <f t="shared" si="264"/>
        <v>5827.40991544397</v>
      </c>
      <c r="V130" s="517">
        <f t="shared" si="264"/>
        <v>5831.3812655142556</v>
      </c>
      <c r="W130" s="517">
        <f t="shared" si="264"/>
        <v>2487.2963329992676</v>
      </c>
      <c r="X130" s="517">
        <f t="shared" si="264"/>
        <v>5029.9054422737099</v>
      </c>
      <c r="Y130" s="517">
        <f t="shared" si="264"/>
        <v>3123.8565481439487</v>
      </c>
      <c r="Z130" s="517">
        <f t="shared" si="264"/>
        <v>4682.1202213539718</v>
      </c>
      <c r="AA130" s="517">
        <f t="shared" si="264"/>
        <v>6826.6527197391879</v>
      </c>
      <c r="AB130" s="517">
        <f t="shared" si="264"/>
        <v>2006.7163845658829</v>
      </c>
      <c r="AC130" s="517">
        <f t="shared" si="264"/>
        <v>5071.9999949169924</v>
      </c>
      <c r="AD130" s="517">
        <f t="shared" si="264"/>
        <v>7378.5019422874748</v>
      </c>
      <c r="AE130" s="763">
        <f t="shared" si="264"/>
        <v>10700.500422816467</v>
      </c>
      <c r="AF130" s="544"/>
      <c r="AG130" s="544"/>
      <c r="AH130" s="544"/>
      <c r="AI130" s="544"/>
      <c r="AJ130" s="544"/>
      <c r="AK130" s="544"/>
      <c r="AL130" s="544"/>
      <c r="AM130" s="544"/>
      <c r="AN130" s="544"/>
      <c r="AO130" s="544"/>
      <c r="AP130" s="544"/>
      <c r="AQ130" s="544"/>
      <c r="AR130" s="544"/>
      <c r="AS130" s="544"/>
      <c r="AT130" s="544"/>
      <c r="AU130" s="544"/>
      <c r="AV130" s="544"/>
      <c r="AW130" s="544"/>
      <c r="AX130" s="544"/>
      <c r="AY130" s="544"/>
      <c r="AZ130" s="544"/>
      <c r="BA130" s="544"/>
      <c r="BB130" s="544"/>
      <c r="BC130" s="544"/>
      <c r="BD130" s="544"/>
      <c r="BE130" s="544"/>
      <c r="BF130" s="544"/>
      <c r="BG130" s="544"/>
      <c r="BH130" s="544"/>
      <c r="BI130" s="544"/>
      <c r="BJ130" s="544"/>
      <c r="BK130" s="544"/>
      <c r="BL130" s="544"/>
      <c r="BM130" s="544"/>
      <c r="BN130" s="544"/>
      <c r="BO130" s="544"/>
    </row>
    <row r="131" spans="1:106">
      <c r="A131" s="325" t="s">
        <v>523</v>
      </c>
      <c r="C131" s="504">
        <f>[2]!FAMEData(""&amp;B103&amp;"'jks68", "1996", "2024", 0,"Annual", "Across", "No Heading", "Normal")</f>
        <v>9324.8369097222221</v>
      </c>
      <c r="D131" s="504">
        <v>1191.0227050781252</v>
      </c>
      <c r="E131" s="504">
        <v>3799.48046875</v>
      </c>
      <c r="F131" s="504">
        <v>-4069.1821289062495</v>
      </c>
      <c r="G131" s="504">
        <v>9572.2880859374982</v>
      </c>
      <c r="H131" s="504">
        <v>7278.12158203125</v>
      </c>
      <c r="I131" s="504">
        <v>13104.107421875</v>
      </c>
      <c r="J131" s="504">
        <v>1155.9866943359375</v>
      </c>
      <c r="K131" s="504">
        <v>7432.4697265624991</v>
      </c>
      <c r="L131" s="504">
        <v>3669.424560546875</v>
      </c>
      <c r="M131" s="504">
        <v>6070.22412109375</v>
      </c>
      <c r="N131" s="504">
        <v>13037.299804687498</v>
      </c>
      <c r="O131" s="504">
        <v>15308.853515625</v>
      </c>
      <c r="P131" s="504">
        <v>14500.0830078125</v>
      </c>
      <c r="Q131" s="504">
        <v>2065.5888671875</v>
      </c>
      <c r="R131" s="504">
        <v>-930.87396240234375</v>
      </c>
      <c r="S131" s="504">
        <v>13049.9189453125</v>
      </c>
      <c r="T131" s="504">
        <v>6665.04833984375</v>
      </c>
      <c r="U131" s="504">
        <v>5683.8623046875</v>
      </c>
      <c r="V131" s="504">
        <v>5901.17626953125</v>
      </c>
      <c r="W131" s="504">
        <v>2517.0950317382813</v>
      </c>
      <c r="X131" s="504">
        <v>5079.71630859375</v>
      </c>
      <c r="Y131" s="504">
        <v>3193.238525390625</v>
      </c>
      <c r="Z131" s="504">
        <v>4738.69580078125</v>
      </c>
      <c r="AA131" s="487">
        <v>6886.76806640625</v>
      </c>
      <c r="AB131" s="544">
        <v>2041.2091674804688</v>
      </c>
      <c r="AC131" s="544">
        <v>5072</v>
      </c>
      <c r="AD131" s="544">
        <v>7378.501953125</v>
      </c>
      <c r="AE131" s="744">
        <v>10700.50048828125</v>
      </c>
      <c r="AF131" s="544"/>
      <c r="AG131" s="544"/>
      <c r="AH131" s="544"/>
      <c r="AI131" s="544"/>
      <c r="AJ131" s="544"/>
      <c r="AK131" s="544"/>
      <c r="AL131" s="544"/>
      <c r="AM131" s="544"/>
      <c r="AN131" s="544"/>
      <c r="AO131" s="544"/>
      <c r="AP131" s="544"/>
      <c r="AQ131" s="544"/>
      <c r="AR131" s="544"/>
      <c r="AS131" s="544"/>
      <c r="AT131" s="544"/>
      <c r="AU131" s="544"/>
      <c r="AV131" s="544"/>
      <c r="AW131" s="544"/>
      <c r="AX131" s="544"/>
      <c r="AY131" s="544"/>
      <c r="AZ131" s="544"/>
      <c r="BA131" s="544"/>
      <c r="BB131" s="544"/>
      <c r="BC131" s="544"/>
      <c r="BD131" s="544"/>
      <c r="BE131" s="544"/>
      <c r="BF131" s="544"/>
      <c r="BG131" s="544"/>
      <c r="BH131" s="544"/>
      <c r="BI131" s="544"/>
      <c r="BJ131" s="544"/>
      <c r="BK131" s="544"/>
      <c r="BL131" s="544"/>
      <c r="BM131" s="544"/>
      <c r="BN131" s="544"/>
      <c r="BO131" s="544"/>
    </row>
    <row r="132" spans="1:106" s="541" customFormat="1">
      <c r="A132" s="325" t="s">
        <v>507</v>
      </c>
      <c r="C132" s="517">
        <f>C130-C131</f>
        <v>-3943.5349189814815</v>
      </c>
      <c r="D132" s="517">
        <f t="shared" ref="D132:AE132" si="265">D130-D131</f>
        <v>-535.00373564651511</v>
      </c>
      <c r="E132" s="517">
        <f t="shared" si="265"/>
        <v>-1753.1120514251709</v>
      </c>
      <c r="F132" s="517">
        <f t="shared" si="265"/>
        <v>2192.0988112734217</v>
      </c>
      <c r="G132" s="517">
        <f t="shared" si="265"/>
        <v>-4108.9247122028037</v>
      </c>
      <c r="H132" s="517">
        <f t="shared" si="265"/>
        <v>-2806.2189844111117</v>
      </c>
      <c r="I132" s="517">
        <f t="shared" si="265"/>
        <v>-6011.9360530416561</v>
      </c>
      <c r="J132" s="517">
        <f t="shared" si="265"/>
        <v>748.58475859374994</v>
      </c>
      <c r="K132" s="517">
        <f t="shared" si="265"/>
        <v>-3973.6467771565067</v>
      </c>
      <c r="L132" s="517">
        <f t="shared" si="265"/>
        <v>-4064.4906481508056</v>
      </c>
      <c r="M132" s="517">
        <f t="shared" si="265"/>
        <v>1278.4871622382807</v>
      </c>
      <c r="N132" s="517">
        <f t="shared" si="265"/>
        <v>-2576.3272512230906</v>
      </c>
      <c r="O132" s="517">
        <f t="shared" si="265"/>
        <v>-2496.6236467102062</v>
      </c>
      <c r="P132" s="517">
        <f t="shared" si="265"/>
        <v>-3285.8253726759158</v>
      </c>
      <c r="Q132" s="517">
        <f t="shared" si="265"/>
        <v>-1151.7082383930619</v>
      </c>
      <c r="R132" s="517">
        <f t="shared" si="265"/>
        <v>1411.3469729809572</v>
      </c>
      <c r="S132" s="517">
        <f t="shared" si="265"/>
        <v>-95.627303756469701</v>
      </c>
      <c r="T132" s="517">
        <f t="shared" si="265"/>
        <v>482.83797678239171</v>
      </c>
      <c r="U132" s="517">
        <f t="shared" si="265"/>
        <v>143.54761075647002</v>
      </c>
      <c r="V132" s="517">
        <f t="shared" si="265"/>
        <v>-69.795004016994426</v>
      </c>
      <c r="W132" s="517">
        <f t="shared" si="265"/>
        <v>-29.798698739013616</v>
      </c>
      <c r="X132" s="517">
        <f t="shared" si="265"/>
        <v>-49.810866320040077</v>
      </c>
      <c r="Y132" s="517">
        <f t="shared" si="265"/>
        <v>-69.381977246676342</v>
      </c>
      <c r="Z132" s="517">
        <f t="shared" si="265"/>
        <v>-56.575579427278171</v>
      </c>
      <c r="AA132" s="517">
        <f t="shared" si="265"/>
        <v>-60.115346667062113</v>
      </c>
      <c r="AB132" s="517">
        <f t="shared" si="265"/>
        <v>-34.49278291458586</v>
      </c>
      <c r="AC132" s="517">
        <f t="shared" si="265"/>
        <v>-5.0830076361307874E-6</v>
      </c>
      <c r="AD132" s="517">
        <f t="shared" si="265"/>
        <v>-1.0837525223905686E-5</v>
      </c>
      <c r="AE132" s="763">
        <f t="shared" si="265"/>
        <v>-6.5464782892377116E-5</v>
      </c>
      <c r="AF132" s="555"/>
      <c r="AG132" s="555"/>
      <c r="AH132" s="555"/>
      <c r="AI132" s="555"/>
      <c r="AJ132" s="555"/>
      <c r="AK132" s="555"/>
      <c r="AL132" s="555"/>
      <c r="AM132" s="555"/>
      <c r="AN132" s="555"/>
      <c r="AO132" s="555"/>
      <c r="AP132" s="555"/>
      <c r="AQ132" s="555"/>
      <c r="AR132" s="555"/>
      <c r="AS132" s="555"/>
      <c r="AT132" s="555"/>
      <c r="AU132" s="555"/>
      <c r="AV132" s="555"/>
      <c r="AW132" s="555"/>
      <c r="AX132" s="555"/>
      <c r="AY132" s="555"/>
      <c r="AZ132" s="555"/>
      <c r="BA132" s="555"/>
      <c r="BB132" s="555"/>
      <c r="BC132" s="555"/>
      <c r="BD132" s="555"/>
      <c r="BE132" s="555"/>
      <c r="BF132" s="555"/>
      <c r="BG132" s="555"/>
      <c r="BH132" s="555"/>
      <c r="BI132" s="555"/>
      <c r="BJ132" s="555"/>
      <c r="BK132" s="555"/>
      <c r="BL132" s="555"/>
      <c r="BM132" s="555"/>
      <c r="BN132" s="555"/>
      <c r="BO132" s="555"/>
    </row>
    <row r="133" spans="1:106" s="588" customFormat="1">
      <c r="A133" s="325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97"/>
      <c r="Z133" s="597"/>
      <c r="AA133" s="597"/>
      <c r="AB133" s="597"/>
      <c r="AC133" s="597"/>
      <c r="AD133" s="597"/>
      <c r="AE133" s="761"/>
      <c r="AF133" s="597"/>
      <c r="AG133" s="597"/>
      <c r="AH133" s="597"/>
      <c r="AI133" s="597"/>
      <c r="AJ133" s="597"/>
      <c r="AK133" s="597"/>
      <c r="AL133" s="597"/>
      <c r="AM133" s="597"/>
      <c r="AN133" s="597"/>
      <c r="AO133" s="597"/>
      <c r="AP133" s="597"/>
      <c r="AQ133" s="597"/>
      <c r="AR133" s="597"/>
      <c r="AS133" s="597"/>
      <c r="AT133" s="597"/>
      <c r="AU133" s="597"/>
      <c r="AV133" s="597"/>
      <c r="AW133" s="597"/>
      <c r="AX133" s="597"/>
      <c r="AY133" s="597"/>
      <c r="AZ133" s="597"/>
      <c r="BA133" s="597"/>
      <c r="BB133" s="597"/>
      <c r="BC133" s="597"/>
      <c r="BD133" s="597"/>
      <c r="BE133" s="597"/>
      <c r="BF133" s="597"/>
      <c r="BG133" s="597"/>
      <c r="BH133" s="597"/>
      <c r="BI133" s="597"/>
      <c r="BJ133" s="597"/>
      <c r="BK133" s="597"/>
      <c r="BL133" s="597"/>
      <c r="BM133" s="597"/>
      <c r="BN133" s="597"/>
      <c r="BO133" s="597"/>
    </row>
    <row r="134" spans="1:106">
      <c r="A134" s="324"/>
      <c r="D134" s="544"/>
      <c r="E134" s="544"/>
      <c r="F134" s="544"/>
      <c r="G134" s="544"/>
      <c r="H134" s="544"/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  <c r="AA134" s="544"/>
      <c r="AB134" s="544"/>
      <c r="AC134" s="544"/>
      <c r="AD134" s="544"/>
      <c r="AE134" s="744"/>
      <c r="AF134" s="544"/>
      <c r="AG134" s="544"/>
      <c r="AH134" s="544"/>
      <c r="AI134" s="544"/>
      <c r="AJ134" s="544"/>
      <c r="AK134" s="544"/>
    </row>
    <row r="135" spans="1:106">
      <c r="A135" s="324" t="s">
        <v>488</v>
      </c>
      <c r="D135" s="544"/>
      <c r="E135" s="544"/>
      <c r="F135" s="544"/>
      <c r="G135" s="544"/>
      <c r="H135" s="544"/>
      <c r="I135" s="544"/>
      <c r="J135" s="544"/>
      <c r="K135" s="544"/>
      <c r="L135" s="544"/>
      <c r="M135" s="598" t="s">
        <v>540</v>
      </c>
      <c r="N135" s="324"/>
      <c r="O135" s="551"/>
      <c r="P135" s="551"/>
      <c r="Q135" s="551"/>
      <c r="R135" s="551"/>
      <c r="S135" s="551"/>
      <c r="T135" s="551"/>
      <c r="U135" s="551"/>
      <c r="V135" s="551"/>
      <c r="W135" s="551"/>
      <c r="X135" s="544"/>
      <c r="Y135" s="544"/>
      <c r="Z135" s="544"/>
      <c r="AA135" s="544"/>
      <c r="AB135" s="544"/>
      <c r="AC135" s="544"/>
      <c r="AD135" s="544"/>
      <c r="AE135" s="744"/>
      <c r="AF135" s="544"/>
      <c r="AG135" s="544"/>
      <c r="AH135" s="544"/>
      <c r="AI135" s="544"/>
      <c r="AJ135" s="544"/>
      <c r="AK135" s="599" t="s">
        <v>626</v>
      </c>
    </row>
    <row r="136" spans="1:106"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  <c r="AB136" s="324"/>
      <c r="AC136" s="324"/>
      <c r="AD136" s="324"/>
      <c r="AE136" s="759"/>
      <c r="AF136" s="324"/>
      <c r="AG136" s="324"/>
      <c r="AH136" s="324"/>
      <c r="AI136" s="324"/>
      <c r="AJ136" s="324"/>
      <c r="AK136" s="324"/>
      <c r="AL136" s="324"/>
      <c r="AM136" s="324"/>
      <c r="AN136" s="324"/>
      <c r="AO136" s="324"/>
      <c r="AP136" s="324"/>
      <c r="AQ136" s="324"/>
      <c r="AR136" s="324"/>
      <c r="AS136" s="324"/>
      <c r="AT136" s="324"/>
      <c r="AU136" s="324"/>
      <c r="AV136" s="324"/>
      <c r="AW136" s="324"/>
      <c r="AX136" s="324"/>
      <c r="AY136" s="324"/>
      <c r="AZ136" s="324"/>
      <c r="BA136" s="324"/>
      <c r="BB136" s="324"/>
      <c r="BC136" s="324"/>
      <c r="BD136" s="324"/>
      <c r="BE136" s="324"/>
      <c r="BF136" s="324"/>
      <c r="BG136" s="324"/>
      <c r="BH136" s="324"/>
      <c r="BI136" s="324"/>
      <c r="BJ136" s="324"/>
      <c r="BK136" s="324"/>
      <c r="BL136" s="324"/>
      <c r="BM136" s="324"/>
      <c r="BN136" s="324"/>
      <c r="BO136" s="324"/>
    </row>
    <row r="137" spans="1:106">
      <c r="A137" s="325" t="s">
        <v>521</v>
      </c>
      <c r="B137" s="325" t="s">
        <v>336</v>
      </c>
      <c r="C137" s="517">
        <f t="shared" ref="C137:X137" si="266">C106</f>
        <v>4187.2850694444442</v>
      </c>
      <c r="D137" s="517">
        <f t="shared" si="266"/>
        <v>1734.4463270019533</v>
      </c>
      <c r="E137" s="517">
        <f t="shared" si="266"/>
        <v>2459.2071031250002</v>
      </c>
      <c r="F137" s="517">
        <f t="shared" si="266"/>
        <v>5638.572265625</v>
      </c>
      <c r="G137" s="517">
        <f t="shared" si="266"/>
        <v>2173.6285703125</v>
      </c>
      <c r="H137" s="517">
        <f t="shared" si="266"/>
        <v>377.80903244018555</v>
      </c>
      <c r="I137" s="517">
        <f t="shared" si="266"/>
        <v>4378.8306318359373</v>
      </c>
      <c r="J137" s="517">
        <f t="shared" si="266"/>
        <v>16371.13850390625</v>
      </c>
      <c r="K137" s="517">
        <f t="shared" si="266"/>
        <v>17742.426853515626</v>
      </c>
      <c r="L137" s="517">
        <f t="shared" si="266"/>
        <v>17400.819386718751</v>
      </c>
      <c r="M137" s="517">
        <f t="shared" si="266"/>
        <v>13850.123679687498</v>
      </c>
      <c r="N137" s="517">
        <f t="shared" si="266"/>
        <v>8892.3440371093748</v>
      </c>
      <c r="O137" s="517">
        <f t="shared" si="266"/>
        <v>3638.5188955078124</v>
      </c>
      <c r="P137" s="517">
        <f t="shared" si="266"/>
        <v>4322.0162437500003</v>
      </c>
      <c r="Q137" s="517">
        <f t="shared" si="266"/>
        <v>5003.5707148437505</v>
      </c>
      <c r="R137" s="517">
        <f t="shared" si="266"/>
        <v>3724.4747434570313</v>
      </c>
      <c r="S137" s="517">
        <f t="shared" si="266"/>
        <v>2607.2838999999999</v>
      </c>
      <c r="T137" s="517">
        <f t="shared" si="266"/>
        <v>3118.7743</v>
      </c>
      <c r="U137" s="517">
        <f t="shared" si="266"/>
        <v>5068.5420156250002</v>
      </c>
      <c r="V137" s="517">
        <f t="shared" si="266"/>
        <v>6890.9691162109375</v>
      </c>
      <c r="W137" s="517">
        <f t="shared" si="266"/>
        <v>5218.0791132812501</v>
      </c>
      <c r="X137" s="517">
        <f t="shared" si="266"/>
        <v>2769.2837397460939</v>
      </c>
      <c r="Y137" s="517">
        <f t="shared" ref="Y137:Z137" si="267">Y106</f>
        <v>789.41672729492188</v>
      </c>
      <c r="Z137" s="517">
        <f t="shared" si="267"/>
        <v>530.7515881884766</v>
      </c>
      <c r="AA137" s="517">
        <f t="shared" ref="AA137:AB137" si="268">AA106</f>
        <v>456.96999734863277</v>
      </c>
      <c r="AB137" s="517">
        <f t="shared" si="268"/>
        <v>1482.2528755371095</v>
      </c>
      <c r="AC137" s="517">
        <f t="shared" ref="AC137:AD137" si="269">AC106</f>
        <v>1309.9999812316894</v>
      </c>
      <c r="AD137" s="517">
        <f t="shared" si="269"/>
        <v>584.49258674072257</v>
      </c>
      <c r="AE137" s="763">
        <f t="shared" ref="AE137" si="270">AE106</f>
        <v>1160.3144790039064</v>
      </c>
      <c r="AF137" s="540">
        <f t="shared" ref="AF137:AK137" si="271">AE137*(1+AF72/100)</f>
        <v>1541.5394187145089</v>
      </c>
      <c r="AG137" s="540">
        <f t="shared" si="271"/>
        <v>1393.8466664724115</v>
      </c>
      <c r="AH137" s="540">
        <f t="shared" si="271"/>
        <v>1050.7230430972368</v>
      </c>
      <c r="AI137" s="540">
        <f t="shared" si="271"/>
        <v>932.82953621059414</v>
      </c>
      <c r="AJ137" s="540">
        <f t="shared" si="271"/>
        <v>580.5753682340586</v>
      </c>
      <c r="AK137" s="540">
        <f t="shared" si="271"/>
        <v>750.47195739803169</v>
      </c>
      <c r="AL137" s="540">
        <f t="shared" ref="AL137:AU138" si="272">AL$85*$AK137/$AK$148</f>
        <v>703.80200419575613</v>
      </c>
      <c r="AM137" s="540">
        <f t="shared" si="272"/>
        <v>672.78724830563749</v>
      </c>
      <c r="AN137" s="540">
        <f t="shared" si="272"/>
        <v>661.95044155470612</v>
      </c>
      <c r="AO137" s="540">
        <f t="shared" si="272"/>
        <v>628.01010828651283</v>
      </c>
      <c r="AP137" s="540">
        <f t="shared" si="272"/>
        <v>595.43268155972055</v>
      </c>
      <c r="AQ137" s="540">
        <f t="shared" si="272"/>
        <v>577.8798293633173</v>
      </c>
      <c r="AR137" s="540">
        <f t="shared" si="272"/>
        <v>569.2985356939796</v>
      </c>
      <c r="AS137" s="540">
        <f t="shared" si="272"/>
        <v>568.9501777702186</v>
      </c>
      <c r="AT137" s="540">
        <f t="shared" si="272"/>
        <v>558.16701939285656</v>
      </c>
      <c r="AU137" s="540">
        <f t="shared" si="272"/>
        <v>547.08705247295688</v>
      </c>
      <c r="AV137" s="540">
        <f t="shared" ref="AV137:BK138" si="273">AV$85*$AK137/$AK$148</f>
        <v>541.84513178005989</v>
      </c>
      <c r="AW137" s="540">
        <f t="shared" si="273"/>
        <v>531.73017995745738</v>
      </c>
      <c r="AX137" s="540">
        <f t="shared" si="273"/>
        <v>522.15749579273904</v>
      </c>
      <c r="AY137" s="540">
        <f t="shared" si="273"/>
        <v>506.38281895797405</v>
      </c>
      <c r="AZ137" s="540">
        <f t="shared" si="273"/>
        <v>492.87725560428919</v>
      </c>
      <c r="BA137" s="540">
        <f t="shared" si="273"/>
        <v>477.56981429025791</v>
      </c>
      <c r="BB137" s="540">
        <f t="shared" si="273"/>
        <v>464.58490166605367</v>
      </c>
      <c r="BC137" s="540">
        <f t="shared" si="273"/>
        <v>452.24554577742958</v>
      </c>
      <c r="BD137" s="540">
        <f t="shared" si="273"/>
        <v>444.91202126126103</v>
      </c>
      <c r="BE137" s="540">
        <f t="shared" si="273"/>
        <v>429.43614497267885</v>
      </c>
      <c r="BF137" s="540">
        <f t="shared" si="273"/>
        <v>409.3569696029902</v>
      </c>
      <c r="BG137" s="540">
        <f t="shared" si="273"/>
        <v>400.95882980746086</v>
      </c>
      <c r="BH137" s="540">
        <f t="shared" si="273"/>
        <v>392.65881463574237</v>
      </c>
      <c r="BI137" s="540">
        <f t="shared" si="273"/>
        <v>384.67604448836238</v>
      </c>
      <c r="BJ137" s="540">
        <f t="shared" si="273"/>
        <v>373.84544691317478</v>
      </c>
      <c r="BK137" s="540">
        <f t="shared" si="273"/>
        <v>362.64868955756765</v>
      </c>
      <c r="BL137" s="540">
        <f t="shared" ref="BF137:BO138" si="274">BL$85*$AK137/$AK$148</f>
        <v>349.91041649531297</v>
      </c>
      <c r="BM137" s="540">
        <f t="shared" si="274"/>
        <v>341.07982746485897</v>
      </c>
      <c r="BN137" s="540">
        <f t="shared" si="274"/>
        <v>328.8142494888715</v>
      </c>
      <c r="BO137" s="540">
        <f t="shared" si="274"/>
        <v>318.82103122212106</v>
      </c>
      <c r="BP137" s="540">
        <f t="shared" ref="BP137:BY138" si="275">BP$85*$AK137/$AK$148</f>
        <v>320.22360949593235</v>
      </c>
      <c r="BQ137" s="540">
        <f t="shared" si="275"/>
        <v>321.824727543412</v>
      </c>
      <c r="BR137" s="540">
        <f t="shared" si="275"/>
        <v>323.433851181129</v>
      </c>
      <c r="BS137" s="540">
        <f t="shared" si="275"/>
        <v>325.05102043703459</v>
      </c>
      <c r="BT137" s="540">
        <f t="shared" si="275"/>
        <v>326.67627553921977</v>
      </c>
      <c r="BU137" s="540">
        <f t="shared" si="275"/>
        <v>328.3096569169158</v>
      </c>
      <c r="BV137" s="540">
        <f t="shared" si="275"/>
        <v>329.95120520150039</v>
      </c>
      <c r="BW137" s="540">
        <f t="shared" si="275"/>
        <v>331.60096122750787</v>
      </c>
      <c r="BX137" s="540">
        <f t="shared" si="275"/>
        <v>333.25896603364538</v>
      </c>
      <c r="BY137" s="540">
        <f t="shared" si="275"/>
        <v>334.92526086381361</v>
      </c>
      <c r="BZ137" s="540">
        <f t="shared" ref="BZ137:CO138" si="276">BZ$85*$AK137/$AK$148</f>
        <v>336.59988716813262</v>
      </c>
      <c r="CA137" s="540">
        <f t="shared" si="276"/>
        <v>338.28288660397322</v>
      </c>
      <c r="CB137" s="540">
        <f t="shared" si="276"/>
        <v>339.97430103699304</v>
      </c>
      <c r="CC137" s="540">
        <f t="shared" si="276"/>
        <v>341.67417254217798</v>
      </c>
      <c r="CD137" s="540">
        <f t="shared" si="276"/>
        <v>343.38254340488879</v>
      </c>
      <c r="CE137" s="540">
        <f t="shared" si="276"/>
        <v>345.09945612191325</v>
      </c>
      <c r="CF137" s="540">
        <f t="shared" si="276"/>
        <v>346.82495340252279</v>
      </c>
      <c r="CG137" s="540">
        <f t="shared" si="276"/>
        <v>348.55907816953538</v>
      </c>
      <c r="CH137" s="540">
        <f t="shared" si="276"/>
        <v>350.301873560383</v>
      </c>
      <c r="CI137" s="540">
        <f t="shared" si="276"/>
        <v>352.05338292818493</v>
      </c>
      <c r="CJ137" s="540">
        <f t="shared" si="276"/>
        <v>353.81364984282584</v>
      </c>
      <c r="CK137" s="540">
        <f t="shared" si="276"/>
        <v>355.5827180920399</v>
      </c>
      <c r="CL137" s="540">
        <f t="shared" si="276"/>
        <v>357.36063168250007</v>
      </c>
      <c r="CM137" s="540">
        <f t="shared" si="276"/>
        <v>359.14743484091247</v>
      </c>
      <c r="CN137" s="540">
        <f t="shared" si="276"/>
        <v>360.943172015117</v>
      </c>
      <c r="CO137" s="540">
        <f t="shared" si="276"/>
        <v>362.74788787519253</v>
      </c>
      <c r="CP137" s="540">
        <f t="shared" ref="CO137:CS143" si="277">CP$85*$AK137/$AK$148</f>
        <v>364.56162731456845</v>
      </c>
      <c r="CQ137" s="540">
        <f t="shared" si="277"/>
        <v>366.38443545114126</v>
      </c>
      <c r="CR137" s="540">
        <f t="shared" si="277"/>
        <v>368.21635762839696</v>
      </c>
      <c r="CS137" s="540">
        <f t="shared" si="277"/>
        <v>370.0574394165389</v>
      </c>
      <c r="CT137" s="514"/>
      <c r="CU137" s="514"/>
      <c r="CV137" s="514"/>
      <c r="CW137" s="514"/>
      <c r="CX137" s="514"/>
      <c r="CY137" s="514"/>
      <c r="CZ137" s="514"/>
      <c r="DA137" s="514"/>
      <c r="DB137" s="514"/>
    </row>
    <row r="138" spans="1:106">
      <c r="A138" s="325" t="s">
        <v>520</v>
      </c>
      <c r="B138" s="325" t="s">
        <v>331</v>
      </c>
      <c r="C138" s="517">
        <f t="shared" ref="C138:X138" si="278">C107</f>
        <v>12300.220046296296</v>
      </c>
      <c r="D138" s="517">
        <f t="shared" si="278"/>
        <v>15418.248269795793</v>
      </c>
      <c r="E138" s="517">
        <f t="shared" si="278"/>
        <v>14839.722586906493</v>
      </c>
      <c r="F138" s="517">
        <f t="shared" si="278"/>
        <v>7959.0607954577317</v>
      </c>
      <c r="G138" s="517">
        <f t="shared" si="278"/>
        <v>1200.7225730185853</v>
      </c>
      <c r="H138" s="517">
        <f t="shared" si="278"/>
        <v>3344.0085076792652</v>
      </c>
      <c r="I138" s="517">
        <f t="shared" si="278"/>
        <v>1293.7743985813731</v>
      </c>
      <c r="J138" s="517">
        <f t="shared" si="278"/>
        <v>5166.7600457705757</v>
      </c>
      <c r="K138" s="517">
        <f t="shared" si="278"/>
        <v>9433.9226368371383</v>
      </c>
      <c r="L138" s="517">
        <f t="shared" si="278"/>
        <v>14705.67711428077</v>
      </c>
      <c r="M138" s="517">
        <f t="shared" si="278"/>
        <v>7423.1422882612096</v>
      </c>
      <c r="N138" s="517">
        <f t="shared" si="278"/>
        <v>4715.7145391335744</v>
      </c>
      <c r="O138" s="517">
        <f t="shared" si="278"/>
        <v>2143.800546492067</v>
      </c>
      <c r="P138" s="517">
        <f t="shared" si="278"/>
        <v>549.30713657590434</v>
      </c>
      <c r="Q138" s="517">
        <f t="shared" si="278"/>
        <v>564.92121655151038</v>
      </c>
      <c r="R138" s="517">
        <f t="shared" si="278"/>
        <v>501.89950047474122</v>
      </c>
      <c r="S138" s="517">
        <f t="shared" si="278"/>
        <v>320.0940288988312</v>
      </c>
      <c r="T138" s="517">
        <f t="shared" si="278"/>
        <v>3056.2100291055508</v>
      </c>
      <c r="U138" s="517">
        <f t="shared" si="278"/>
        <v>4075.1279383923229</v>
      </c>
      <c r="V138" s="517">
        <f t="shared" si="278"/>
        <v>3884.3305144979181</v>
      </c>
      <c r="W138" s="517">
        <f t="shared" si="278"/>
        <v>1124.677980157312</v>
      </c>
      <c r="X138" s="517">
        <f t="shared" si="278"/>
        <v>2306.2542551165384</v>
      </c>
      <c r="Y138" s="517">
        <f t="shared" ref="Y138:Z138" si="279">Y107</f>
        <v>2359.468678656825</v>
      </c>
      <c r="Z138" s="517">
        <f t="shared" si="279"/>
        <v>758.18853164460984</v>
      </c>
      <c r="AA138" s="517">
        <f t="shared" ref="AA138:AB138" si="280">AA107</f>
        <v>527.15220888076783</v>
      </c>
      <c r="AB138" s="517">
        <f t="shared" si="280"/>
        <v>827.66551465711063</v>
      </c>
      <c r="AC138" s="517">
        <f t="shared" ref="AC138:AD138" si="281">AC107</f>
        <v>952.99993611168668</v>
      </c>
      <c r="AD138" s="517">
        <f t="shared" si="281"/>
        <v>2281.0135429457268</v>
      </c>
      <c r="AE138" s="763">
        <f t="shared" ref="AE138" si="282">AE107</f>
        <v>3117.8146580819866</v>
      </c>
      <c r="AF138" s="540">
        <f t="shared" ref="AF138:AK138" si="283">AE138*(1+AF71/100)</f>
        <v>3025.3381627566728</v>
      </c>
      <c r="AG138" s="540">
        <f t="shared" si="283"/>
        <v>1816.0247490349122</v>
      </c>
      <c r="AH138" s="540">
        <f t="shared" si="283"/>
        <v>1173.7442933346165</v>
      </c>
      <c r="AI138" s="540">
        <f t="shared" si="283"/>
        <v>2109.8454761235676</v>
      </c>
      <c r="AJ138" s="540">
        <f t="shared" si="283"/>
        <v>3269.0164358017846</v>
      </c>
      <c r="AK138" s="540">
        <f t="shared" si="283"/>
        <v>3218.9351770752942</v>
      </c>
      <c r="AL138" s="540">
        <f t="shared" si="272"/>
        <v>3018.7577386056173</v>
      </c>
      <c r="AM138" s="540">
        <f t="shared" si="272"/>
        <v>2885.7287989377801</v>
      </c>
      <c r="AN138" s="540">
        <f t="shared" si="272"/>
        <v>2839.2474106408972</v>
      </c>
      <c r="AO138" s="540">
        <f t="shared" si="272"/>
        <v>2693.6700421574246</v>
      </c>
      <c r="AP138" s="540">
        <f t="shared" si="272"/>
        <v>2553.9384721290899</v>
      </c>
      <c r="AQ138" s="540">
        <f t="shared" si="272"/>
        <v>2478.6505245435428</v>
      </c>
      <c r="AR138" s="540">
        <f t="shared" si="272"/>
        <v>2441.8435155877178</v>
      </c>
      <c r="AS138" s="540">
        <f t="shared" si="272"/>
        <v>2440.349333741277</v>
      </c>
      <c r="AT138" s="540">
        <f t="shared" si="272"/>
        <v>2394.098054824462</v>
      </c>
      <c r="AU138" s="540">
        <f t="shared" si="272"/>
        <v>2346.5737004129355</v>
      </c>
      <c r="AV138" s="540">
        <f t="shared" si="273"/>
        <v>2324.0899783398195</v>
      </c>
      <c r="AW138" s="540">
        <f t="shared" si="273"/>
        <v>2280.7047806449127</v>
      </c>
      <c r="AX138" s="540">
        <f t="shared" si="273"/>
        <v>2239.6454852334246</v>
      </c>
      <c r="AY138" s="540">
        <f t="shared" si="273"/>
        <v>2171.9845131346515</v>
      </c>
      <c r="AZ138" s="540">
        <f t="shared" si="273"/>
        <v>2114.0562554071776</v>
      </c>
      <c r="BA138" s="540">
        <f t="shared" si="273"/>
        <v>2048.3993566636345</v>
      </c>
      <c r="BB138" s="540">
        <f t="shared" si="273"/>
        <v>1992.7042815775285</v>
      </c>
      <c r="BC138" s="540">
        <f t="shared" si="273"/>
        <v>1939.778137781223</v>
      </c>
      <c r="BD138" s="540">
        <f t="shared" si="273"/>
        <v>1908.3230783291895</v>
      </c>
      <c r="BE138" s="540">
        <f t="shared" si="273"/>
        <v>1841.9437258559815</v>
      </c>
      <c r="BF138" s="540">
        <f t="shared" si="274"/>
        <v>1755.8198363661643</v>
      </c>
      <c r="BG138" s="540">
        <f t="shared" si="274"/>
        <v>1719.7984136556452</v>
      </c>
      <c r="BH138" s="540">
        <f t="shared" si="274"/>
        <v>1684.197868501187</v>
      </c>
      <c r="BI138" s="540">
        <f t="shared" si="274"/>
        <v>1649.9580552948428</v>
      </c>
      <c r="BJ138" s="540">
        <f t="shared" si="274"/>
        <v>1603.5032994843903</v>
      </c>
      <c r="BK138" s="540">
        <f t="shared" si="274"/>
        <v>1555.47800584637</v>
      </c>
      <c r="BL138" s="540">
        <f t="shared" si="274"/>
        <v>1500.8408207376203</v>
      </c>
      <c r="BM138" s="540">
        <f t="shared" si="274"/>
        <v>1462.964530512231</v>
      </c>
      <c r="BN138" s="540">
        <f t="shared" si="274"/>
        <v>1410.3548360061834</v>
      </c>
      <c r="BO138" s="540">
        <f t="shared" si="274"/>
        <v>1367.4917796402096</v>
      </c>
      <c r="BP138" s="540">
        <f t="shared" si="275"/>
        <v>1373.5077386639502</v>
      </c>
      <c r="BQ138" s="540">
        <f t="shared" si="275"/>
        <v>1380.3752773572699</v>
      </c>
      <c r="BR138" s="540">
        <f t="shared" si="275"/>
        <v>1387.277153744056</v>
      </c>
      <c r="BS138" s="540">
        <f t="shared" si="275"/>
        <v>1394.2135395127762</v>
      </c>
      <c r="BT138" s="540">
        <f t="shared" si="275"/>
        <v>1401.1846072103399</v>
      </c>
      <c r="BU138" s="540">
        <f t="shared" si="275"/>
        <v>1408.1905302463915</v>
      </c>
      <c r="BV138" s="540">
        <f t="shared" si="275"/>
        <v>1415.2314828976234</v>
      </c>
      <c r="BW138" s="540">
        <f t="shared" si="275"/>
        <v>1422.3076403121113</v>
      </c>
      <c r="BX138" s="540">
        <f t="shared" si="275"/>
        <v>1429.4191785136718</v>
      </c>
      <c r="BY138" s="540">
        <f t="shared" si="275"/>
        <v>1436.5662744062399</v>
      </c>
      <c r="BZ138" s="540">
        <f t="shared" si="276"/>
        <v>1443.7491057782711</v>
      </c>
      <c r="CA138" s="540">
        <f t="shared" si="276"/>
        <v>1450.9678513071624</v>
      </c>
      <c r="CB138" s="540">
        <f t="shared" si="276"/>
        <v>1458.2226905636978</v>
      </c>
      <c r="CC138" s="540">
        <f t="shared" si="276"/>
        <v>1465.5138040165161</v>
      </c>
      <c r="CD138" s="540">
        <f t="shared" si="276"/>
        <v>1472.8413730365987</v>
      </c>
      <c r="CE138" s="540">
        <f t="shared" si="276"/>
        <v>1480.2055799017814</v>
      </c>
      <c r="CF138" s="540">
        <f t="shared" si="276"/>
        <v>1487.6066078012902</v>
      </c>
      <c r="CG138" s="540">
        <f t="shared" si="276"/>
        <v>1495.0446408402966</v>
      </c>
      <c r="CH138" s="540">
        <f t="shared" si="276"/>
        <v>1502.5198640444978</v>
      </c>
      <c r="CI138" s="540">
        <f t="shared" si="276"/>
        <v>1510.0324633647203</v>
      </c>
      <c r="CJ138" s="540">
        <f t="shared" si="276"/>
        <v>1517.5826256815437</v>
      </c>
      <c r="CK138" s="540">
        <f t="shared" si="276"/>
        <v>1525.1705388099515</v>
      </c>
      <c r="CL138" s="540">
        <f t="shared" si="276"/>
        <v>1532.7963915040009</v>
      </c>
      <c r="CM138" s="540">
        <f t="shared" si="276"/>
        <v>1540.4603734615207</v>
      </c>
      <c r="CN138" s="540">
        <f t="shared" si="276"/>
        <v>1548.1626753288281</v>
      </c>
      <c r="CO138" s="540">
        <f t="shared" si="277"/>
        <v>1555.903488705472</v>
      </c>
      <c r="CP138" s="540">
        <f t="shared" si="277"/>
        <v>1563.6830061489991</v>
      </c>
      <c r="CQ138" s="540">
        <f t="shared" si="277"/>
        <v>1571.5014211797438</v>
      </c>
      <c r="CR138" s="540">
        <f t="shared" si="277"/>
        <v>1579.3589282856426</v>
      </c>
      <c r="CS138" s="540">
        <f t="shared" si="277"/>
        <v>1587.2557229270708</v>
      </c>
      <c r="CT138" s="514"/>
      <c r="CU138" s="514"/>
      <c r="CV138" s="514"/>
      <c r="CW138" s="514"/>
      <c r="CX138" s="514"/>
      <c r="CY138" s="514"/>
      <c r="CZ138" s="514"/>
      <c r="DA138" s="514"/>
      <c r="DB138" s="514"/>
    </row>
    <row r="139" spans="1:106">
      <c r="A139" s="325" t="s">
        <v>519</v>
      </c>
      <c r="B139" s="325" t="s">
        <v>332</v>
      </c>
      <c r="C139" s="517">
        <f t="shared" ref="C139:X139" si="284">C108</f>
        <v>20722.593263888888</v>
      </c>
      <c r="D139" s="517">
        <f t="shared" si="284"/>
        <v>25323.680391300815</v>
      </c>
      <c r="E139" s="517">
        <f t="shared" si="284"/>
        <v>34117.338094665829</v>
      </c>
      <c r="F139" s="517">
        <f t="shared" si="284"/>
        <v>35529.397727117037</v>
      </c>
      <c r="G139" s="517">
        <f t="shared" si="284"/>
        <v>39374.525220903015</v>
      </c>
      <c r="H139" s="517">
        <f t="shared" si="284"/>
        <v>41945.236748169569</v>
      </c>
      <c r="I139" s="517">
        <f t="shared" si="284"/>
        <v>32966.652856652283</v>
      </c>
      <c r="J139" s="517">
        <f t="shared" si="284"/>
        <v>36816.01706848199</v>
      </c>
      <c r="K139" s="517">
        <f t="shared" si="284"/>
        <v>35389.22217661787</v>
      </c>
      <c r="L139" s="517">
        <f t="shared" si="284"/>
        <v>45758.606966761778</v>
      </c>
      <c r="M139" s="517">
        <f t="shared" si="284"/>
        <v>43310.572175463101</v>
      </c>
      <c r="N139" s="517">
        <f t="shared" si="284"/>
        <v>46671.887294332293</v>
      </c>
      <c r="O139" s="517">
        <f t="shared" si="284"/>
        <v>47268.416984995682</v>
      </c>
      <c r="P139" s="517">
        <f t="shared" si="284"/>
        <v>49217.837202146562</v>
      </c>
      <c r="Q139" s="517">
        <f t="shared" si="284"/>
        <v>51059.929748350041</v>
      </c>
      <c r="R139" s="517">
        <f t="shared" si="284"/>
        <v>53132.213455169098</v>
      </c>
      <c r="S139" s="517">
        <f t="shared" si="284"/>
        <v>61594.878748907853</v>
      </c>
      <c r="T139" s="517">
        <f t="shared" si="284"/>
        <v>74771.510736422846</v>
      </c>
      <c r="U139" s="517">
        <f t="shared" si="284"/>
        <v>68820.341830589954</v>
      </c>
      <c r="V139" s="517">
        <f t="shared" si="284"/>
        <v>67102.229142853481</v>
      </c>
      <c r="W139" s="517">
        <f t="shared" si="284"/>
        <v>60777.106026571142</v>
      </c>
      <c r="X139" s="517">
        <f t="shared" si="284"/>
        <v>59580.485900742133</v>
      </c>
      <c r="Y139" s="517">
        <f t="shared" ref="Y139:Z139" si="285">Y108</f>
        <v>55951.5039928267</v>
      </c>
      <c r="Z139" s="517">
        <f t="shared" si="285"/>
        <v>64428.424489734549</v>
      </c>
      <c r="AA139" s="517">
        <f t="shared" ref="AA139:AB139" si="286">AA108</f>
        <v>75571.711274935922</v>
      </c>
      <c r="AB139" s="517">
        <f t="shared" si="286"/>
        <v>72748.100734554493</v>
      </c>
      <c r="AC139" s="517">
        <f t="shared" ref="AC139:AD139" si="287">AC108</f>
        <v>62929.998702198704</v>
      </c>
      <c r="AD139" s="517">
        <f t="shared" si="287"/>
        <v>68622.589776898982</v>
      </c>
      <c r="AE139" s="763">
        <f t="shared" ref="AE139" si="288">AE108</f>
        <v>62105.397321168537</v>
      </c>
      <c r="AF139" s="540">
        <f t="shared" ref="AF139:AK139" si="289">AE139*(1+AF74/100)</f>
        <v>80029.834049183541</v>
      </c>
      <c r="AG139" s="540">
        <f t="shared" si="289"/>
        <v>86223.485068810696</v>
      </c>
      <c r="AH139" s="540">
        <f t="shared" si="289"/>
        <v>72390.960442803436</v>
      </c>
      <c r="AI139" s="540">
        <f t="shared" si="289"/>
        <v>57119.46858983174</v>
      </c>
      <c r="AJ139" s="540">
        <f t="shared" si="289"/>
        <v>44775.457787346728</v>
      </c>
      <c r="AK139" s="540">
        <f t="shared" si="289"/>
        <v>42046.799395053626</v>
      </c>
      <c r="AL139" s="687">
        <f t="shared" ref="AL139:BE139" si="290">AK139*(1+AL76/100)</f>
        <v>39425.662351439663</v>
      </c>
      <c r="AM139" s="687">
        <f t="shared" si="290"/>
        <v>37688.274156540407</v>
      </c>
      <c r="AN139" s="687">
        <f t="shared" si="290"/>
        <v>37081.216658290963</v>
      </c>
      <c r="AO139" s="687">
        <f t="shared" si="290"/>
        <v>35179.943130296102</v>
      </c>
      <c r="AP139" s="687">
        <f t="shared" si="290"/>
        <v>33355.017059110833</v>
      </c>
      <c r="AQ139" s="687">
        <f t="shared" si="290"/>
        <v>32371.739347659983</v>
      </c>
      <c r="AR139" s="687">
        <f t="shared" si="290"/>
        <v>31891.03144298094</v>
      </c>
      <c r="AS139" s="687">
        <f t="shared" si="290"/>
        <v>31871.517088378692</v>
      </c>
      <c r="AT139" s="687">
        <f t="shared" si="290"/>
        <v>31267.464870946063</v>
      </c>
      <c r="AU139" s="687">
        <f t="shared" si="290"/>
        <v>30646.78599813117</v>
      </c>
      <c r="AV139" s="687">
        <f t="shared" si="290"/>
        <v>30353.143476400448</v>
      </c>
      <c r="AW139" s="687">
        <f t="shared" si="290"/>
        <v>29786.522931301675</v>
      </c>
      <c r="AX139" s="687">
        <f t="shared" si="290"/>
        <v>29250.279198795641</v>
      </c>
      <c r="AY139" s="687">
        <f t="shared" si="290"/>
        <v>28366.61152112086</v>
      </c>
      <c r="AZ139" s="687">
        <f t="shared" si="290"/>
        <v>27610.055305773316</v>
      </c>
      <c r="BA139" s="687">
        <f t="shared" si="290"/>
        <v>26752.561281724451</v>
      </c>
      <c r="BB139" s="687">
        <f t="shared" si="290"/>
        <v>26025.170939365562</v>
      </c>
      <c r="BC139" s="687">
        <f t="shared" si="290"/>
        <v>25333.943469141097</v>
      </c>
      <c r="BD139" s="687">
        <f t="shared" si="290"/>
        <v>24923.133241695301</v>
      </c>
      <c r="BE139" s="687">
        <f t="shared" si="290"/>
        <v>24056.203807694168</v>
      </c>
      <c r="BF139" s="687">
        <f t="shared" ref="BF139" si="291">BE139*(1+BF76/100)</f>
        <v>22931.406231527413</v>
      </c>
      <c r="BG139" s="687">
        <f t="shared" ref="BG139" si="292">BF139*(1+BG76/100)</f>
        <v>22460.95826180746</v>
      </c>
      <c r="BH139" s="687">
        <f t="shared" ref="BH139" si="293">BG139*(1+BH76/100)</f>
        <v>21996.007048652085</v>
      </c>
      <c r="BI139" s="687">
        <f t="shared" ref="BI139" si="294">BH139*(1+BI76/100)</f>
        <v>21548.827304088274</v>
      </c>
      <c r="BJ139" s="687">
        <f t="shared" ref="BJ139" si="295">BI139*(1+BJ76/100)</f>
        <v>20942.117632166253</v>
      </c>
      <c r="BK139" s="687">
        <f t="shared" ref="BK139" si="296">BJ139*(1+BK76/100)</f>
        <v>20314.896379169677</v>
      </c>
      <c r="BL139" s="687">
        <f t="shared" ref="BL139" si="297">BK139*(1+BL76/100)</f>
        <v>19601.322320416064</v>
      </c>
      <c r="BM139" s="687">
        <f t="shared" ref="BM139" si="298">BL139*(1+BM76/100)</f>
        <v>19106.649359265793</v>
      </c>
      <c r="BN139" s="687">
        <f t="shared" ref="BN139" si="299">BM139*(1+BN76/100)</f>
        <v>18419.554788713769</v>
      </c>
      <c r="BO139" s="687">
        <f t="shared" ref="BO139" si="300">BN139*(1+BO76/100)</f>
        <v>17859.753528074623</v>
      </c>
      <c r="BP139" s="687">
        <f t="shared" ref="BP139:BY143" si="301">BP$85*$AK139/$AK$148</f>
        <v>17941.213841910798</v>
      </c>
      <c r="BQ139" s="687">
        <f t="shared" si="301"/>
        <v>18030.919911120349</v>
      </c>
      <c r="BR139" s="687">
        <f t="shared" si="301"/>
        <v>18121.07451067595</v>
      </c>
      <c r="BS139" s="687">
        <f t="shared" si="301"/>
        <v>18211.679883229328</v>
      </c>
      <c r="BT139" s="687">
        <f t="shared" si="301"/>
        <v>18302.738282645474</v>
      </c>
      <c r="BU139" s="687">
        <f t="shared" si="301"/>
        <v>18394.251974058698</v>
      </c>
      <c r="BV139" s="687">
        <f t="shared" si="301"/>
        <v>18486.223233928991</v>
      </c>
      <c r="BW139" s="687">
        <f t="shared" si="301"/>
        <v>18578.654350098634</v>
      </c>
      <c r="BX139" s="687">
        <f t="shared" si="301"/>
        <v>18671.547621849128</v>
      </c>
      <c r="BY139" s="687">
        <f t="shared" si="301"/>
        <v>18764.905359958368</v>
      </c>
      <c r="BZ139" s="687">
        <f t="shared" ref="BZ139:CO143" si="302">BZ$85*$AK139/$AK$148</f>
        <v>18858.729886758163</v>
      </c>
      <c r="CA139" s="687">
        <f t="shared" si="302"/>
        <v>18953.023536191948</v>
      </c>
      <c r="CB139" s="687">
        <f t="shared" si="302"/>
        <v>19047.788653872904</v>
      </c>
      <c r="CC139" s="687">
        <f t="shared" si="302"/>
        <v>19143.027597142267</v>
      </c>
      <c r="CD139" s="687">
        <f t="shared" si="302"/>
        <v>19238.742735127977</v>
      </c>
      <c r="CE139" s="687">
        <f t="shared" si="302"/>
        <v>19334.936448803615</v>
      </c>
      <c r="CF139" s="687">
        <f t="shared" si="302"/>
        <v>19431.611131047634</v>
      </c>
      <c r="CG139" s="687">
        <f t="shared" si="302"/>
        <v>19528.769186702866</v>
      </c>
      <c r="CH139" s="687">
        <f t="shared" si="302"/>
        <v>19626.413032636381</v>
      </c>
      <c r="CI139" s="687">
        <f t="shared" si="302"/>
        <v>19724.545097799561</v>
      </c>
      <c r="CJ139" s="687">
        <f t="shared" si="302"/>
        <v>19823.167823288557</v>
      </c>
      <c r="CK139" s="687">
        <f t="shared" si="302"/>
        <v>19922.283662405</v>
      </c>
      <c r="CL139" s="687">
        <f t="shared" si="302"/>
        <v>20021.895080717022</v>
      </c>
      <c r="CM139" s="687">
        <f t="shared" si="302"/>
        <v>20122.004556120603</v>
      </c>
      <c r="CN139" s="687">
        <f t="shared" si="302"/>
        <v>20222.614578901204</v>
      </c>
      <c r="CO139" s="687">
        <f t="shared" si="302"/>
        <v>20323.727651795703</v>
      </c>
      <c r="CP139" s="687">
        <f t="shared" si="277"/>
        <v>20425.34629005468</v>
      </c>
      <c r="CQ139" s="687">
        <f t="shared" si="277"/>
        <v>20527.473021504953</v>
      </c>
      <c r="CR139" s="687">
        <f t="shared" si="277"/>
        <v>20630.110386612476</v>
      </c>
      <c r="CS139" s="687">
        <f t="shared" si="277"/>
        <v>20733.26093854554</v>
      </c>
      <c r="CT139" s="514"/>
      <c r="CU139" s="514"/>
      <c r="CV139" s="514"/>
      <c r="CW139" s="514"/>
      <c r="CX139" s="514"/>
      <c r="CY139" s="514"/>
      <c r="CZ139" s="514"/>
      <c r="DA139" s="514"/>
      <c r="DB139" s="514"/>
    </row>
    <row r="140" spans="1:106">
      <c r="A140" s="325" t="s">
        <v>518</v>
      </c>
      <c r="B140" s="325" t="s">
        <v>333</v>
      </c>
      <c r="C140" s="517">
        <f t="shared" ref="C140:X140" si="303">C109</f>
        <v>10995.10988425926</v>
      </c>
      <c r="D140" s="517">
        <f t="shared" si="303"/>
        <v>16022.063267667869</v>
      </c>
      <c r="E140" s="517">
        <f t="shared" si="303"/>
        <v>13622.712205888341</v>
      </c>
      <c r="F140" s="517">
        <f t="shared" si="303"/>
        <v>7632.3167457874333</v>
      </c>
      <c r="G140" s="517">
        <f t="shared" si="303"/>
        <v>8721.5647871398323</v>
      </c>
      <c r="H140" s="517">
        <f t="shared" si="303"/>
        <v>10503.9805706565</v>
      </c>
      <c r="I140" s="517">
        <f t="shared" si="303"/>
        <v>5997.15540544945</v>
      </c>
      <c r="J140" s="517">
        <f t="shared" si="303"/>
        <v>6796.1832132777463</v>
      </c>
      <c r="K140" s="517">
        <f t="shared" si="303"/>
        <v>6190.743567568702</v>
      </c>
      <c r="L140" s="517">
        <f t="shared" si="303"/>
        <v>11404.458746860762</v>
      </c>
      <c r="M140" s="517">
        <f t="shared" si="303"/>
        <v>17257.481533689526</v>
      </c>
      <c r="N140" s="517">
        <f t="shared" si="303"/>
        <v>25268.25988443067</v>
      </c>
      <c r="O140" s="517">
        <f t="shared" si="303"/>
        <v>33001.990632778041</v>
      </c>
      <c r="P140" s="517">
        <f t="shared" si="303"/>
        <v>34133.628661046925</v>
      </c>
      <c r="Q140" s="517">
        <f t="shared" si="303"/>
        <v>31368.756975416618</v>
      </c>
      <c r="R140" s="517">
        <f t="shared" si="303"/>
        <v>32579.090415329294</v>
      </c>
      <c r="S140" s="517">
        <f t="shared" si="303"/>
        <v>32143.275494643181</v>
      </c>
      <c r="T140" s="517">
        <f t="shared" si="303"/>
        <v>38296.740645598955</v>
      </c>
      <c r="U140" s="517">
        <f t="shared" si="303"/>
        <v>37597.90030471186</v>
      </c>
      <c r="V140" s="517">
        <f t="shared" si="303"/>
        <v>31414.818539427593</v>
      </c>
      <c r="W140" s="517">
        <f t="shared" si="303"/>
        <v>21977.442801037698</v>
      </c>
      <c r="X140" s="517">
        <f t="shared" si="303"/>
        <v>22786.392842559981</v>
      </c>
      <c r="Y140" s="517">
        <f t="shared" ref="Y140:Z140" si="304">Y109</f>
        <v>26948.557442574165</v>
      </c>
      <c r="Z140" s="517">
        <f t="shared" si="304"/>
        <v>28906.101976755032</v>
      </c>
      <c r="AA140" s="517">
        <f t="shared" ref="AA140:AB140" si="305">AA109</f>
        <v>20607.041895325114</v>
      </c>
      <c r="AB140" s="517">
        <f t="shared" si="305"/>
        <v>26987.138948302993</v>
      </c>
      <c r="AC140" s="517">
        <f t="shared" ref="AC140:AD140" si="306">AC109</f>
        <v>27014.999896869394</v>
      </c>
      <c r="AD140" s="517">
        <f t="shared" si="306"/>
        <v>19960.879418892022</v>
      </c>
      <c r="AE140" s="763">
        <f t="shared" ref="AE140" si="307">AE109</f>
        <v>25158.236510936651</v>
      </c>
      <c r="AF140" s="540">
        <f t="shared" ref="AF140:AK140" si="308">AE140*(1+AF73/100)</f>
        <v>25006.931488043163</v>
      </c>
      <c r="AG140" s="540">
        <f t="shared" si="308"/>
        <v>25149.250161738753</v>
      </c>
      <c r="AH140" s="540">
        <f t="shared" si="308"/>
        <v>25122.058496061152</v>
      </c>
      <c r="AI140" s="540">
        <f t="shared" si="308"/>
        <v>24941.184167955442</v>
      </c>
      <c r="AJ140" s="540">
        <f t="shared" si="308"/>
        <v>25062.377558643308</v>
      </c>
      <c r="AK140" s="540">
        <f t="shared" si="308"/>
        <v>25287.831677706472</v>
      </c>
      <c r="AL140" s="540">
        <f t="shared" ref="AL140:AU143" si="309">AL$85*$AK140/$AK$148</f>
        <v>23715.245374712016</v>
      </c>
      <c r="AM140" s="540">
        <f t="shared" si="309"/>
        <v>22670.175110935983</v>
      </c>
      <c r="AN140" s="540">
        <f t="shared" si="309"/>
        <v>22305.019101654161</v>
      </c>
      <c r="AO140" s="540">
        <f t="shared" si="309"/>
        <v>21161.368860881576</v>
      </c>
      <c r="AP140" s="540">
        <f t="shared" si="309"/>
        <v>20063.64298926315</v>
      </c>
      <c r="AQ140" s="540">
        <f t="shared" si="309"/>
        <v>19472.183751605204</v>
      </c>
      <c r="AR140" s="540">
        <f t="shared" si="309"/>
        <v>19183.029296534623</v>
      </c>
      <c r="AS140" s="540">
        <f t="shared" si="309"/>
        <v>19171.291061077824</v>
      </c>
      <c r="AT140" s="540">
        <f t="shared" si="309"/>
        <v>18807.942782287762</v>
      </c>
      <c r="AU140" s="540">
        <f t="shared" si="309"/>
        <v>18434.593271086276</v>
      </c>
      <c r="AV140" s="540">
        <f t="shared" ref="AV140:BK143" si="310">AV$85*$AK140/$AK$148</f>
        <v>18257.962010126903</v>
      </c>
      <c r="AW140" s="540">
        <f t="shared" si="310"/>
        <v>17917.129555833846</v>
      </c>
      <c r="AX140" s="540">
        <f t="shared" si="310"/>
        <v>17594.569300950327</v>
      </c>
      <c r="AY140" s="540">
        <f t="shared" si="310"/>
        <v>17063.027291105205</v>
      </c>
      <c r="AZ140" s="540">
        <f t="shared" si="310"/>
        <v>16607.9451132385</v>
      </c>
      <c r="BA140" s="540">
        <f t="shared" si="310"/>
        <v>16092.147027047935</v>
      </c>
      <c r="BB140" s="540">
        <f t="shared" si="310"/>
        <v>15654.608646627879</v>
      </c>
      <c r="BC140" s="540">
        <f t="shared" si="310"/>
        <v>15238.822884552637</v>
      </c>
      <c r="BD140" s="540">
        <f t="shared" si="310"/>
        <v>14991.713140156355</v>
      </c>
      <c r="BE140" s="540">
        <f t="shared" si="310"/>
        <v>14470.239485087974</v>
      </c>
      <c r="BF140" s="540">
        <f t="shared" si="310"/>
        <v>13793.653502133604</v>
      </c>
      <c r="BG140" s="540">
        <f t="shared" si="310"/>
        <v>13510.670582569886</v>
      </c>
      <c r="BH140" s="540">
        <f t="shared" si="310"/>
        <v>13230.994060994666</v>
      </c>
      <c r="BI140" s="540">
        <f t="shared" si="310"/>
        <v>12962.007397577341</v>
      </c>
      <c r="BJ140" s="540">
        <f t="shared" si="310"/>
        <v>12597.060612090647</v>
      </c>
      <c r="BK140" s="540">
        <f t="shared" si="310"/>
        <v>12219.775741478827</v>
      </c>
      <c r="BL140" s="540">
        <f t="shared" ref="BF140:BO143" si="311">BL$85*$AK140/$AK$148</f>
        <v>11790.548104273306</v>
      </c>
      <c r="BM140" s="540">
        <f t="shared" si="311"/>
        <v>11492.993416432138</v>
      </c>
      <c r="BN140" s="540">
        <f t="shared" si="311"/>
        <v>11079.693667881975</v>
      </c>
      <c r="BO140" s="540">
        <f t="shared" si="311"/>
        <v>10742.963135905364</v>
      </c>
      <c r="BP140" s="540">
        <f t="shared" si="301"/>
        <v>10790.224279980517</v>
      </c>
      <c r="BQ140" s="540">
        <f t="shared" si="301"/>
        <v>10844.175401380418</v>
      </c>
      <c r="BR140" s="540">
        <f t="shared" si="301"/>
        <v>10898.396278387319</v>
      </c>
      <c r="BS140" s="540">
        <f t="shared" si="301"/>
        <v>10952.888259779254</v>
      </c>
      <c r="BT140" s="540">
        <f t="shared" si="301"/>
        <v>11007.65270107815</v>
      </c>
      <c r="BU140" s="540">
        <f t="shared" si="301"/>
        <v>11062.690964583539</v>
      </c>
      <c r="BV140" s="540">
        <f t="shared" si="301"/>
        <v>11118.004419406456</v>
      </c>
      <c r="BW140" s="540">
        <f t="shared" si="301"/>
        <v>11173.594441503486</v>
      </c>
      <c r="BX140" s="540">
        <f t="shared" si="301"/>
        <v>11229.462413711006</v>
      </c>
      <c r="BY140" s="540">
        <f t="shared" si="301"/>
        <v>11285.609725779557</v>
      </c>
      <c r="BZ140" s="540">
        <f t="shared" si="302"/>
        <v>11342.037774408454</v>
      </c>
      <c r="CA140" s="540">
        <f t="shared" si="302"/>
        <v>11398.747963280495</v>
      </c>
      <c r="CB140" s="540">
        <f t="shared" si="302"/>
        <v>11455.741703096895</v>
      </c>
      <c r="CC140" s="540">
        <f t="shared" si="302"/>
        <v>11513.020411612379</v>
      </c>
      <c r="CD140" s="540">
        <f t="shared" si="302"/>
        <v>11570.585513670439</v>
      </c>
      <c r="CE140" s="540">
        <f t="shared" si="302"/>
        <v>11628.438441238792</v>
      </c>
      <c r="CF140" s="540">
        <f t="shared" si="302"/>
        <v>11686.580633444984</v>
      </c>
      <c r="CG140" s="540">
        <f t="shared" si="302"/>
        <v>11745.013536612209</v>
      </c>
      <c r="CH140" s="540">
        <f t="shared" si="302"/>
        <v>11803.738604295269</v>
      </c>
      <c r="CI140" s="540">
        <f t="shared" si="302"/>
        <v>11862.757297316743</v>
      </c>
      <c r="CJ140" s="540">
        <f t="shared" si="302"/>
        <v>11922.071083803326</v>
      </c>
      <c r="CK140" s="540">
        <f t="shared" si="302"/>
        <v>11981.681439222344</v>
      </c>
      <c r="CL140" s="540">
        <f t="shared" si="302"/>
        <v>12041.589846418454</v>
      </c>
      <c r="CM140" s="540">
        <f t="shared" si="302"/>
        <v>12101.797795650544</v>
      </c>
      <c r="CN140" s="540">
        <f t="shared" si="302"/>
        <v>12162.306784628794</v>
      </c>
      <c r="CO140" s="540">
        <f t="shared" si="277"/>
        <v>12223.118318551935</v>
      </c>
      <c r="CP140" s="540">
        <f t="shared" si="277"/>
        <v>12284.233910144692</v>
      </c>
      <c r="CQ140" s="540">
        <f t="shared" si="277"/>
        <v>12345.655079695416</v>
      </c>
      <c r="CR140" s="540">
        <f t="shared" si="277"/>
        <v>12407.383355093893</v>
      </c>
      <c r="CS140" s="540">
        <f t="shared" si="277"/>
        <v>12469.420271869361</v>
      </c>
      <c r="CT140" s="514"/>
      <c r="CU140" s="514"/>
      <c r="CV140" s="514"/>
      <c r="CW140" s="514"/>
      <c r="CX140" s="514"/>
      <c r="CY140" s="514"/>
      <c r="CZ140" s="514"/>
      <c r="DA140" s="514"/>
      <c r="DB140" s="514"/>
    </row>
    <row r="141" spans="1:106">
      <c r="A141" s="325" t="s">
        <v>345</v>
      </c>
      <c r="B141" s="325" t="s">
        <v>338</v>
      </c>
      <c r="C141" s="517">
        <f t="shared" ref="C141:X141" si="312">C110</f>
        <v>36.986817129629628</v>
      </c>
      <c r="D141" s="517">
        <f t="shared" si="312"/>
        <v>31.207622528076168</v>
      </c>
      <c r="E141" s="517">
        <f t="shared" si="312"/>
        <v>28.978507995605465</v>
      </c>
      <c r="F141" s="517">
        <f t="shared" si="312"/>
        <v>-25.634834289550781</v>
      </c>
      <c r="G141" s="517">
        <f t="shared" si="312"/>
        <v>8.9164638519287109</v>
      </c>
      <c r="H141" s="517">
        <f t="shared" si="312"/>
        <v>17.832927703857422</v>
      </c>
      <c r="I141" s="517">
        <f t="shared" si="312"/>
        <v>14.489253997802733</v>
      </c>
      <c r="J141" s="517">
        <f t="shared" si="312"/>
        <v>7.8019061088562012</v>
      </c>
      <c r="K141" s="517">
        <f t="shared" si="312"/>
        <v>7.8019061088562003</v>
      </c>
      <c r="L141" s="517">
        <f t="shared" si="312"/>
        <v>13.003176689147949</v>
      </c>
      <c r="M141" s="517">
        <f t="shared" si="312"/>
        <v>13.003175735473633</v>
      </c>
      <c r="N141" s="517">
        <f t="shared" si="312"/>
        <v>12.190476417541504</v>
      </c>
      <c r="O141" s="517">
        <f t="shared" si="312"/>
        <v>4.5714287757873526</v>
      </c>
      <c r="P141" s="517">
        <f t="shared" si="312"/>
        <v>22.857143402099609</v>
      </c>
      <c r="Q141" s="517">
        <f t="shared" si="312"/>
        <v>5</v>
      </c>
      <c r="R141" s="517">
        <f t="shared" si="312"/>
        <v>5.7142858505249032</v>
      </c>
      <c r="S141" s="517">
        <f t="shared" si="312"/>
        <v>4.2857141494750977</v>
      </c>
      <c r="T141" s="517">
        <f t="shared" si="312"/>
        <v>1.4285714626312258</v>
      </c>
      <c r="U141" s="517">
        <f t="shared" si="312"/>
        <v>2.1428570747375488</v>
      </c>
      <c r="V141" s="517">
        <f t="shared" si="312"/>
        <v>0.71428573131561268</v>
      </c>
      <c r="W141" s="517">
        <f t="shared" si="312"/>
        <v>-5.8207660913467407E-11</v>
      </c>
      <c r="X141" s="517">
        <f t="shared" si="312"/>
        <v>2.9103830456733704E-10</v>
      </c>
      <c r="Y141" s="517">
        <f t="shared" ref="Y141:Z141" si="313">Y110</f>
        <v>1.4285714328289032</v>
      </c>
      <c r="Z141" s="517">
        <f t="shared" si="313"/>
        <v>7.8571428060531616</v>
      </c>
      <c r="AA141" s="517">
        <f t="shared" ref="AA141:AB141" si="314">AA110</f>
        <v>11.428571224212646</v>
      </c>
      <c r="AB141" s="517">
        <f t="shared" si="314"/>
        <v>17.142858505249023</v>
      </c>
      <c r="AC141" s="517">
        <f t="shared" ref="AC141:AD141" si="315">AC110</f>
        <v>47.999997138977051</v>
      </c>
      <c r="AD141" s="517">
        <f t="shared" si="315"/>
        <v>232.53053665161133</v>
      </c>
      <c r="AE141" s="763">
        <f t="shared" ref="AE141" si="316">AE110</f>
        <v>7.7504394054412842</v>
      </c>
      <c r="AF141" s="540">
        <f t="shared" ref="AF141:AK141" si="317">AE141*(1+AF$75/100)</f>
        <v>7.1618520761784534</v>
      </c>
      <c r="AG141" s="540">
        <f t="shared" si="317"/>
        <v>5.8710584343514087</v>
      </c>
      <c r="AH141" s="540">
        <f t="shared" si="317"/>
        <v>5.9510444426525275</v>
      </c>
      <c r="AI141" s="540">
        <f t="shared" si="317"/>
        <v>5.7022061411064717</v>
      </c>
      <c r="AJ141" s="540">
        <f t="shared" si="317"/>
        <v>6.3117178164158378</v>
      </c>
      <c r="AK141" s="540">
        <f t="shared" si="317"/>
        <v>6.1772104540980664</v>
      </c>
      <c r="AL141" s="540">
        <f t="shared" si="309"/>
        <v>5.7930653571741288</v>
      </c>
      <c r="AM141" s="540">
        <f t="shared" si="309"/>
        <v>5.537779769981789</v>
      </c>
      <c r="AN141" s="540">
        <f t="shared" si="309"/>
        <v>5.4485809194571333</v>
      </c>
      <c r="AO141" s="540">
        <f t="shared" si="309"/>
        <v>5.1692146094796643</v>
      </c>
      <c r="AP141" s="540">
        <f t="shared" si="309"/>
        <v>4.901066520852785</v>
      </c>
      <c r="AQ141" s="540">
        <f t="shared" si="309"/>
        <v>4.7565872221688057</v>
      </c>
      <c r="AR141" s="540">
        <f t="shared" si="309"/>
        <v>4.6859537275506939</v>
      </c>
      <c r="AS141" s="540">
        <f t="shared" si="309"/>
        <v>4.683086358307631</v>
      </c>
      <c r="AT141" s="540">
        <f t="shared" si="309"/>
        <v>4.5943290929625276</v>
      </c>
      <c r="AU141" s="540">
        <f t="shared" si="309"/>
        <v>4.5031287665359878</v>
      </c>
      <c r="AV141" s="540">
        <f t="shared" si="310"/>
        <v>4.4599819880527747</v>
      </c>
      <c r="AW141" s="540">
        <f t="shared" si="310"/>
        <v>4.3767247983265776</v>
      </c>
      <c r="AX141" s="540">
        <f t="shared" si="310"/>
        <v>4.2979310684434564</v>
      </c>
      <c r="AY141" s="540">
        <f t="shared" si="310"/>
        <v>4.1680881106978056</v>
      </c>
      <c r="AZ141" s="540">
        <f t="shared" si="310"/>
        <v>4.05692245512006</v>
      </c>
      <c r="BA141" s="540">
        <f t="shared" si="310"/>
        <v>3.9309253601208449</v>
      </c>
      <c r="BB141" s="540">
        <f t="shared" si="310"/>
        <v>3.8240452332658945</v>
      </c>
      <c r="BC141" s="540">
        <f t="shared" si="310"/>
        <v>3.7224787490813052</v>
      </c>
      <c r="BD141" s="540">
        <f t="shared" si="310"/>
        <v>3.6621157683461911</v>
      </c>
      <c r="BE141" s="540">
        <f t="shared" si="310"/>
        <v>3.5347322680651065</v>
      </c>
      <c r="BF141" s="540">
        <f t="shared" si="311"/>
        <v>3.3694585482670392</v>
      </c>
      <c r="BG141" s="540">
        <f t="shared" si="311"/>
        <v>3.3003326116767044</v>
      </c>
      <c r="BH141" s="540">
        <f t="shared" si="311"/>
        <v>3.2320143487722861</v>
      </c>
      <c r="BI141" s="540">
        <f t="shared" si="311"/>
        <v>3.1663073616944146</v>
      </c>
      <c r="BJ141" s="540">
        <f t="shared" si="311"/>
        <v>3.0771596195222255</v>
      </c>
      <c r="BK141" s="540">
        <f t="shared" si="311"/>
        <v>2.9849979792274204</v>
      </c>
      <c r="BL141" s="540">
        <f t="shared" si="311"/>
        <v>2.8801479675092851</v>
      </c>
      <c r="BM141" s="540">
        <f t="shared" si="311"/>
        <v>2.807462497603268</v>
      </c>
      <c r="BN141" s="540">
        <f t="shared" si="311"/>
        <v>2.7065032868667105</v>
      </c>
      <c r="BO141" s="540">
        <f t="shared" si="311"/>
        <v>2.6242480983297796</v>
      </c>
      <c r="BP141" s="540">
        <f t="shared" si="301"/>
        <v>2.6357928617153661</v>
      </c>
      <c r="BQ141" s="540">
        <f t="shared" si="301"/>
        <v>2.6489718260239425</v>
      </c>
      <c r="BR141" s="540">
        <f t="shared" si="301"/>
        <v>2.6622166851540623</v>
      </c>
      <c r="BS141" s="540">
        <f t="shared" si="301"/>
        <v>2.675527768579832</v>
      </c>
      <c r="BT141" s="540">
        <f t="shared" si="301"/>
        <v>2.6889054074227308</v>
      </c>
      <c r="BU141" s="540">
        <f t="shared" si="301"/>
        <v>2.7023499344598445</v>
      </c>
      <c r="BV141" s="540">
        <f t="shared" si="301"/>
        <v>2.7158616841321432</v>
      </c>
      <c r="BW141" s="540">
        <f t="shared" si="301"/>
        <v>2.7294409925528038</v>
      </c>
      <c r="BX141" s="540">
        <f t="shared" si="301"/>
        <v>2.7430881975155676</v>
      </c>
      <c r="BY141" s="540">
        <f t="shared" si="301"/>
        <v>2.7568036385031451</v>
      </c>
      <c r="BZ141" s="540">
        <f t="shared" si="302"/>
        <v>2.7705876566956609</v>
      </c>
      <c r="CA141" s="540">
        <f t="shared" si="302"/>
        <v>2.7844405949791389</v>
      </c>
      <c r="CB141" s="540">
        <f t="shared" si="302"/>
        <v>2.7983627979540335</v>
      </c>
      <c r="CC141" s="540">
        <f t="shared" si="302"/>
        <v>2.8123546119438037</v>
      </c>
      <c r="CD141" s="540">
        <f t="shared" si="302"/>
        <v>2.8264163850035224</v>
      </c>
      <c r="CE141" s="540">
        <f t="shared" si="302"/>
        <v>2.8405484669285399</v>
      </c>
      <c r="CF141" s="540">
        <f t="shared" si="302"/>
        <v>2.8547512092631826</v>
      </c>
      <c r="CG141" s="540">
        <f t="shared" si="302"/>
        <v>2.8690249653094981</v>
      </c>
      <c r="CH141" s="540">
        <f t="shared" si="302"/>
        <v>2.8833700901360455</v>
      </c>
      <c r="CI141" s="540">
        <f t="shared" si="302"/>
        <v>2.8977869405867249</v>
      </c>
      <c r="CJ141" s="540">
        <f t="shared" si="302"/>
        <v>2.9122758752896587</v>
      </c>
      <c r="CK141" s="540">
        <f t="shared" si="302"/>
        <v>2.9268372546661068</v>
      </c>
      <c r="CL141" s="540">
        <f t="shared" si="302"/>
        <v>2.9414714409394369</v>
      </c>
      <c r="CM141" s="540">
        <f t="shared" si="302"/>
        <v>2.9561787981441339</v>
      </c>
      <c r="CN141" s="540">
        <f t="shared" si="302"/>
        <v>2.970959692134854</v>
      </c>
      <c r="CO141" s="540">
        <f t="shared" si="277"/>
        <v>2.9858144905955277</v>
      </c>
      <c r="CP141" s="540">
        <f t="shared" si="277"/>
        <v>3.0007435630485046</v>
      </c>
      <c r="CQ141" s="540">
        <f t="shared" si="277"/>
        <v>3.0157472808637471</v>
      </c>
      <c r="CR141" s="540">
        <f t="shared" si="277"/>
        <v>3.0308260172680654</v>
      </c>
      <c r="CS141" s="540">
        <f t="shared" si="277"/>
        <v>3.0459801473544057</v>
      </c>
      <c r="CT141" s="514"/>
      <c r="CU141" s="514"/>
      <c r="CV141" s="514"/>
      <c r="CW141" s="514"/>
      <c r="CX141" s="514"/>
      <c r="CY141" s="514"/>
      <c r="CZ141" s="514"/>
      <c r="DA141" s="514"/>
      <c r="DB141" s="514"/>
    </row>
    <row r="142" spans="1:106">
      <c r="A142" s="325" t="s">
        <v>516</v>
      </c>
      <c r="B142" s="325" t="s">
        <v>340</v>
      </c>
      <c r="C142" s="517">
        <f t="shared" ref="C142:X142" si="318">C111</f>
        <v>643.78186342592596</v>
      </c>
      <c r="D142" s="517">
        <f t="shared" si="318"/>
        <v>1131.0643310546875</v>
      </c>
      <c r="E142" s="517">
        <f t="shared" si="318"/>
        <v>2632.12744140625</v>
      </c>
      <c r="F142" s="517">
        <f t="shared" si="318"/>
        <v>1589.2091064453125</v>
      </c>
      <c r="G142" s="517">
        <f t="shared" si="318"/>
        <v>557.91381835937489</v>
      </c>
      <c r="H142" s="517">
        <f t="shared" si="318"/>
        <v>880.76751708984375</v>
      </c>
      <c r="I142" s="517">
        <f t="shared" si="318"/>
        <v>2568.65966796875</v>
      </c>
      <c r="J142" s="517">
        <f t="shared" si="318"/>
        <v>4539.5224609375</v>
      </c>
      <c r="K142" s="517">
        <f t="shared" si="318"/>
        <v>12226.702148437498</v>
      </c>
      <c r="L142" s="517">
        <f t="shared" si="318"/>
        <v>13019.001953125</v>
      </c>
      <c r="M142" s="517">
        <f t="shared" si="318"/>
        <v>16622.16796875</v>
      </c>
      <c r="N142" s="517">
        <f t="shared" si="318"/>
        <v>9164.0439453125</v>
      </c>
      <c r="O142" s="517">
        <f t="shared" si="318"/>
        <v>3756.5998535156255</v>
      </c>
      <c r="P142" s="517">
        <f t="shared" si="318"/>
        <v>6312.3417968749991</v>
      </c>
      <c r="Q142" s="517">
        <f t="shared" si="318"/>
        <v>5154.80517578125</v>
      </c>
      <c r="R142" s="517">
        <f t="shared" si="318"/>
        <v>4131.5087890625</v>
      </c>
      <c r="S142" s="517">
        <f t="shared" si="318"/>
        <v>3189.112548828125</v>
      </c>
      <c r="T142" s="517">
        <f t="shared" si="318"/>
        <v>3584.8618164062505</v>
      </c>
      <c r="U142" s="517">
        <f t="shared" si="318"/>
        <v>6029.0244140625</v>
      </c>
      <c r="V142" s="517">
        <f t="shared" si="318"/>
        <v>6997.998046875</v>
      </c>
      <c r="W142" s="517">
        <f t="shared" si="318"/>
        <v>5122.701171875</v>
      </c>
      <c r="X142" s="517">
        <f t="shared" si="318"/>
        <v>3163.6046142578125</v>
      </c>
      <c r="Y142" s="517">
        <f t="shared" ref="Y142:Z142" si="319">Y111</f>
        <v>1513.986083984375</v>
      </c>
      <c r="Z142" s="517">
        <f t="shared" si="319"/>
        <v>1767.2721252441406</v>
      </c>
      <c r="AA142" s="517">
        <f t="shared" ref="AA142:AB142" si="320">AA111</f>
        <v>1590.98828125</v>
      </c>
      <c r="AB142" s="517">
        <f t="shared" si="320"/>
        <v>2793.7249145507813</v>
      </c>
      <c r="AC142" s="517">
        <f t="shared" ref="AC142:AD142" si="321">AC111</f>
        <v>2800.9999389648438</v>
      </c>
      <c r="AD142" s="517">
        <f t="shared" si="321"/>
        <v>2745.1761474609375</v>
      </c>
      <c r="AE142" s="763">
        <f t="shared" ref="AE142" si="322">AE111</f>
        <v>2651.1243896484375</v>
      </c>
      <c r="AF142" s="540">
        <f t="shared" ref="AF142:AK142" si="323">AE142*(1+AF$75/100)</f>
        <v>2449.7915177403988</v>
      </c>
      <c r="AG142" s="540">
        <f t="shared" si="323"/>
        <v>2008.2611312892363</v>
      </c>
      <c r="AH142" s="540">
        <f t="shared" si="323"/>
        <v>2035.6212390643959</v>
      </c>
      <c r="AI142" s="540">
        <f t="shared" si="323"/>
        <v>1950.5033178992694</v>
      </c>
      <c r="AJ142" s="540">
        <f t="shared" si="323"/>
        <v>2158.9935961477108</v>
      </c>
      <c r="AK142" s="540">
        <f t="shared" si="323"/>
        <v>2112.983850096723</v>
      </c>
      <c r="AL142" s="540">
        <f t="shared" si="309"/>
        <v>1981.5827278708111</v>
      </c>
      <c r="AM142" s="540">
        <f t="shared" si="309"/>
        <v>1894.2594406187127</v>
      </c>
      <c r="AN142" s="540">
        <f t="shared" si="309"/>
        <v>1863.7479772314239</v>
      </c>
      <c r="AO142" s="540">
        <f t="shared" si="309"/>
        <v>1768.1876097111794</v>
      </c>
      <c r="AP142" s="540">
        <f t="shared" si="309"/>
        <v>1676.4645601383722</v>
      </c>
      <c r="AQ142" s="540">
        <f t="shared" si="309"/>
        <v>1627.0438018428508</v>
      </c>
      <c r="AR142" s="540">
        <f t="shared" si="309"/>
        <v>1602.8828258629972</v>
      </c>
      <c r="AS142" s="540">
        <f t="shared" si="309"/>
        <v>1601.9020101780081</v>
      </c>
      <c r="AT142" s="540">
        <f t="shared" si="309"/>
        <v>1571.5415959349523</v>
      </c>
      <c r="AU142" s="540">
        <f t="shared" si="309"/>
        <v>1540.3455053541327</v>
      </c>
      <c r="AV142" s="540">
        <f t="shared" si="310"/>
        <v>1525.5866677208373</v>
      </c>
      <c r="AW142" s="540">
        <f t="shared" si="310"/>
        <v>1497.1076157922785</v>
      </c>
      <c r="AX142" s="540">
        <f t="shared" si="310"/>
        <v>1470.1553401706078</v>
      </c>
      <c r="AY142" s="540">
        <f t="shared" si="310"/>
        <v>1425.7411058161122</v>
      </c>
      <c r="AZ142" s="540">
        <f t="shared" si="310"/>
        <v>1387.7156513384589</v>
      </c>
      <c r="BA142" s="540">
        <f t="shared" si="310"/>
        <v>1344.6169373039024</v>
      </c>
      <c r="BB142" s="540">
        <f t="shared" si="310"/>
        <v>1308.0573958055265</v>
      </c>
      <c r="BC142" s="540">
        <f t="shared" si="310"/>
        <v>1273.3154451486946</v>
      </c>
      <c r="BD142" s="540">
        <f t="shared" si="310"/>
        <v>1252.6676131888203</v>
      </c>
      <c r="BE142" s="540">
        <f t="shared" si="310"/>
        <v>1209.0946637381248</v>
      </c>
      <c r="BF142" s="540">
        <f t="shared" si="311"/>
        <v>1152.5609413769178</v>
      </c>
      <c r="BG142" s="540">
        <f t="shared" si="311"/>
        <v>1128.915642463508</v>
      </c>
      <c r="BH142" s="540">
        <f t="shared" si="311"/>
        <v>1105.5466173580205</v>
      </c>
      <c r="BI142" s="540">
        <f t="shared" si="311"/>
        <v>1083.0708083232239</v>
      </c>
      <c r="BJ142" s="540">
        <f t="shared" si="311"/>
        <v>1052.5768271188995</v>
      </c>
      <c r="BK142" s="540">
        <f t="shared" si="311"/>
        <v>1021.0519083892558</v>
      </c>
      <c r="BL142" s="540">
        <f t="shared" si="311"/>
        <v>985.18679045468821</v>
      </c>
      <c r="BM142" s="540">
        <f t="shared" si="311"/>
        <v>960.32391340211575</v>
      </c>
      <c r="BN142" s="540">
        <f t="shared" si="311"/>
        <v>925.78968741288554</v>
      </c>
      <c r="BO142" s="540">
        <f t="shared" si="311"/>
        <v>897.65338118587465</v>
      </c>
      <c r="BP142" s="540">
        <f t="shared" si="301"/>
        <v>901.60239648464085</v>
      </c>
      <c r="BQ142" s="540">
        <f t="shared" si="301"/>
        <v>906.11040846706396</v>
      </c>
      <c r="BR142" s="540">
        <f t="shared" si="301"/>
        <v>910.64096050939929</v>
      </c>
      <c r="BS142" s="540">
        <f t="shared" si="301"/>
        <v>915.19416531194622</v>
      </c>
      <c r="BT142" s="540">
        <f t="shared" si="301"/>
        <v>919.7701361385059</v>
      </c>
      <c r="BU142" s="540">
        <f t="shared" si="301"/>
        <v>924.3689868191982</v>
      </c>
      <c r="BV142" s="540">
        <f t="shared" si="301"/>
        <v>928.99083175329406</v>
      </c>
      <c r="BW142" s="540">
        <f t="shared" si="301"/>
        <v>933.63578591206044</v>
      </c>
      <c r="BX142" s="540">
        <f t="shared" si="301"/>
        <v>938.30396484162088</v>
      </c>
      <c r="BY142" s="540">
        <f t="shared" si="301"/>
        <v>942.99548466582883</v>
      </c>
      <c r="BZ142" s="540">
        <f t="shared" si="302"/>
        <v>947.71046208915777</v>
      </c>
      <c r="CA142" s="540">
        <f t="shared" si="302"/>
        <v>952.44901439960347</v>
      </c>
      <c r="CB142" s="540">
        <f t="shared" si="302"/>
        <v>957.21125947160135</v>
      </c>
      <c r="CC142" s="540">
        <f t="shared" si="302"/>
        <v>961.99731576895931</v>
      </c>
      <c r="CD142" s="540">
        <f t="shared" si="302"/>
        <v>966.80730234780401</v>
      </c>
      <c r="CE142" s="540">
        <f t="shared" si="302"/>
        <v>971.641338859543</v>
      </c>
      <c r="CF142" s="540">
        <f t="shared" si="302"/>
        <v>976.49954555384068</v>
      </c>
      <c r="CG142" s="540">
        <f t="shared" si="302"/>
        <v>981.38204328160975</v>
      </c>
      <c r="CH142" s="540">
        <f t="shared" si="302"/>
        <v>986.28895349801758</v>
      </c>
      <c r="CI142" s="540">
        <f t="shared" si="302"/>
        <v>991.22039826550758</v>
      </c>
      <c r="CJ142" s="540">
        <f t="shared" si="302"/>
        <v>996.1765002568352</v>
      </c>
      <c r="CK142" s="540">
        <f t="shared" si="302"/>
        <v>1001.1573827581192</v>
      </c>
      <c r="CL142" s="540">
        <f t="shared" si="302"/>
        <v>1006.1631696719097</v>
      </c>
      <c r="CM142" s="540">
        <f t="shared" si="302"/>
        <v>1011.1939855202691</v>
      </c>
      <c r="CN142" s="540">
        <f t="shared" si="302"/>
        <v>1016.2499554478703</v>
      </c>
      <c r="CO142" s="540">
        <f t="shared" si="277"/>
        <v>1021.3312052251093</v>
      </c>
      <c r="CP142" s="540">
        <f t="shared" si="277"/>
        <v>1026.4378612512348</v>
      </c>
      <c r="CQ142" s="540">
        <f t="shared" si="277"/>
        <v>1031.570050557491</v>
      </c>
      <c r="CR142" s="540">
        <f t="shared" si="277"/>
        <v>1036.7279008102785</v>
      </c>
      <c r="CS142" s="540">
        <f t="shared" si="277"/>
        <v>1041.9115403143296</v>
      </c>
      <c r="CT142" s="514"/>
      <c r="CU142" s="514"/>
      <c r="CV142" s="514"/>
      <c r="CW142" s="514"/>
      <c r="CX142" s="514"/>
      <c r="CY142" s="514"/>
      <c r="CZ142" s="514"/>
      <c r="DA142" s="514"/>
      <c r="DB142" s="514"/>
    </row>
    <row r="143" spans="1:106">
      <c r="A143" s="325" t="s">
        <v>515</v>
      </c>
      <c r="B143" s="325" t="s">
        <v>400</v>
      </c>
      <c r="C143" s="517">
        <f t="shared" ref="C143:X143" si="324">C112</f>
        <v>14658.743807870371</v>
      </c>
      <c r="D143" s="517">
        <f t="shared" si="324"/>
        <v>18229.436235892397</v>
      </c>
      <c r="E143" s="517">
        <f t="shared" si="324"/>
        <v>23051.504354821751</v>
      </c>
      <c r="F143" s="517">
        <f t="shared" si="324"/>
        <v>20214.590786100562</v>
      </c>
      <c r="G143" s="517">
        <f t="shared" si="324"/>
        <v>14291.267323103839</v>
      </c>
      <c r="H143" s="517">
        <f t="shared" si="324"/>
        <v>11685.53698145757</v>
      </c>
      <c r="I143" s="517">
        <f t="shared" si="324"/>
        <v>11091.472449903664</v>
      </c>
      <c r="J143" s="517">
        <f t="shared" si="324"/>
        <v>12361.239700094322</v>
      </c>
      <c r="K143" s="517">
        <f t="shared" si="324"/>
        <v>11231.06904839916</v>
      </c>
      <c r="L143" s="517">
        <f t="shared" si="324"/>
        <v>11889.429189578819</v>
      </c>
      <c r="M143" s="517">
        <f t="shared" si="324"/>
        <v>13930.994574995735</v>
      </c>
      <c r="N143" s="517">
        <f t="shared" si="324"/>
        <v>17463.744609807745</v>
      </c>
      <c r="O143" s="517">
        <f t="shared" si="324"/>
        <v>21795.491306484859</v>
      </c>
      <c r="P143" s="517">
        <f t="shared" si="324"/>
        <v>22009.500052895346</v>
      </c>
      <c r="Q143" s="517">
        <f t="shared" si="324"/>
        <v>17793.571863301022</v>
      </c>
      <c r="R143" s="517">
        <f t="shared" si="324"/>
        <v>22895.931071246105</v>
      </c>
      <c r="S143" s="517">
        <f t="shared" si="324"/>
        <v>29132.226535154277</v>
      </c>
      <c r="T143" s="517">
        <f t="shared" si="324"/>
        <v>33699.164750473508</v>
      </c>
      <c r="U143" s="517">
        <f t="shared" si="324"/>
        <v>33346.766592799868</v>
      </c>
      <c r="V143" s="517">
        <f t="shared" si="324"/>
        <v>26891.044900472582</v>
      </c>
      <c r="W143" s="517">
        <f t="shared" si="324"/>
        <v>23457.124169457293</v>
      </c>
      <c r="X143" s="517">
        <f t="shared" si="324"/>
        <v>21324.50094589073</v>
      </c>
      <c r="Y143" s="517">
        <f t="shared" ref="Y143:Z143" si="325">Y112</f>
        <v>22666.680356511344</v>
      </c>
      <c r="Z143" s="517">
        <f t="shared" si="325"/>
        <v>26925.92876358845</v>
      </c>
      <c r="AA143" s="517">
        <f t="shared" ref="AA143:AB143" si="326">AA112</f>
        <v>24515.353250789725</v>
      </c>
      <c r="AB143" s="517">
        <f t="shared" si="326"/>
        <v>21974.398236006451</v>
      </c>
      <c r="AC143" s="517">
        <f t="shared" ref="AC143:AD143" si="327">AC112</f>
        <v>21552.447265400024</v>
      </c>
      <c r="AD143" s="517">
        <f t="shared" si="327"/>
        <v>24794.372100909917</v>
      </c>
      <c r="AE143" s="763">
        <f t="shared" ref="AE143" si="328">AE112</f>
        <v>40490.018602565317</v>
      </c>
      <c r="AF143" s="540">
        <f t="shared" ref="AF143:AK143" si="329">AE143*(1+AF$75/100)</f>
        <v>37415.107534380615</v>
      </c>
      <c r="AG143" s="540">
        <f t="shared" si="329"/>
        <v>30671.714568433763</v>
      </c>
      <c r="AH143" s="540">
        <f t="shared" si="329"/>
        <v>31089.579259019374</v>
      </c>
      <c r="AI143" s="540">
        <f t="shared" si="329"/>
        <v>29789.592647736798</v>
      </c>
      <c r="AJ143" s="540">
        <f t="shared" si="329"/>
        <v>32973.817151760493</v>
      </c>
      <c r="AK143" s="540">
        <f t="shared" si="329"/>
        <v>32271.12078610605</v>
      </c>
      <c r="AL143" s="540">
        <f t="shared" si="309"/>
        <v>30264.261393125747</v>
      </c>
      <c r="AM143" s="540">
        <f t="shared" si="309"/>
        <v>28930.592728207506</v>
      </c>
      <c r="AN143" s="540">
        <f t="shared" si="309"/>
        <v>28464.598101562831</v>
      </c>
      <c r="AO143" s="540">
        <f t="shared" si="309"/>
        <v>27005.126386968648</v>
      </c>
      <c r="AP143" s="540">
        <f t="shared" si="309"/>
        <v>25604.261154847463</v>
      </c>
      <c r="AQ143" s="540">
        <f t="shared" si="309"/>
        <v>24849.4691765639</v>
      </c>
      <c r="AR143" s="540">
        <f t="shared" si="309"/>
        <v>24480.464096794654</v>
      </c>
      <c r="AS143" s="540">
        <f t="shared" si="309"/>
        <v>24465.48432236915</v>
      </c>
      <c r="AT143" s="540">
        <f t="shared" si="309"/>
        <v>24001.796634879716</v>
      </c>
      <c r="AU143" s="540">
        <f t="shared" si="309"/>
        <v>23525.345853137183</v>
      </c>
      <c r="AV143" s="540">
        <f t="shared" si="310"/>
        <v>23299.937489554657</v>
      </c>
      <c r="AW143" s="540">
        <f t="shared" si="310"/>
        <v>22864.983419925476</v>
      </c>
      <c r="AX143" s="540">
        <f t="shared" si="310"/>
        <v>22453.347456873726</v>
      </c>
      <c r="AY143" s="540">
        <f t="shared" si="310"/>
        <v>21775.018977737109</v>
      </c>
      <c r="AZ143" s="540">
        <f t="shared" si="310"/>
        <v>21194.264877634185</v>
      </c>
      <c r="BA143" s="540">
        <f t="shared" si="310"/>
        <v>20536.02804053231</v>
      </c>
      <c r="BB143" s="540">
        <f t="shared" si="310"/>
        <v>19977.662495275192</v>
      </c>
      <c r="BC143" s="540">
        <f t="shared" si="310"/>
        <v>19447.056600705651</v>
      </c>
      <c r="BD143" s="540">
        <f t="shared" si="310"/>
        <v>19131.706968895724</v>
      </c>
      <c r="BE143" s="540">
        <f t="shared" si="310"/>
        <v>18466.227242363067</v>
      </c>
      <c r="BF143" s="540">
        <f t="shared" si="311"/>
        <v>17602.800584973713</v>
      </c>
      <c r="BG143" s="540">
        <f t="shared" si="311"/>
        <v>17241.67132351566</v>
      </c>
      <c r="BH143" s="540">
        <f t="shared" si="311"/>
        <v>16884.761528962234</v>
      </c>
      <c r="BI143" s="540">
        <f t="shared" si="311"/>
        <v>16541.493619889396</v>
      </c>
      <c r="BJ143" s="540">
        <f t="shared" si="311"/>
        <v>16075.765994640886</v>
      </c>
      <c r="BK143" s="540">
        <f t="shared" si="311"/>
        <v>15594.293095522447</v>
      </c>
      <c r="BL143" s="540">
        <f t="shared" si="311"/>
        <v>15046.533323093807</v>
      </c>
      <c r="BM143" s="540">
        <f t="shared" si="311"/>
        <v>14666.808268206642</v>
      </c>
      <c r="BN143" s="540">
        <f t="shared" si="311"/>
        <v>14139.374905144206</v>
      </c>
      <c r="BO143" s="540">
        <f t="shared" si="311"/>
        <v>13709.65551250182</v>
      </c>
      <c r="BP143" s="540">
        <f t="shared" si="301"/>
        <v>13769.967923165455</v>
      </c>
      <c r="BQ143" s="540">
        <f t="shared" si="301"/>
        <v>13838.817762781282</v>
      </c>
      <c r="BR143" s="540">
        <f t="shared" si="301"/>
        <v>13908.011851595187</v>
      </c>
      <c r="BS143" s="540">
        <f t="shared" si="301"/>
        <v>13977.551910853163</v>
      </c>
      <c r="BT143" s="540">
        <f t="shared" si="301"/>
        <v>14047.439670407426</v>
      </c>
      <c r="BU143" s="540">
        <f t="shared" si="301"/>
        <v>14117.676868759463</v>
      </c>
      <c r="BV143" s="540">
        <f t="shared" si="301"/>
        <v>14188.26525310326</v>
      </c>
      <c r="BW143" s="540">
        <f t="shared" si="301"/>
        <v>14259.206579368774</v>
      </c>
      <c r="BX143" s="540">
        <f t="shared" si="301"/>
        <v>14330.502612265618</v>
      </c>
      <c r="BY143" s="540">
        <f t="shared" si="301"/>
        <v>14402.155125326943</v>
      </c>
      <c r="BZ143" s="540">
        <f t="shared" si="302"/>
        <v>14474.165900953576</v>
      </c>
      <c r="CA143" s="540">
        <f t="shared" si="302"/>
        <v>14546.536730458341</v>
      </c>
      <c r="CB143" s="540">
        <f t="shared" si="302"/>
        <v>14619.269414110631</v>
      </c>
      <c r="CC143" s="540">
        <f t="shared" si="302"/>
        <v>14692.365761181183</v>
      </c>
      <c r="CD143" s="540">
        <f t="shared" si="302"/>
        <v>14765.82758998709</v>
      </c>
      <c r="CE143" s="540">
        <f t="shared" si="302"/>
        <v>14839.656727937023</v>
      </c>
      <c r="CF143" s="540">
        <f t="shared" si="302"/>
        <v>14913.855011576707</v>
      </c>
      <c r="CG143" s="540">
        <f t="shared" si="302"/>
        <v>14988.424286634588</v>
      </c>
      <c r="CH143" s="540">
        <f t="shared" si="302"/>
        <v>15063.366408067759</v>
      </c>
      <c r="CI143" s="540">
        <f t="shared" si="302"/>
        <v>15138.683240108096</v>
      </c>
      <c r="CJ143" s="540">
        <f t="shared" si="302"/>
        <v>15214.376656308639</v>
      </c>
      <c r="CK143" s="540">
        <f t="shared" si="302"/>
        <v>15290.448539590181</v>
      </c>
      <c r="CL143" s="540">
        <f t="shared" si="302"/>
        <v>15366.900782288129</v>
      </c>
      <c r="CM143" s="540">
        <f t="shared" si="302"/>
        <v>15443.735286199566</v>
      </c>
      <c r="CN143" s="540">
        <f t="shared" si="302"/>
        <v>15520.953962630563</v>
      </c>
      <c r="CO143" s="540">
        <f t="shared" si="277"/>
        <v>15598.558732443711</v>
      </c>
      <c r="CP143" s="540">
        <f t="shared" si="277"/>
        <v>15676.551526105928</v>
      </c>
      <c r="CQ143" s="540">
        <f t="shared" si="277"/>
        <v>15754.934283736455</v>
      </c>
      <c r="CR143" s="540">
        <f t="shared" si="277"/>
        <v>15833.70895515514</v>
      </c>
      <c r="CS143" s="540">
        <f t="shared" si="277"/>
        <v>15912.877499930913</v>
      </c>
      <c r="CT143" s="514"/>
      <c r="CU143" s="514"/>
      <c r="CV143" s="514"/>
      <c r="CW143" s="514"/>
      <c r="CX143" s="514"/>
      <c r="CY143" s="514"/>
      <c r="CZ143" s="514"/>
      <c r="DA143" s="514"/>
      <c r="DB143" s="514"/>
    </row>
    <row r="144" spans="1:106">
      <c r="A144" s="585" t="s">
        <v>566</v>
      </c>
      <c r="B144" s="586" t="s">
        <v>565</v>
      </c>
      <c r="C144" s="517">
        <f>C113</f>
        <v>7317.7961226851849</v>
      </c>
      <c r="D144" s="517">
        <f t="shared" ref="D144:X144" si="330">D113</f>
        <v>9111.3314776421266</v>
      </c>
      <c r="E144" s="517">
        <f t="shared" si="330"/>
        <v>11583.03456403004</v>
      </c>
      <c r="F144" s="517">
        <f t="shared" si="330"/>
        <v>10269.701872302685</v>
      </c>
      <c r="G144" s="517">
        <f t="shared" si="330"/>
        <v>7110.8612629006639</v>
      </c>
      <c r="H144" s="517">
        <f t="shared" si="330"/>
        <v>5935.9842710406137</v>
      </c>
      <c r="I144" s="517">
        <f t="shared" si="330"/>
        <v>5871.741708181703</v>
      </c>
      <c r="J144" s="517">
        <f t="shared" si="330"/>
        <v>6120.9833735823686</v>
      </c>
      <c r="K144" s="517">
        <f t="shared" si="330"/>
        <v>5569.6908800040892</v>
      </c>
      <c r="L144" s="517">
        <f t="shared" si="330"/>
        <v>5904.1051613612226</v>
      </c>
      <c r="M144" s="517">
        <f t="shared" si="330"/>
        <v>6904.4830180429235</v>
      </c>
      <c r="N144" s="517">
        <f t="shared" si="330"/>
        <v>8791.7888980130483</v>
      </c>
      <c r="O144" s="517">
        <f t="shared" si="330"/>
        <v>11031.769916202931</v>
      </c>
      <c r="P144" s="517">
        <f t="shared" si="330"/>
        <v>11358.019273466465</v>
      </c>
      <c r="Q144" s="517">
        <f t="shared" si="330"/>
        <v>9143.3394009399708</v>
      </c>
      <c r="R144" s="517">
        <f t="shared" si="330"/>
        <v>11898.960914886798</v>
      </c>
      <c r="S144" s="517">
        <f t="shared" si="330"/>
        <v>15081.973125327097</v>
      </c>
      <c r="T144" s="517">
        <f t="shared" si="330"/>
        <v>17394.127734172413</v>
      </c>
      <c r="U144" s="517">
        <f t="shared" si="330"/>
        <v>17285.077860981106</v>
      </c>
      <c r="V144" s="517">
        <f t="shared" si="330"/>
        <v>13956.160543181557</v>
      </c>
      <c r="W144" s="517">
        <f t="shared" si="330"/>
        <v>11938.228837488487</v>
      </c>
      <c r="X144" s="517">
        <f t="shared" si="330"/>
        <v>10520.477621889322</v>
      </c>
      <c r="Y144" s="517">
        <f t="shared" ref="Y144:Z144" si="331">Y113</f>
        <v>11118.374318865981</v>
      </c>
      <c r="Z144" s="517">
        <f t="shared" si="331"/>
        <v>13137.70986365078</v>
      </c>
      <c r="AA144" s="517">
        <f t="shared" ref="AA144:AB144" si="332">AA113</f>
        <v>12091.292586028449</v>
      </c>
      <c r="AB144" s="517">
        <f t="shared" si="332"/>
        <v>10715.374109128963</v>
      </c>
      <c r="AC144" s="517">
        <f t="shared" ref="AC144:AD144" si="333">AC113</f>
        <v>10551.301513381841</v>
      </c>
      <c r="AD144" s="517">
        <f t="shared" si="333"/>
        <v>21569.461936824177</v>
      </c>
      <c r="AE144" s="763">
        <f t="shared" ref="AE144" si="334">AE113</f>
        <v>19616.278118133458</v>
      </c>
      <c r="AF144" s="540">
        <f t="shared" ref="AF144" si="335">AE144*(1+AF$75/100)</f>
        <v>18126.569968228672</v>
      </c>
      <c r="AG144" s="540">
        <f t="shared" ref="AG144" si="336">AF144*(1+AG$75/100)</f>
        <v>14859.585253346435</v>
      </c>
      <c r="AH144" s="540">
        <f t="shared" ref="AH144" si="337">AG144*(1+AH$75/100)</f>
        <v>15062.028973284754</v>
      </c>
      <c r="AI144" s="540">
        <f t="shared" ref="AI144" si="338">AH144*(1+AI$75/100)</f>
        <v>14432.221929551926</v>
      </c>
      <c r="AJ144" s="540">
        <f t="shared" ref="AJ144" si="339">AI144*(1+AJ$75/100)</f>
        <v>15974.889372474438</v>
      </c>
      <c r="AK144" s="540">
        <f t="shared" ref="AK144" si="340">AJ144*(1+AK$75/100)</f>
        <v>15634.452696547452</v>
      </c>
      <c r="AL144" s="540">
        <f t="shared" ref="AL144" si="341">AK144*(1+AL$75/100)</f>
        <v>14659.82338565699</v>
      </c>
      <c r="AM144" s="540">
        <f t="shared" ref="AM144" si="342">AL144*(1+AM$75/100)</f>
        <v>14013.802429496225</v>
      </c>
      <c r="AN144" s="540">
        <f t="shared" ref="AN144" si="343">AM144*(1+AN$75/100)</f>
        <v>13788.07747832237</v>
      </c>
      <c r="AO144" s="540">
        <f t="shared" ref="AO144" si="344">AN144*(1+AO$75/100)</f>
        <v>13081.118293216583</v>
      </c>
      <c r="AP144" s="540">
        <f t="shared" ref="AP144" si="345">AO144*(1+AP$75/100)</f>
        <v>12402.547730292861</v>
      </c>
      <c r="AQ144" s="540">
        <f t="shared" ref="AQ144" si="346">AP144*(1+AQ$75/100)</f>
        <v>12036.931105759577</v>
      </c>
      <c r="AR144" s="540">
        <f t="shared" ref="AR144" si="347">AQ144*(1+AR$75/100)</f>
        <v>11858.187298747122</v>
      </c>
      <c r="AS144" s="540">
        <f t="shared" ref="AS144" si="348">AR144*(1+AS$75/100)</f>
        <v>11850.931187501508</v>
      </c>
      <c r="AT144" s="540">
        <f t="shared" ref="AT144" si="349">AS144*(1+AT$75/100)</f>
        <v>11626.323703565262</v>
      </c>
      <c r="AU144" s="540">
        <f t="shared" ref="AU144" si="350">AT144*(1+AU$75/100)</f>
        <v>11395.533854720967</v>
      </c>
      <c r="AV144" s="540">
        <f t="shared" ref="AV144" si="351">AU144*(1+AV$75/100)</f>
        <v>11286.347420039949</v>
      </c>
      <c r="AW144" s="540">
        <f t="shared" ref="AW144" si="352">AV144*(1+AW$75/100)</f>
        <v>11075.658325110149</v>
      </c>
      <c r="AX144" s="540">
        <f t="shared" ref="AX144" si="353">AW144*(1+AX$75/100)</f>
        <v>10876.264378595593</v>
      </c>
      <c r="AY144" s="540">
        <f t="shared" ref="AY144" si="354">AX144*(1+AY$75/100)</f>
        <v>10547.68620606293</v>
      </c>
      <c r="AZ144" s="540">
        <f t="shared" ref="AZ144" si="355">AY144*(1+AZ$75/100)</f>
        <v>10266.372466817376</v>
      </c>
      <c r="BA144" s="540">
        <f t="shared" ref="BA144" si="356">AZ144*(1+BA$75/100)</f>
        <v>9947.5265629804908</v>
      </c>
      <c r="BB144" s="540">
        <f t="shared" ref="BB144" si="357">BA144*(1+BB$75/100)</f>
        <v>9677.0577029684409</v>
      </c>
      <c r="BC144" s="540">
        <f t="shared" ref="BC144" si="358">BB144*(1+BC$75/100)</f>
        <v>9420.0354482127095</v>
      </c>
      <c r="BD144" s="540">
        <f t="shared" ref="BD144" si="359">BC144*(1+BD$75/100)</f>
        <v>9267.2820125013859</v>
      </c>
      <c r="BE144" s="540">
        <f t="shared" ref="BE144" si="360">BD144*(1+BE$75/100)</f>
        <v>8944.9276972587886</v>
      </c>
      <c r="BF144" s="540">
        <f t="shared" ref="BF144" si="361">BE144*(1+BF$75/100)</f>
        <v>8526.6890976321283</v>
      </c>
      <c r="BG144" s="540">
        <f t="shared" ref="BG144" si="362">BF144*(1+BG$75/100)</f>
        <v>8351.7602889095633</v>
      </c>
      <c r="BH144" s="540">
        <f t="shared" ref="BH144" si="363">BG144*(1+BH$75/100)</f>
        <v>8178.8753641860139</v>
      </c>
      <c r="BI144" s="540">
        <f t="shared" ref="BI144" si="364">BH144*(1+BI$75/100)</f>
        <v>8012.5984854740636</v>
      </c>
      <c r="BJ144" s="540">
        <f t="shared" ref="BJ144" si="365">BI144*(1+BJ$75/100)</f>
        <v>7787.0028681458498</v>
      </c>
      <c r="BK144" s="540">
        <f t="shared" ref="BK144" si="366">BJ144*(1+BK$75/100)</f>
        <v>7553.7803363162848</v>
      </c>
      <c r="BL144" s="540">
        <f t="shared" ref="BL144" si="367">BK144*(1+BL$75/100)</f>
        <v>7288.4488478896264</v>
      </c>
      <c r="BM144" s="540">
        <f t="shared" ref="BM144" si="368">BL144*(1+BM$75/100)</f>
        <v>7104.5123504002422</v>
      </c>
      <c r="BN144" s="540">
        <f t="shared" ref="BN144" si="369">BM144*(1+BN$75/100)</f>
        <v>6849.0268505309232</v>
      </c>
      <c r="BO144" s="540">
        <f t="shared" ref="BO144" si="370">BN144*(1+BO$75/100)</f>
        <v>6640.8734011637416</v>
      </c>
      <c r="BP144" s="540">
        <f t="shared" ref="BP144" si="371">BO144*(1+BP$75/100)</f>
        <v>6640.8734011637416</v>
      </c>
      <c r="BQ144" s="540">
        <f t="shared" ref="BQ144" si="372">BP144*(1+BQ$75/100)</f>
        <v>6640.8734011637416</v>
      </c>
      <c r="BR144" s="540">
        <f t="shared" ref="BR144" si="373">BQ144*(1+BR$75/100)</f>
        <v>6640.8734011637416</v>
      </c>
      <c r="BS144" s="540">
        <f t="shared" ref="BS144" si="374">BR144*(1+BS$75/100)</f>
        <v>6640.8734011637416</v>
      </c>
      <c r="BT144" s="540">
        <f t="shared" ref="BT144" si="375">BS144*(1+BT$75/100)</f>
        <v>6640.8734011637416</v>
      </c>
      <c r="BU144" s="540">
        <f t="shared" ref="BU144" si="376">BT144*(1+BU$75/100)</f>
        <v>6640.8734011637416</v>
      </c>
      <c r="BV144" s="540">
        <f t="shared" ref="BV144" si="377">BU144*(1+BV$75/100)</f>
        <v>6640.8734011637416</v>
      </c>
      <c r="BW144" s="540">
        <f t="shared" ref="BW144" si="378">BV144*(1+BW$75/100)</f>
        <v>6640.8734011637416</v>
      </c>
      <c r="BX144" s="540">
        <f t="shared" ref="BX144" si="379">BW144*(1+BX$75/100)</f>
        <v>6640.8734011637416</v>
      </c>
      <c r="BY144" s="540">
        <f t="shared" ref="BY144" si="380">BX144*(1+BY$75/100)</f>
        <v>6640.8734011637416</v>
      </c>
      <c r="BZ144" s="540">
        <f t="shared" ref="BZ144" si="381">BY144*(1+BZ$75/100)</f>
        <v>6640.8734011637416</v>
      </c>
      <c r="CA144" s="540">
        <f t="shared" ref="CA144" si="382">BZ144*(1+CA$75/100)</f>
        <v>6640.8734011637416</v>
      </c>
      <c r="CB144" s="540">
        <f t="shared" ref="CB144" si="383">CA144*(1+CB$75/100)</f>
        <v>6640.8734011637416</v>
      </c>
      <c r="CC144" s="540">
        <f t="shared" ref="CC144" si="384">CB144*(1+CC$75/100)</f>
        <v>6640.8734011637416</v>
      </c>
      <c r="CD144" s="540">
        <f t="shared" ref="CD144" si="385">CC144*(1+CD$75/100)</f>
        <v>6640.8734011637416</v>
      </c>
      <c r="CE144" s="540">
        <f t="shared" ref="CE144" si="386">CD144*(1+CE$75/100)</f>
        <v>6640.8734011637416</v>
      </c>
      <c r="CF144" s="540">
        <f t="shared" ref="CF144" si="387">CE144*(1+CF$75/100)</f>
        <v>6640.8734011637416</v>
      </c>
      <c r="CG144" s="540">
        <f t="shared" ref="CG144" si="388">CF144*(1+CG$75/100)</f>
        <v>6640.8734011637416</v>
      </c>
      <c r="CH144" s="540">
        <f t="shared" ref="CH144" si="389">CG144*(1+CH$75/100)</f>
        <v>6640.8734011637416</v>
      </c>
      <c r="CI144" s="540">
        <f t="shared" ref="CI144" si="390">CH144*(1+CI$75/100)</f>
        <v>6640.8734011637416</v>
      </c>
      <c r="CJ144" s="540">
        <f t="shared" ref="CJ144" si="391">CI144*(1+CJ$75/100)</f>
        <v>6640.8734011637416</v>
      </c>
      <c r="CK144" s="540">
        <f t="shared" ref="CK144" si="392">CJ144*(1+CK$75/100)</f>
        <v>6640.8734011637416</v>
      </c>
      <c r="CL144" s="540">
        <f t="shared" ref="CL144" si="393">CK144*(1+CL$75/100)</f>
        <v>6640.8734011637416</v>
      </c>
      <c r="CM144" s="540">
        <f t="shared" ref="CM144" si="394">CL144*(1+CM$75/100)</f>
        <v>6640.8734011637416</v>
      </c>
      <c r="CN144" s="540">
        <f t="shared" ref="CN144" si="395">CM144*(1+CN$75/100)</f>
        <v>6640.8734011637416</v>
      </c>
      <c r="CO144" s="540">
        <f t="shared" ref="CO144" si="396">CN144*(1+CO$75/100)</f>
        <v>6640.8734011637416</v>
      </c>
      <c r="CP144" s="540">
        <f t="shared" ref="CP144" si="397">CO144*(1+CP$75/100)</f>
        <v>6640.8734011637416</v>
      </c>
      <c r="CQ144" s="540">
        <f t="shared" ref="CQ144" si="398">CP144*(1+CQ$75/100)</f>
        <v>6640.8734011637416</v>
      </c>
      <c r="CR144" s="540">
        <f t="shared" ref="CR144" si="399">CQ144*(1+CR$75/100)</f>
        <v>6640.8734011637416</v>
      </c>
      <c r="CS144" s="540">
        <f t="shared" ref="CS144" si="400">CR144*(1+CS$75/100)</f>
        <v>6640.8734011637416</v>
      </c>
      <c r="CT144" s="514"/>
      <c r="CU144" s="514"/>
      <c r="CV144" s="514"/>
      <c r="CW144" s="514"/>
      <c r="CX144" s="514"/>
      <c r="CY144" s="514"/>
      <c r="CZ144" s="514"/>
      <c r="DA144" s="514"/>
      <c r="DB144" s="514"/>
    </row>
    <row r="145" spans="1:106">
      <c r="A145" s="325" t="s">
        <v>514</v>
      </c>
      <c r="B145" s="325" t="s">
        <v>401</v>
      </c>
      <c r="C145" s="517">
        <f>C114</f>
        <v>15278.243032407407</v>
      </c>
      <c r="D145" s="517">
        <f t="shared" ref="D145:X145" si="401">D114</f>
        <v>18839.475550252053</v>
      </c>
      <c r="E145" s="517">
        <f t="shared" si="401"/>
        <v>24104.347573954801</v>
      </c>
      <c r="F145" s="517">
        <f t="shared" si="401"/>
        <v>21973.296040115198</v>
      </c>
      <c r="G145" s="517">
        <f t="shared" si="401"/>
        <v>15285.884463809965</v>
      </c>
      <c r="H145" s="517">
        <f t="shared" si="401"/>
        <v>12752.985528295128</v>
      </c>
      <c r="I145" s="517">
        <f t="shared" si="401"/>
        <v>12866.108172728345</v>
      </c>
      <c r="J145" s="517">
        <f t="shared" si="401"/>
        <v>13342.311019769972</v>
      </c>
      <c r="K145" s="517">
        <f t="shared" si="401"/>
        <v>12378.592981454593</v>
      </c>
      <c r="L145" s="517">
        <f t="shared" si="401"/>
        <v>12838.261370771996</v>
      </c>
      <c r="M145" s="517">
        <f t="shared" si="401"/>
        <v>15171.779381634053</v>
      </c>
      <c r="N145" s="517">
        <f t="shared" si="401"/>
        <v>19898.885571620336</v>
      </c>
      <c r="O145" s="517">
        <f t="shared" si="401"/>
        <v>24523.542337975126</v>
      </c>
      <c r="P145" s="517">
        <f t="shared" si="401"/>
        <v>24189.908399783515</v>
      </c>
      <c r="Q145" s="517">
        <f t="shared" si="401"/>
        <v>19544.11185591407</v>
      </c>
      <c r="R145" s="517">
        <f t="shared" si="401"/>
        <v>24927.867339147422</v>
      </c>
      <c r="S145" s="517">
        <f t="shared" si="401"/>
        <v>31621.496390657991</v>
      </c>
      <c r="T145" s="517">
        <f t="shared" si="401"/>
        <v>37440.40353739266</v>
      </c>
      <c r="U145" s="517">
        <f t="shared" si="401"/>
        <v>36499.737939221239</v>
      </c>
      <c r="V145" s="517">
        <f t="shared" si="401"/>
        <v>29053.61427083032</v>
      </c>
      <c r="W145" s="517">
        <f t="shared" si="401"/>
        <v>25405.487967730707</v>
      </c>
      <c r="X145" s="517">
        <f t="shared" si="401"/>
        <v>23815.513373917645</v>
      </c>
      <c r="Y145" s="517">
        <f t="shared" ref="Y145:Z145" si="402">Y114</f>
        <v>25375.559755239163</v>
      </c>
      <c r="Z145" s="517">
        <f t="shared" si="402"/>
        <v>30051.168045271159</v>
      </c>
      <c r="AA145" s="517">
        <f t="shared" ref="AA145:AB145" si="403">AA114</f>
        <v>27256.265541434281</v>
      </c>
      <c r="AB145" s="517">
        <f t="shared" si="403"/>
        <v>25698.674822217217</v>
      </c>
      <c r="AC145" s="517">
        <f t="shared" ref="AC145:AD145" si="404">AC114</f>
        <v>25310.000491362207</v>
      </c>
      <c r="AD145" s="517">
        <f t="shared" si="404"/>
        <v>24146.674847936494</v>
      </c>
      <c r="AE145" s="763">
        <f t="shared" ref="AE145" si="405">AE114</f>
        <v>28047.800854232719</v>
      </c>
      <c r="AF145" s="540">
        <f t="shared" ref="AF145:AK145" si="406">AE145*(1+AF$75/100)</f>
        <v>25917.782240720491</v>
      </c>
      <c r="AG145" s="540">
        <f t="shared" si="406"/>
        <v>21246.573149729164</v>
      </c>
      <c r="AH145" s="540">
        <f>AG145*(1+AH$75/100)</f>
        <v>21536.031787439402</v>
      </c>
      <c r="AI145" s="540">
        <f t="shared" si="406"/>
        <v>20635.519344006923</v>
      </c>
      <c r="AJ145" s="540">
        <f t="shared" si="406"/>
        <v>22841.260359852397</v>
      </c>
      <c r="AK145" s="540">
        <f t="shared" si="406"/>
        <v>22354.496253411107</v>
      </c>
      <c r="AL145" s="540">
        <f t="shared" ref="AL145:AU146" si="407">AL$85*$AK145/$AK$148</f>
        <v>20964.32666249885</v>
      </c>
      <c r="AM145" s="540">
        <f t="shared" si="407"/>
        <v>20040.48235691023</v>
      </c>
      <c r="AN145" s="540">
        <f t="shared" si="407"/>
        <v>19717.683678659087</v>
      </c>
      <c r="AO145" s="540">
        <f t="shared" si="407"/>
        <v>18706.694466598568</v>
      </c>
      <c r="AP145" s="540">
        <f t="shared" si="407"/>
        <v>17736.302493213203</v>
      </c>
      <c r="AQ145" s="540">
        <f t="shared" si="407"/>
        <v>17213.45128632518</v>
      </c>
      <c r="AR145" s="540">
        <f t="shared" si="407"/>
        <v>16957.838141437362</v>
      </c>
      <c r="AS145" s="540">
        <f t="shared" si="407"/>
        <v>16947.46151666838</v>
      </c>
      <c r="AT145" s="540">
        <f t="shared" si="407"/>
        <v>16626.260875964319</v>
      </c>
      <c r="AU145" s="540">
        <f t="shared" si="407"/>
        <v>16296.219124827376</v>
      </c>
      <c r="AV145" s="540">
        <f t="shared" ref="AV145:BK146" si="408">AV$85*$AK145/$AK$148</f>
        <v>16140.076719591718</v>
      </c>
      <c r="AW145" s="540">
        <f t="shared" si="408"/>
        <v>15838.780114978046</v>
      </c>
      <c r="AX145" s="540">
        <f t="shared" si="408"/>
        <v>15553.636172974908</v>
      </c>
      <c r="AY145" s="540">
        <f t="shared" si="408"/>
        <v>15083.751921171353</v>
      </c>
      <c r="AZ145" s="540">
        <f t="shared" si="408"/>
        <v>14681.458321238704</v>
      </c>
      <c r="BA145" s="540">
        <f t="shared" si="408"/>
        <v>14225.491730974316</v>
      </c>
      <c r="BB145" s="540">
        <f t="shared" si="408"/>
        <v>13838.706884788928</v>
      </c>
      <c r="BC145" s="540">
        <f t="shared" si="408"/>
        <v>13471.151398854288</v>
      </c>
      <c r="BD145" s="540">
        <f t="shared" si="408"/>
        <v>13252.705866406443</v>
      </c>
      <c r="BE145" s="540">
        <f t="shared" si="408"/>
        <v>12791.722061347522</v>
      </c>
      <c r="BF145" s="540">
        <f t="shared" si="408"/>
        <v>12193.618633033509</v>
      </c>
      <c r="BG145" s="540">
        <f t="shared" si="408"/>
        <v>11943.461138480769</v>
      </c>
      <c r="BH145" s="540">
        <f t="shared" si="408"/>
        <v>11696.226506686218</v>
      </c>
      <c r="BI145" s="540">
        <f t="shared" si="408"/>
        <v>11458.44173192907</v>
      </c>
      <c r="BJ145" s="540">
        <f t="shared" si="408"/>
        <v>11135.828007951739</v>
      </c>
      <c r="BK145" s="540">
        <f t="shared" si="408"/>
        <v>10802.307390840231</v>
      </c>
      <c r="BL145" s="540">
        <f t="shared" ref="BF145:BO146" si="409">BL$85*$AK145/$AK$148</f>
        <v>10422.869259091265</v>
      </c>
      <c r="BM145" s="540">
        <f t="shared" si="409"/>
        <v>10159.830290811735</v>
      </c>
      <c r="BN145" s="540">
        <f t="shared" si="409"/>
        <v>9794.4724460485759</v>
      </c>
      <c r="BO145" s="540">
        <f t="shared" si="409"/>
        <v>9496.8019493678985</v>
      </c>
      <c r="BP145" s="540">
        <f t="shared" ref="BP145:BY146" si="410">BP$85*$AK145/$AK$148</f>
        <v>9538.5808998775738</v>
      </c>
      <c r="BQ145" s="540">
        <f t="shared" si="410"/>
        <v>9586.2738043769605</v>
      </c>
      <c r="BR145" s="540">
        <f t="shared" si="410"/>
        <v>9634.2051733988446</v>
      </c>
      <c r="BS145" s="540">
        <f t="shared" si="410"/>
        <v>9682.3761992658383</v>
      </c>
      <c r="BT145" s="540">
        <f t="shared" si="410"/>
        <v>9730.7880802621657</v>
      </c>
      <c r="BU145" s="540">
        <f t="shared" si="410"/>
        <v>9779.4420206634768</v>
      </c>
      <c r="BV145" s="540">
        <f t="shared" si="410"/>
        <v>9828.3392307667928</v>
      </c>
      <c r="BW145" s="540">
        <f t="shared" si="410"/>
        <v>9877.4809269206253</v>
      </c>
      <c r="BX145" s="540">
        <f t="shared" si="410"/>
        <v>9926.868331555228</v>
      </c>
      <c r="BY145" s="540">
        <f t="shared" si="410"/>
        <v>9976.5026732130027</v>
      </c>
      <c r="BZ145" s="540">
        <f t="shared" ref="BZ145:CO146" si="411">BZ$85*$AK145/$AK$148</f>
        <v>10026.385186579068</v>
      </c>
      <c r="CA145" s="540">
        <f t="shared" si="411"/>
        <v>10076.517112511961</v>
      </c>
      <c r="CB145" s="540">
        <f t="shared" si="411"/>
        <v>10126.89969807452</v>
      </c>
      <c r="CC145" s="540">
        <f t="shared" si="411"/>
        <v>10177.534196564891</v>
      </c>
      <c r="CD145" s="540">
        <f t="shared" si="411"/>
        <v>10228.421867547715</v>
      </c>
      <c r="CE145" s="540">
        <f t="shared" si="411"/>
        <v>10279.563976885453</v>
      </c>
      <c r="CF145" s="540">
        <f t="shared" si="411"/>
        <v>10330.96179676988</v>
      </c>
      <c r="CG145" s="540">
        <f t="shared" si="411"/>
        <v>10382.616605753728</v>
      </c>
      <c r="CH145" s="540">
        <f t="shared" si="411"/>
        <v>10434.529688782495</v>
      </c>
      <c r="CI145" s="540">
        <f t="shared" si="411"/>
        <v>10486.702337226407</v>
      </c>
      <c r="CJ145" s="540">
        <f t="shared" si="411"/>
        <v>10539.135848912538</v>
      </c>
      <c r="CK145" s="540">
        <f t="shared" si="411"/>
        <v>10591.831528157101</v>
      </c>
      <c r="CL145" s="540">
        <f t="shared" si="411"/>
        <v>10644.790685797885</v>
      </c>
      <c r="CM145" s="540">
        <f t="shared" si="411"/>
        <v>10698.014639226873</v>
      </c>
      <c r="CN145" s="540">
        <f t="shared" si="411"/>
        <v>10751.504712423004</v>
      </c>
      <c r="CO145" s="540">
        <f t="shared" si="411"/>
        <v>10805.262235985118</v>
      </c>
      <c r="CP145" s="540">
        <f t="shared" ref="CO145:CS146" si="412">CP$85*$AK145/$AK$148</f>
        <v>10859.288547165041</v>
      </c>
      <c r="CQ145" s="540">
        <f t="shared" si="412"/>
        <v>10913.584989900866</v>
      </c>
      <c r="CR145" s="540">
        <f t="shared" si="412"/>
        <v>10968.152914850369</v>
      </c>
      <c r="CS145" s="540">
        <f t="shared" si="412"/>
        <v>11022.99367942462</v>
      </c>
      <c r="CT145" s="514"/>
      <c r="CU145" s="514"/>
      <c r="CV145" s="514"/>
      <c r="CW145" s="514"/>
      <c r="CX145" s="514"/>
      <c r="CY145" s="514"/>
      <c r="CZ145" s="514"/>
      <c r="DA145" s="514"/>
      <c r="DB145" s="514"/>
    </row>
    <row r="146" spans="1:106">
      <c r="A146" s="325" t="s">
        <v>513</v>
      </c>
      <c r="B146" s="325" t="s">
        <v>402</v>
      </c>
      <c r="C146" s="517">
        <f>C115</f>
        <v>16321.268078703704</v>
      </c>
      <c r="D146" s="517">
        <f t="shared" ref="D146:X146" si="413">D115</f>
        <v>17661.536571672281</v>
      </c>
      <c r="E146" s="517">
        <f t="shared" si="413"/>
        <v>24674.218810346829</v>
      </c>
      <c r="F146" s="517">
        <f t="shared" si="413"/>
        <v>18262.959819124495</v>
      </c>
      <c r="G146" s="517">
        <f t="shared" si="413"/>
        <v>15336.090375759562</v>
      </c>
      <c r="H146" s="517">
        <f t="shared" si="413"/>
        <v>12979.902937747305</v>
      </c>
      <c r="I146" s="517">
        <f t="shared" si="413"/>
        <v>14952.865478341513</v>
      </c>
      <c r="J146" s="517">
        <f t="shared" si="413"/>
        <v>10550.881042712726</v>
      </c>
      <c r="K146" s="517">
        <f t="shared" si="413"/>
        <v>12163.360541251064</v>
      </c>
      <c r="L146" s="517">
        <f t="shared" si="413"/>
        <v>14248.838750064937</v>
      </c>
      <c r="M146" s="517">
        <f t="shared" si="413"/>
        <v>13708.877598680578</v>
      </c>
      <c r="N146" s="517">
        <f t="shared" si="413"/>
        <v>19403.820540903536</v>
      </c>
      <c r="O146" s="517">
        <f t="shared" si="413"/>
        <v>23581.434622285105</v>
      </c>
      <c r="P146" s="517">
        <f t="shared" si="413"/>
        <v>24574.722822658405</v>
      </c>
      <c r="Q146" s="517">
        <f t="shared" si="413"/>
        <v>19758.138457965269</v>
      </c>
      <c r="R146" s="517">
        <f t="shared" si="413"/>
        <v>23601.187165651503</v>
      </c>
      <c r="S146" s="517">
        <f t="shared" si="413"/>
        <v>31892.270964999756</v>
      </c>
      <c r="T146" s="517">
        <f t="shared" si="413"/>
        <v>34789.446570768057</v>
      </c>
      <c r="U146" s="517">
        <f t="shared" si="413"/>
        <v>34950.602725127203</v>
      </c>
      <c r="V146" s="517">
        <f t="shared" si="413"/>
        <v>27231.440700016807</v>
      </c>
      <c r="W146" s="517">
        <f t="shared" si="413"/>
        <v>23724.354311938274</v>
      </c>
      <c r="X146" s="517">
        <f t="shared" si="413"/>
        <v>21877.717623687851</v>
      </c>
      <c r="Y146" s="517">
        <f t="shared" ref="Y146:Z146" si="414">Y115</f>
        <v>23431.189994554141</v>
      </c>
      <c r="Z146" s="517">
        <f t="shared" si="414"/>
        <v>28130.875035436049</v>
      </c>
      <c r="AA146" s="517">
        <f t="shared" ref="AA146:AB146" si="415">AA115</f>
        <v>25688.530963091554</v>
      </c>
      <c r="AB146" s="517">
        <f t="shared" si="415"/>
        <v>22752.66093206784</v>
      </c>
      <c r="AC146" s="517">
        <f t="shared" ref="AC146:AD146" si="416">AC115</f>
        <v>23336.250728833256</v>
      </c>
      <c r="AD146" s="517">
        <f t="shared" si="416"/>
        <v>29062.311459395227</v>
      </c>
      <c r="AE146" s="763">
        <f t="shared" ref="AE146" si="417">AE115</f>
        <v>30741.402480410139</v>
      </c>
      <c r="AF146" s="540">
        <f t="shared" ref="AF146:AG146" si="418">AE146*(1+AF$75/100)</f>
        <v>28406.82516973079</v>
      </c>
      <c r="AG146" s="540">
        <f t="shared" si="418"/>
        <v>23287.011338956087</v>
      </c>
      <c r="AH146" s="540">
        <f>AG146*(1+AH$75/100)</f>
        <v>23604.268457598911</v>
      </c>
      <c r="AI146" s="540">
        <f t="shared" ref="AI146:AK147" si="419">AH146*(1+AI$75/100)</f>
        <v>22617.274304080536</v>
      </c>
      <c r="AJ146" s="540">
        <f t="shared" si="419"/>
        <v>25034.846101885909</v>
      </c>
      <c r="AK146" s="540">
        <f t="shared" si="419"/>
        <v>24501.335065248943</v>
      </c>
      <c r="AL146" s="540">
        <f t="shared" si="407"/>
        <v>22977.658997654096</v>
      </c>
      <c r="AM146" s="540">
        <f t="shared" si="407"/>
        <v>21965.092280750552</v>
      </c>
      <c r="AN146" s="540">
        <f t="shared" si="407"/>
        <v>21611.293273839627</v>
      </c>
      <c r="AO146" s="540">
        <f t="shared" si="407"/>
        <v>20503.212592832693</v>
      </c>
      <c r="AP146" s="540">
        <f t="shared" si="407"/>
        <v>19439.627951290393</v>
      </c>
      <c r="AQ146" s="540">
        <f t="shared" si="407"/>
        <v>18866.564149538273</v>
      </c>
      <c r="AR146" s="540">
        <f t="shared" si="407"/>
        <v>18586.402913114849</v>
      </c>
      <c r="AS146" s="540">
        <f t="shared" si="407"/>
        <v>18575.029757691034</v>
      </c>
      <c r="AT146" s="540">
        <f t="shared" si="407"/>
        <v>18222.982257633324</v>
      </c>
      <c r="AU146" s="540">
        <f t="shared" si="407"/>
        <v>17861.24458130819</v>
      </c>
      <c r="AV146" s="540">
        <f t="shared" si="408"/>
        <v>17690.106867212351</v>
      </c>
      <c r="AW146" s="540">
        <f t="shared" si="408"/>
        <v>17359.874909400514</v>
      </c>
      <c r="AX146" s="540">
        <f t="shared" si="408"/>
        <v>17047.346853046809</v>
      </c>
      <c r="AY146" s="540">
        <f t="shared" si="408"/>
        <v>16532.336746587083</v>
      </c>
      <c r="AZ146" s="540">
        <f t="shared" si="408"/>
        <v>16091.408435127105</v>
      </c>
      <c r="BA146" s="540">
        <f t="shared" si="408"/>
        <v>15591.652588250343</v>
      </c>
      <c r="BB146" s="540">
        <f t="shared" si="408"/>
        <v>15167.72243088422</v>
      </c>
      <c r="BC146" s="540">
        <f t="shared" si="408"/>
        <v>14764.868346682668</v>
      </c>
      <c r="BD146" s="540">
        <f t="shared" si="408"/>
        <v>14525.444155533891</v>
      </c>
      <c r="BE146" s="540">
        <f t="shared" si="408"/>
        <v>14020.189260081766</v>
      </c>
      <c r="BF146" s="540">
        <f t="shared" si="409"/>
        <v>13364.646306455175</v>
      </c>
      <c r="BG146" s="540">
        <f t="shared" si="409"/>
        <v>13090.464659790487</v>
      </c>
      <c r="BH146" s="540">
        <f t="shared" si="409"/>
        <v>12819.486576246894</v>
      </c>
      <c r="BI146" s="540">
        <f t="shared" si="409"/>
        <v>12558.865877229773</v>
      </c>
      <c r="BJ146" s="540">
        <f t="shared" si="409"/>
        <v>12205.269586881243</v>
      </c>
      <c r="BK146" s="540">
        <f t="shared" si="409"/>
        <v>11839.718947833819</v>
      </c>
      <c r="BL146" s="540">
        <f t="shared" si="409"/>
        <v>11423.841054763654</v>
      </c>
      <c r="BM146" s="540">
        <f t="shared" si="409"/>
        <v>11135.540847772823</v>
      </c>
      <c r="BN146" s="540">
        <f t="shared" si="409"/>
        <v>10735.095457647183</v>
      </c>
      <c r="BO146" s="540">
        <f t="shared" si="409"/>
        <v>10408.837845060658</v>
      </c>
      <c r="BP146" s="540">
        <f t="shared" si="410"/>
        <v>10454.629083364935</v>
      </c>
      <c r="BQ146" s="540">
        <f t="shared" si="410"/>
        <v>10506.902228781757</v>
      </c>
      <c r="BR146" s="540">
        <f t="shared" si="410"/>
        <v>10559.436739925664</v>
      </c>
      <c r="BS146" s="540">
        <f t="shared" si="410"/>
        <v>10612.233923625292</v>
      </c>
      <c r="BT146" s="540">
        <f t="shared" si="410"/>
        <v>10665.295093243418</v>
      </c>
      <c r="BU146" s="540">
        <f t="shared" si="410"/>
        <v>10718.621568709634</v>
      </c>
      <c r="BV146" s="540">
        <f t="shared" si="410"/>
        <v>10772.214676553182</v>
      </c>
      <c r="BW146" s="540">
        <f t="shared" si="410"/>
        <v>10826.075749935946</v>
      </c>
      <c r="BX146" s="540">
        <f t="shared" si="410"/>
        <v>10880.206128685626</v>
      </c>
      <c r="BY146" s="540">
        <f t="shared" si="410"/>
        <v>10934.607159329053</v>
      </c>
      <c r="BZ146" s="540">
        <f t="shared" si="411"/>
        <v>10989.280195125695</v>
      </c>
      <c r="CA146" s="540">
        <f t="shared" si="411"/>
        <v>11044.226596101324</v>
      </c>
      <c r="CB146" s="540">
        <f t="shared" si="411"/>
        <v>11099.447729081827</v>
      </c>
      <c r="CC146" s="540">
        <f t="shared" si="411"/>
        <v>11154.944967727237</v>
      </c>
      <c r="CD146" s="540">
        <f t="shared" si="411"/>
        <v>11210.71969256587</v>
      </c>
      <c r="CE146" s="540">
        <f t="shared" si="411"/>
        <v>11266.773291028701</v>
      </c>
      <c r="CF146" s="540">
        <f t="shared" si="411"/>
        <v>11323.107157483842</v>
      </c>
      <c r="CG146" s="540">
        <f t="shared" si="411"/>
        <v>11379.722693271262</v>
      </c>
      <c r="CH146" s="540">
        <f t="shared" si="411"/>
        <v>11436.621306737616</v>
      </c>
      <c r="CI146" s="540">
        <f t="shared" si="411"/>
        <v>11493.804413271302</v>
      </c>
      <c r="CJ146" s="540">
        <f t="shared" si="411"/>
        <v>11551.273435337658</v>
      </c>
      <c r="CK146" s="540">
        <f t="shared" si="411"/>
        <v>11609.029802514347</v>
      </c>
      <c r="CL146" s="540">
        <f t="shared" si="411"/>
        <v>11667.074951526916</v>
      </c>
      <c r="CM146" s="540">
        <f t="shared" si="411"/>
        <v>11725.410326284549</v>
      </c>
      <c r="CN146" s="540">
        <f t="shared" si="411"/>
        <v>11784.037377915971</v>
      </c>
      <c r="CO146" s="540">
        <f t="shared" si="412"/>
        <v>11842.957564805549</v>
      </c>
      <c r="CP146" s="540">
        <f t="shared" si="412"/>
        <v>11902.172352629574</v>
      </c>
      <c r="CQ146" s="540">
        <f t="shared" si="412"/>
        <v>11961.68321439272</v>
      </c>
      <c r="CR146" s="540">
        <f t="shared" si="412"/>
        <v>12021.491630464685</v>
      </c>
      <c r="CS146" s="540">
        <f t="shared" si="412"/>
        <v>12081.599088617006</v>
      </c>
      <c r="CT146" s="514"/>
      <c r="CU146" s="514"/>
      <c r="CV146" s="514"/>
      <c r="CW146" s="514"/>
      <c r="CX146" s="514"/>
      <c r="CY146" s="514"/>
      <c r="CZ146" s="514"/>
      <c r="DA146" s="514"/>
      <c r="DB146" s="514"/>
    </row>
    <row r="147" spans="1:106">
      <c r="A147" s="325" t="s">
        <v>451</v>
      </c>
      <c r="B147" s="325" t="s">
        <v>452</v>
      </c>
      <c r="C147" s="517">
        <f>C116</f>
        <v>1751.1159953703705</v>
      </c>
      <c r="D147" s="517">
        <f t="shared" ref="D147:X147" si="420">D116</f>
        <v>1609.3688</v>
      </c>
      <c r="E147" s="517">
        <f t="shared" si="420"/>
        <v>1628.16748046875</v>
      </c>
      <c r="F147" s="517">
        <f t="shared" si="420"/>
        <v>1670.41064453125</v>
      </c>
      <c r="G147" s="517">
        <f t="shared" si="420"/>
        <v>1456.9072000000001</v>
      </c>
      <c r="H147" s="517">
        <f t="shared" si="420"/>
        <v>1462.9312</v>
      </c>
      <c r="I147" s="517">
        <f t="shared" si="420"/>
        <v>1457.853759765625</v>
      </c>
      <c r="J147" s="517">
        <f t="shared" si="420"/>
        <v>1388.6944000000001</v>
      </c>
      <c r="K147" s="517">
        <f t="shared" si="420"/>
        <v>1232.1056000000001</v>
      </c>
      <c r="L147" s="517">
        <f t="shared" si="420"/>
        <v>1391.5771999999999</v>
      </c>
      <c r="M147" s="517">
        <f t="shared" si="420"/>
        <v>1580.8912</v>
      </c>
      <c r="N147" s="517">
        <f t="shared" si="420"/>
        <v>2914.7959999999998</v>
      </c>
      <c r="O147" s="517">
        <f t="shared" si="420"/>
        <v>2493.4176000000002</v>
      </c>
      <c r="P147" s="517">
        <f t="shared" si="420"/>
        <v>2667.95263671875</v>
      </c>
      <c r="Q147" s="517">
        <f t="shared" si="420"/>
        <v>2627.4663999999998</v>
      </c>
      <c r="R147" s="517">
        <f t="shared" si="420"/>
        <v>2661.0540000000001</v>
      </c>
      <c r="S147" s="517">
        <f t="shared" si="420"/>
        <v>3139.9299551757813</v>
      </c>
      <c r="T147" s="517">
        <f t="shared" si="420"/>
        <v>3550.7545</v>
      </c>
      <c r="U147" s="517">
        <f t="shared" si="420"/>
        <v>3201.4011</v>
      </c>
      <c r="V147" s="517">
        <f t="shared" si="420"/>
        <v>2936.0573519531249</v>
      </c>
      <c r="W147" s="517">
        <f t="shared" si="420"/>
        <v>2566.2664999999997</v>
      </c>
      <c r="X147" s="517">
        <f t="shared" si="420"/>
        <v>2807.6129999999998</v>
      </c>
      <c r="Y147" s="517">
        <f t="shared" ref="Y147:Z147" si="421">Y116</f>
        <v>2919.6233999999995</v>
      </c>
      <c r="Z147" s="517">
        <f t="shared" si="421"/>
        <v>2980.4979460937502</v>
      </c>
      <c r="AA147" s="517">
        <f t="shared" ref="AA147:AB147" si="422">AA116</f>
        <v>2564.9140463867188</v>
      </c>
      <c r="AB147" s="517">
        <f t="shared" si="422"/>
        <v>2811.3560000000002</v>
      </c>
      <c r="AC147" s="517">
        <f t="shared" ref="AC147:AD147" si="423">AC116</f>
        <v>2508.999997167969</v>
      </c>
      <c r="AD147" s="517">
        <f t="shared" si="423"/>
        <v>2487.86</v>
      </c>
      <c r="AE147" s="763">
        <f t="shared" ref="AE147" si="424">AE116</f>
        <v>2612.5622469726563</v>
      </c>
      <c r="AF147" s="540">
        <f t="shared" ref="AF147:AG147" si="425">AE147*(1+AF$75/100)</f>
        <v>2414.157878518532</v>
      </c>
      <c r="AG147" s="540">
        <f t="shared" si="425"/>
        <v>1979.0498077551977</v>
      </c>
      <c r="AH147" s="540">
        <f>AG147*(1+AH$75/100)</f>
        <v>2006.0119468858945</v>
      </c>
      <c r="AI147" s="540">
        <f t="shared" si="419"/>
        <v>1922.1321152774299</v>
      </c>
      <c r="AJ147" s="540">
        <f t="shared" si="419"/>
        <v>2127.5897814433447</v>
      </c>
      <c r="AK147" s="540">
        <f t="shared" si="419"/>
        <v>2082.2492738477918</v>
      </c>
      <c r="AL147" s="540">
        <f t="shared" ref="AL147:CN147" si="426">AK147*(1+AL$75/100)</f>
        <v>1952.4448467749721</v>
      </c>
      <c r="AM147" s="540">
        <f t="shared" si="426"/>
        <v>1866.4055914863452</v>
      </c>
      <c r="AN147" s="540">
        <f t="shared" si="426"/>
        <v>1836.3427792604409</v>
      </c>
      <c r="AO147" s="540">
        <f t="shared" si="426"/>
        <v>1742.1875645945877</v>
      </c>
      <c r="AP147" s="540">
        <f t="shared" si="426"/>
        <v>1651.8132426194775</v>
      </c>
      <c r="AQ147" s="540">
        <f t="shared" si="426"/>
        <v>1603.1191843292738</v>
      </c>
      <c r="AR147" s="540">
        <f t="shared" si="426"/>
        <v>1579.3134797369623</v>
      </c>
      <c r="AS147" s="540">
        <f t="shared" si="426"/>
        <v>1578.3470863066714</v>
      </c>
      <c r="AT147" s="540">
        <f t="shared" si="426"/>
        <v>1548.4331021458886</v>
      </c>
      <c r="AU147" s="540">
        <f t="shared" si="426"/>
        <v>1517.6957297226379</v>
      </c>
      <c r="AV147" s="540">
        <f t="shared" si="426"/>
        <v>1503.1539111670843</v>
      </c>
      <c r="AW147" s="540">
        <f t="shared" si="426"/>
        <v>1475.0936251154912</v>
      </c>
      <c r="AX147" s="540">
        <f t="shared" si="426"/>
        <v>1448.5376651213646</v>
      </c>
      <c r="AY147" s="540">
        <f t="shared" si="426"/>
        <v>1404.7765131042263</v>
      </c>
      <c r="AZ147" s="540">
        <f t="shared" si="426"/>
        <v>1367.3101981243092</v>
      </c>
      <c r="BA147" s="540">
        <f t="shared" si="426"/>
        <v>1324.8452225591388</v>
      </c>
      <c r="BB147" s="540">
        <f t="shared" si="426"/>
        <v>1288.8232652645993</v>
      </c>
      <c r="BC147" s="540">
        <f t="shared" si="426"/>
        <v>1254.5921723241968</v>
      </c>
      <c r="BD147" s="540">
        <f t="shared" si="426"/>
        <v>1234.2479532612617</v>
      </c>
      <c r="BE147" s="540">
        <f t="shared" si="426"/>
        <v>1191.3157156023235</v>
      </c>
      <c r="BF147" s="540">
        <f t="shared" ref="BF147" si="427">BE147*(1+BF$75/100)</f>
        <v>1135.6132847420449</v>
      </c>
      <c r="BG147" s="540">
        <f t="shared" ref="BG147" si="428">BF147*(1+BG$75/100)</f>
        <v>1112.3156745213778</v>
      </c>
      <c r="BH147" s="540">
        <f t="shared" ref="BH147" si="429">BG147*(1+BH$75/100)</f>
        <v>1089.290275682547</v>
      </c>
      <c r="BI147" s="540">
        <f t="shared" ref="BI147" si="430">BH147*(1+BI$75/100)</f>
        <v>1067.1449587548816</v>
      </c>
      <c r="BJ147" s="540">
        <f t="shared" ref="BJ147" si="431">BI147*(1+BJ$75/100)</f>
        <v>1037.0993716478476</v>
      </c>
      <c r="BK147" s="540">
        <f t="shared" ref="BK147" si="432">BJ147*(1+BK$75/100)</f>
        <v>1006.0380062791517</v>
      </c>
      <c r="BL147" s="540">
        <f t="shared" ref="BL147" si="433">BK147*(1+BL$75/100)</f>
        <v>970.70026150300305</v>
      </c>
      <c r="BM147" s="540">
        <f t="shared" ref="BM147" si="434">BL147*(1+BM$75/100)</f>
        <v>946.20297683527986</v>
      </c>
      <c r="BN147" s="540">
        <f t="shared" ref="BN147" si="435">BM147*(1+BN$75/100)</f>
        <v>912.17655410677548</v>
      </c>
      <c r="BO147" s="540">
        <f t="shared" ref="BO147" si="436">BN147*(1+BO$75/100)</f>
        <v>884.45397390481935</v>
      </c>
      <c r="BP147" s="540">
        <f t="shared" si="426"/>
        <v>884.45397390481935</v>
      </c>
      <c r="BQ147" s="540">
        <f t="shared" si="426"/>
        <v>884.45397390481935</v>
      </c>
      <c r="BR147" s="540">
        <f t="shared" si="426"/>
        <v>884.45397390481935</v>
      </c>
      <c r="BS147" s="540">
        <f t="shared" si="426"/>
        <v>884.45397390481935</v>
      </c>
      <c r="BT147" s="540">
        <f t="shared" si="426"/>
        <v>884.45397390481935</v>
      </c>
      <c r="BU147" s="540">
        <f t="shared" si="426"/>
        <v>884.45397390481935</v>
      </c>
      <c r="BV147" s="540">
        <f t="shared" si="426"/>
        <v>884.45397390481935</v>
      </c>
      <c r="BW147" s="540">
        <f t="shared" si="426"/>
        <v>884.45397390481935</v>
      </c>
      <c r="BX147" s="540">
        <f t="shared" si="426"/>
        <v>884.45397390481935</v>
      </c>
      <c r="BY147" s="540">
        <f t="shared" si="426"/>
        <v>884.45397390481935</v>
      </c>
      <c r="BZ147" s="540">
        <f t="shared" si="426"/>
        <v>884.45397390481935</v>
      </c>
      <c r="CA147" s="540">
        <f t="shared" si="426"/>
        <v>884.45397390481935</v>
      </c>
      <c r="CB147" s="540">
        <f t="shared" si="426"/>
        <v>884.45397390481935</v>
      </c>
      <c r="CC147" s="540">
        <f t="shared" si="426"/>
        <v>884.45397390481935</v>
      </c>
      <c r="CD147" s="540">
        <f t="shared" si="426"/>
        <v>884.45397390481935</v>
      </c>
      <c r="CE147" s="540">
        <f t="shared" si="426"/>
        <v>884.45397390481935</v>
      </c>
      <c r="CF147" s="540">
        <f t="shared" si="426"/>
        <v>884.45397390481935</v>
      </c>
      <c r="CG147" s="540">
        <f t="shared" si="426"/>
        <v>884.45397390481935</v>
      </c>
      <c r="CH147" s="540">
        <f t="shared" si="426"/>
        <v>884.45397390481935</v>
      </c>
      <c r="CI147" s="540">
        <f t="shared" si="426"/>
        <v>884.45397390481935</v>
      </c>
      <c r="CJ147" s="540">
        <f t="shared" si="426"/>
        <v>884.45397390481935</v>
      </c>
      <c r="CK147" s="540">
        <f t="shared" si="426"/>
        <v>884.45397390481935</v>
      </c>
      <c r="CL147" s="540">
        <f t="shared" si="426"/>
        <v>884.45397390481935</v>
      </c>
      <c r="CM147" s="540">
        <f t="shared" si="426"/>
        <v>884.45397390481935</v>
      </c>
      <c r="CN147" s="540">
        <f t="shared" si="426"/>
        <v>884.45397390481935</v>
      </c>
      <c r="CO147" s="540">
        <f t="shared" ref="CO147" si="437">CN147*(1+CO$75/100)</f>
        <v>884.45397390481935</v>
      </c>
      <c r="CP147" s="540">
        <f t="shared" ref="CP147" si="438">CO147*(1+CP$75/100)</f>
        <v>884.45397390481935</v>
      </c>
      <c r="CQ147" s="540">
        <f t="shared" ref="CQ147" si="439">CP147*(1+CQ$75/100)</f>
        <v>884.45397390481935</v>
      </c>
      <c r="CR147" s="540">
        <f t="shared" ref="CR147" si="440">CQ147*(1+CR$75/100)</f>
        <v>884.45397390481935</v>
      </c>
      <c r="CS147" s="540">
        <f t="shared" ref="CS147" si="441">CR147*(1+CS$75/100)</f>
        <v>884.45397390481935</v>
      </c>
      <c r="CT147" s="514"/>
      <c r="CU147" s="514"/>
      <c r="CV147" s="514"/>
      <c r="CW147" s="514"/>
      <c r="CX147" s="514"/>
      <c r="CY147" s="514"/>
      <c r="CZ147" s="514"/>
      <c r="DA147" s="514"/>
      <c r="DB147" s="514"/>
    </row>
    <row r="148" spans="1:106">
      <c r="A148" s="324" t="s">
        <v>369</v>
      </c>
      <c r="B148" s="324"/>
      <c r="C148" s="565">
        <f t="shared" ref="C148:AH148" si="442">SUM(C137:C147)</f>
        <v>104213.14398148149</v>
      </c>
      <c r="D148" s="565">
        <f t="shared" si="442"/>
        <v>125111.85884480804</v>
      </c>
      <c r="E148" s="565">
        <f t="shared" si="442"/>
        <v>152741.35872360968</v>
      </c>
      <c r="F148" s="565">
        <f t="shared" si="442"/>
        <v>130713.88096831716</v>
      </c>
      <c r="G148" s="565">
        <f t="shared" si="442"/>
        <v>105518.28205915928</v>
      </c>
      <c r="H148" s="565">
        <f t="shared" si="442"/>
        <v>101886.97622227985</v>
      </c>
      <c r="I148" s="565">
        <f t="shared" si="442"/>
        <v>93459.603783406448</v>
      </c>
      <c r="J148" s="565">
        <f t="shared" si="442"/>
        <v>113461.5327346423</v>
      </c>
      <c r="K148" s="565">
        <f t="shared" si="442"/>
        <v>123565.63834019459</v>
      </c>
      <c r="L148" s="565">
        <f t="shared" si="442"/>
        <v>148573.77901621317</v>
      </c>
      <c r="M148" s="565">
        <f t="shared" si="442"/>
        <v>149773.51659494013</v>
      </c>
      <c r="N148" s="565">
        <f t="shared" si="442"/>
        <v>163197.47579708064</v>
      </c>
      <c r="O148" s="565">
        <f t="shared" si="442"/>
        <v>173239.554125013</v>
      </c>
      <c r="P148" s="565">
        <f t="shared" si="442"/>
        <v>179358.09136931895</v>
      </c>
      <c r="Q148" s="565">
        <f t="shared" si="442"/>
        <v>162023.61180906353</v>
      </c>
      <c r="R148" s="565">
        <f t="shared" si="442"/>
        <v>180059.90168027501</v>
      </c>
      <c r="S148" s="565">
        <f t="shared" si="442"/>
        <v>210726.82740674238</v>
      </c>
      <c r="T148" s="565">
        <f t="shared" si="442"/>
        <v>249703.42319180287</v>
      </c>
      <c r="U148" s="565">
        <f t="shared" si="442"/>
        <v>246876.66557858579</v>
      </c>
      <c r="V148" s="565">
        <f t="shared" si="442"/>
        <v>216359.37741205061</v>
      </c>
      <c r="W148" s="565">
        <f t="shared" si="442"/>
        <v>181311.4688795371</v>
      </c>
      <c r="X148" s="565">
        <f t="shared" si="442"/>
        <v>170951.84391780841</v>
      </c>
      <c r="Y148" s="565">
        <f t="shared" si="442"/>
        <v>173075.78932194048</v>
      </c>
      <c r="Z148" s="565">
        <f t="shared" si="442"/>
        <v>197624.77550841306</v>
      </c>
      <c r="AA148" s="565">
        <f t="shared" ref="AA148" si="443">SUM(AA137:AA147)</f>
        <v>190881.6486166954</v>
      </c>
      <c r="AB148" s="565">
        <f>SUM(AB137:AB147)</f>
        <v>188808.48994552818</v>
      </c>
      <c r="AC148" s="565">
        <f>SUM(AC137:AC147)</f>
        <v>178315.9984486606</v>
      </c>
      <c r="AD148" s="565">
        <f t="shared" si="442"/>
        <v>196487.36235465578</v>
      </c>
      <c r="AE148" s="762">
        <f t="shared" si="442"/>
        <v>215708.70010055928</v>
      </c>
      <c r="AF148" s="565">
        <f t="shared" si="442"/>
        <v>224341.03928009357</v>
      </c>
      <c r="AG148" s="565">
        <f t="shared" si="442"/>
        <v>208640.67295400103</v>
      </c>
      <c r="AH148" s="565">
        <f t="shared" si="442"/>
        <v>195076.97898303182</v>
      </c>
      <c r="AI148" s="565">
        <f t="shared" ref="AI148:BN148" si="444">SUM(AI137:AI147)</f>
        <v>176456.27363481533</v>
      </c>
      <c r="AJ148" s="565">
        <f t="shared" si="444"/>
        <v>174805.1352314066</v>
      </c>
      <c r="AK148" s="565">
        <f t="shared" si="444"/>
        <v>170266.85334294557</v>
      </c>
      <c r="AL148" s="565">
        <f t="shared" si="444"/>
        <v>159669.35854789169</v>
      </c>
      <c r="AM148" s="565">
        <f t="shared" si="444"/>
        <v>152633.13792195937</v>
      </c>
      <c r="AN148" s="565">
        <f t="shared" si="444"/>
        <v>150174.62548193597</v>
      </c>
      <c r="AO148" s="565">
        <f t="shared" si="444"/>
        <v>142474.68827015333</v>
      </c>
      <c r="AP148" s="565">
        <f t="shared" si="444"/>
        <v>135083.94940098544</v>
      </c>
      <c r="AQ148" s="565">
        <f t="shared" si="444"/>
        <v>131101.78874475328</v>
      </c>
      <c r="AR148" s="565">
        <f t="shared" si="444"/>
        <v>129154.97750021874</v>
      </c>
      <c r="AS148" s="565">
        <f t="shared" si="444"/>
        <v>129075.94662804109</v>
      </c>
      <c r="AT148" s="565">
        <f t="shared" si="444"/>
        <v>126629.60522666757</v>
      </c>
      <c r="AU148" s="565">
        <f t="shared" si="444"/>
        <v>124115.92779994036</v>
      </c>
      <c r="AV148" s="565">
        <f t="shared" si="444"/>
        <v>122926.70965392189</v>
      </c>
      <c r="AW148" s="565">
        <f t="shared" si="444"/>
        <v>120631.96218285819</v>
      </c>
      <c r="AX148" s="565">
        <f t="shared" si="444"/>
        <v>118460.23727862358</v>
      </c>
      <c r="AY148" s="565">
        <f t="shared" si="444"/>
        <v>114881.48570290819</v>
      </c>
      <c r="AZ148" s="565">
        <f t="shared" si="444"/>
        <v>111817.52080275855</v>
      </c>
      <c r="BA148" s="565">
        <f t="shared" si="444"/>
        <v>108344.76948768691</v>
      </c>
      <c r="BB148" s="565">
        <f t="shared" si="444"/>
        <v>105398.92298945721</v>
      </c>
      <c r="BC148" s="565">
        <f t="shared" si="444"/>
        <v>102599.53192792967</v>
      </c>
      <c r="BD148" s="565">
        <f t="shared" si="444"/>
        <v>100935.79816699796</v>
      </c>
      <c r="BE148" s="565">
        <f t="shared" si="444"/>
        <v>97424.834536270457</v>
      </c>
      <c r="BF148" s="565">
        <f t="shared" si="444"/>
        <v>92869.534846391936</v>
      </c>
      <c r="BG148" s="565">
        <f t="shared" si="444"/>
        <v>90964.275148133485</v>
      </c>
      <c r="BH148" s="565">
        <f t="shared" si="444"/>
        <v>89081.276676254391</v>
      </c>
      <c r="BI148" s="565">
        <f t="shared" si="444"/>
        <v>87270.250590410928</v>
      </c>
      <c r="BJ148" s="565">
        <f t="shared" si="444"/>
        <v>84813.146806660443</v>
      </c>
      <c r="BK148" s="565">
        <f t="shared" si="444"/>
        <v>82272.973499212851</v>
      </c>
      <c r="BL148" s="565">
        <f t="shared" si="444"/>
        <v>79383.081346685867</v>
      </c>
      <c r="BM148" s="565">
        <f t="shared" si="444"/>
        <v>77379.713243601451</v>
      </c>
      <c r="BN148" s="565">
        <f t="shared" si="444"/>
        <v>74597.059946268215</v>
      </c>
      <c r="BO148" s="565">
        <f t="shared" ref="BO148:CN148" si="445">SUM(BO137:BO147)</f>
        <v>72329.92978612546</v>
      </c>
      <c r="BP148" s="565">
        <f t="shared" si="445"/>
        <v>72617.912940874085</v>
      </c>
      <c r="BQ148" s="565">
        <f t="shared" si="445"/>
        <v>72943.375868703108</v>
      </c>
      <c r="BR148" s="565">
        <f t="shared" si="445"/>
        <v>73270.466111171263</v>
      </c>
      <c r="BS148" s="565">
        <f t="shared" si="445"/>
        <v>73599.191804851769</v>
      </c>
      <c r="BT148" s="565">
        <f t="shared" si="445"/>
        <v>73929.561127000678</v>
      </c>
      <c r="BU148" s="565">
        <f t="shared" si="445"/>
        <v>74261.582295760338</v>
      </c>
      <c r="BV148" s="565">
        <f t="shared" si="445"/>
        <v>74595.263570363793</v>
      </c>
      <c r="BW148" s="565">
        <f t="shared" si="445"/>
        <v>74930.61325134027</v>
      </c>
      <c r="BX148" s="565">
        <f t="shared" si="445"/>
        <v>75267.639680721608</v>
      </c>
      <c r="BY148" s="565">
        <f t="shared" si="445"/>
        <v>75606.351242249875</v>
      </c>
      <c r="BZ148" s="565">
        <f t="shared" si="445"/>
        <v>75946.75636158578</v>
      </c>
      <c r="CA148" s="565">
        <f t="shared" si="445"/>
        <v>76288.863506518348</v>
      </c>
      <c r="CB148" s="565">
        <f t="shared" si="445"/>
        <v>76632.681187175593</v>
      </c>
      <c r="CC148" s="565">
        <f t="shared" si="445"/>
        <v>76978.217956236113</v>
      </c>
      <c r="CD148" s="565">
        <f t="shared" si="445"/>
        <v>77325.482409141943</v>
      </c>
      <c r="CE148" s="565">
        <f t="shared" si="445"/>
        <v>77674.48318431231</v>
      </c>
      <c r="CF148" s="565">
        <f t="shared" si="445"/>
        <v>78025.228963358517</v>
      </c>
      <c r="CG148" s="565">
        <f t="shared" si="445"/>
        <v>78377.728471299968</v>
      </c>
      <c r="CH148" s="565">
        <f t="shared" si="445"/>
        <v>78731.990476781109</v>
      </c>
      <c r="CI148" s="565">
        <f t="shared" si="445"/>
        <v>79088.023792289663</v>
      </c>
      <c r="CJ148" s="565">
        <f t="shared" si="445"/>
        <v>79445.837274375779</v>
      </c>
      <c r="CK148" s="565">
        <f t="shared" si="445"/>
        <v>79805.439823872308</v>
      </c>
      <c r="CL148" s="565">
        <f t="shared" si="445"/>
        <v>80166.84038611631</v>
      </c>
      <c r="CM148" s="565">
        <f t="shared" si="445"/>
        <v>80530.047951171538</v>
      </c>
      <c r="CN148" s="565">
        <f t="shared" si="445"/>
        <v>80895.071554052061</v>
      </c>
      <c r="CO148" s="565">
        <f t="shared" ref="CO148:CS148" si="446">SUM(CO137:CO147)</f>
        <v>81261.92027494694</v>
      </c>
      <c r="CP148" s="565">
        <f t="shared" si="446"/>
        <v>81630.603239446325</v>
      </c>
      <c r="CQ148" s="565">
        <f t="shared" si="446"/>
        <v>82001.129618768202</v>
      </c>
      <c r="CR148" s="565">
        <f t="shared" si="446"/>
        <v>82373.508629986725</v>
      </c>
      <c r="CS148" s="565">
        <f t="shared" si="446"/>
        <v>82747.749536261297</v>
      </c>
      <c r="CT148" s="518"/>
      <c r="CU148" s="518"/>
      <c r="CV148" s="518"/>
      <c r="CW148" s="518"/>
      <c r="CX148" s="518"/>
      <c r="CY148" s="518"/>
      <c r="CZ148" s="518"/>
      <c r="DA148" s="518"/>
      <c r="DB148" s="518"/>
    </row>
    <row r="149" spans="1:106" s="543" customFormat="1">
      <c r="A149" s="541" t="s">
        <v>507</v>
      </c>
      <c r="B149" s="541"/>
      <c r="C149" s="517">
        <f t="shared" ref="C149:AH149" si="447">C148-C85</f>
        <v>0</v>
      </c>
      <c r="D149" s="517">
        <f t="shared" si="447"/>
        <v>0</v>
      </c>
      <c r="E149" s="517">
        <f t="shared" si="447"/>
        <v>0</v>
      </c>
      <c r="F149" s="517">
        <f t="shared" si="447"/>
        <v>0</v>
      </c>
      <c r="G149" s="517">
        <f t="shared" si="447"/>
        <v>0</v>
      </c>
      <c r="H149" s="517">
        <f t="shared" si="447"/>
        <v>0</v>
      </c>
      <c r="I149" s="517">
        <f t="shared" si="447"/>
        <v>0</v>
      </c>
      <c r="J149" s="517">
        <f t="shared" si="447"/>
        <v>0</v>
      </c>
      <c r="K149" s="517">
        <f t="shared" si="447"/>
        <v>0</v>
      </c>
      <c r="L149" s="517">
        <f t="shared" si="447"/>
        <v>0</v>
      </c>
      <c r="M149" s="517">
        <f t="shared" si="447"/>
        <v>0</v>
      </c>
      <c r="N149" s="517">
        <f t="shared" si="447"/>
        <v>0</v>
      </c>
      <c r="O149" s="517">
        <f t="shared" si="447"/>
        <v>0</v>
      </c>
      <c r="P149" s="517">
        <f t="shared" si="447"/>
        <v>0</v>
      </c>
      <c r="Q149" s="517">
        <f t="shared" si="447"/>
        <v>0</v>
      </c>
      <c r="R149" s="517">
        <f t="shared" si="447"/>
        <v>0</v>
      </c>
      <c r="S149" s="517">
        <f t="shared" si="447"/>
        <v>0</v>
      </c>
      <c r="T149" s="517">
        <f t="shared" si="447"/>
        <v>0</v>
      </c>
      <c r="U149" s="517">
        <f t="shared" si="447"/>
        <v>0</v>
      </c>
      <c r="V149" s="517">
        <f t="shared" si="447"/>
        <v>0</v>
      </c>
      <c r="W149" s="517">
        <f t="shared" si="447"/>
        <v>0</v>
      </c>
      <c r="X149" s="517">
        <f t="shared" si="447"/>
        <v>0</v>
      </c>
      <c r="Y149" s="517">
        <f t="shared" si="447"/>
        <v>0</v>
      </c>
      <c r="Z149" s="517">
        <f t="shared" si="447"/>
        <v>0</v>
      </c>
      <c r="AA149" s="517">
        <f t="shared" si="447"/>
        <v>0</v>
      </c>
      <c r="AB149" s="517">
        <f>AB148-AB85</f>
        <v>0</v>
      </c>
      <c r="AC149" s="517">
        <f>AC148-AC85</f>
        <v>0</v>
      </c>
      <c r="AD149" s="517">
        <f t="shared" si="447"/>
        <v>0</v>
      </c>
      <c r="AE149" s="763">
        <f t="shared" si="447"/>
        <v>-34.423764852777822</v>
      </c>
      <c r="AF149" s="517">
        <f t="shared" si="447"/>
        <v>-31.809539934969507</v>
      </c>
      <c r="AG149" s="517">
        <f t="shared" si="447"/>
        <v>-26.0764486255066</v>
      </c>
      <c r="AH149" s="517">
        <f t="shared" si="447"/>
        <v>-26.431708424002863</v>
      </c>
      <c r="AI149" s="517">
        <f t="shared" ref="AI149:BN149" si="448">AI148-AI85</f>
        <v>-25.326487064186949</v>
      </c>
      <c r="AJ149" s="517">
        <f t="shared" si="448"/>
        <v>-28.033647973148618</v>
      </c>
      <c r="AK149" s="517">
        <f t="shared" si="448"/>
        <v>-27.43623025668785</v>
      </c>
      <c r="AL149" s="517">
        <f t="shared" si="448"/>
        <v>-9.0297643752710428</v>
      </c>
      <c r="AM149" s="517">
        <f t="shared" si="448"/>
        <v>-8.631845733121736</v>
      </c>
      <c r="AN149" s="517">
        <f t="shared" si="448"/>
        <v>-8.4928097386728041</v>
      </c>
      <c r="AO149" s="517">
        <f t="shared" si="448"/>
        <v>-8.057356002565939</v>
      </c>
      <c r="AP149" s="517">
        <f t="shared" si="448"/>
        <v>-7.6393883276032284</v>
      </c>
      <c r="AQ149" s="517">
        <f t="shared" si="448"/>
        <v>-7.4141856164787896</v>
      </c>
      <c r="AR149" s="517">
        <f t="shared" si="448"/>
        <v>-7.3040878057508962</v>
      </c>
      <c r="AS149" s="517">
        <f t="shared" si="448"/>
        <v>-7.2996183811483206</v>
      </c>
      <c r="AT149" s="517">
        <f t="shared" si="448"/>
        <v>-7.1612706941959914</v>
      </c>
      <c r="AU149" s="517">
        <f t="shared" si="448"/>
        <v>-7.0191149600868812</v>
      </c>
      <c r="AV149" s="517">
        <f t="shared" si="448"/>
        <v>-6.9518612318206578</v>
      </c>
      <c r="AW149" s="517">
        <f t="shared" si="448"/>
        <v>-6.8220866203773767</v>
      </c>
      <c r="AX149" s="517">
        <f t="shared" si="448"/>
        <v>-6.6992692911881022</v>
      </c>
      <c r="AY149" s="517">
        <f t="shared" si="448"/>
        <v>-6.4968805311946198</v>
      </c>
      <c r="AZ149" s="517">
        <f t="shared" si="448"/>
        <v>-6.3236044476943789</v>
      </c>
      <c r="BA149" s="517">
        <f t="shared" si="448"/>
        <v>-6.1272103092342149</v>
      </c>
      <c r="BB149" s="517">
        <f t="shared" si="448"/>
        <v>-5.960614163253922</v>
      </c>
      <c r="BC149" s="517">
        <f t="shared" si="448"/>
        <v>-5.8023004961432889</v>
      </c>
      <c r="BD149" s="517">
        <f t="shared" si="448"/>
        <v>-5.7082115364319179</v>
      </c>
      <c r="BE149" s="517">
        <f t="shared" si="448"/>
        <v>-5.5096563809202053</v>
      </c>
      <c r="BF149" s="517">
        <f t="shared" si="448"/>
        <v>-5.2520409985154402</v>
      </c>
      <c r="BG149" s="517">
        <f t="shared" si="448"/>
        <v>-5.1442930479825009</v>
      </c>
      <c r="BH149" s="517">
        <f t="shared" si="448"/>
        <v>-5.037804034203873</v>
      </c>
      <c r="BI149" s="517">
        <f t="shared" si="448"/>
        <v>-4.9353852671920322</v>
      </c>
      <c r="BJ149" s="517">
        <f t="shared" si="448"/>
        <v>-4.7964289363590069</v>
      </c>
      <c r="BK149" s="517">
        <f t="shared" si="448"/>
        <v>-4.6527747835061746</v>
      </c>
      <c r="BL149" s="517">
        <f t="shared" si="448"/>
        <v>-4.4893430177180562</v>
      </c>
      <c r="BM149" s="517">
        <f t="shared" si="448"/>
        <v>-4.3760467529355083</v>
      </c>
      <c r="BN149" s="517">
        <f t="shared" si="448"/>
        <v>-4.2186796548048733</v>
      </c>
      <c r="BO149" s="517">
        <f t="shared" ref="BO149:CN149" si="449">BO148-BO85</f>
        <v>-4.0904668822331587</v>
      </c>
      <c r="BP149" s="517">
        <f t="shared" si="449"/>
        <v>-34.323851599023328</v>
      </c>
      <c r="BQ149" s="517">
        <f t="shared" si="449"/>
        <v>-72.122107732357108</v>
      </c>
      <c r="BR149" s="517">
        <f t="shared" si="449"/>
        <v>-110.10935514637094</v>
      </c>
      <c r="BS149" s="517">
        <f t="shared" si="449"/>
        <v>-148.28653879744525</v>
      </c>
      <c r="BT149" s="517">
        <f t="shared" si="449"/>
        <v>-186.65460836677812</v>
      </c>
      <c r="BU149" s="517">
        <f t="shared" si="449"/>
        <v>-225.21451828394493</v>
      </c>
      <c r="BV149" s="517">
        <f t="shared" si="449"/>
        <v>-263.96722775070521</v>
      </c>
      <c r="BW149" s="517">
        <f t="shared" si="449"/>
        <v>-302.91370076479507</v>
      </c>
      <c r="BX149" s="517">
        <f t="shared" si="449"/>
        <v>-342.0549061439815</v>
      </c>
      <c r="BY149" s="517">
        <f t="shared" si="449"/>
        <v>-381.39181755002937</v>
      </c>
      <c r="BZ149" s="517">
        <f t="shared" si="449"/>
        <v>-420.92541351311957</v>
      </c>
      <c r="CA149" s="517">
        <f t="shared" si="449"/>
        <v>-460.65667745603423</v>
      </c>
      <c r="CB149" s="517">
        <f t="shared" si="449"/>
        <v>-500.58659771864768</v>
      </c>
      <c r="CC149" s="517">
        <f t="shared" si="449"/>
        <v>-540.71616758259188</v>
      </c>
      <c r="CD149" s="517">
        <f t="shared" si="449"/>
        <v>-581.04638529584918</v>
      </c>
      <c r="CE149" s="517">
        <f t="shared" si="449"/>
        <v>-621.57825409766519</v>
      </c>
      <c r="CF149" s="517">
        <f t="shared" si="449"/>
        <v>-662.31278224350535</v>
      </c>
      <c r="CG149" s="517">
        <f t="shared" si="449"/>
        <v>-703.25098303005507</v>
      </c>
      <c r="CH149" s="517">
        <f t="shared" si="449"/>
        <v>-744.39387482055463</v>
      </c>
      <c r="CI149" s="517">
        <f t="shared" si="449"/>
        <v>-785.74248107000312</v>
      </c>
      <c r="CJ149" s="517">
        <f t="shared" si="449"/>
        <v>-827.29783035068249</v>
      </c>
      <c r="CK149" s="517">
        <f t="shared" si="449"/>
        <v>-869.06095637778344</v>
      </c>
      <c r="CL149" s="517">
        <f t="shared" si="449"/>
        <v>-911.03289803501684</v>
      </c>
      <c r="CM149" s="517">
        <f t="shared" si="449"/>
        <v>-953.21469940053066</v>
      </c>
      <c r="CN149" s="517">
        <f t="shared" si="449"/>
        <v>-995.60740977285604</v>
      </c>
      <c r="CO149" s="517">
        <f t="shared" ref="CO149:CS149" si="450">CO148-CO85</f>
        <v>-1038.2120836970862</v>
      </c>
      <c r="CP149" s="517">
        <f t="shared" si="450"/>
        <v>-1081.0297809909098</v>
      </c>
      <c r="CQ149" s="517">
        <f t="shared" si="450"/>
        <v>-1124.0615667712118</v>
      </c>
      <c r="CR149" s="517">
        <f t="shared" si="450"/>
        <v>-1167.3085114803835</v>
      </c>
      <c r="CS149" s="517">
        <f t="shared" si="450"/>
        <v>-1210.7716909131414</v>
      </c>
      <c r="CT149" s="542"/>
      <c r="CU149" s="542"/>
      <c r="CV149" s="542"/>
      <c r="CW149" s="542"/>
      <c r="CX149" s="542"/>
      <c r="CY149" s="542"/>
      <c r="CZ149" s="542"/>
      <c r="DA149" s="542"/>
      <c r="DB149" s="542"/>
    </row>
    <row r="150" spans="1:106">
      <c r="A150" s="324"/>
      <c r="C150" s="492"/>
      <c r="D150" s="492"/>
      <c r="E150" s="492"/>
      <c r="F150" s="492"/>
      <c r="G150" s="492"/>
      <c r="H150" s="492"/>
      <c r="I150" s="492"/>
      <c r="J150" s="492"/>
      <c r="K150" s="600"/>
      <c r="L150" s="600"/>
      <c r="M150" s="600"/>
      <c r="N150" s="600"/>
      <c r="O150" s="601"/>
      <c r="P150" s="601"/>
      <c r="Q150" s="602"/>
      <c r="R150" s="602"/>
      <c r="S150" s="600"/>
      <c r="T150" s="603"/>
      <c r="U150" s="603"/>
      <c r="V150" s="603"/>
      <c r="W150" s="604"/>
      <c r="X150" s="603"/>
      <c r="AI150" s="551"/>
      <c r="AJ150" s="551"/>
      <c r="AK150" s="551"/>
      <c r="AL150" s="551"/>
      <c r="AM150" s="551"/>
      <c r="AN150" s="551"/>
      <c r="AO150" s="551"/>
      <c r="AP150" s="551"/>
      <c r="AQ150" s="551"/>
      <c r="AR150" s="551"/>
      <c r="AS150" s="551"/>
      <c r="AT150" s="551"/>
      <c r="AU150" s="551"/>
      <c r="AV150" s="551"/>
      <c r="AW150" s="551"/>
      <c r="AX150" s="551"/>
      <c r="AY150" s="551"/>
      <c r="AZ150" s="551"/>
      <c r="BA150" s="551"/>
      <c r="BB150" s="551"/>
      <c r="BC150" s="551"/>
      <c r="BD150" s="551"/>
      <c r="BE150" s="551"/>
      <c r="BF150" s="551"/>
      <c r="BG150" s="551"/>
      <c r="BH150" s="551"/>
      <c r="BI150" s="551"/>
      <c r="BJ150" s="551"/>
      <c r="BK150" s="551"/>
      <c r="BL150" s="551"/>
      <c r="BM150" s="551"/>
      <c r="BN150" s="551"/>
      <c r="BO150" s="551"/>
    </row>
    <row r="151" spans="1:106">
      <c r="K151" s="551"/>
      <c r="L151" s="551"/>
      <c r="M151" s="551"/>
      <c r="N151" s="605"/>
      <c r="O151" s="551"/>
      <c r="P151" s="551"/>
      <c r="Q151" s="551"/>
      <c r="R151" s="551"/>
      <c r="S151" s="551"/>
      <c r="T151" s="551"/>
      <c r="U151" s="551"/>
      <c r="V151" s="514"/>
      <c r="W151" s="551"/>
      <c r="X151" s="551"/>
      <c r="Y151" s="606"/>
      <c r="Z151" s="606"/>
      <c r="AA151" s="606"/>
      <c r="AB151" s="606"/>
      <c r="AC151" s="606"/>
      <c r="AD151" s="606"/>
      <c r="AE151" s="764"/>
      <c r="AF151" s="606"/>
      <c r="AG151" s="606"/>
      <c r="AH151" s="551"/>
      <c r="AI151" s="551"/>
      <c r="AJ151" s="551"/>
      <c r="AK151" s="551"/>
      <c r="AL151" s="551"/>
      <c r="AM151" s="551"/>
      <c r="AN151" s="551"/>
      <c r="AO151" s="551"/>
      <c r="AP151" s="551"/>
      <c r="AQ151" s="551"/>
      <c r="AR151" s="551"/>
      <c r="AS151" s="551"/>
      <c r="AT151" s="551"/>
      <c r="AU151" s="551"/>
      <c r="AV151" s="551"/>
      <c r="AW151" s="551"/>
      <c r="AX151" s="551"/>
      <c r="AY151" s="551"/>
      <c r="AZ151" s="551"/>
      <c r="BA151" s="551"/>
      <c r="BB151" s="551"/>
      <c r="BC151" s="551"/>
      <c r="BD151" s="551"/>
      <c r="BE151" s="551"/>
      <c r="BF151" s="551"/>
      <c r="BG151" s="551"/>
      <c r="BH151" s="551"/>
      <c r="BI151" s="551"/>
      <c r="BJ151" s="551"/>
      <c r="BK151" s="551"/>
      <c r="BL151" s="551"/>
      <c r="BM151" s="551"/>
      <c r="BN151" s="551"/>
      <c r="BO151" s="551"/>
    </row>
    <row r="152" spans="1:106">
      <c r="A152" s="324" t="s">
        <v>628</v>
      </c>
      <c r="K152" s="551"/>
      <c r="L152" s="551"/>
      <c r="M152" s="598"/>
      <c r="O152" s="551"/>
      <c r="P152" s="551"/>
      <c r="Q152" s="551"/>
      <c r="R152" s="551"/>
      <c r="S152" s="551"/>
      <c r="T152" s="551"/>
      <c r="U152" s="551"/>
      <c r="V152" s="551"/>
      <c r="W152" s="551"/>
      <c r="X152" s="551"/>
      <c r="Y152" s="551"/>
      <c r="Z152" s="551"/>
      <c r="AA152" s="551"/>
      <c r="AB152" s="551"/>
      <c r="AC152" s="551"/>
      <c r="AD152" s="551"/>
      <c r="AE152" s="765"/>
      <c r="AF152" s="551"/>
      <c r="AG152" s="551"/>
      <c r="AH152" s="551"/>
      <c r="AI152" s="551"/>
      <c r="AJ152" s="551"/>
      <c r="AK152" s="551"/>
      <c r="AL152" s="551"/>
      <c r="AM152" s="551"/>
      <c r="AN152" s="551"/>
      <c r="AO152" s="551"/>
      <c r="AP152" s="551"/>
      <c r="AQ152" s="551"/>
      <c r="AR152" s="551"/>
      <c r="AS152" s="551"/>
      <c r="AT152" s="551"/>
      <c r="AU152" s="551"/>
      <c r="AV152" s="551"/>
      <c r="AW152" s="551"/>
      <c r="AX152" s="551"/>
      <c r="AY152" s="551"/>
      <c r="AZ152" s="551"/>
      <c r="BA152" s="551"/>
      <c r="BB152" s="551"/>
      <c r="BC152" s="551"/>
      <c r="BD152" s="551"/>
      <c r="BE152" s="551"/>
      <c r="BF152" s="551"/>
      <c r="BG152" s="551"/>
      <c r="BH152" s="551"/>
      <c r="BI152" s="551"/>
      <c r="BJ152" s="551"/>
      <c r="BK152" s="551"/>
      <c r="BL152" s="551"/>
      <c r="BM152" s="551"/>
      <c r="BN152" s="551"/>
      <c r="BO152" s="551"/>
    </row>
    <row r="153" spans="1:106">
      <c r="B153" s="607"/>
      <c r="C153" s="607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759"/>
      <c r="AF153" s="324"/>
      <c r="AG153" s="324"/>
      <c r="AH153" s="324"/>
      <c r="AI153" s="324"/>
      <c r="AJ153" s="324"/>
      <c r="AK153" s="324"/>
      <c r="AL153" s="324"/>
      <c r="AM153" s="324"/>
      <c r="AN153" s="324"/>
      <c r="AO153" s="324"/>
      <c r="AP153" s="324"/>
      <c r="AQ153" s="324"/>
      <c r="AR153" s="324"/>
      <c r="AS153" s="324"/>
      <c r="AT153" s="324"/>
      <c r="AU153" s="324"/>
      <c r="AV153" s="324"/>
      <c r="AW153" s="324"/>
      <c r="AX153" s="324"/>
      <c r="AY153" s="324"/>
      <c r="AZ153" s="324"/>
      <c r="BA153" s="324"/>
      <c r="BB153" s="324"/>
      <c r="BC153" s="324"/>
      <c r="BD153" s="324"/>
      <c r="BE153" s="324"/>
      <c r="BF153" s="324"/>
      <c r="BG153" s="324"/>
      <c r="BH153" s="324"/>
      <c r="BI153" s="324"/>
      <c r="BJ153" s="324"/>
      <c r="BK153" s="324"/>
      <c r="BL153" s="324"/>
      <c r="BM153" s="324"/>
      <c r="BN153" s="324"/>
      <c r="BO153" s="324"/>
    </row>
    <row r="154" spans="1:106">
      <c r="A154" s="325" t="s">
        <v>521</v>
      </c>
      <c r="B154" s="325" t="s">
        <v>336</v>
      </c>
      <c r="D154" s="608">
        <f t="shared" ref="D154:AI154" si="451">D137-C137</f>
        <v>-2452.8387424424909</v>
      </c>
      <c r="E154" s="608">
        <f t="shared" si="451"/>
        <v>724.76077612304698</v>
      </c>
      <c r="F154" s="608">
        <f t="shared" si="451"/>
        <v>3179.3651624999998</v>
      </c>
      <c r="G154" s="608">
        <f t="shared" si="451"/>
        <v>-3464.9436953125</v>
      </c>
      <c r="H154" s="608">
        <f t="shared" si="451"/>
        <v>-1795.8195378723144</v>
      </c>
      <c r="I154" s="608">
        <f t="shared" si="451"/>
        <v>4001.0215993957518</v>
      </c>
      <c r="J154" s="608">
        <f t="shared" si="451"/>
        <v>11992.307872070312</v>
      </c>
      <c r="K154" s="608">
        <f t="shared" si="451"/>
        <v>1371.2883496093764</v>
      </c>
      <c r="L154" s="608">
        <f t="shared" si="451"/>
        <v>-341.60746679687509</v>
      </c>
      <c r="M154" s="608">
        <f t="shared" si="451"/>
        <v>-3550.6957070312528</v>
      </c>
      <c r="N154" s="608">
        <f t="shared" si="451"/>
        <v>-4957.7796425781235</v>
      </c>
      <c r="O154" s="608">
        <f t="shared" si="451"/>
        <v>-5253.8251416015628</v>
      </c>
      <c r="P154" s="608">
        <f t="shared" si="451"/>
        <v>683.49734824218785</v>
      </c>
      <c r="Q154" s="514">
        <f t="shared" si="451"/>
        <v>681.55447109375018</v>
      </c>
      <c r="R154" s="514">
        <f t="shared" si="451"/>
        <v>-1279.0959713867192</v>
      </c>
      <c r="S154" s="514">
        <f t="shared" si="451"/>
        <v>-1117.1908434570314</v>
      </c>
      <c r="T154" s="514">
        <f t="shared" si="451"/>
        <v>511.49040000000014</v>
      </c>
      <c r="U154" s="514">
        <f t="shared" si="451"/>
        <v>1949.7677156250002</v>
      </c>
      <c r="V154" s="514">
        <f t="shared" si="451"/>
        <v>1822.4271005859373</v>
      </c>
      <c r="W154" s="514">
        <f t="shared" si="451"/>
        <v>-1672.8900029296874</v>
      </c>
      <c r="X154" s="514">
        <f t="shared" si="451"/>
        <v>-2448.7953735351562</v>
      </c>
      <c r="Y154" s="514">
        <f t="shared" si="451"/>
        <v>-1979.8670124511721</v>
      </c>
      <c r="Z154" s="514">
        <f t="shared" si="451"/>
        <v>-258.66513910644528</v>
      </c>
      <c r="AA154" s="514">
        <f t="shared" ref="AA154:AC155" si="452">AA137-Z137</f>
        <v>-73.78159083984383</v>
      </c>
      <c r="AB154" s="514">
        <f t="shared" si="452"/>
        <v>1025.2828781884768</v>
      </c>
      <c r="AC154" s="514">
        <f t="shared" si="452"/>
        <v>-172.25289430542011</v>
      </c>
      <c r="AD154" s="514">
        <f t="shared" si="451"/>
        <v>-725.50739449096682</v>
      </c>
      <c r="AE154" s="733">
        <f>AE137-AD137</f>
        <v>575.82189226318383</v>
      </c>
      <c r="AF154" s="609">
        <f t="shared" si="451"/>
        <v>381.22493971060248</v>
      </c>
      <c r="AG154" s="609">
        <f t="shared" si="451"/>
        <v>-147.69275224209741</v>
      </c>
      <c r="AH154" s="609">
        <f t="shared" si="451"/>
        <v>-343.1236233751747</v>
      </c>
      <c r="AI154" s="609">
        <f t="shared" si="451"/>
        <v>-117.89350688664263</v>
      </c>
      <c r="AJ154" s="609">
        <f t="shared" ref="AJ154:BO154" si="453">AJ137-AI137</f>
        <v>-352.25416797653554</v>
      </c>
      <c r="AK154" s="609">
        <f t="shared" si="453"/>
        <v>169.89658916397309</v>
      </c>
      <c r="AL154" s="609">
        <f t="shared" si="453"/>
        <v>-46.669953202275565</v>
      </c>
      <c r="AM154" s="609">
        <f t="shared" si="453"/>
        <v>-31.014755890118636</v>
      </c>
      <c r="AN154" s="609">
        <f t="shared" si="453"/>
        <v>-10.836806750931373</v>
      </c>
      <c r="AO154" s="609">
        <f t="shared" si="453"/>
        <v>-33.940333268193285</v>
      </c>
      <c r="AP154" s="609">
        <f t="shared" si="453"/>
        <v>-32.577426726792282</v>
      </c>
      <c r="AQ154" s="609">
        <f t="shared" si="453"/>
        <v>-17.552852196403251</v>
      </c>
      <c r="AR154" s="609">
        <f t="shared" si="453"/>
        <v>-8.5812936693376969</v>
      </c>
      <c r="AS154" s="609">
        <f t="shared" si="453"/>
        <v>-0.34835792376100017</v>
      </c>
      <c r="AT154" s="609">
        <f t="shared" si="453"/>
        <v>-10.783158377362042</v>
      </c>
      <c r="AU154" s="609">
        <f t="shared" si="453"/>
        <v>-11.079966919899675</v>
      </c>
      <c r="AV154" s="609">
        <f t="shared" si="453"/>
        <v>-5.241920692896997</v>
      </c>
      <c r="AW154" s="609">
        <f t="shared" si="453"/>
        <v>-10.114951822602507</v>
      </c>
      <c r="AX154" s="609">
        <f t="shared" si="453"/>
        <v>-9.5726841647183392</v>
      </c>
      <c r="AY154" s="609">
        <f t="shared" si="453"/>
        <v>-15.774676834764989</v>
      </c>
      <c r="AZ154" s="609">
        <f t="shared" si="453"/>
        <v>-13.505563353684863</v>
      </c>
      <c r="BA154" s="609">
        <f t="shared" si="453"/>
        <v>-15.30744131403128</v>
      </c>
      <c r="BB154" s="609">
        <f t="shared" si="453"/>
        <v>-12.984912624204242</v>
      </c>
      <c r="BC154" s="609">
        <f t="shared" si="453"/>
        <v>-12.339355888624084</v>
      </c>
      <c r="BD154" s="609">
        <f t="shared" si="453"/>
        <v>-7.3335245161685521</v>
      </c>
      <c r="BE154" s="609">
        <f t="shared" si="453"/>
        <v>-15.475876288582185</v>
      </c>
      <c r="BF154" s="609">
        <f t="shared" si="453"/>
        <v>-20.079175369688642</v>
      </c>
      <c r="BG154" s="609">
        <f t="shared" si="453"/>
        <v>-8.398139795529346</v>
      </c>
      <c r="BH154" s="609">
        <f t="shared" si="453"/>
        <v>-8.3000151717184849</v>
      </c>
      <c r="BI154" s="609">
        <f t="shared" si="453"/>
        <v>-7.9827701473799948</v>
      </c>
      <c r="BJ154" s="609">
        <f t="shared" si="453"/>
        <v>-10.830597575187596</v>
      </c>
      <c r="BK154" s="609">
        <f t="shared" si="453"/>
        <v>-11.196757355607133</v>
      </c>
      <c r="BL154" s="609">
        <f t="shared" si="453"/>
        <v>-12.738273062254677</v>
      </c>
      <c r="BM154" s="609">
        <f t="shared" si="453"/>
        <v>-8.8305890304540071</v>
      </c>
      <c r="BN154" s="609">
        <f t="shared" si="453"/>
        <v>-12.265577975987469</v>
      </c>
      <c r="BO154" s="610">
        <f t="shared" si="453"/>
        <v>-9.9932182667504321</v>
      </c>
      <c r="BP154" s="610">
        <f t="shared" ref="BP154:CN154" si="454">BP137-BO137</f>
        <v>1.4025782738112866</v>
      </c>
      <c r="BQ154" s="610">
        <f t="shared" si="454"/>
        <v>1.6011180474796447</v>
      </c>
      <c r="BR154" s="610">
        <f t="shared" si="454"/>
        <v>1.6091236377170048</v>
      </c>
      <c r="BS154" s="610">
        <f t="shared" si="454"/>
        <v>1.6171692559055941</v>
      </c>
      <c r="BT154" s="610">
        <f t="shared" si="454"/>
        <v>1.6252551021851787</v>
      </c>
      <c r="BU154" s="610">
        <f t="shared" si="454"/>
        <v>1.6333813776960255</v>
      </c>
      <c r="BV154" s="610">
        <f t="shared" si="454"/>
        <v>1.6415482845845872</v>
      </c>
      <c r="BW154" s="610">
        <f t="shared" si="454"/>
        <v>1.6497560260074806</v>
      </c>
      <c r="BX154" s="610">
        <f t="shared" si="454"/>
        <v>1.6580048061375123</v>
      </c>
      <c r="BY154" s="610">
        <f t="shared" si="454"/>
        <v>1.6662948301682263</v>
      </c>
      <c r="BZ154" s="610">
        <f t="shared" si="454"/>
        <v>1.6746263043190197</v>
      </c>
      <c r="CA154" s="610">
        <f t="shared" si="454"/>
        <v>1.6829994358405997</v>
      </c>
      <c r="CB154" s="610">
        <f t="shared" si="454"/>
        <v>1.6914144330198155</v>
      </c>
      <c r="CC154" s="610">
        <f t="shared" si="454"/>
        <v>1.6998715051849445</v>
      </c>
      <c r="CD154" s="610">
        <f t="shared" si="454"/>
        <v>1.7083708627108081</v>
      </c>
      <c r="CE154" s="610">
        <f t="shared" si="454"/>
        <v>1.7169127170244565</v>
      </c>
      <c r="CF154" s="610">
        <f t="shared" si="454"/>
        <v>1.7254972806095452</v>
      </c>
      <c r="CG154" s="610">
        <f t="shared" si="454"/>
        <v>1.7341247670125881</v>
      </c>
      <c r="CH154" s="610">
        <f t="shared" si="454"/>
        <v>1.7427953908476184</v>
      </c>
      <c r="CI154" s="610">
        <f t="shared" si="454"/>
        <v>1.7515093678019298</v>
      </c>
      <c r="CJ154" s="610">
        <f t="shared" si="454"/>
        <v>1.7602669146409085</v>
      </c>
      <c r="CK154" s="610">
        <f t="shared" si="454"/>
        <v>1.7690682492140581</v>
      </c>
      <c r="CL154" s="610">
        <f t="shared" si="454"/>
        <v>1.7779135904601731</v>
      </c>
      <c r="CM154" s="610">
        <f t="shared" si="454"/>
        <v>1.7868031584123969</v>
      </c>
      <c r="CN154" s="610">
        <f t="shared" si="454"/>
        <v>1.7957371742045325</v>
      </c>
      <c r="CO154" s="610">
        <f t="shared" ref="CO154:CO165" si="455">CO137-CN137</f>
        <v>1.8047158600755324</v>
      </c>
      <c r="CP154" s="610">
        <f t="shared" ref="CP154:CP165" si="456">CP137-CO137</f>
        <v>1.8137394393759223</v>
      </c>
      <c r="CQ154" s="610">
        <f t="shared" ref="CQ154:CQ165" si="457">CQ137-CP137</f>
        <v>1.8228081365728031</v>
      </c>
      <c r="CR154" s="610">
        <f t="shared" ref="CR154:CR165" si="458">CR137-CQ137</f>
        <v>1.8319221772557057</v>
      </c>
      <c r="CS154" s="610">
        <f t="shared" ref="CS154:CS165" si="459">CS137-CR137</f>
        <v>1.8410817881419348</v>
      </c>
      <c r="CT154" s="610"/>
      <c r="CU154" s="610"/>
      <c r="CV154" s="610"/>
      <c r="CW154" s="610"/>
      <c r="CX154" s="610"/>
      <c r="CY154" s="610"/>
      <c r="CZ154" s="610"/>
      <c r="DA154" s="610"/>
      <c r="DB154" s="610"/>
    </row>
    <row r="155" spans="1:106">
      <c r="A155" s="325" t="s">
        <v>520</v>
      </c>
      <c r="B155" s="325" t="s">
        <v>331</v>
      </c>
      <c r="D155" s="608">
        <f t="shared" ref="D155:AI155" si="460">D138-C138</f>
        <v>3118.0282234994975</v>
      </c>
      <c r="E155" s="608">
        <f t="shared" si="460"/>
        <v>-578.52568288929979</v>
      </c>
      <c r="F155" s="608">
        <f t="shared" si="460"/>
        <v>-6880.6617914487615</v>
      </c>
      <c r="G155" s="608">
        <f t="shared" si="460"/>
        <v>-6758.3382224391462</v>
      </c>
      <c r="H155" s="608">
        <f t="shared" si="460"/>
        <v>2143.2859346606801</v>
      </c>
      <c r="I155" s="608">
        <f t="shared" si="460"/>
        <v>-2050.2341090978921</v>
      </c>
      <c r="J155" s="608">
        <f t="shared" si="460"/>
        <v>3872.9856471892026</v>
      </c>
      <c r="K155" s="608">
        <f t="shared" si="460"/>
        <v>4267.1625910665625</v>
      </c>
      <c r="L155" s="608">
        <f t="shared" si="460"/>
        <v>5271.7544774436319</v>
      </c>
      <c r="M155" s="608">
        <f t="shared" si="460"/>
        <v>-7282.5348260195606</v>
      </c>
      <c r="N155" s="608">
        <f t="shared" si="460"/>
        <v>-2707.4277491276353</v>
      </c>
      <c r="O155" s="608">
        <f t="shared" si="460"/>
        <v>-2571.9139926415073</v>
      </c>
      <c r="P155" s="608">
        <f t="shared" si="460"/>
        <v>-1594.4934099161628</v>
      </c>
      <c r="Q155" s="514">
        <f t="shared" si="460"/>
        <v>15.614079975606046</v>
      </c>
      <c r="R155" s="514">
        <f t="shared" si="460"/>
        <v>-63.021716076769167</v>
      </c>
      <c r="S155" s="514">
        <f t="shared" si="460"/>
        <v>-181.80547157591002</v>
      </c>
      <c r="T155" s="514">
        <f t="shared" si="460"/>
        <v>2736.1160002067195</v>
      </c>
      <c r="U155" s="514">
        <f t="shared" si="460"/>
        <v>1018.9179092867721</v>
      </c>
      <c r="V155" s="514">
        <f t="shared" si="460"/>
        <v>-190.7974238944048</v>
      </c>
      <c r="W155" s="514">
        <f t="shared" si="460"/>
        <v>-2759.6525343406061</v>
      </c>
      <c r="X155" s="514">
        <f t="shared" si="460"/>
        <v>1181.5762749592263</v>
      </c>
      <c r="Y155" s="514">
        <f t="shared" si="460"/>
        <v>53.214423540286589</v>
      </c>
      <c r="Z155" s="514">
        <f t="shared" si="460"/>
        <v>-1601.2801470122151</v>
      </c>
      <c r="AA155" s="514">
        <f t="shared" si="452"/>
        <v>-231.03632276384201</v>
      </c>
      <c r="AB155" s="514">
        <f t="shared" si="452"/>
        <v>300.5133057763428</v>
      </c>
      <c r="AC155" s="514">
        <f t="shared" si="452"/>
        <v>125.33442145457605</v>
      </c>
      <c r="AD155" s="514">
        <f t="shared" si="460"/>
        <v>1328.0136068340403</v>
      </c>
      <c r="AE155" s="733">
        <f t="shared" si="460"/>
        <v>836.8011151362598</v>
      </c>
      <c r="AF155" s="609">
        <f t="shared" si="460"/>
        <v>-92.476495325313863</v>
      </c>
      <c r="AG155" s="609">
        <f t="shared" si="460"/>
        <v>-1209.3134137217605</v>
      </c>
      <c r="AH155" s="609">
        <f t="shared" si="460"/>
        <v>-642.28045570029576</v>
      </c>
      <c r="AI155" s="609">
        <f t="shared" si="460"/>
        <v>936.10118278895106</v>
      </c>
      <c r="AJ155" s="609">
        <f t="shared" ref="AJ155:BO155" si="461">AJ138-AI138</f>
        <v>1159.1709596782171</v>
      </c>
      <c r="AK155" s="609">
        <f t="shared" si="461"/>
        <v>-50.081258726490432</v>
      </c>
      <c r="AL155" s="609">
        <f t="shared" si="461"/>
        <v>-200.17743846967687</v>
      </c>
      <c r="AM155" s="609">
        <f t="shared" si="461"/>
        <v>-133.02893966783722</v>
      </c>
      <c r="AN155" s="609">
        <f t="shared" si="461"/>
        <v>-46.481388296882869</v>
      </c>
      <c r="AO155" s="609">
        <f t="shared" si="461"/>
        <v>-145.57736848347258</v>
      </c>
      <c r="AP155" s="609">
        <f t="shared" si="461"/>
        <v>-139.73157002833477</v>
      </c>
      <c r="AQ155" s="609">
        <f t="shared" si="461"/>
        <v>-75.287947585547045</v>
      </c>
      <c r="AR155" s="609">
        <f t="shared" si="461"/>
        <v>-36.80700895582504</v>
      </c>
      <c r="AS155" s="609">
        <f t="shared" si="461"/>
        <v>-1.4941818464408243</v>
      </c>
      <c r="AT155" s="609">
        <f t="shared" si="461"/>
        <v>-46.251278916814954</v>
      </c>
      <c r="AU155" s="609">
        <f t="shared" si="461"/>
        <v>-47.524354411526474</v>
      </c>
      <c r="AV155" s="609">
        <f t="shared" si="461"/>
        <v>-22.483722073116041</v>
      </c>
      <c r="AW155" s="609">
        <f t="shared" si="461"/>
        <v>-43.385197694906765</v>
      </c>
      <c r="AX155" s="609">
        <f t="shared" si="461"/>
        <v>-41.059295411488165</v>
      </c>
      <c r="AY155" s="609">
        <f t="shared" si="461"/>
        <v>-67.660972098773073</v>
      </c>
      <c r="AZ155" s="609">
        <f t="shared" si="461"/>
        <v>-57.92825772747392</v>
      </c>
      <c r="BA155" s="609">
        <f t="shared" si="461"/>
        <v>-65.656898743543024</v>
      </c>
      <c r="BB155" s="609">
        <f t="shared" si="461"/>
        <v>-55.695075086106044</v>
      </c>
      <c r="BC155" s="609">
        <f t="shared" si="461"/>
        <v>-52.926143796305496</v>
      </c>
      <c r="BD155" s="609">
        <f t="shared" si="461"/>
        <v>-31.455059452033538</v>
      </c>
      <c r="BE155" s="609">
        <f t="shared" si="461"/>
        <v>-66.379352473207973</v>
      </c>
      <c r="BF155" s="609">
        <f t="shared" si="461"/>
        <v>-86.123889489817202</v>
      </c>
      <c r="BG155" s="609">
        <f t="shared" si="461"/>
        <v>-36.021422710519118</v>
      </c>
      <c r="BH155" s="609">
        <f t="shared" si="461"/>
        <v>-35.600545154458132</v>
      </c>
      <c r="BI155" s="609">
        <f t="shared" si="461"/>
        <v>-34.239813206344252</v>
      </c>
      <c r="BJ155" s="609">
        <f t="shared" si="461"/>
        <v>-46.454755810452525</v>
      </c>
      <c r="BK155" s="609">
        <f t="shared" si="461"/>
        <v>-48.02529363802023</v>
      </c>
      <c r="BL155" s="609">
        <f t="shared" si="461"/>
        <v>-54.637185108749691</v>
      </c>
      <c r="BM155" s="609">
        <f t="shared" si="461"/>
        <v>-37.876290225389312</v>
      </c>
      <c r="BN155" s="609">
        <f t="shared" si="461"/>
        <v>-52.609694506047617</v>
      </c>
      <c r="BO155" s="610">
        <f t="shared" si="461"/>
        <v>-42.863056365973762</v>
      </c>
      <c r="BP155" s="610">
        <f t="shared" ref="BP155:CN155" si="462">BP138-BO138</f>
        <v>6.0159590237406064</v>
      </c>
      <c r="BQ155" s="610">
        <f t="shared" si="462"/>
        <v>6.8675386933196023</v>
      </c>
      <c r="BR155" s="610">
        <f t="shared" si="462"/>
        <v>6.9018763867861708</v>
      </c>
      <c r="BS155" s="610">
        <f t="shared" si="462"/>
        <v>6.9363857687201289</v>
      </c>
      <c r="BT155" s="610">
        <f t="shared" si="462"/>
        <v>6.9710676975637398</v>
      </c>
      <c r="BU155" s="610">
        <f t="shared" si="462"/>
        <v>7.0059230360516267</v>
      </c>
      <c r="BV155" s="610">
        <f t="shared" si="462"/>
        <v>7.0409526512319189</v>
      </c>
      <c r="BW155" s="610">
        <f t="shared" si="462"/>
        <v>7.0761574144878523</v>
      </c>
      <c r="BX155" s="610">
        <f t="shared" si="462"/>
        <v>7.1115382015605064</v>
      </c>
      <c r="BY155" s="610">
        <f t="shared" si="462"/>
        <v>7.1470958925681316</v>
      </c>
      <c r="BZ155" s="610">
        <f t="shared" si="462"/>
        <v>7.1828313720311598</v>
      </c>
      <c r="CA155" s="610">
        <f t="shared" si="462"/>
        <v>7.2187455288913043</v>
      </c>
      <c r="CB155" s="610">
        <f t="shared" si="462"/>
        <v>7.2548392565354334</v>
      </c>
      <c r="CC155" s="610">
        <f t="shared" si="462"/>
        <v>7.2911134528183084</v>
      </c>
      <c r="CD155" s="610">
        <f t="shared" si="462"/>
        <v>7.327569020082592</v>
      </c>
      <c r="CE155" s="610">
        <f t="shared" si="462"/>
        <v>7.364206865182723</v>
      </c>
      <c r="CF155" s="610">
        <f t="shared" si="462"/>
        <v>7.4010278995087901</v>
      </c>
      <c r="CG155" s="610">
        <f t="shared" si="462"/>
        <v>7.4380330390063136</v>
      </c>
      <c r="CH155" s="610">
        <f t="shared" si="462"/>
        <v>7.4752232042012565</v>
      </c>
      <c r="CI155" s="610">
        <f t="shared" si="462"/>
        <v>7.5125993202225345</v>
      </c>
      <c r="CJ155" s="610">
        <f t="shared" si="462"/>
        <v>7.5501623168233891</v>
      </c>
      <c r="CK155" s="610">
        <f t="shared" si="462"/>
        <v>7.587913128407763</v>
      </c>
      <c r="CL155" s="610">
        <f t="shared" si="462"/>
        <v>7.6258526940493994</v>
      </c>
      <c r="CM155" s="610">
        <f t="shared" si="462"/>
        <v>7.6639819575198089</v>
      </c>
      <c r="CN155" s="610">
        <f t="shared" si="462"/>
        <v>7.7023018673073693</v>
      </c>
      <c r="CO155" s="610">
        <f t="shared" si="455"/>
        <v>7.7408133766439278</v>
      </c>
      <c r="CP155" s="610">
        <f t="shared" si="456"/>
        <v>7.7795174435270837</v>
      </c>
      <c r="CQ155" s="610">
        <f t="shared" si="457"/>
        <v>7.8184150307447453</v>
      </c>
      <c r="CR155" s="610">
        <f t="shared" si="458"/>
        <v>7.857507105898776</v>
      </c>
      <c r="CS155" s="610">
        <f t="shared" si="459"/>
        <v>7.8967946414281869</v>
      </c>
      <c r="CT155" s="610"/>
      <c r="CU155" s="610"/>
      <c r="CV155" s="610"/>
      <c r="CW155" s="610"/>
      <c r="CX155" s="610"/>
      <c r="CY155" s="610"/>
      <c r="CZ155" s="610"/>
      <c r="DA155" s="610"/>
      <c r="DB155" s="610"/>
    </row>
    <row r="156" spans="1:106">
      <c r="A156" s="325" t="s">
        <v>519</v>
      </c>
      <c r="B156" s="325" t="s">
        <v>332</v>
      </c>
      <c r="D156" s="608">
        <f t="shared" ref="D156:AI156" si="463">D139-C139</f>
        <v>4601.0871274119272</v>
      </c>
      <c r="E156" s="608">
        <f t="shared" si="463"/>
        <v>8793.6577033650137</v>
      </c>
      <c r="F156" s="608">
        <f t="shared" si="463"/>
        <v>1412.059632451208</v>
      </c>
      <c r="G156" s="608">
        <f t="shared" si="463"/>
        <v>3845.127493785978</v>
      </c>
      <c r="H156" s="608">
        <f t="shared" si="463"/>
        <v>2570.7115272665542</v>
      </c>
      <c r="I156" s="608">
        <f t="shared" si="463"/>
        <v>-8978.5838915172862</v>
      </c>
      <c r="J156" s="608">
        <f t="shared" si="463"/>
        <v>3849.3642118297066</v>
      </c>
      <c r="K156" s="608">
        <f t="shared" si="463"/>
        <v>-1426.7948918641196</v>
      </c>
      <c r="L156" s="608">
        <f t="shared" si="463"/>
        <v>10369.384790143908</v>
      </c>
      <c r="M156" s="608">
        <f t="shared" si="463"/>
        <v>-2448.0347912986763</v>
      </c>
      <c r="N156" s="608">
        <f t="shared" si="463"/>
        <v>3361.3151188691918</v>
      </c>
      <c r="O156" s="608">
        <f t="shared" si="463"/>
        <v>596.52969066338846</v>
      </c>
      <c r="P156" s="608">
        <f t="shared" si="463"/>
        <v>1949.4202171508805</v>
      </c>
      <c r="Q156" s="514">
        <f t="shared" si="463"/>
        <v>1842.0925462034793</v>
      </c>
      <c r="R156" s="514">
        <f t="shared" si="463"/>
        <v>2072.2837068190565</v>
      </c>
      <c r="S156" s="514">
        <f t="shared" si="463"/>
        <v>8462.6652937387553</v>
      </c>
      <c r="T156" s="514">
        <f t="shared" si="463"/>
        <v>13176.631987514993</v>
      </c>
      <c r="U156" s="514">
        <f t="shared" si="463"/>
        <v>-5951.1689058328921</v>
      </c>
      <c r="V156" s="514">
        <f t="shared" si="463"/>
        <v>-1718.1126877364732</v>
      </c>
      <c r="W156" s="514">
        <f t="shared" si="463"/>
        <v>-6325.1231162823387</v>
      </c>
      <c r="X156" s="514">
        <f t="shared" si="463"/>
        <v>-1196.6201258290093</v>
      </c>
      <c r="Y156" s="514">
        <f t="shared" si="463"/>
        <v>-3628.9819079154331</v>
      </c>
      <c r="Z156" s="514">
        <f t="shared" si="463"/>
        <v>8476.9204969078492</v>
      </c>
      <c r="AA156" s="514">
        <f t="shared" si="463"/>
        <v>11143.286785201373</v>
      </c>
      <c r="AB156" s="514">
        <f t="shared" si="463"/>
        <v>-2823.610540381429</v>
      </c>
      <c r="AC156" s="514">
        <f t="shared" si="463"/>
        <v>-9818.1020323557896</v>
      </c>
      <c r="AD156" s="514">
        <f t="shared" si="463"/>
        <v>5692.5910747002781</v>
      </c>
      <c r="AE156" s="733">
        <f t="shared" si="463"/>
        <v>-6517.1924557304446</v>
      </c>
      <c r="AF156" s="609">
        <f t="shared" si="463"/>
        <v>17924.436728015004</v>
      </c>
      <c r="AG156" s="609">
        <f t="shared" si="463"/>
        <v>6193.6510196271556</v>
      </c>
      <c r="AH156" s="609">
        <f t="shared" si="463"/>
        <v>-13832.52462600726</v>
      </c>
      <c r="AI156" s="609">
        <f t="shared" si="463"/>
        <v>-15271.491852971696</v>
      </c>
      <c r="AJ156" s="609">
        <f t="shared" ref="AJ156:BO156" si="464">AJ139-AI139</f>
        <v>-12344.010802485012</v>
      </c>
      <c r="AK156" s="609">
        <f t="shared" si="464"/>
        <v>-2728.6583922931022</v>
      </c>
      <c r="AL156" s="609">
        <f t="shared" si="464"/>
        <v>-2621.1370436139623</v>
      </c>
      <c r="AM156" s="609">
        <f t="shared" si="464"/>
        <v>-1737.3881948992566</v>
      </c>
      <c r="AN156" s="609">
        <f t="shared" si="464"/>
        <v>-607.0574982494436</v>
      </c>
      <c r="AO156" s="609">
        <f t="shared" si="464"/>
        <v>-1901.2735279948611</v>
      </c>
      <c r="AP156" s="609">
        <f t="shared" si="464"/>
        <v>-1824.9260711852694</v>
      </c>
      <c r="AQ156" s="609">
        <f t="shared" si="464"/>
        <v>-983.27771145084989</v>
      </c>
      <c r="AR156" s="609">
        <f t="shared" si="464"/>
        <v>-480.70790467904226</v>
      </c>
      <c r="AS156" s="609">
        <f t="shared" si="464"/>
        <v>-19.514354602248204</v>
      </c>
      <c r="AT156" s="609">
        <f t="shared" si="464"/>
        <v>-604.05221743262882</v>
      </c>
      <c r="AU156" s="609">
        <f t="shared" si="464"/>
        <v>-620.67887281489311</v>
      </c>
      <c r="AV156" s="609">
        <f t="shared" si="464"/>
        <v>-293.64252173072236</v>
      </c>
      <c r="AW156" s="609">
        <f t="shared" si="464"/>
        <v>-566.62054509877271</v>
      </c>
      <c r="AX156" s="609">
        <f t="shared" si="464"/>
        <v>-536.24373250603458</v>
      </c>
      <c r="AY156" s="609">
        <f t="shared" si="464"/>
        <v>-883.66767767478086</v>
      </c>
      <c r="AZ156" s="609">
        <f t="shared" si="464"/>
        <v>-756.55621534754391</v>
      </c>
      <c r="BA156" s="609">
        <f t="shared" si="464"/>
        <v>-857.49402404886496</v>
      </c>
      <c r="BB156" s="609">
        <f t="shared" si="464"/>
        <v>-727.39034235888903</v>
      </c>
      <c r="BC156" s="609">
        <f t="shared" si="464"/>
        <v>-691.22747022446492</v>
      </c>
      <c r="BD156" s="609">
        <f t="shared" si="464"/>
        <v>-410.81022744579604</v>
      </c>
      <c r="BE156" s="609">
        <f t="shared" si="464"/>
        <v>-866.9294340011329</v>
      </c>
      <c r="BF156" s="609">
        <f t="shared" si="464"/>
        <v>-1124.7975761667549</v>
      </c>
      <c r="BG156" s="609">
        <f t="shared" si="464"/>
        <v>-470.44796971995311</v>
      </c>
      <c r="BH156" s="609">
        <f t="shared" si="464"/>
        <v>-464.95121315537472</v>
      </c>
      <c r="BI156" s="609">
        <f t="shared" si="464"/>
        <v>-447.17974456381125</v>
      </c>
      <c r="BJ156" s="609">
        <f t="shared" si="464"/>
        <v>-606.70967192202079</v>
      </c>
      <c r="BK156" s="609">
        <f t="shared" si="464"/>
        <v>-627.22125299657637</v>
      </c>
      <c r="BL156" s="609">
        <f t="shared" si="464"/>
        <v>-713.57405875361292</v>
      </c>
      <c r="BM156" s="609">
        <f t="shared" si="464"/>
        <v>-494.67296115027057</v>
      </c>
      <c r="BN156" s="609">
        <f t="shared" si="464"/>
        <v>-687.09457055202438</v>
      </c>
      <c r="BO156" s="610">
        <f t="shared" si="464"/>
        <v>-559.80126063914577</v>
      </c>
      <c r="BP156" s="610">
        <f t="shared" ref="BP156:CN156" si="465">BP139-BO139</f>
        <v>81.460313836174464</v>
      </c>
      <c r="BQ156" s="610">
        <f t="shared" si="465"/>
        <v>89.70606920955106</v>
      </c>
      <c r="BR156" s="610">
        <f t="shared" si="465"/>
        <v>90.154599555600726</v>
      </c>
      <c r="BS156" s="610">
        <f t="shared" si="465"/>
        <v>90.605372553378402</v>
      </c>
      <c r="BT156" s="610">
        <f t="shared" si="465"/>
        <v>91.058399416146131</v>
      </c>
      <c r="BU156" s="610">
        <f t="shared" si="465"/>
        <v>91.513691413223569</v>
      </c>
      <c r="BV156" s="610">
        <f t="shared" si="465"/>
        <v>91.971259870293579</v>
      </c>
      <c r="BW156" s="610">
        <f t="shared" si="465"/>
        <v>92.431116169642337</v>
      </c>
      <c r="BX156" s="610">
        <f t="shared" si="465"/>
        <v>92.893271750494023</v>
      </c>
      <c r="BY156" s="610">
        <f t="shared" si="465"/>
        <v>93.357738109240017</v>
      </c>
      <c r="BZ156" s="610">
        <f t="shared" si="465"/>
        <v>93.824526799795422</v>
      </c>
      <c r="CA156" s="610">
        <f t="shared" si="465"/>
        <v>94.293649433784594</v>
      </c>
      <c r="CB156" s="610">
        <f t="shared" si="465"/>
        <v>94.765117680955882</v>
      </c>
      <c r="CC156" s="610">
        <f t="shared" si="465"/>
        <v>95.238943269363517</v>
      </c>
      <c r="CD156" s="610">
        <f t="shared" si="465"/>
        <v>95.715137985709589</v>
      </c>
      <c r="CE156" s="610">
        <f t="shared" si="465"/>
        <v>96.193713675638719</v>
      </c>
      <c r="CF156" s="610">
        <f t="shared" si="465"/>
        <v>96.674682244018186</v>
      </c>
      <c r="CG156" s="610">
        <f t="shared" si="465"/>
        <v>97.158055655232602</v>
      </c>
      <c r="CH156" s="610">
        <f t="shared" si="465"/>
        <v>97.643845933514967</v>
      </c>
      <c r="CI156" s="610">
        <f t="shared" si="465"/>
        <v>98.132065163179504</v>
      </c>
      <c r="CJ156" s="610">
        <f t="shared" si="465"/>
        <v>98.622725488996366</v>
      </c>
      <c r="CK156" s="610">
        <f t="shared" si="465"/>
        <v>99.115839116442658</v>
      </c>
      <c r="CL156" s="610">
        <f t="shared" si="465"/>
        <v>99.611418312022579</v>
      </c>
      <c r="CM156" s="610">
        <f t="shared" si="465"/>
        <v>100.10947540358029</v>
      </c>
      <c r="CN156" s="610">
        <f t="shared" si="465"/>
        <v>100.61002278060187</v>
      </c>
      <c r="CO156" s="610">
        <f t="shared" si="455"/>
        <v>101.11307289449906</v>
      </c>
      <c r="CP156" s="610">
        <f t="shared" si="456"/>
        <v>101.61863825897672</v>
      </c>
      <c r="CQ156" s="610">
        <f t="shared" si="457"/>
        <v>102.12673145027293</v>
      </c>
      <c r="CR156" s="610">
        <f t="shared" si="458"/>
        <v>102.63736510752278</v>
      </c>
      <c r="CS156" s="610">
        <f t="shared" si="459"/>
        <v>103.15055193306398</v>
      </c>
      <c r="CT156" s="610"/>
      <c r="CU156" s="610"/>
      <c r="CV156" s="610"/>
      <c r="CW156" s="610"/>
      <c r="CX156" s="610"/>
      <c r="CY156" s="610"/>
      <c r="CZ156" s="610"/>
      <c r="DA156" s="610"/>
      <c r="DB156" s="610"/>
    </row>
    <row r="157" spans="1:106">
      <c r="A157" s="325" t="s">
        <v>518</v>
      </c>
      <c r="B157" s="325" t="s">
        <v>333</v>
      </c>
      <c r="D157" s="608">
        <f t="shared" ref="D157:AI157" si="466">D140-C140</f>
        <v>5026.9533834086087</v>
      </c>
      <c r="E157" s="608">
        <f t="shared" si="466"/>
        <v>-2399.3510617795273</v>
      </c>
      <c r="F157" s="608">
        <f t="shared" si="466"/>
        <v>-5990.3954601009082</v>
      </c>
      <c r="G157" s="608">
        <f t="shared" si="466"/>
        <v>1089.248041352399</v>
      </c>
      <c r="H157" s="608">
        <f t="shared" si="466"/>
        <v>1782.4157835166679</v>
      </c>
      <c r="I157" s="608">
        <f t="shared" si="466"/>
        <v>-4506.8251652070503</v>
      </c>
      <c r="J157" s="608">
        <f t="shared" si="466"/>
        <v>799.02780782829632</v>
      </c>
      <c r="K157" s="608">
        <f t="shared" si="466"/>
        <v>-605.43964570904427</v>
      </c>
      <c r="L157" s="608">
        <f t="shared" si="466"/>
        <v>5213.7151792920604</v>
      </c>
      <c r="M157" s="608">
        <f t="shared" si="466"/>
        <v>5853.0227868287639</v>
      </c>
      <c r="N157" s="608">
        <f t="shared" si="466"/>
        <v>8010.7783507411441</v>
      </c>
      <c r="O157" s="608">
        <f t="shared" si="466"/>
        <v>7733.7307483473705</v>
      </c>
      <c r="P157" s="608">
        <f t="shared" si="466"/>
        <v>1131.6380282688842</v>
      </c>
      <c r="Q157" s="514">
        <f t="shared" si="466"/>
        <v>-2764.8716856303072</v>
      </c>
      <c r="R157" s="514">
        <f t="shared" si="466"/>
        <v>1210.3334399126761</v>
      </c>
      <c r="S157" s="514">
        <f t="shared" si="466"/>
        <v>-435.8149206861126</v>
      </c>
      <c r="T157" s="514">
        <f t="shared" si="466"/>
        <v>6153.4651509557734</v>
      </c>
      <c r="U157" s="514">
        <f t="shared" si="466"/>
        <v>-698.8403408870945</v>
      </c>
      <c r="V157" s="514">
        <f t="shared" si="466"/>
        <v>-6183.081765284267</v>
      </c>
      <c r="W157" s="514">
        <f t="shared" si="466"/>
        <v>-9437.3757383898956</v>
      </c>
      <c r="X157" s="514">
        <f t="shared" si="466"/>
        <v>808.95004152228285</v>
      </c>
      <c r="Y157" s="514">
        <f t="shared" si="466"/>
        <v>4162.1646000141845</v>
      </c>
      <c r="Z157" s="514">
        <f t="shared" si="466"/>
        <v>1957.5445341808663</v>
      </c>
      <c r="AA157" s="514">
        <f t="shared" si="466"/>
        <v>-8299.0600814299178</v>
      </c>
      <c r="AB157" s="514">
        <f t="shared" si="466"/>
        <v>6380.0970529778788</v>
      </c>
      <c r="AC157" s="514">
        <f t="shared" si="466"/>
        <v>27.86094856640193</v>
      </c>
      <c r="AD157" s="514">
        <f t="shared" si="466"/>
        <v>-7054.1204779773725</v>
      </c>
      <c r="AE157" s="733">
        <f t="shared" si="466"/>
        <v>5197.3570920446291</v>
      </c>
      <c r="AF157" s="609">
        <f t="shared" si="466"/>
        <v>-151.30502289348806</v>
      </c>
      <c r="AG157" s="609">
        <f t="shared" si="466"/>
        <v>142.31867369559041</v>
      </c>
      <c r="AH157" s="609">
        <f t="shared" si="466"/>
        <v>-27.191665677601122</v>
      </c>
      <c r="AI157" s="609">
        <f t="shared" si="466"/>
        <v>-180.87432810571045</v>
      </c>
      <c r="AJ157" s="609">
        <f t="shared" ref="AJ157:BO157" si="467">AJ140-AI140</f>
        <v>121.19339068786576</v>
      </c>
      <c r="AK157" s="609">
        <f t="shared" si="467"/>
        <v>225.4541190631644</v>
      </c>
      <c r="AL157" s="609">
        <f t="shared" si="467"/>
        <v>-1572.5863029944558</v>
      </c>
      <c r="AM157" s="609">
        <f t="shared" si="467"/>
        <v>-1045.0702637760332</v>
      </c>
      <c r="AN157" s="609">
        <f t="shared" si="467"/>
        <v>-365.15600928182175</v>
      </c>
      <c r="AO157" s="609">
        <f t="shared" si="467"/>
        <v>-1143.6502407725857</v>
      </c>
      <c r="AP157" s="609">
        <f t="shared" si="467"/>
        <v>-1097.725871618426</v>
      </c>
      <c r="AQ157" s="609">
        <f t="shared" si="467"/>
        <v>-591.45923765794578</v>
      </c>
      <c r="AR157" s="609">
        <f t="shared" si="467"/>
        <v>-289.1544550705803</v>
      </c>
      <c r="AS157" s="609">
        <f t="shared" si="467"/>
        <v>-11.738235456799885</v>
      </c>
      <c r="AT157" s="609">
        <f t="shared" si="467"/>
        <v>-363.34827879006116</v>
      </c>
      <c r="AU157" s="609">
        <f t="shared" si="467"/>
        <v>-373.34951120148617</v>
      </c>
      <c r="AV157" s="609">
        <f t="shared" si="467"/>
        <v>-176.63126095937332</v>
      </c>
      <c r="AW157" s="609">
        <f t="shared" si="467"/>
        <v>-340.8324542930568</v>
      </c>
      <c r="AX157" s="609">
        <f t="shared" si="467"/>
        <v>-322.56025488351952</v>
      </c>
      <c r="AY157" s="609">
        <f t="shared" si="467"/>
        <v>-531.54200984512136</v>
      </c>
      <c r="AZ157" s="609">
        <f t="shared" si="467"/>
        <v>-455.08217786670502</v>
      </c>
      <c r="BA157" s="609">
        <f t="shared" si="467"/>
        <v>-515.7980861905653</v>
      </c>
      <c r="BB157" s="609">
        <f t="shared" si="467"/>
        <v>-437.53838042005555</v>
      </c>
      <c r="BC157" s="609">
        <f t="shared" si="467"/>
        <v>-415.78576207524202</v>
      </c>
      <c r="BD157" s="609">
        <f t="shared" si="467"/>
        <v>-247.10974439628262</v>
      </c>
      <c r="BE157" s="609">
        <f t="shared" si="467"/>
        <v>-521.47365506838105</v>
      </c>
      <c r="BF157" s="609">
        <f t="shared" si="467"/>
        <v>-676.58598295436968</v>
      </c>
      <c r="BG157" s="609">
        <f t="shared" si="467"/>
        <v>-282.98291956371759</v>
      </c>
      <c r="BH157" s="609">
        <f t="shared" si="467"/>
        <v>-279.67652157522025</v>
      </c>
      <c r="BI157" s="609">
        <f t="shared" si="467"/>
        <v>-268.98666341732496</v>
      </c>
      <c r="BJ157" s="609">
        <f t="shared" si="467"/>
        <v>-364.94678548669435</v>
      </c>
      <c r="BK157" s="609">
        <f t="shared" si="467"/>
        <v>-377.28487061182022</v>
      </c>
      <c r="BL157" s="609">
        <f t="shared" si="467"/>
        <v>-429.2276372055203</v>
      </c>
      <c r="BM157" s="609">
        <f t="shared" si="467"/>
        <v>-297.55468784116783</v>
      </c>
      <c r="BN157" s="609">
        <f t="shared" si="467"/>
        <v>-413.29974855016371</v>
      </c>
      <c r="BO157" s="610">
        <f t="shared" si="467"/>
        <v>-336.73053197661102</v>
      </c>
      <c r="BP157" s="610">
        <f t="shared" ref="BP157:CN157" si="468">BP140-BO140</f>
        <v>47.261144075153425</v>
      </c>
      <c r="BQ157" s="610">
        <f t="shared" si="468"/>
        <v>53.95112139990124</v>
      </c>
      <c r="BR157" s="610">
        <f t="shared" si="468"/>
        <v>54.220877006900992</v>
      </c>
      <c r="BS157" s="610">
        <f t="shared" si="468"/>
        <v>54.491981391935042</v>
      </c>
      <c r="BT157" s="610">
        <f t="shared" si="468"/>
        <v>54.76444129889569</v>
      </c>
      <c r="BU157" s="610">
        <f t="shared" si="468"/>
        <v>55.038263505388386</v>
      </c>
      <c r="BV157" s="610">
        <f t="shared" si="468"/>
        <v>55.313454822917265</v>
      </c>
      <c r="BW157" s="610">
        <f t="shared" si="468"/>
        <v>55.590022097030669</v>
      </c>
      <c r="BX157" s="610">
        <f t="shared" si="468"/>
        <v>55.867972207519415</v>
      </c>
      <c r="BY157" s="610">
        <f t="shared" si="468"/>
        <v>56.1473120685514</v>
      </c>
      <c r="BZ157" s="610">
        <f t="shared" si="468"/>
        <v>56.428048628897159</v>
      </c>
      <c r="CA157" s="610">
        <f t="shared" si="468"/>
        <v>56.710188872040817</v>
      </c>
      <c r="CB157" s="610">
        <f t="shared" si="468"/>
        <v>56.993739816400193</v>
      </c>
      <c r="CC157" s="610">
        <f t="shared" si="468"/>
        <v>57.278708515483231</v>
      </c>
      <c r="CD157" s="610">
        <f t="shared" si="468"/>
        <v>57.565102058060802</v>
      </c>
      <c r="CE157" s="610">
        <f t="shared" si="468"/>
        <v>57.852927568352243</v>
      </c>
      <c r="CF157" s="610">
        <f t="shared" si="468"/>
        <v>58.142192206192703</v>
      </c>
      <c r="CG157" s="610">
        <f t="shared" si="468"/>
        <v>58.43290316722414</v>
      </c>
      <c r="CH157" s="610">
        <f t="shared" si="468"/>
        <v>58.725067683060843</v>
      </c>
      <c r="CI157" s="610">
        <f t="shared" si="468"/>
        <v>59.018693021473155</v>
      </c>
      <c r="CJ157" s="610">
        <f t="shared" si="468"/>
        <v>59.313786486583922</v>
      </c>
      <c r="CK157" s="610">
        <f t="shared" si="468"/>
        <v>59.610355419017651</v>
      </c>
      <c r="CL157" s="610">
        <f t="shared" si="468"/>
        <v>59.908407196109692</v>
      </c>
      <c r="CM157" s="610">
        <f t="shared" si="468"/>
        <v>60.207949232089959</v>
      </c>
      <c r="CN157" s="610">
        <f t="shared" si="468"/>
        <v>60.508988978250272</v>
      </c>
      <c r="CO157" s="610">
        <f t="shared" si="455"/>
        <v>60.811533923140814</v>
      </c>
      <c r="CP157" s="610">
        <f t="shared" si="456"/>
        <v>61.115591592757482</v>
      </c>
      <c r="CQ157" s="610">
        <f t="shared" si="457"/>
        <v>61.421169550723789</v>
      </c>
      <c r="CR157" s="610">
        <f t="shared" si="458"/>
        <v>61.728275398476399</v>
      </c>
      <c r="CS157" s="610">
        <f t="shared" si="459"/>
        <v>62.036916775468853</v>
      </c>
      <c r="CT157" s="610"/>
      <c r="CU157" s="610"/>
      <c r="CV157" s="610"/>
      <c r="CW157" s="610"/>
      <c r="CX157" s="610"/>
      <c r="CY157" s="610"/>
      <c r="CZ157" s="610"/>
      <c r="DA157" s="610"/>
      <c r="DB157" s="610"/>
    </row>
    <row r="158" spans="1:106">
      <c r="A158" s="325" t="s">
        <v>517</v>
      </c>
      <c r="B158" s="325" t="s">
        <v>338</v>
      </c>
      <c r="D158" s="608">
        <f t="shared" ref="D158:AI158" si="469">D141-C141</f>
        <v>-5.7791946015534599</v>
      </c>
      <c r="E158" s="608">
        <f t="shared" si="469"/>
        <v>-2.2291145324707031</v>
      </c>
      <c r="F158" s="608">
        <f t="shared" si="469"/>
        <v>-54.61334228515625</v>
      </c>
      <c r="G158" s="608">
        <f t="shared" si="469"/>
        <v>34.551298141479492</v>
      </c>
      <c r="H158" s="608">
        <f t="shared" si="469"/>
        <v>8.9164638519287109</v>
      </c>
      <c r="I158" s="608">
        <f t="shared" si="469"/>
        <v>-3.3436737060546893</v>
      </c>
      <c r="J158" s="608">
        <f t="shared" si="469"/>
        <v>-6.6873478889465314</v>
      </c>
      <c r="K158" s="608">
        <f t="shared" si="469"/>
        <v>0</v>
      </c>
      <c r="L158" s="608">
        <f t="shared" si="469"/>
        <v>5.2012705802917489</v>
      </c>
      <c r="M158" s="608">
        <f t="shared" si="469"/>
        <v>-9.5367431640625E-7</v>
      </c>
      <c r="N158" s="608">
        <f t="shared" si="469"/>
        <v>-0.81269931793212891</v>
      </c>
      <c r="O158" s="608">
        <f t="shared" si="469"/>
        <v>-7.6190476417541513</v>
      </c>
      <c r="P158" s="608">
        <f t="shared" si="469"/>
        <v>18.285714626312256</v>
      </c>
      <c r="Q158" s="514">
        <f t="shared" si="469"/>
        <v>-17.857143402099609</v>
      </c>
      <c r="R158" s="514">
        <f t="shared" si="469"/>
        <v>0.71428585052490323</v>
      </c>
      <c r="S158" s="514">
        <f t="shared" si="469"/>
        <v>-1.4285717010498056</v>
      </c>
      <c r="T158" s="514">
        <f t="shared" si="469"/>
        <v>-2.8571426868438721</v>
      </c>
      <c r="U158" s="514">
        <f t="shared" si="469"/>
        <v>0.71428561210632302</v>
      </c>
      <c r="V158" s="514">
        <f t="shared" si="469"/>
        <v>-1.428571343421936</v>
      </c>
      <c r="W158" s="514">
        <f t="shared" si="469"/>
        <v>-0.71428573137382034</v>
      </c>
      <c r="X158" s="514">
        <f t="shared" si="469"/>
        <v>3.4924596548080444E-10</v>
      </c>
      <c r="Y158" s="514">
        <f t="shared" si="469"/>
        <v>1.4285714325378649</v>
      </c>
      <c r="Z158" s="514">
        <f t="shared" si="469"/>
        <v>6.4285713732242584</v>
      </c>
      <c r="AA158" s="514">
        <f t="shared" si="469"/>
        <v>3.5714284181594849</v>
      </c>
      <c r="AB158" s="514">
        <f t="shared" si="469"/>
        <v>5.714287281036377</v>
      </c>
      <c r="AC158" s="514">
        <f t="shared" si="469"/>
        <v>30.857138633728027</v>
      </c>
      <c r="AD158" s="514">
        <f t="shared" si="469"/>
        <v>184.53053951263428</v>
      </c>
      <c r="AE158" s="733">
        <f t="shared" si="469"/>
        <v>-224.78009724617004</v>
      </c>
      <c r="AF158" s="609">
        <f t="shared" si="469"/>
        <v>-0.58858732926283075</v>
      </c>
      <c r="AG158" s="609">
        <f t="shared" si="469"/>
        <v>-1.2907936418270447</v>
      </c>
      <c r="AH158" s="609">
        <f t="shared" si="469"/>
        <v>7.9986008301118794E-2</v>
      </c>
      <c r="AI158" s="609">
        <f t="shared" si="469"/>
        <v>-0.2488383015460558</v>
      </c>
      <c r="AJ158" s="609">
        <f t="shared" ref="AJ158:BO158" si="470">AJ141-AI141</f>
        <v>0.60951167530936612</v>
      </c>
      <c r="AK158" s="609">
        <f t="shared" si="470"/>
        <v>-0.13450736231777149</v>
      </c>
      <c r="AL158" s="609">
        <f t="shared" si="470"/>
        <v>-0.3841450969239375</v>
      </c>
      <c r="AM158" s="609">
        <f t="shared" si="470"/>
        <v>-0.25528558719233985</v>
      </c>
      <c r="AN158" s="609">
        <f t="shared" si="470"/>
        <v>-8.9198850524655704E-2</v>
      </c>
      <c r="AO158" s="609">
        <f t="shared" si="470"/>
        <v>-0.27936630997746903</v>
      </c>
      <c r="AP158" s="609">
        <f t="shared" si="470"/>
        <v>-0.26814808862687922</v>
      </c>
      <c r="AQ158" s="609">
        <f t="shared" si="470"/>
        <v>-0.14447929868397935</v>
      </c>
      <c r="AR158" s="609">
        <f t="shared" si="470"/>
        <v>-7.0633494618111747E-2</v>
      </c>
      <c r="AS158" s="609">
        <f t="shared" si="470"/>
        <v>-2.8673692430629671E-3</v>
      </c>
      <c r="AT158" s="609">
        <f t="shared" si="470"/>
        <v>-8.875726534510342E-2</v>
      </c>
      <c r="AU158" s="609">
        <f t="shared" si="470"/>
        <v>-9.1200326426539746E-2</v>
      </c>
      <c r="AV158" s="609">
        <f t="shared" si="470"/>
        <v>-4.3146778483213133E-2</v>
      </c>
      <c r="AW158" s="609">
        <f t="shared" si="470"/>
        <v>-8.3257189726197112E-2</v>
      </c>
      <c r="AX158" s="609">
        <f t="shared" si="470"/>
        <v>-7.8793729883121166E-2</v>
      </c>
      <c r="AY158" s="609">
        <f t="shared" si="470"/>
        <v>-0.1298429577456508</v>
      </c>
      <c r="AZ158" s="609">
        <f t="shared" si="470"/>
        <v>-0.1111656555777456</v>
      </c>
      <c r="BA158" s="609">
        <f t="shared" si="470"/>
        <v>-0.12599709499921508</v>
      </c>
      <c r="BB158" s="609">
        <f t="shared" si="470"/>
        <v>-0.10688012685495041</v>
      </c>
      <c r="BC158" s="609">
        <f t="shared" si="470"/>
        <v>-0.10156648418458936</v>
      </c>
      <c r="BD158" s="609">
        <f t="shared" si="470"/>
        <v>-6.0362980735114036E-2</v>
      </c>
      <c r="BE158" s="609">
        <f t="shared" si="470"/>
        <v>-0.12738350028108458</v>
      </c>
      <c r="BF158" s="609">
        <f t="shared" si="470"/>
        <v>-0.16527371979806738</v>
      </c>
      <c r="BG158" s="609">
        <f t="shared" si="470"/>
        <v>-6.9125936590334724E-2</v>
      </c>
      <c r="BH158" s="609">
        <f t="shared" si="470"/>
        <v>-6.8318262904418336E-2</v>
      </c>
      <c r="BI158" s="609">
        <f t="shared" si="470"/>
        <v>-6.5706987077871482E-2</v>
      </c>
      <c r="BJ158" s="609">
        <f t="shared" si="470"/>
        <v>-8.9147742172189126E-2</v>
      </c>
      <c r="BK158" s="609">
        <f t="shared" si="470"/>
        <v>-9.2161640294805114E-2</v>
      </c>
      <c r="BL158" s="609">
        <f t="shared" si="470"/>
        <v>-0.10485001171813524</v>
      </c>
      <c r="BM158" s="609">
        <f t="shared" si="470"/>
        <v>-7.2685469906017097E-2</v>
      </c>
      <c r="BN158" s="609">
        <f t="shared" si="470"/>
        <v>-0.10095921073655756</v>
      </c>
      <c r="BO158" s="610">
        <f t="shared" si="470"/>
        <v>-8.2255188536930923E-2</v>
      </c>
      <c r="BP158" s="610">
        <f t="shared" ref="BP158:CN158" si="471">BP141-BO141</f>
        <v>1.1544763385586521E-2</v>
      </c>
      <c r="BQ158" s="610">
        <f t="shared" si="471"/>
        <v>1.3178964308576457E-2</v>
      </c>
      <c r="BR158" s="610">
        <f t="shared" si="471"/>
        <v>1.3244859130119746E-2</v>
      </c>
      <c r="BS158" s="610">
        <f t="shared" si="471"/>
        <v>1.3311083425769699E-2</v>
      </c>
      <c r="BT158" s="610">
        <f t="shared" si="471"/>
        <v>1.3377638842898776E-2</v>
      </c>
      <c r="BU158" s="610">
        <f t="shared" si="471"/>
        <v>1.344452703711374E-2</v>
      </c>
      <c r="BV158" s="610">
        <f t="shared" si="471"/>
        <v>1.3511749672298734E-2</v>
      </c>
      <c r="BW158" s="610">
        <f t="shared" si="471"/>
        <v>1.3579308420660574E-2</v>
      </c>
      <c r="BX158" s="610">
        <f t="shared" si="471"/>
        <v>1.3647204962763837E-2</v>
      </c>
      <c r="BY158" s="610">
        <f t="shared" si="471"/>
        <v>1.3715440987577487E-2</v>
      </c>
      <c r="BZ158" s="610">
        <f t="shared" si="471"/>
        <v>1.3784018192515735E-2</v>
      </c>
      <c r="CA158" s="610">
        <f t="shared" si="471"/>
        <v>1.3852938283478E-2</v>
      </c>
      <c r="CB158" s="610">
        <f t="shared" si="471"/>
        <v>1.392220297489466E-2</v>
      </c>
      <c r="CC158" s="610">
        <f t="shared" si="471"/>
        <v>1.3991813989770119E-2</v>
      </c>
      <c r="CD158" s="610">
        <f t="shared" si="471"/>
        <v>1.4061773059718785E-2</v>
      </c>
      <c r="CE158" s="610">
        <f t="shared" si="471"/>
        <v>1.413208192501747E-2</v>
      </c>
      <c r="CF158" s="610">
        <f t="shared" si="471"/>
        <v>1.4202742334642693E-2</v>
      </c>
      <c r="CG158" s="610">
        <f t="shared" si="471"/>
        <v>1.4273756046315533E-2</v>
      </c>
      <c r="CH158" s="610">
        <f t="shared" si="471"/>
        <v>1.4345124826547373E-2</v>
      </c>
      <c r="CI158" s="610">
        <f t="shared" si="471"/>
        <v>1.4416850450679419E-2</v>
      </c>
      <c r="CJ158" s="610">
        <f t="shared" si="471"/>
        <v>1.4488934702933776E-2</v>
      </c>
      <c r="CK158" s="610">
        <f t="shared" si="471"/>
        <v>1.456137937644808E-2</v>
      </c>
      <c r="CL158" s="610">
        <f t="shared" si="471"/>
        <v>1.463418627333013E-2</v>
      </c>
      <c r="CM158" s="610">
        <f t="shared" si="471"/>
        <v>1.4707357204696958E-2</v>
      </c>
      <c r="CN158" s="610">
        <f t="shared" si="471"/>
        <v>1.4780893990720134E-2</v>
      </c>
      <c r="CO158" s="610">
        <f t="shared" si="455"/>
        <v>1.4854798460673724E-2</v>
      </c>
      <c r="CP158" s="610">
        <f t="shared" si="456"/>
        <v>1.4929072452976921E-2</v>
      </c>
      <c r="CQ158" s="610">
        <f t="shared" si="457"/>
        <v>1.5003717815242457E-2</v>
      </c>
      <c r="CR158" s="610">
        <f t="shared" si="458"/>
        <v>1.5078736404318338E-2</v>
      </c>
      <c r="CS158" s="610">
        <f t="shared" si="459"/>
        <v>1.5154130086340256E-2</v>
      </c>
      <c r="CT158" s="610"/>
      <c r="CU158" s="610"/>
      <c r="CV158" s="610"/>
      <c r="CW158" s="610"/>
      <c r="CX158" s="610"/>
      <c r="CY158" s="610"/>
      <c r="CZ158" s="610"/>
      <c r="DA158" s="610"/>
      <c r="DB158" s="610"/>
    </row>
    <row r="159" spans="1:106">
      <c r="A159" s="325" t="s">
        <v>516</v>
      </c>
      <c r="B159" s="325" t="s">
        <v>340</v>
      </c>
      <c r="D159" s="608">
        <f t="shared" ref="D159:AI159" si="472">D142-C142</f>
        <v>487.28246762876154</v>
      </c>
      <c r="E159" s="608">
        <f t="shared" si="472"/>
        <v>1501.0631103515625</v>
      </c>
      <c r="F159" s="608">
        <f t="shared" si="472"/>
        <v>-1042.9183349609375</v>
      </c>
      <c r="G159" s="608">
        <f t="shared" si="472"/>
        <v>-1031.2952880859375</v>
      </c>
      <c r="H159" s="608">
        <f t="shared" si="472"/>
        <v>322.85369873046886</v>
      </c>
      <c r="I159" s="608">
        <f t="shared" si="472"/>
        <v>1687.8921508789063</v>
      </c>
      <c r="J159" s="608">
        <f t="shared" si="472"/>
        <v>1970.86279296875</v>
      </c>
      <c r="K159" s="608">
        <f t="shared" si="472"/>
        <v>7687.1796874999982</v>
      </c>
      <c r="L159" s="608">
        <f t="shared" si="472"/>
        <v>792.29980468750182</v>
      </c>
      <c r="M159" s="608">
        <f t="shared" si="472"/>
        <v>3603.166015625</v>
      </c>
      <c r="N159" s="608">
        <f t="shared" si="472"/>
        <v>-7458.1240234375</v>
      </c>
      <c r="O159" s="608">
        <f t="shared" si="472"/>
        <v>-5407.444091796875</v>
      </c>
      <c r="P159" s="608">
        <f t="shared" si="472"/>
        <v>2555.7419433593736</v>
      </c>
      <c r="Q159" s="514">
        <f t="shared" si="472"/>
        <v>-1157.5366210937491</v>
      </c>
      <c r="R159" s="514">
        <f t="shared" si="472"/>
        <v>-1023.29638671875</v>
      </c>
      <c r="S159" s="514">
        <f t="shared" si="472"/>
        <v>-942.396240234375</v>
      </c>
      <c r="T159" s="514">
        <f t="shared" si="472"/>
        <v>395.74926757812545</v>
      </c>
      <c r="U159" s="514">
        <f t="shared" si="472"/>
        <v>2444.1625976562495</v>
      </c>
      <c r="V159" s="514">
        <f t="shared" si="472"/>
        <v>968.9736328125</v>
      </c>
      <c r="W159" s="514">
        <f t="shared" si="472"/>
        <v>-1875.296875</v>
      </c>
      <c r="X159" s="514">
        <f t="shared" si="472"/>
        <v>-1959.0965576171875</v>
      </c>
      <c r="Y159" s="514">
        <f t="shared" si="472"/>
        <v>-1649.6185302734375</v>
      </c>
      <c r="Z159" s="514">
        <f t="shared" si="472"/>
        <v>253.28604125976563</v>
      </c>
      <c r="AA159" s="514">
        <f t="shared" si="472"/>
        <v>-176.28384399414063</v>
      </c>
      <c r="AB159" s="514">
        <f t="shared" si="472"/>
        <v>1202.7366333007813</v>
      </c>
      <c r="AC159" s="514">
        <f t="shared" si="472"/>
        <v>7.2750244140625</v>
      </c>
      <c r="AD159" s="514">
        <f t="shared" si="472"/>
        <v>-55.82379150390625</v>
      </c>
      <c r="AE159" s="733">
        <f t="shared" si="472"/>
        <v>-94.0517578125</v>
      </c>
      <c r="AF159" s="609">
        <f t="shared" si="472"/>
        <v>-201.33287190803867</v>
      </c>
      <c r="AG159" s="609">
        <f t="shared" si="472"/>
        <v>-441.53038645116249</v>
      </c>
      <c r="AH159" s="609">
        <f t="shared" si="472"/>
        <v>27.360107775159577</v>
      </c>
      <c r="AI159" s="609">
        <f t="shared" si="472"/>
        <v>-85.117921165126518</v>
      </c>
      <c r="AJ159" s="609">
        <f t="shared" ref="AJ159:BO159" si="473">AJ142-AI142</f>
        <v>208.49027824844143</v>
      </c>
      <c r="AK159" s="609">
        <f t="shared" si="473"/>
        <v>-46.009746050987815</v>
      </c>
      <c r="AL159" s="609">
        <f t="shared" si="473"/>
        <v>-131.40112222591188</v>
      </c>
      <c r="AM159" s="609">
        <f t="shared" si="473"/>
        <v>-87.323287252098453</v>
      </c>
      <c r="AN159" s="609">
        <f t="shared" si="473"/>
        <v>-30.511463387288813</v>
      </c>
      <c r="AO159" s="609">
        <f t="shared" si="473"/>
        <v>-95.560367520244426</v>
      </c>
      <c r="AP159" s="609">
        <f t="shared" si="473"/>
        <v>-91.723049572807213</v>
      </c>
      <c r="AQ159" s="609">
        <f t="shared" si="473"/>
        <v>-49.420758295521409</v>
      </c>
      <c r="AR159" s="609">
        <f t="shared" si="473"/>
        <v>-24.160975979853674</v>
      </c>
      <c r="AS159" s="609">
        <f t="shared" si="473"/>
        <v>-0.98081568498901106</v>
      </c>
      <c r="AT159" s="609">
        <f t="shared" si="473"/>
        <v>-30.360414243055857</v>
      </c>
      <c r="AU159" s="609">
        <f t="shared" si="473"/>
        <v>-31.1960905808196</v>
      </c>
      <c r="AV159" s="609">
        <f t="shared" si="473"/>
        <v>-14.758837633295343</v>
      </c>
      <c r="AW159" s="609">
        <f t="shared" si="473"/>
        <v>-28.479051928558874</v>
      </c>
      <c r="AX159" s="609">
        <f t="shared" si="473"/>
        <v>-26.952275621670651</v>
      </c>
      <c r="AY159" s="609">
        <f t="shared" si="473"/>
        <v>-44.414234354495647</v>
      </c>
      <c r="AZ159" s="609">
        <f t="shared" si="473"/>
        <v>-38.025454477653284</v>
      </c>
      <c r="BA159" s="609">
        <f t="shared" si="473"/>
        <v>-43.098714034556451</v>
      </c>
      <c r="BB159" s="609">
        <f t="shared" si="473"/>
        <v>-36.559541498375893</v>
      </c>
      <c r="BC159" s="609">
        <f t="shared" si="473"/>
        <v>-34.741950656831932</v>
      </c>
      <c r="BD159" s="609">
        <f t="shared" si="473"/>
        <v>-20.647831959874338</v>
      </c>
      <c r="BE159" s="609">
        <f t="shared" si="473"/>
        <v>-43.572949450695432</v>
      </c>
      <c r="BF159" s="609">
        <f t="shared" si="473"/>
        <v>-56.533722361207083</v>
      </c>
      <c r="BG159" s="609">
        <f t="shared" si="473"/>
        <v>-23.645298913409761</v>
      </c>
      <c r="BH159" s="609">
        <f t="shared" si="473"/>
        <v>-23.369025105487481</v>
      </c>
      <c r="BI159" s="609">
        <f t="shared" si="473"/>
        <v>-22.475809034796612</v>
      </c>
      <c r="BJ159" s="609">
        <f t="shared" si="473"/>
        <v>-30.493981204324427</v>
      </c>
      <c r="BK159" s="609">
        <f t="shared" si="473"/>
        <v>-31.524918729643673</v>
      </c>
      <c r="BL159" s="609">
        <f t="shared" si="473"/>
        <v>-35.865117934567593</v>
      </c>
      <c r="BM159" s="609">
        <f t="shared" si="473"/>
        <v>-24.862877052572458</v>
      </c>
      <c r="BN159" s="609">
        <f t="shared" si="473"/>
        <v>-34.534225989230208</v>
      </c>
      <c r="BO159" s="610">
        <f t="shared" si="473"/>
        <v>-28.136306227010891</v>
      </c>
      <c r="BP159" s="610">
        <f t="shared" ref="BP159:CN159" si="474">BP142-BO142</f>
        <v>3.9490152987661986</v>
      </c>
      <c r="BQ159" s="610">
        <f t="shared" si="474"/>
        <v>4.5080119824231133</v>
      </c>
      <c r="BR159" s="610">
        <f t="shared" si="474"/>
        <v>4.53055204233533</v>
      </c>
      <c r="BS159" s="610">
        <f t="shared" si="474"/>
        <v>4.5532048025469294</v>
      </c>
      <c r="BT159" s="610">
        <f t="shared" si="474"/>
        <v>4.5759708265596828</v>
      </c>
      <c r="BU159" s="610">
        <f t="shared" si="474"/>
        <v>4.5988506806922942</v>
      </c>
      <c r="BV159" s="610">
        <f t="shared" si="474"/>
        <v>4.6218449340958614</v>
      </c>
      <c r="BW159" s="610">
        <f t="shared" si="474"/>
        <v>4.6449541587663816</v>
      </c>
      <c r="BX159" s="610">
        <f t="shared" si="474"/>
        <v>4.6681789295604403</v>
      </c>
      <c r="BY159" s="610">
        <f t="shared" si="474"/>
        <v>4.6915198242079441</v>
      </c>
      <c r="BZ159" s="610">
        <f t="shared" si="474"/>
        <v>4.7149774233289463</v>
      </c>
      <c r="CA159" s="610">
        <f t="shared" si="474"/>
        <v>4.7385523104456979</v>
      </c>
      <c r="CB159" s="610">
        <f t="shared" si="474"/>
        <v>4.7622450719978815</v>
      </c>
      <c r="CC159" s="610">
        <f t="shared" si="474"/>
        <v>4.786056297357959</v>
      </c>
      <c r="CD159" s="610">
        <f t="shared" si="474"/>
        <v>4.8099865788447005</v>
      </c>
      <c r="CE159" s="610">
        <f t="shared" si="474"/>
        <v>4.8340365117389865</v>
      </c>
      <c r="CF159" s="610">
        <f t="shared" si="474"/>
        <v>4.858206694297678</v>
      </c>
      <c r="CG159" s="610">
        <f t="shared" si="474"/>
        <v>4.8824977277690778</v>
      </c>
      <c r="CH159" s="610">
        <f t="shared" si="474"/>
        <v>4.9069102164078231</v>
      </c>
      <c r="CI159" s="610">
        <f t="shared" si="474"/>
        <v>4.9314447674900066</v>
      </c>
      <c r="CJ159" s="610">
        <f t="shared" si="474"/>
        <v>4.9561019913276141</v>
      </c>
      <c r="CK159" s="610">
        <f t="shared" si="474"/>
        <v>4.9808825012839861</v>
      </c>
      <c r="CL159" s="610">
        <f t="shared" si="474"/>
        <v>5.00578691379053</v>
      </c>
      <c r="CM159" s="610">
        <f t="shared" si="474"/>
        <v>5.0308158483593388</v>
      </c>
      <c r="CN159" s="610">
        <f t="shared" si="474"/>
        <v>5.055969927601268</v>
      </c>
      <c r="CO159" s="610">
        <f t="shared" si="455"/>
        <v>5.0812497772390088</v>
      </c>
      <c r="CP159" s="610">
        <f t="shared" si="456"/>
        <v>5.1066560261255063</v>
      </c>
      <c r="CQ159" s="610">
        <f t="shared" si="457"/>
        <v>5.132189306256123</v>
      </c>
      <c r="CR159" s="610">
        <f t="shared" si="458"/>
        <v>5.1578502527875116</v>
      </c>
      <c r="CS159" s="610">
        <f t="shared" si="459"/>
        <v>5.1836395040511434</v>
      </c>
      <c r="CT159" s="610"/>
      <c r="CU159" s="610"/>
      <c r="CV159" s="610"/>
      <c r="CW159" s="610"/>
      <c r="CX159" s="610"/>
      <c r="CY159" s="610"/>
      <c r="CZ159" s="610"/>
      <c r="DA159" s="610"/>
      <c r="DB159" s="610"/>
    </row>
    <row r="160" spans="1:106">
      <c r="A160" s="325" t="s">
        <v>515</v>
      </c>
      <c r="B160" s="325" t="s">
        <v>400</v>
      </c>
      <c r="D160" s="608">
        <f t="shared" ref="D160:AI160" si="475">D143-C143</f>
        <v>3570.6924280220264</v>
      </c>
      <c r="E160" s="608">
        <f t="shared" si="475"/>
        <v>4822.0681189293537</v>
      </c>
      <c r="F160" s="608">
        <f t="shared" si="475"/>
        <v>-2836.9135687211892</v>
      </c>
      <c r="G160" s="608">
        <f t="shared" si="475"/>
        <v>-5923.3234629967228</v>
      </c>
      <c r="H160" s="608">
        <f t="shared" si="475"/>
        <v>-2605.7303416462692</v>
      </c>
      <c r="I160" s="608">
        <f t="shared" si="475"/>
        <v>-594.06453155390591</v>
      </c>
      <c r="J160" s="608">
        <f t="shared" si="475"/>
        <v>1269.7672501906582</v>
      </c>
      <c r="K160" s="608">
        <f t="shared" si="475"/>
        <v>-1130.1706516951617</v>
      </c>
      <c r="L160" s="608">
        <f t="shared" si="475"/>
        <v>658.36014117965897</v>
      </c>
      <c r="M160" s="608">
        <f t="shared" si="475"/>
        <v>2041.5653854169159</v>
      </c>
      <c r="N160" s="608">
        <f t="shared" si="475"/>
        <v>3532.7500348120102</v>
      </c>
      <c r="O160" s="608">
        <f t="shared" si="475"/>
        <v>4331.7466966771135</v>
      </c>
      <c r="P160" s="608">
        <f t="shared" si="475"/>
        <v>214.00874641048722</v>
      </c>
      <c r="Q160" s="514">
        <f t="shared" si="475"/>
        <v>-4215.9281895943241</v>
      </c>
      <c r="R160" s="514">
        <f t="shared" si="475"/>
        <v>5102.3592079450827</v>
      </c>
      <c r="S160" s="514">
        <f t="shared" si="475"/>
        <v>6236.2954639081727</v>
      </c>
      <c r="T160" s="514">
        <f t="shared" si="475"/>
        <v>4566.9382153192309</v>
      </c>
      <c r="U160" s="514">
        <f t="shared" si="475"/>
        <v>-352.39815767364053</v>
      </c>
      <c r="V160" s="514">
        <f t="shared" si="475"/>
        <v>-6455.7216923272863</v>
      </c>
      <c r="W160" s="514">
        <f t="shared" si="475"/>
        <v>-3433.9207310152888</v>
      </c>
      <c r="X160" s="514">
        <f t="shared" si="475"/>
        <v>-2132.623223566563</v>
      </c>
      <c r="Y160" s="514">
        <f t="shared" si="475"/>
        <v>1342.1794106206144</v>
      </c>
      <c r="Z160" s="514">
        <f t="shared" si="475"/>
        <v>4259.2484070771061</v>
      </c>
      <c r="AA160" s="514">
        <f t="shared" si="475"/>
        <v>-2410.575512798725</v>
      </c>
      <c r="AB160" s="514">
        <f t="shared" si="475"/>
        <v>-2540.9550147832742</v>
      </c>
      <c r="AC160" s="514">
        <f t="shared" si="475"/>
        <v>-421.95097060642729</v>
      </c>
      <c r="AD160" s="514">
        <f t="shared" si="475"/>
        <v>3241.9248355098935</v>
      </c>
      <c r="AE160" s="733">
        <f t="shared" si="475"/>
        <v>15695.646501655399</v>
      </c>
      <c r="AF160" s="609">
        <f t="shared" si="475"/>
        <v>-3074.9110681847014</v>
      </c>
      <c r="AG160" s="609">
        <f t="shared" si="475"/>
        <v>-6743.3929659468522</v>
      </c>
      <c r="AH160" s="609">
        <f t="shared" si="475"/>
        <v>417.86469058561124</v>
      </c>
      <c r="AI160" s="609">
        <f t="shared" si="475"/>
        <v>-1299.9866112825766</v>
      </c>
      <c r="AJ160" s="609">
        <f t="shared" ref="AJ160:BO160" si="476">AJ143-AI143</f>
        <v>3184.2245040236958</v>
      </c>
      <c r="AK160" s="609">
        <f t="shared" si="476"/>
        <v>-702.69636565444307</v>
      </c>
      <c r="AL160" s="609">
        <f t="shared" si="476"/>
        <v>-2006.8593929803028</v>
      </c>
      <c r="AM160" s="609">
        <f t="shared" si="476"/>
        <v>-1333.6686649182411</v>
      </c>
      <c r="AN160" s="609">
        <f t="shared" si="476"/>
        <v>-465.99462664467501</v>
      </c>
      <c r="AO160" s="609">
        <f t="shared" si="476"/>
        <v>-1459.4717145941831</v>
      </c>
      <c r="AP160" s="609">
        <f t="shared" si="476"/>
        <v>-1400.8652321211848</v>
      </c>
      <c r="AQ160" s="609">
        <f t="shared" si="476"/>
        <v>-754.79197828356337</v>
      </c>
      <c r="AR160" s="609">
        <f t="shared" si="476"/>
        <v>-369.00507976924564</v>
      </c>
      <c r="AS160" s="609">
        <f t="shared" si="476"/>
        <v>-14.979774425504729</v>
      </c>
      <c r="AT160" s="609">
        <f t="shared" si="476"/>
        <v>-463.6876874894333</v>
      </c>
      <c r="AU160" s="609">
        <f t="shared" si="476"/>
        <v>-476.45078174253285</v>
      </c>
      <c r="AV160" s="609">
        <f t="shared" si="476"/>
        <v>-225.40836358252636</v>
      </c>
      <c r="AW160" s="609">
        <f t="shared" si="476"/>
        <v>-434.95406962918059</v>
      </c>
      <c r="AX160" s="609">
        <f t="shared" si="476"/>
        <v>-411.63596305175088</v>
      </c>
      <c r="AY160" s="609">
        <f t="shared" si="476"/>
        <v>-678.32847913661681</v>
      </c>
      <c r="AZ160" s="609">
        <f t="shared" si="476"/>
        <v>-580.75410010292399</v>
      </c>
      <c r="BA160" s="609">
        <f t="shared" si="476"/>
        <v>-658.2368371018747</v>
      </c>
      <c r="BB160" s="609">
        <f t="shared" si="476"/>
        <v>-558.36554525711836</v>
      </c>
      <c r="BC160" s="609">
        <f t="shared" si="476"/>
        <v>-530.6058945695404</v>
      </c>
      <c r="BD160" s="609">
        <f t="shared" si="476"/>
        <v>-315.34963180992781</v>
      </c>
      <c r="BE160" s="609">
        <f t="shared" si="476"/>
        <v>-665.47972653265606</v>
      </c>
      <c r="BF160" s="609">
        <f t="shared" si="476"/>
        <v>-863.42665738935466</v>
      </c>
      <c r="BG160" s="609">
        <f t="shared" si="476"/>
        <v>-361.1292614580525</v>
      </c>
      <c r="BH160" s="609">
        <f t="shared" si="476"/>
        <v>-356.90979455342676</v>
      </c>
      <c r="BI160" s="609">
        <f t="shared" si="476"/>
        <v>-343.26790907283794</v>
      </c>
      <c r="BJ160" s="609">
        <f t="shared" si="476"/>
        <v>-465.72762524850987</v>
      </c>
      <c r="BK160" s="609">
        <f t="shared" si="476"/>
        <v>-481.47289911843836</v>
      </c>
      <c r="BL160" s="609">
        <f t="shared" si="476"/>
        <v>-547.75977242864064</v>
      </c>
      <c r="BM160" s="609">
        <f t="shared" si="476"/>
        <v>-379.72505488716524</v>
      </c>
      <c r="BN160" s="609">
        <f t="shared" si="476"/>
        <v>-527.43336306243509</v>
      </c>
      <c r="BO160" s="610">
        <f t="shared" si="476"/>
        <v>-429.71939264238608</v>
      </c>
      <c r="BP160" s="610">
        <f t="shared" ref="BP160:CN160" si="477">BP143-BO143</f>
        <v>60.312410663635092</v>
      </c>
      <c r="BQ160" s="610">
        <f t="shared" si="477"/>
        <v>68.849839615826568</v>
      </c>
      <c r="BR160" s="610">
        <f t="shared" si="477"/>
        <v>69.194088813905182</v>
      </c>
      <c r="BS160" s="610">
        <f t="shared" si="477"/>
        <v>69.540059257975372</v>
      </c>
      <c r="BT160" s="610">
        <f t="shared" si="477"/>
        <v>69.887759554263539</v>
      </c>
      <c r="BU160" s="610">
        <f t="shared" si="477"/>
        <v>70.237198352037012</v>
      </c>
      <c r="BV160" s="610">
        <f t="shared" si="477"/>
        <v>70.588384343796861</v>
      </c>
      <c r="BW160" s="610">
        <f t="shared" si="477"/>
        <v>70.941326265514363</v>
      </c>
      <c r="BX160" s="610">
        <f t="shared" si="477"/>
        <v>71.296032896843826</v>
      </c>
      <c r="BY160" s="610">
        <f t="shared" si="477"/>
        <v>71.652513061324498</v>
      </c>
      <c r="BZ160" s="610">
        <f t="shared" si="477"/>
        <v>72.010775626633404</v>
      </c>
      <c r="CA160" s="610">
        <f t="shared" si="477"/>
        <v>72.370829504765425</v>
      </c>
      <c r="CB160" s="610">
        <f t="shared" si="477"/>
        <v>72.732683652289779</v>
      </c>
      <c r="CC160" s="610">
        <f t="shared" si="477"/>
        <v>73.096347070551928</v>
      </c>
      <c r="CD160" s="610">
        <f t="shared" si="477"/>
        <v>73.461828805906407</v>
      </c>
      <c r="CE160" s="610">
        <f t="shared" si="477"/>
        <v>73.829137949933283</v>
      </c>
      <c r="CF160" s="610">
        <f t="shared" si="477"/>
        <v>74.198283639683723</v>
      </c>
      <c r="CG160" s="610">
        <f t="shared" si="477"/>
        <v>74.569275057881896</v>
      </c>
      <c r="CH160" s="610">
        <f t="shared" si="477"/>
        <v>74.942121433170541</v>
      </c>
      <c r="CI160" s="610">
        <f t="shared" si="477"/>
        <v>75.316832040336521</v>
      </c>
      <c r="CJ160" s="610">
        <f t="shared" si="477"/>
        <v>75.693416200543652</v>
      </c>
      <c r="CK160" s="610">
        <f t="shared" si="477"/>
        <v>76.071883281541886</v>
      </c>
      <c r="CL160" s="610">
        <f t="shared" si="477"/>
        <v>76.45224269794744</v>
      </c>
      <c r="CM160" s="610">
        <f t="shared" si="477"/>
        <v>76.834503911437423</v>
      </c>
      <c r="CN160" s="610">
        <f t="shared" si="477"/>
        <v>77.21867643099722</v>
      </c>
      <c r="CO160" s="610">
        <f t="shared" si="455"/>
        <v>77.604769813147868</v>
      </c>
      <c r="CP160" s="610">
        <f t="shared" si="456"/>
        <v>77.992793662217082</v>
      </c>
      <c r="CQ160" s="610">
        <f t="shared" si="457"/>
        <v>78.382757630526612</v>
      </c>
      <c r="CR160" s="610">
        <f t="shared" si="458"/>
        <v>78.774671418685102</v>
      </c>
      <c r="CS160" s="610">
        <f t="shared" si="459"/>
        <v>79.168544775773626</v>
      </c>
      <c r="CT160" s="610"/>
      <c r="CU160" s="610"/>
      <c r="CV160" s="610"/>
      <c r="CW160" s="610"/>
      <c r="CX160" s="610"/>
      <c r="CY160" s="610"/>
      <c r="CZ160" s="610"/>
      <c r="DA160" s="610"/>
      <c r="DB160" s="610"/>
    </row>
    <row r="161" spans="1:106">
      <c r="A161" s="585" t="s">
        <v>566</v>
      </c>
      <c r="B161" s="586" t="s">
        <v>565</v>
      </c>
      <c r="D161" s="608">
        <f>D144-C144</f>
        <v>1793.5353549569418</v>
      </c>
      <c r="E161" s="608">
        <f t="shared" ref="E161:BP161" si="478">E144-D144</f>
        <v>2471.7030863879136</v>
      </c>
      <c r="F161" s="608">
        <f t="shared" si="478"/>
        <v>-1313.3326917273553</v>
      </c>
      <c r="G161" s="608">
        <f t="shared" si="478"/>
        <v>-3158.8406094020211</v>
      </c>
      <c r="H161" s="608">
        <f t="shared" si="478"/>
        <v>-1174.8769918600501</v>
      </c>
      <c r="I161" s="608">
        <f t="shared" si="478"/>
        <v>-64.242562858910787</v>
      </c>
      <c r="J161" s="608">
        <f t="shared" si="478"/>
        <v>249.24166540066562</v>
      </c>
      <c r="K161" s="608">
        <f t="shared" si="478"/>
        <v>-551.29249357827939</v>
      </c>
      <c r="L161" s="608">
        <f t="shared" si="478"/>
        <v>334.4142813571334</v>
      </c>
      <c r="M161" s="608">
        <f t="shared" si="478"/>
        <v>1000.3778566817009</v>
      </c>
      <c r="N161" s="608">
        <f t="shared" si="478"/>
        <v>1887.3058799701248</v>
      </c>
      <c r="O161" s="608">
        <f t="shared" si="478"/>
        <v>2239.9810181898829</v>
      </c>
      <c r="P161" s="608">
        <f t="shared" si="478"/>
        <v>326.24935726353397</v>
      </c>
      <c r="Q161" s="514">
        <f t="shared" si="478"/>
        <v>-2214.6798725264944</v>
      </c>
      <c r="R161" s="514">
        <f t="shared" si="478"/>
        <v>2755.6215139468277</v>
      </c>
      <c r="S161" s="514">
        <f t="shared" si="478"/>
        <v>3183.0122104402981</v>
      </c>
      <c r="T161" s="514">
        <f t="shared" si="478"/>
        <v>2312.154608845316</v>
      </c>
      <c r="U161" s="514">
        <f t="shared" si="478"/>
        <v>-109.04987319130669</v>
      </c>
      <c r="V161" s="514">
        <f t="shared" si="478"/>
        <v>-3328.917317799549</v>
      </c>
      <c r="W161" s="514">
        <f t="shared" si="478"/>
        <v>-2017.9317056930704</v>
      </c>
      <c r="X161" s="514">
        <f t="shared" si="478"/>
        <v>-1417.7512155991644</v>
      </c>
      <c r="Y161" s="514">
        <f t="shared" si="478"/>
        <v>597.89669697665886</v>
      </c>
      <c r="Z161" s="514">
        <f t="shared" si="478"/>
        <v>2019.3355447847989</v>
      </c>
      <c r="AA161" s="514">
        <f t="shared" si="478"/>
        <v>-1046.4172776223313</v>
      </c>
      <c r="AB161" s="514">
        <f t="shared" si="478"/>
        <v>-1375.9184768994855</v>
      </c>
      <c r="AC161" s="514">
        <f t="shared" si="478"/>
        <v>-164.07259574712225</v>
      </c>
      <c r="AD161" s="514">
        <f t="shared" si="478"/>
        <v>11018.160423442336</v>
      </c>
      <c r="AE161" s="733">
        <f t="shared" si="478"/>
        <v>-1953.1838186907189</v>
      </c>
      <c r="AF161" s="609">
        <f t="shared" si="478"/>
        <v>-1489.7081499047854</v>
      </c>
      <c r="AG161" s="609">
        <f t="shared" si="478"/>
        <v>-3266.9847148822373</v>
      </c>
      <c r="AH161" s="609">
        <f t="shared" si="478"/>
        <v>202.44371993831919</v>
      </c>
      <c r="AI161" s="609">
        <f t="shared" si="478"/>
        <v>-629.80704373282788</v>
      </c>
      <c r="AJ161" s="609">
        <f t="shared" si="478"/>
        <v>1542.6674429225113</v>
      </c>
      <c r="AK161" s="609">
        <f t="shared" si="478"/>
        <v>-340.43667592698512</v>
      </c>
      <c r="AL161" s="609">
        <f t="shared" si="478"/>
        <v>-974.62931089046288</v>
      </c>
      <c r="AM161" s="609">
        <f t="shared" si="478"/>
        <v>-646.0209561607644</v>
      </c>
      <c r="AN161" s="609">
        <f t="shared" si="478"/>
        <v>-225.72495117385552</v>
      </c>
      <c r="AO161" s="609">
        <f t="shared" si="478"/>
        <v>-706.95918510578667</v>
      </c>
      <c r="AP161" s="609">
        <f t="shared" si="478"/>
        <v>-678.57056292372181</v>
      </c>
      <c r="AQ161" s="609">
        <f t="shared" si="478"/>
        <v>-365.61662453328427</v>
      </c>
      <c r="AR161" s="609">
        <f t="shared" si="478"/>
        <v>-178.74380701245536</v>
      </c>
      <c r="AS161" s="609">
        <f t="shared" si="478"/>
        <v>-7.2561112456132832</v>
      </c>
      <c r="AT161" s="609">
        <f t="shared" si="478"/>
        <v>-224.60748393624635</v>
      </c>
      <c r="AU161" s="609">
        <f t="shared" si="478"/>
        <v>-230.78984884429519</v>
      </c>
      <c r="AV161" s="609">
        <f t="shared" si="478"/>
        <v>-109.186434681018</v>
      </c>
      <c r="AW161" s="609">
        <f t="shared" si="478"/>
        <v>-210.68909492979947</v>
      </c>
      <c r="AX161" s="609">
        <f t="shared" si="478"/>
        <v>-199.39394651455586</v>
      </c>
      <c r="AY161" s="609">
        <f t="shared" si="478"/>
        <v>-328.5781725326633</v>
      </c>
      <c r="AZ161" s="609">
        <f t="shared" si="478"/>
        <v>-281.31373924555373</v>
      </c>
      <c r="BA161" s="609">
        <f t="shared" si="478"/>
        <v>-318.84590383688555</v>
      </c>
      <c r="BB161" s="609">
        <f t="shared" si="478"/>
        <v>-270.46886001204984</v>
      </c>
      <c r="BC161" s="609">
        <f t="shared" si="478"/>
        <v>-257.02225475573141</v>
      </c>
      <c r="BD161" s="609">
        <f t="shared" si="478"/>
        <v>-152.75343571132362</v>
      </c>
      <c r="BE161" s="609">
        <f t="shared" si="478"/>
        <v>-322.35431524259729</v>
      </c>
      <c r="BF161" s="609">
        <f t="shared" si="478"/>
        <v>-418.23859962666029</v>
      </c>
      <c r="BG161" s="609">
        <f t="shared" si="478"/>
        <v>-174.92880872256501</v>
      </c>
      <c r="BH161" s="609">
        <f t="shared" si="478"/>
        <v>-172.88492472354937</v>
      </c>
      <c r="BI161" s="609">
        <f t="shared" si="478"/>
        <v>-166.2768787119503</v>
      </c>
      <c r="BJ161" s="609">
        <f t="shared" si="478"/>
        <v>-225.59561732821385</v>
      </c>
      <c r="BK161" s="609">
        <f t="shared" si="478"/>
        <v>-233.22253182956501</v>
      </c>
      <c r="BL161" s="609">
        <f t="shared" si="478"/>
        <v>-265.33148842665832</v>
      </c>
      <c r="BM161" s="609">
        <f t="shared" si="478"/>
        <v>-183.93649748938424</v>
      </c>
      <c r="BN161" s="609">
        <f t="shared" si="478"/>
        <v>-255.48549986931903</v>
      </c>
      <c r="BO161" s="610">
        <f t="shared" si="478"/>
        <v>-208.15344936718157</v>
      </c>
      <c r="BP161" s="610">
        <f t="shared" si="478"/>
        <v>0</v>
      </c>
      <c r="BQ161" s="610">
        <f t="shared" ref="BQ161:CN161" si="479">BQ144-BP144</f>
        <v>0</v>
      </c>
      <c r="BR161" s="610">
        <f t="shared" si="479"/>
        <v>0</v>
      </c>
      <c r="BS161" s="610">
        <f t="shared" si="479"/>
        <v>0</v>
      </c>
      <c r="BT161" s="610">
        <f t="shared" si="479"/>
        <v>0</v>
      </c>
      <c r="BU161" s="610">
        <f t="shared" si="479"/>
        <v>0</v>
      </c>
      <c r="BV161" s="610">
        <f t="shared" si="479"/>
        <v>0</v>
      </c>
      <c r="BW161" s="610">
        <f t="shared" si="479"/>
        <v>0</v>
      </c>
      <c r="BX161" s="610">
        <f t="shared" si="479"/>
        <v>0</v>
      </c>
      <c r="BY161" s="610">
        <f t="shared" si="479"/>
        <v>0</v>
      </c>
      <c r="BZ161" s="610">
        <f t="shared" si="479"/>
        <v>0</v>
      </c>
      <c r="CA161" s="610">
        <f t="shared" si="479"/>
        <v>0</v>
      </c>
      <c r="CB161" s="610">
        <f t="shared" si="479"/>
        <v>0</v>
      </c>
      <c r="CC161" s="610">
        <f t="shared" si="479"/>
        <v>0</v>
      </c>
      <c r="CD161" s="610">
        <f t="shared" si="479"/>
        <v>0</v>
      </c>
      <c r="CE161" s="610">
        <f t="shared" si="479"/>
        <v>0</v>
      </c>
      <c r="CF161" s="610">
        <f t="shared" si="479"/>
        <v>0</v>
      </c>
      <c r="CG161" s="610">
        <f t="shared" si="479"/>
        <v>0</v>
      </c>
      <c r="CH161" s="610">
        <f t="shared" si="479"/>
        <v>0</v>
      </c>
      <c r="CI161" s="610">
        <f t="shared" si="479"/>
        <v>0</v>
      </c>
      <c r="CJ161" s="610">
        <f t="shared" si="479"/>
        <v>0</v>
      </c>
      <c r="CK161" s="610">
        <f t="shared" si="479"/>
        <v>0</v>
      </c>
      <c r="CL161" s="610">
        <f t="shared" si="479"/>
        <v>0</v>
      </c>
      <c r="CM161" s="610">
        <f t="shared" si="479"/>
        <v>0</v>
      </c>
      <c r="CN161" s="610">
        <f t="shared" si="479"/>
        <v>0</v>
      </c>
      <c r="CO161" s="610">
        <f t="shared" si="455"/>
        <v>0</v>
      </c>
      <c r="CP161" s="610">
        <f t="shared" si="456"/>
        <v>0</v>
      </c>
      <c r="CQ161" s="610">
        <f t="shared" si="457"/>
        <v>0</v>
      </c>
      <c r="CR161" s="610">
        <f t="shared" si="458"/>
        <v>0</v>
      </c>
      <c r="CS161" s="610">
        <f t="shared" si="459"/>
        <v>0</v>
      </c>
      <c r="CT161" s="610"/>
      <c r="CU161" s="610"/>
      <c r="CV161" s="610"/>
      <c r="CW161" s="610"/>
      <c r="CX161" s="610"/>
      <c r="CY161" s="610"/>
      <c r="CZ161" s="610"/>
      <c r="DA161" s="610"/>
      <c r="DB161" s="610"/>
    </row>
    <row r="162" spans="1:106">
      <c r="A162" s="325" t="s">
        <v>514</v>
      </c>
      <c r="B162" s="325" t="s">
        <v>401</v>
      </c>
      <c r="D162" s="608">
        <f>D145-C145</f>
        <v>3561.2325178446463</v>
      </c>
      <c r="E162" s="608">
        <f t="shared" ref="E162:AJ162" si="480">E145-D145</f>
        <v>5264.8720237027483</v>
      </c>
      <c r="F162" s="608">
        <f t="shared" si="480"/>
        <v>-2131.0515338396035</v>
      </c>
      <c r="G162" s="608">
        <f t="shared" si="480"/>
        <v>-6687.4115763052323</v>
      </c>
      <c r="H162" s="608">
        <f t="shared" si="480"/>
        <v>-2532.8989355148369</v>
      </c>
      <c r="I162" s="608">
        <f t="shared" si="480"/>
        <v>113.12264443321692</v>
      </c>
      <c r="J162" s="608">
        <f t="shared" si="480"/>
        <v>476.20284704162623</v>
      </c>
      <c r="K162" s="608">
        <f t="shared" si="480"/>
        <v>-963.71803831537909</v>
      </c>
      <c r="L162" s="608">
        <f t="shared" si="480"/>
        <v>459.66838931740313</v>
      </c>
      <c r="M162" s="608">
        <f t="shared" si="480"/>
        <v>2333.5180108620571</v>
      </c>
      <c r="N162" s="608">
        <f t="shared" si="480"/>
        <v>4727.1061899862834</v>
      </c>
      <c r="O162" s="608">
        <f t="shared" si="480"/>
        <v>4624.6567663547903</v>
      </c>
      <c r="P162" s="608">
        <f t="shared" si="480"/>
        <v>-333.63393819161138</v>
      </c>
      <c r="Q162" s="514">
        <f t="shared" si="480"/>
        <v>-4645.7965438694446</v>
      </c>
      <c r="R162" s="514">
        <f t="shared" si="480"/>
        <v>5383.7554832333517</v>
      </c>
      <c r="S162" s="514">
        <f t="shared" si="480"/>
        <v>6693.6290515105684</v>
      </c>
      <c r="T162" s="514">
        <f t="shared" si="480"/>
        <v>5818.9071467346694</v>
      </c>
      <c r="U162" s="514">
        <f t="shared" si="480"/>
        <v>-940.66559817142115</v>
      </c>
      <c r="V162" s="514">
        <f t="shared" si="480"/>
        <v>-7446.1236683909192</v>
      </c>
      <c r="W162" s="514">
        <f t="shared" si="480"/>
        <v>-3648.1263030996124</v>
      </c>
      <c r="X162" s="514">
        <f t="shared" si="480"/>
        <v>-1589.9745938130618</v>
      </c>
      <c r="Y162" s="514">
        <f t="shared" si="480"/>
        <v>1560.0463813215174</v>
      </c>
      <c r="Z162" s="514">
        <f t="shared" si="480"/>
        <v>4675.6082900319961</v>
      </c>
      <c r="AA162" s="514">
        <f>AA145-Z145</f>
        <v>-2794.9025038368782</v>
      </c>
      <c r="AB162" s="514">
        <f>AB145-AA145</f>
        <v>-1557.5907192170635</v>
      </c>
      <c r="AC162" s="514">
        <f>AC145-AB145</f>
        <v>-388.67433085501034</v>
      </c>
      <c r="AD162" s="514">
        <f t="shared" si="480"/>
        <v>-1163.3256434257128</v>
      </c>
      <c r="AE162" s="733">
        <f t="shared" si="480"/>
        <v>3901.1260062962247</v>
      </c>
      <c r="AF162" s="609">
        <f t="shared" si="480"/>
        <v>-2130.0186135122276</v>
      </c>
      <c r="AG162" s="609">
        <f t="shared" si="480"/>
        <v>-4671.2090909913277</v>
      </c>
      <c r="AH162" s="609">
        <f t="shared" si="480"/>
        <v>289.45863771023869</v>
      </c>
      <c r="AI162" s="609">
        <f t="shared" si="480"/>
        <v>-900.5124434324789</v>
      </c>
      <c r="AJ162" s="609">
        <f t="shared" si="480"/>
        <v>2205.7410158454732</v>
      </c>
      <c r="AK162" s="609">
        <f t="shared" ref="AK162:BP162" si="481">AK145-AJ145</f>
        <v>-486.76410644128919</v>
      </c>
      <c r="AL162" s="609">
        <f t="shared" si="481"/>
        <v>-1390.1695909122573</v>
      </c>
      <c r="AM162" s="609">
        <f t="shared" si="481"/>
        <v>-923.84430558862005</v>
      </c>
      <c r="AN162" s="609">
        <f t="shared" si="481"/>
        <v>-322.79867825114343</v>
      </c>
      <c r="AO162" s="609">
        <f t="shared" si="481"/>
        <v>-1010.9892120605182</v>
      </c>
      <c r="AP162" s="609">
        <f t="shared" si="481"/>
        <v>-970.39197338536542</v>
      </c>
      <c r="AQ162" s="609">
        <f t="shared" si="481"/>
        <v>-522.85120688802272</v>
      </c>
      <c r="AR162" s="609">
        <f t="shared" si="481"/>
        <v>-255.61314488781863</v>
      </c>
      <c r="AS162" s="609">
        <f t="shared" si="481"/>
        <v>-10.376624768981856</v>
      </c>
      <c r="AT162" s="609">
        <f t="shared" si="481"/>
        <v>-321.20064070406079</v>
      </c>
      <c r="AU162" s="609">
        <f t="shared" si="481"/>
        <v>-330.04175113694328</v>
      </c>
      <c r="AV162" s="609">
        <f t="shared" si="481"/>
        <v>-156.14240523565786</v>
      </c>
      <c r="AW162" s="609">
        <f t="shared" si="481"/>
        <v>-301.29660461367166</v>
      </c>
      <c r="AX162" s="609">
        <f t="shared" si="481"/>
        <v>-285.14394200313836</v>
      </c>
      <c r="AY162" s="609">
        <f t="shared" si="481"/>
        <v>-469.88425180355443</v>
      </c>
      <c r="AZ162" s="609">
        <f t="shared" si="481"/>
        <v>-402.29359993264916</v>
      </c>
      <c r="BA162" s="609">
        <f t="shared" si="481"/>
        <v>-455.96659026438829</v>
      </c>
      <c r="BB162" s="609">
        <f t="shared" si="481"/>
        <v>-386.78484618538823</v>
      </c>
      <c r="BC162" s="609">
        <f t="shared" si="481"/>
        <v>-367.55548593463936</v>
      </c>
      <c r="BD162" s="609">
        <f t="shared" si="481"/>
        <v>-218.44553244784584</v>
      </c>
      <c r="BE162" s="609">
        <f t="shared" si="481"/>
        <v>-460.98380505892055</v>
      </c>
      <c r="BF162" s="609">
        <f t="shared" si="481"/>
        <v>-598.10342831401249</v>
      </c>
      <c r="BG162" s="609">
        <f t="shared" si="481"/>
        <v>-250.1574945527409</v>
      </c>
      <c r="BH162" s="609">
        <f t="shared" si="481"/>
        <v>-247.2346317945503</v>
      </c>
      <c r="BI162" s="609">
        <f t="shared" si="481"/>
        <v>-237.78477475714863</v>
      </c>
      <c r="BJ162" s="609">
        <f t="shared" si="481"/>
        <v>-322.61372397733066</v>
      </c>
      <c r="BK162" s="609">
        <f t="shared" si="481"/>
        <v>-333.52061711150782</v>
      </c>
      <c r="BL162" s="609">
        <f t="shared" si="481"/>
        <v>-379.43813174896604</v>
      </c>
      <c r="BM162" s="609">
        <f t="shared" si="481"/>
        <v>-263.03896827953031</v>
      </c>
      <c r="BN162" s="609">
        <f t="shared" si="481"/>
        <v>-365.35784476315894</v>
      </c>
      <c r="BO162" s="610">
        <f t="shared" si="481"/>
        <v>-297.67049668067739</v>
      </c>
      <c r="BP162" s="610">
        <f t="shared" si="481"/>
        <v>41.778950509675269</v>
      </c>
      <c r="BQ162" s="610">
        <f t="shared" ref="BQ162:CN162" si="482">BQ145-BP145</f>
        <v>47.692904499386714</v>
      </c>
      <c r="BR162" s="610">
        <f t="shared" si="482"/>
        <v>47.931369021884166</v>
      </c>
      <c r="BS162" s="610">
        <f t="shared" si="482"/>
        <v>48.171025866993659</v>
      </c>
      <c r="BT162" s="610">
        <f t="shared" si="482"/>
        <v>48.411880996327454</v>
      </c>
      <c r="BU162" s="610">
        <f t="shared" si="482"/>
        <v>48.653940401311047</v>
      </c>
      <c r="BV162" s="610">
        <f t="shared" si="482"/>
        <v>48.897210103315956</v>
      </c>
      <c r="BW162" s="610">
        <f t="shared" si="482"/>
        <v>49.141696153832527</v>
      </c>
      <c r="BX162" s="610">
        <f t="shared" si="482"/>
        <v>49.387404634602717</v>
      </c>
      <c r="BY162" s="610">
        <f t="shared" si="482"/>
        <v>49.634341657774712</v>
      </c>
      <c r="BZ162" s="610">
        <f t="shared" si="482"/>
        <v>49.882513366064813</v>
      </c>
      <c r="CA162" s="610">
        <f t="shared" si="482"/>
        <v>50.131925932893864</v>
      </c>
      <c r="CB162" s="610">
        <f t="shared" si="482"/>
        <v>50.382585562558234</v>
      </c>
      <c r="CC162" s="610">
        <f t="shared" si="482"/>
        <v>50.634498490371698</v>
      </c>
      <c r="CD162" s="610">
        <f t="shared" si="482"/>
        <v>50.887670982823693</v>
      </c>
      <c r="CE162" s="610">
        <f t="shared" si="482"/>
        <v>51.142109337737566</v>
      </c>
      <c r="CF162" s="610">
        <f t="shared" si="482"/>
        <v>51.397819884427008</v>
      </c>
      <c r="CG162" s="610">
        <f t="shared" si="482"/>
        <v>51.654808983848852</v>
      </c>
      <c r="CH162" s="610">
        <f t="shared" si="482"/>
        <v>51.913083028766778</v>
      </c>
      <c r="CI162" s="610">
        <f t="shared" si="482"/>
        <v>52.172648443911385</v>
      </c>
      <c r="CJ162" s="610">
        <f t="shared" si="482"/>
        <v>52.433511686131169</v>
      </c>
      <c r="CK162" s="610">
        <f t="shared" si="482"/>
        <v>52.695679244563507</v>
      </c>
      <c r="CL162" s="610">
        <f t="shared" si="482"/>
        <v>52.959157640783815</v>
      </c>
      <c r="CM162" s="610">
        <f t="shared" si="482"/>
        <v>53.223953428987443</v>
      </c>
      <c r="CN162" s="610">
        <f t="shared" si="482"/>
        <v>53.490073196131561</v>
      </c>
      <c r="CO162" s="610">
        <f t="shared" si="455"/>
        <v>53.75752356211342</v>
      </c>
      <c r="CP162" s="610">
        <f t="shared" si="456"/>
        <v>54.026311179923141</v>
      </c>
      <c r="CQ162" s="610">
        <f t="shared" si="457"/>
        <v>54.296442735825622</v>
      </c>
      <c r="CR162" s="610">
        <f t="shared" si="458"/>
        <v>54.567924949502412</v>
      </c>
      <c r="CS162" s="610">
        <f t="shared" si="459"/>
        <v>54.840764574251807</v>
      </c>
      <c r="CT162" s="610"/>
      <c r="CU162" s="610"/>
      <c r="CV162" s="610"/>
      <c r="CW162" s="610"/>
      <c r="CX162" s="610"/>
      <c r="CY162" s="610"/>
      <c r="CZ162" s="610"/>
      <c r="DA162" s="610"/>
      <c r="DB162" s="610"/>
    </row>
    <row r="163" spans="1:106">
      <c r="A163" s="325" t="s">
        <v>513</v>
      </c>
      <c r="B163" s="325" t="s">
        <v>402</v>
      </c>
      <c r="D163" s="608">
        <f>D146-C146</f>
        <v>1340.2684929685765</v>
      </c>
      <c r="E163" s="608">
        <f t="shared" ref="E163:AJ163" si="483">E146-D146</f>
        <v>7012.682238674548</v>
      </c>
      <c r="F163" s="608">
        <f t="shared" si="483"/>
        <v>-6411.2589912223339</v>
      </c>
      <c r="G163" s="608">
        <f t="shared" si="483"/>
        <v>-2926.8694433649325</v>
      </c>
      <c r="H163" s="608">
        <f t="shared" si="483"/>
        <v>-2356.1874380122572</v>
      </c>
      <c r="I163" s="608">
        <f t="shared" si="483"/>
        <v>1972.9625405942079</v>
      </c>
      <c r="J163" s="608">
        <f t="shared" si="483"/>
        <v>-4401.9844356287867</v>
      </c>
      <c r="K163" s="608">
        <f t="shared" si="483"/>
        <v>1612.4794985383378</v>
      </c>
      <c r="L163" s="608">
        <f t="shared" si="483"/>
        <v>2085.4782088138727</v>
      </c>
      <c r="M163" s="608">
        <f t="shared" si="483"/>
        <v>-539.96115138435925</v>
      </c>
      <c r="N163" s="608">
        <f t="shared" si="483"/>
        <v>5694.9429422229587</v>
      </c>
      <c r="O163" s="608">
        <f t="shared" si="483"/>
        <v>4177.6140813815691</v>
      </c>
      <c r="P163" s="608">
        <f t="shared" si="483"/>
        <v>993.28820037329933</v>
      </c>
      <c r="Q163" s="514">
        <f t="shared" si="483"/>
        <v>-4816.5843646931353</v>
      </c>
      <c r="R163" s="514">
        <f t="shared" si="483"/>
        <v>3843.0487076862337</v>
      </c>
      <c r="S163" s="514">
        <f t="shared" si="483"/>
        <v>8291.0837993482528</v>
      </c>
      <c r="T163" s="514">
        <f t="shared" si="483"/>
        <v>2897.1756057683015</v>
      </c>
      <c r="U163" s="514">
        <f t="shared" si="483"/>
        <v>161.15615435914515</v>
      </c>
      <c r="V163" s="514">
        <f t="shared" si="483"/>
        <v>-7719.1620251103959</v>
      </c>
      <c r="W163" s="514">
        <f t="shared" si="483"/>
        <v>-3507.0863880785328</v>
      </c>
      <c r="X163" s="514">
        <f t="shared" si="483"/>
        <v>-1846.6366882504226</v>
      </c>
      <c r="Y163" s="514">
        <f t="shared" si="483"/>
        <v>1553.4723708662896</v>
      </c>
      <c r="Z163" s="514">
        <f t="shared" si="483"/>
        <v>4699.6850408819082</v>
      </c>
      <c r="AA163" s="514">
        <f t="shared" si="483"/>
        <v>-2442.3440723444946</v>
      </c>
      <c r="AB163" s="514">
        <f t="shared" si="483"/>
        <v>-2935.8700310237145</v>
      </c>
      <c r="AC163" s="514">
        <f t="shared" si="483"/>
        <v>583.58979676541639</v>
      </c>
      <c r="AD163" s="514">
        <f t="shared" si="483"/>
        <v>5726.0607305619706</v>
      </c>
      <c r="AE163" s="733">
        <f t="shared" si="483"/>
        <v>1679.0910210149123</v>
      </c>
      <c r="AF163" s="609">
        <f t="shared" si="483"/>
        <v>-2334.5773106793495</v>
      </c>
      <c r="AG163" s="609">
        <f t="shared" si="483"/>
        <v>-5119.8138307747031</v>
      </c>
      <c r="AH163" s="609">
        <f t="shared" si="483"/>
        <v>317.25711864282493</v>
      </c>
      <c r="AI163" s="609">
        <f t="shared" si="483"/>
        <v>-986.99415351837524</v>
      </c>
      <c r="AJ163" s="609">
        <f t="shared" si="483"/>
        <v>2417.5717978053726</v>
      </c>
      <c r="AK163" s="609">
        <f t="shared" ref="AK163:BP163" si="484">AK146-AJ146</f>
        <v>-533.51103663696631</v>
      </c>
      <c r="AL163" s="609">
        <f t="shared" si="484"/>
        <v>-1523.6760675948462</v>
      </c>
      <c r="AM163" s="609">
        <f t="shared" si="484"/>
        <v>-1012.5667169035441</v>
      </c>
      <c r="AN163" s="609">
        <f t="shared" si="484"/>
        <v>-353.79900691092553</v>
      </c>
      <c r="AO163" s="609">
        <f t="shared" si="484"/>
        <v>-1108.0806810069334</v>
      </c>
      <c r="AP163" s="609">
        <f t="shared" si="484"/>
        <v>-1063.5846415423002</v>
      </c>
      <c r="AQ163" s="609">
        <f t="shared" si="484"/>
        <v>-573.06380175211962</v>
      </c>
      <c r="AR163" s="609">
        <f t="shared" si="484"/>
        <v>-280.16123642342427</v>
      </c>
      <c r="AS163" s="609">
        <f t="shared" si="484"/>
        <v>-11.373155423814751</v>
      </c>
      <c r="AT163" s="609">
        <f t="shared" si="484"/>
        <v>-352.04750005770984</v>
      </c>
      <c r="AU163" s="609">
        <f t="shared" si="484"/>
        <v>-361.73767632513409</v>
      </c>
      <c r="AV163" s="609">
        <f t="shared" si="484"/>
        <v>-171.13771409583933</v>
      </c>
      <c r="AW163" s="609">
        <f t="shared" si="484"/>
        <v>-330.23195781183676</v>
      </c>
      <c r="AX163" s="609">
        <f t="shared" si="484"/>
        <v>-312.52805635370532</v>
      </c>
      <c r="AY163" s="609">
        <f t="shared" si="484"/>
        <v>-515.01010645972565</v>
      </c>
      <c r="AZ163" s="609">
        <f t="shared" si="484"/>
        <v>-440.92831145997843</v>
      </c>
      <c r="BA163" s="609">
        <f t="shared" si="484"/>
        <v>-499.75584687676201</v>
      </c>
      <c r="BB163" s="609">
        <f t="shared" si="484"/>
        <v>-423.93015736612324</v>
      </c>
      <c r="BC163" s="609">
        <f t="shared" si="484"/>
        <v>-402.85408420155181</v>
      </c>
      <c r="BD163" s="609">
        <f t="shared" si="484"/>
        <v>-239.42419114877703</v>
      </c>
      <c r="BE163" s="609">
        <f t="shared" si="484"/>
        <v>-505.2548954521244</v>
      </c>
      <c r="BF163" s="609">
        <f t="shared" si="484"/>
        <v>-655.54295362659104</v>
      </c>
      <c r="BG163" s="609">
        <f t="shared" si="484"/>
        <v>-274.18164666468874</v>
      </c>
      <c r="BH163" s="609">
        <f t="shared" si="484"/>
        <v>-270.97808354359222</v>
      </c>
      <c r="BI163" s="609">
        <f t="shared" si="484"/>
        <v>-260.6206990171213</v>
      </c>
      <c r="BJ163" s="609">
        <f t="shared" si="484"/>
        <v>-353.5962903485306</v>
      </c>
      <c r="BK163" s="609">
        <f t="shared" si="484"/>
        <v>-365.55063904742383</v>
      </c>
      <c r="BL163" s="609">
        <f t="shared" si="484"/>
        <v>-415.87789307016465</v>
      </c>
      <c r="BM163" s="609">
        <f t="shared" si="484"/>
        <v>-288.3002069908307</v>
      </c>
      <c r="BN163" s="609">
        <f t="shared" si="484"/>
        <v>-400.44539012564019</v>
      </c>
      <c r="BO163" s="610">
        <f t="shared" si="484"/>
        <v>-326.25761258652528</v>
      </c>
      <c r="BP163" s="610">
        <f t="shared" si="484"/>
        <v>45.791238304276703</v>
      </c>
      <c r="BQ163" s="610">
        <f t="shared" ref="BQ163:CN163" si="485">BQ146-BP146</f>
        <v>52.273145416822445</v>
      </c>
      <c r="BR163" s="610">
        <f t="shared" si="485"/>
        <v>52.534511143907366</v>
      </c>
      <c r="BS163" s="610">
        <f t="shared" si="485"/>
        <v>52.797183699627567</v>
      </c>
      <c r="BT163" s="610">
        <f t="shared" si="485"/>
        <v>53.061169618125859</v>
      </c>
      <c r="BU163" s="610">
        <f t="shared" si="485"/>
        <v>53.326475466215925</v>
      </c>
      <c r="BV163" s="610">
        <f t="shared" si="485"/>
        <v>53.593107843547841</v>
      </c>
      <c r="BW163" s="610">
        <f t="shared" si="485"/>
        <v>53.861073382764516</v>
      </c>
      <c r="BX163" s="610">
        <f t="shared" si="485"/>
        <v>54.130378749679949</v>
      </c>
      <c r="BY163" s="610">
        <f t="shared" si="485"/>
        <v>54.401030643426566</v>
      </c>
      <c r="BZ163" s="610">
        <f t="shared" si="485"/>
        <v>54.67303579664258</v>
      </c>
      <c r="CA163" s="610">
        <f t="shared" si="485"/>
        <v>54.946400975628421</v>
      </c>
      <c r="CB163" s="610">
        <f t="shared" si="485"/>
        <v>55.221132980503171</v>
      </c>
      <c r="CC163" s="610">
        <f t="shared" si="485"/>
        <v>55.497238645410107</v>
      </c>
      <c r="CD163" s="610">
        <f t="shared" si="485"/>
        <v>55.774724838633119</v>
      </c>
      <c r="CE163" s="610">
        <f t="shared" si="485"/>
        <v>56.05359846283136</v>
      </c>
      <c r="CF163" s="610">
        <f t="shared" si="485"/>
        <v>56.333866455141106</v>
      </c>
      <c r="CG163" s="610">
        <f t="shared" si="485"/>
        <v>56.615535787419503</v>
      </c>
      <c r="CH163" s="610">
        <f t="shared" si="485"/>
        <v>56.898613466353709</v>
      </c>
      <c r="CI163" s="610">
        <f t="shared" si="485"/>
        <v>57.183106533686441</v>
      </c>
      <c r="CJ163" s="610">
        <f t="shared" si="485"/>
        <v>57.469022066356047</v>
      </c>
      <c r="CK163" s="610">
        <f t="shared" si="485"/>
        <v>57.756367176689309</v>
      </c>
      <c r="CL163" s="610">
        <f t="shared" si="485"/>
        <v>58.0451490125688</v>
      </c>
      <c r="CM163" s="610">
        <f t="shared" si="485"/>
        <v>58.335374757632962</v>
      </c>
      <c r="CN163" s="610">
        <f t="shared" si="485"/>
        <v>58.627051631421637</v>
      </c>
      <c r="CO163" s="610">
        <f t="shared" si="455"/>
        <v>58.920186889577963</v>
      </c>
      <c r="CP163" s="610">
        <f t="shared" si="456"/>
        <v>59.214787824024825</v>
      </c>
      <c r="CQ163" s="610">
        <f t="shared" si="457"/>
        <v>59.51086176314675</v>
      </c>
      <c r="CR163" s="610">
        <f t="shared" si="458"/>
        <v>59.80841607196453</v>
      </c>
      <c r="CS163" s="610">
        <f t="shared" si="459"/>
        <v>60.10745815232076</v>
      </c>
      <c r="CT163" s="610"/>
      <c r="CU163" s="610"/>
      <c r="CV163" s="610"/>
      <c r="CW163" s="610"/>
      <c r="CX163" s="610"/>
      <c r="CY163" s="610"/>
      <c r="CZ163" s="610"/>
      <c r="DA163" s="610"/>
      <c r="DB163" s="610"/>
    </row>
    <row r="164" spans="1:106">
      <c r="A164" s="325" t="s">
        <v>451</v>
      </c>
      <c r="B164" s="325" t="s">
        <v>456</v>
      </c>
      <c r="D164" s="514">
        <f t="shared" ref="D164:T164" si="486">D147-C147</f>
        <v>-141.74719537037049</v>
      </c>
      <c r="E164" s="514">
        <f t="shared" si="486"/>
        <v>18.798680468750035</v>
      </c>
      <c r="F164" s="514">
        <f t="shared" si="486"/>
        <v>42.2431640625</v>
      </c>
      <c r="G164" s="514">
        <f t="shared" si="486"/>
        <v>-213.5034445312499</v>
      </c>
      <c r="H164" s="514">
        <f t="shared" si="486"/>
        <v>6.0239999999998872</v>
      </c>
      <c r="I164" s="514">
        <f t="shared" si="486"/>
        <v>-5.0774402343749898</v>
      </c>
      <c r="J164" s="514">
        <f t="shared" si="486"/>
        <v>-69.159359765624913</v>
      </c>
      <c r="K164" s="514">
        <f t="shared" si="486"/>
        <v>-156.58879999999999</v>
      </c>
      <c r="L164" s="514">
        <f t="shared" si="486"/>
        <v>159.47159999999985</v>
      </c>
      <c r="M164" s="514">
        <f t="shared" si="486"/>
        <v>189.31400000000008</v>
      </c>
      <c r="N164" s="514">
        <f t="shared" si="486"/>
        <v>1333.9047999999998</v>
      </c>
      <c r="O164" s="514">
        <f t="shared" si="486"/>
        <v>-421.3783999999996</v>
      </c>
      <c r="P164" s="514">
        <f t="shared" si="486"/>
        <v>174.53503671874978</v>
      </c>
      <c r="Q164" s="514">
        <f t="shared" si="486"/>
        <v>-40.486236718750206</v>
      </c>
      <c r="R164" s="514">
        <f t="shared" si="486"/>
        <v>33.587600000000293</v>
      </c>
      <c r="S164" s="514">
        <f t="shared" si="486"/>
        <v>478.8759551757812</v>
      </c>
      <c r="T164" s="514">
        <f t="shared" si="486"/>
        <v>410.82454482421872</v>
      </c>
      <c r="U164" s="514">
        <f t="shared" ref="U164:AZ164" si="487">U147-T147</f>
        <v>-349.35339999999997</v>
      </c>
      <c r="V164" s="514">
        <f t="shared" si="487"/>
        <v>-265.34374804687513</v>
      </c>
      <c r="W164" s="514">
        <f t="shared" si="487"/>
        <v>-369.79085195312518</v>
      </c>
      <c r="X164" s="514">
        <f t="shared" si="487"/>
        <v>241.34650000000011</v>
      </c>
      <c r="Y164" s="514">
        <f t="shared" si="487"/>
        <v>112.01039999999966</v>
      </c>
      <c r="Z164" s="514">
        <f t="shared" si="487"/>
        <v>60.874546093750723</v>
      </c>
      <c r="AA164" s="514">
        <f t="shared" si="487"/>
        <v>-415.58389970703138</v>
      </c>
      <c r="AB164" s="514">
        <f t="shared" si="487"/>
        <v>246.44195361328138</v>
      </c>
      <c r="AC164" s="514">
        <f t="shared" si="487"/>
        <v>-302.35600283203121</v>
      </c>
      <c r="AD164" s="514">
        <f t="shared" si="487"/>
        <v>-21.139997167968886</v>
      </c>
      <c r="AE164" s="733">
        <f t="shared" si="487"/>
        <v>124.70224697265621</v>
      </c>
      <c r="AF164" s="609">
        <f t="shared" si="487"/>
        <v>-198.40436845412432</v>
      </c>
      <c r="AG164" s="609">
        <f t="shared" si="487"/>
        <v>-435.10807076333435</v>
      </c>
      <c r="AH164" s="609">
        <f t="shared" si="487"/>
        <v>26.962139130696869</v>
      </c>
      <c r="AI164" s="609">
        <f t="shared" si="487"/>
        <v>-83.879831608464656</v>
      </c>
      <c r="AJ164" s="609">
        <f t="shared" si="487"/>
        <v>205.45766616591482</v>
      </c>
      <c r="AK164" s="609">
        <f t="shared" si="487"/>
        <v>-45.340507595552936</v>
      </c>
      <c r="AL164" s="609">
        <f t="shared" si="487"/>
        <v>-129.80442707281964</v>
      </c>
      <c r="AM164" s="609">
        <f t="shared" si="487"/>
        <v>-86.039255288626919</v>
      </c>
      <c r="AN164" s="609">
        <f t="shared" si="487"/>
        <v>-30.062812225904281</v>
      </c>
      <c r="AO164" s="609">
        <f t="shared" si="487"/>
        <v>-94.155214665853237</v>
      </c>
      <c r="AP164" s="609">
        <f t="shared" si="487"/>
        <v>-90.374321975110206</v>
      </c>
      <c r="AQ164" s="609">
        <f t="shared" si="487"/>
        <v>-48.694058290203657</v>
      </c>
      <c r="AR164" s="609">
        <f t="shared" si="487"/>
        <v>-23.805704592311486</v>
      </c>
      <c r="AS164" s="609">
        <f t="shared" si="487"/>
        <v>-0.96639343029096381</v>
      </c>
      <c r="AT164" s="609">
        <f t="shared" si="487"/>
        <v>-29.913984160782775</v>
      </c>
      <c r="AU164" s="609">
        <f t="shared" si="487"/>
        <v>-30.73737242325069</v>
      </c>
      <c r="AV164" s="609">
        <f t="shared" si="487"/>
        <v>-14.541818555553618</v>
      </c>
      <c r="AW164" s="609">
        <f t="shared" si="487"/>
        <v>-28.060286051593039</v>
      </c>
      <c r="AX164" s="609">
        <f t="shared" si="487"/>
        <v>-26.555959994126624</v>
      </c>
      <c r="AY164" s="609">
        <f t="shared" si="487"/>
        <v>-43.761152017138329</v>
      </c>
      <c r="AZ164" s="609">
        <f t="shared" si="487"/>
        <v>-37.466314979917115</v>
      </c>
      <c r="BA164" s="609">
        <f t="shared" ref="BA164:CF164" si="488">BA147-AZ147</f>
        <v>-42.464975565170334</v>
      </c>
      <c r="BB164" s="609">
        <f t="shared" si="488"/>
        <v>-36.021957294539561</v>
      </c>
      <c r="BC164" s="609">
        <f t="shared" si="488"/>
        <v>-34.231092940402505</v>
      </c>
      <c r="BD164" s="609">
        <f t="shared" si="488"/>
        <v>-20.344219062935053</v>
      </c>
      <c r="BE164" s="609">
        <f t="shared" si="488"/>
        <v>-42.93223765893822</v>
      </c>
      <c r="BF164" s="609">
        <f t="shared" si="488"/>
        <v>-55.702430860278582</v>
      </c>
      <c r="BG164" s="609">
        <f t="shared" si="488"/>
        <v>-23.297610220667138</v>
      </c>
      <c r="BH164" s="609">
        <f t="shared" si="488"/>
        <v>-23.025398838830824</v>
      </c>
      <c r="BI164" s="609">
        <f t="shared" si="488"/>
        <v>-22.145316927665363</v>
      </c>
      <c r="BJ164" s="609">
        <f t="shared" si="488"/>
        <v>-30.045587107033953</v>
      </c>
      <c r="BK164" s="609">
        <f t="shared" si="488"/>
        <v>-31.061365368695988</v>
      </c>
      <c r="BL164" s="609">
        <f t="shared" si="488"/>
        <v>-35.337744776148611</v>
      </c>
      <c r="BM164" s="609">
        <f t="shared" si="488"/>
        <v>-24.497284667723193</v>
      </c>
      <c r="BN164" s="609">
        <f t="shared" si="488"/>
        <v>-34.026422728504372</v>
      </c>
      <c r="BO164" s="609">
        <f t="shared" si="488"/>
        <v>-27.722580201956134</v>
      </c>
      <c r="BP164" s="609">
        <f t="shared" si="488"/>
        <v>0</v>
      </c>
      <c r="BQ164" s="609">
        <f t="shared" si="488"/>
        <v>0</v>
      </c>
      <c r="BR164" s="609">
        <f t="shared" si="488"/>
        <v>0</v>
      </c>
      <c r="BS164" s="609">
        <f t="shared" si="488"/>
        <v>0</v>
      </c>
      <c r="BT164" s="609">
        <f t="shared" si="488"/>
        <v>0</v>
      </c>
      <c r="BU164" s="609">
        <f t="shared" si="488"/>
        <v>0</v>
      </c>
      <c r="BV164" s="609">
        <f t="shared" si="488"/>
        <v>0</v>
      </c>
      <c r="BW164" s="609">
        <f t="shared" si="488"/>
        <v>0</v>
      </c>
      <c r="BX164" s="609">
        <f t="shared" si="488"/>
        <v>0</v>
      </c>
      <c r="BY164" s="609">
        <f t="shared" si="488"/>
        <v>0</v>
      </c>
      <c r="BZ164" s="609">
        <f t="shared" si="488"/>
        <v>0</v>
      </c>
      <c r="CA164" s="609">
        <f t="shared" si="488"/>
        <v>0</v>
      </c>
      <c r="CB164" s="609">
        <f t="shared" si="488"/>
        <v>0</v>
      </c>
      <c r="CC164" s="609">
        <f t="shared" si="488"/>
        <v>0</v>
      </c>
      <c r="CD164" s="609">
        <f t="shared" si="488"/>
        <v>0</v>
      </c>
      <c r="CE164" s="609">
        <f t="shared" si="488"/>
        <v>0</v>
      </c>
      <c r="CF164" s="609">
        <f t="shared" si="488"/>
        <v>0</v>
      </c>
      <c r="CG164" s="609">
        <f t="shared" ref="CG164:CN164" si="489">CG147-CF147</f>
        <v>0</v>
      </c>
      <c r="CH164" s="609">
        <f t="shared" si="489"/>
        <v>0</v>
      </c>
      <c r="CI164" s="609">
        <f t="shared" si="489"/>
        <v>0</v>
      </c>
      <c r="CJ164" s="609">
        <f t="shared" si="489"/>
        <v>0</v>
      </c>
      <c r="CK164" s="609">
        <f t="shared" si="489"/>
        <v>0</v>
      </c>
      <c r="CL164" s="609">
        <f t="shared" si="489"/>
        <v>0</v>
      </c>
      <c r="CM164" s="609">
        <f t="shared" si="489"/>
        <v>0</v>
      </c>
      <c r="CN164" s="609">
        <f t="shared" si="489"/>
        <v>0</v>
      </c>
      <c r="CO164" s="609">
        <f t="shared" si="455"/>
        <v>0</v>
      </c>
      <c r="CP164" s="609">
        <f t="shared" si="456"/>
        <v>0</v>
      </c>
      <c r="CQ164" s="609">
        <f t="shared" si="457"/>
        <v>0</v>
      </c>
      <c r="CR164" s="609">
        <f t="shared" si="458"/>
        <v>0</v>
      </c>
      <c r="CS164" s="609">
        <f t="shared" si="459"/>
        <v>0</v>
      </c>
      <c r="CT164" s="609"/>
      <c r="CU164" s="609"/>
      <c r="CV164" s="609"/>
      <c r="CW164" s="609"/>
      <c r="CX164" s="609"/>
      <c r="CY164" s="609"/>
      <c r="CZ164" s="609"/>
      <c r="DA164" s="609"/>
      <c r="DB164" s="609"/>
    </row>
    <row r="165" spans="1:106">
      <c r="A165" s="324" t="s">
        <v>11</v>
      </c>
      <c r="D165" s="608">
        <f t="shared" ref="D165:T165" si="490">D148-C148</f>
        <v>20898.714863326546</v>
      </c>
      <c r="E165" s="608">
        <f t="shared" si="490"/>
        <v>27629.499878801638</v>
      </c>
      <c r="F165" s="608">
        <f t="shared" si="490"/>
        <v>-22027.477755292522</v>
      </c>
      <c r="G165" s="608">
        <f t="shared" si="490"/>
        <v>-25195.598909157881</v>
      </c>
      <c r="H165" s="608">
        <f t="shared" si="490"/>
        <v>-3631.30583687943</v>
      </c>
      <c r="I165" s="608">
        <f t="shared" si="490"/>
        <v>-8427.3724388733972</v>
      </c>
      <c r="J165" s="608">
        <f t="shared" si="490"/>
        <v>20001.928951235852</v>
      </c>
      <c r="K165" s="608">
        <f t="shared" si="490"/>
        <v>10104.105605552293</v>
      </c>
      <c r="L165" s="608">
        <f t="shared" si="490"/>
        <v>25008.140676018578</v>
      </c>
      <c r="M165" s="608">
        <f t="shared" si="490"/>
        <v>1199.7375787269557</v>
      </c>
      <c r="N165" s="608">
        <f t="shared" si="490"/>
        <v>13423.959202140511</v>
      </c>
      <c r="O165" s="608">
        <f t="shared" si="490"/>
        <v>10042.078327932366</v>
      </c>
      <c r="P165" s="608">
        <f t="shared" si="490"/>
        <v>6118.5372443059459</v>
      </c>
      <c r="Q165" s="608">
        <f t="shared" si="490"/>
        <v>-17334.479560255422</v>
      </c>
      <c r="R165" s="608">
        <f t="shared" si="490"/>
        <v>18036.289871211484</v>
      </c>
      <c r="S165" s="608">
        <f t="shared" si="490"/>
        <v>30666.925726467365</v>
      </c>
      <c r="T165" s="608">
        <f t="shared" si="490"/>
        <v>38976.59578506049</v>
      </c>
      <c r="U165" s="608">
        <f t="shared" ref="U165:AZ165" si="491">U148-T148</f>
        <v>-2826.7576132170798</v>
      </c>
      <c r="V165" s="608">
        <f t="shared" si="491"/>
        <v>-30517.288166535174</v>
      </c>
      <c r="W165" s="608">
        <f t="shared" si="491"/>
        <v>-35047.908532513509</v>
      </c>
      <c r="X165" s="608">
        <f t="shared" si="491"/>
        <v>-10359.624961728696</v>
      </c>
      <c r="Y165" s="608">
        <f t="shared" si="491"/>
        <v>2123.9454041320714</v>
      </c>
      <c r="Z165" s="608">
        <f t="shared" si="491"/>
        <v>24548.986186472583</v>
      </c>
      <c r="AA165" s="608">
        <f t="shared" si="491"/>
        <v>-6743.126891717664</v>
      </c>
      <c r="AB165" s="608">
        <f t="shared" si="491"/>
        <v>-2073.1586711672135</v>
      </c>
      <c r="AC165" s="608">
        <f t="shared" si="491"/>
        <v>-10492.491496867588</v>
      </c>
      <c r="AD165" s="608">
        <f t="shared" si="491"/>
        <v>18171.363905995182</v>
      </c>
      <c r="AE165" s="766">
        <f t="shared" si="491"/>
        <v>19221.337745903496</v>
      </c>
      <c r="AF165" s="608">
        <f t="shared" si="491"/>
        <v>8632.3391795342905</v>
      </c>
      <c r="AG165" s="608">
        <f t="shared" si="491"/>
        <v>-15700.366326092539</v>
      </c>
      <c r="AH165" s="608">
        <f t="shared" si="491"/>
        <v>-13563.693970969209</v>
      </c>
      <c r="AI165" s="608">
        <f t="shared" si="491"/>
        <v>-18620.705348216492</v>
      </c>
      <c r="AJ165" s="608">
        <f t="shared" si="491"/>
        <v>-1651.1384034087241</v>
      </c>
      <c r="AK165" s="608">
        <f t="shared" si="491"/>
        <v>-4538.2818884610315</v>
      </c>
      <c r="AL165" s="608">
        <f t="shared" si="491"/>
        <v>-10597.494795053877</v>
      </c>
      <c r="AM165" s="608">
        <f t="shared" si="491"/>
        <v>-7036.2206259323284</v>
      </c>
      <c r="AN165" s="608">
        <f t="shared" si="491"/>
        <v>-2458.5124400233908</v>
      </c>
      <c r="AO165" s="608">
        <f t="shared" si="491"/>
        <v>-7699.9372117826424</v>
      </c>
      <c r="AP165" s="608">
        <f t="shared" si="491"/>
        <v>-7390.7388691678934</v>
      </c>
      <c r="AQ165" s="608">
        <f t="shared" si="491"/>
        <v>-3982.160656232154</v>
      </c>
      <c r="AR165" s="608">
        <f t="shared" si="491"/>
        <v>-1946.8112445345469</v>
      </c>
      <c r="AS165" s="608">
        <f t="shared" si="491"/>
        <v>-79.030872177652782</v>
      </c>
      <c r="AT165" s="608">
        <f t="shared" si="491"/>
        <v>-2446.3414013735164</v>
      </c>
      <c r="AU165" s="608">
        <f t="shared" si="491"/>
        <v>-2513.6774267272122</v>
      </c>
      <c r="AV165" s="608">
        <f t="shared" si="491"/>
        <v>-1189.2181460184656</v>
      </c>
      <c r="AW165" s="608">
        <f t="shared" si="491"/>
        <v>-2294.7474710637034</v>
      </c>
      <c r="AX165" s="608">
        <f t="shared" si="491"/>
        <v>-2171.7249042346084</v>
      </c>
      <c r="AY165" s="608">
        <f t="shared" si="491"/>
        <v>-3578.7515757153888</v>
      </c>
      <c r="AZ165" s="608">
        <f t="shared" si="491"/>
        <v>-3063.9649001496437</v>
      </c>
      <c r="BA165" s="608">
        <f t="shared" ref="BA165:CF165" si="492">BA148-AZ148</f>
        <v>-3472.7513150716404</v>
      </c>
      <c r="BB165" s="608">
        <f t="shared" si="492"/>
        <v>-2945.846498229701</v>
      </c>
      <c r="BC165" s="608">
        <f t="shared" si="492"/>
        <v>-2799.3910615275381</v>
      </c>
      <c r="BD165" s="608">
        <f t="shared" si="492"/>
        <v>-1663.7337609317037</v>
      </c>
      <c r="BE165" s="608">
        <f t="shared" si="492"/>
        <v>-3510.9636307275068</v>
      </c>
      <c r="BF165" s="608">
        <f t="shared" si="492"/>
        <v>-4555.2996898785204</v>
      </c>
      <c r="BG165" s="608">
        <f t="shared" si="492"/>
        <v>-1905.259698258451</v>
      </c>
      <c r="BH165" s="608">
        <f t="shared" si="492"/>
        <v>-1882.9984718790947</v>
      </c>
      <c r="BI165" s="608">
        <f t="shared" si="492"/>
        <v>-1811.0260858434631</v>
      </c>
      <c r="BJ165" s="608">
        <f t="shared" si="492"/>
        <v>-2457.1037837504846</v>
      </c>
      <c r="BK165" s="608">
        <f t="shared" si="492"/>
        <v>-2540.1733074475924</v>
      </c>
      <c r="BL165" s="608">
        <f t="shared" si="492"/>
        <v>-2889.8921525269834</v>
      </c>
      <c r="BM165" s="608">
        <f t="shared" si="492"/>
        <v>-2003.3681030844164</v>
      </c>
      <c r="BN165" s="608">
        <f t="shared" si="492"/>
        <v>-2782.653297333236</v>
      </c>
      <c r="BO165" s="608">
        <f t="shared" si="492"/>
        <v>-2267.1301601427549</v>
      </c>
      <c r="BP165" s="608">
        <f t="shared" si="492"/>
        <v>287.98315474862466</v>
      </c>
      <c r="BQ165" s="608">
        <f t="shared" si="492"/>
        <v>325.4629278290231</v>
      </c>
      <c r="BR165" s="608">
        <f t="shared" si="492"/>
        <v>327.09024246815534</v>
      </c>
      <c r="BS165" s="608">
        <f t="shared" si="492"/>
        <v>328.72569368050608</v>
      </c>
      <c r="BT165" s="608">
        <f t="shared" si="492"/>
        <v>330.3693221489084</v>
      </c>
      <c r="BU165" s="608">
        <f t="shared" si="492"/>
        <v>332.02116875966021</v>
      </c>
      <c r="BV165" s="608">
        <f t="shared" si="492"/>
        <v>333.68127460345568</v>
      </c>
      <c r="BW165" s="608">
        <f t="shared" si="492"/>
        <v>335.34968097647652</v>
      </c>
      <c r="BX165" s="608">
        <f t="shared" si="492"/>
        <v>337.02642938133795</v>
      </c>
      <c r="BY165" s="608">
        <f t="shared" si="492"/>
        <v>338.71156152826734</v>
      </c>
      <c r="BZ165" s="608">
        <f t="shared" si="492"/>
        <v>340.4051193359046</v>
      </c>
      <c r="CA165" s="608">
        <f t="shared" si="492"/>
        <v>342.10714493256819</v>
      </c>
      <c r="CB165" s="608">
        <f t="shared" si="492"/>
        <v>343.81768065724464</v>
      </c>
      <c r="CC165" s="608">
        <f t="shared" si="492"/>
        <v>345.53676906051987</v>
      </c>
      <c r="CD165" s="608">
        <f t="shared" si="492"/>
        <v>347.26445290583069</v>
      </c>
      <c r="CE165" s="608">
        <f t="shared" si="492"/>
        <v>349.00077517036698</v>
      </c>
      <c r="CF165" s="608">
        <f t="shared" si="492"/>
        <v>350.74577904620674</v>
      </c>
      <c r="CG165" s="608">
        <f t="shared" ref="CG165:CN165" si="493">CG148-CF148</f>
        <v>352.49950794145116</v>
      </c>
      <c r="CH165" s="608">
        <f t="shared" si="493"/>
        <v>354.26200548114139</v>
      </c>
      <c r="CI165" s="608">
        <f t="shared" si="493"/>
        <v>356.03331550855364</v>
      </c>
      <c r="CJ165" s="608">
        <f t="shared" si="493"/>
        <v>357.81348208611598</v>
      </c>
      <c r="CK165" s="608">
        <f t="shared" si="493"/>
        <v>359.60254949652881</v>
      </c>
      <c r="CL165" s="608">
        <f t="shared" si="493"/>
        <v>361.40056224400178</v>
      </c>
      <c r="CM165" s="608">
        <f t="shared" si="493"/>
        <v>363.20756505522877</v>
      </c>
      <c r="CN165" s="608">
        <f t="shared" si="493"/>
        <v>365.02360288052296</v>
      </c>
      <c r="CO165" s="608">
        <f t="shared" si="455"/>
        <v>366.84872089487908</v>
      </c>
      <c r="CP165" s="608">
        <f t="shared" si="456"/>
        <v>368.68296449938498</v>
      </c>
      <c r="CQ165" s="608">
        <f t="shared" si="457"/>
        <v>370.52637932187645</v>
      </c>
      <c r="CR165" s="608">
        <f t="shared" si="458"/>
        <v>372.37901121852337</v>
      </c>
      <c r="CS165" s="608">
        <f t="shared" si="459"/>
        <v>374.2409062745719</v>
      </c>
      <c r="CT165" s="608"/>
      <c r="CU165" s="608"/>
      <c r="CV165" s="608"/>
      <c r="CW165" s="608"/>
      <c r="CX165" s="608"/>
      <c r="CY165" s="608"/>
      <c r="CZ165" s="608"/>
      <c r="DA165" s="608"/>
      <c r="DB165" s="608"/>
    </row>
    <row r="166" spans="1:106">
      <c r="D166" s="608"/>
      <c r="E166" s="608"/>
      <c r="F166" s="608"/>
      <c r="G166" s="608"/>
      <c r="H166" s="608"/>
      <c r="I166" s="608"/>
      <c r="J166" s="608"/>
      <c r="K166" s="608"/>
      <c r="L166" s="608"/>
      <c r="M166" s="487"/>
      <c r="N166" s="569"/>
      <c r="O166" s="569"/>
      <c r="P166" s="569"/>
      <c r="Q166" s="569"/>
      <c r="R166" s="569"/>
      <c r="S166" s="569"/>
      <c r="T166" s="569"/>
      <c r="U166" s="569"/>
      <c r="V166" s="569"/>
      <c r="W166" s="531"/>
      <c r="X166" s="531"/>
      <c r="Y166" s="531"/>
      <c r="Z166" s="531"/>
      <c r="AA166" s="531"/>
      <c r="AB166" s="531"/>
      <c r="AC166" s="531"/>
      <c r="AD166" s="531"/>
      <c r="AE166" s="739"/>
      <c r="AF166" s="531"/>
      <c r="AG166" s="531"/>
      <c r="AH166" s="608"/>
      <c r="AI166" s="608"/>
      <c r="AJ166" s="608"/>
      <c r="AK166" s="608"/>
      <c r="AL166" s="608"/>
      <c r="AM166" s="608"/>
      <c r="AN166" s="608"/>
      <c r="AO166" s="608"/>
      <c r="AP166" s="608"/>
      <c r="AQ166" s="608"/>
      <c r="AR166" s="608"/>
      <c r="AS166" s="608"/>
      <c r="AT166" s="608"/>
      <c r="AU166" s="608"/>
      <c r="AV166" s="608"/>
      <c r="AW166" s="608"/>
      <c r="AX166" s="608"/>
      <c r="AY166" s="608"/>
      <c r="AZ166" s="608"/>
      <c r="BA166" s="608"/>
      <c r="BB166" s="608"/>
      <c r="BC166" s="608"/>
      <c r="BD166" s="608"/>
      <c r="BE166" s="608"/>
      <c r="BF166" s="608"/>
      <c r="BG166" s="608"/>
      <c r="BH166" s="608"/>
      <c r="BI166" s="608"/>
      <c r="BJ166" s="608"/>
      <c r="BK166" s="608"/>
      <c r="BL166" s="608"/>
      <c r="BM166" s="608"/>
      <c r="BN166" s="608"/>
      <c r="BO166" s="608"/>
      <c r="BR166" s="608"/>
      <c r="BS166" s="608"/>
      <c r="BT166" s="608"/>
      <c r="BU166" s="608"/>
      <c r="BV166" s="608"/>
      <c r="BW166" s="608"/>
      <c r="BX166" s="608"/>
      <c r="BY166" s="608"/>
      <c r="BZ166" s="608"/>
      <c r="CA166" s="608"/>
      <c r="CB166" s="608"/>
      <c r="CC166" s="608"/>
      <c r="CD166" s="608"/>
      <c r="CE166" s="608"/>
      <c r="CF166" s="608"/>
      <c r="CG166" s="608"/>
      <c r="CH166" s="608"/>
      <c r="CI166" s="608"/>
      <c r="CJ166" s="608"/>
      <c r="CK166" s="608"/>
      <c r="CL166" s="608"/>
      <c r="CM166" s="608"/>
      <c r="CN166" s="608"/>
      <c r="CO166" s="608"/>
      <c r="CP166" s="608"/>
      <c r="CQ166" s="608"/>
      <c r="CR166" s="608"/>
      <c r="CS166" s="608"/>
    </row>
    <row r="167" spans="1:106">
      <c r="A167" s="611"/>
      <c r="D167" s="608"/>
      <c r="E167" s="608"/>
      <c r="F167" s="608"/>
      <c r="G167" s="608"/>
      <c r="H167" s="608"/>
      <c r="I167" s="608"/>
      <c r="J167" s="608"/>
      <c r="K167" s="608"/>
      <c r="L167" s="608"/>
      <c r="M167" s="487"/>
      <c r="N167" s="487"/>
      <c r="O167" s="487"/>
      <c r="P167" s="487"/>
      <c r="Q167" s="544"/>
      <c r="R167" s="544"/>
      <c r="S167" s="544"/>
      <c r="T167" s="608"/>
      <c r="U167" s="612"/>
      <c r="V167" s="612"/>
      <c r="W167" s="612"/>
      <c r="X167" s="612"/>
      <c r="Y167" s="612"/>
      <c r="Z167" s="612"/>
      <c r="AA167" s="612"/>
      <c r="AB167" s="612"/>
      <c r="AC167" s="612"/>
      <c r="AD167" s="612"/>
      <c r="AE167" s="767"/>
      <c r="AF167" s="612"/>
      <c r="AG167" s="612"/>
      <c r="AH167" s="612"/>
      <c r="AI167" s="612"/>
      <c r="AJ167" s="612"/>
      <c r="AK167" s="612"/>
      <c r="AL167" s="612"/>
      <c r="AM167" s="612"/>
      <c r="AN167" s="612"/>
      <c r="AO167" s="612"/>
      <c r="AP167" s="612"/>
      <c r="AQ167" s="612"/>
      <c r="AR167" s="612"/>
      <c r="AS167" s="612"/>
      <c r="AT167" s="612"/>
      <c r="AU167" s="612"/>
      <c r="AV167" s="612"/>
      <c r="AW167" s="612"/>
      <c r="AX167" s="612"/>
      <c r="AY167" s="612"/>
      <c r="AZ167" s="612"/>
      <c r="BA167" s="612"/>
      <c r="BB167" s="612"/>
      <c r="BC167" s="612"/>
      <c r="BD167" s="612"/>
      <c r="BE167" s="612"/>
      <c r="BF167" s="612"/>
      <c r="BG167" s="612"/>
      <c r="BH167" s="612"/>
      <c r="BI167" s="612"/>
      <c r="BJ167" s="612"/>
      <c r="BK167" s="612"/>
      <c r="BL167" s="612"/>
      <c r="BM167" s="612"/>
      <c r="BN167" s="612"/>
      <c r="BO167" s="612"/>
      <c r="BP167" s="612"/>
      <c r="BQ167" s="612"/>
      <c r="BR167" s="612"/>
      <c r="BS167" s="612"/>
      <c r="BT167" s="612"/>
      <c r="BU167" s="612"/>
      <c r="BV167" s="612"/>
      <c r="BW167" s="612"/>
      <c r="BX167" s="612"/>
      <c r="BY167" s="612"/>
      <c r="BZ167" s="612"/>
      <c r="CA167" s="612"/>
      <c r="CB167" s="612"/>
      <c r="CC167" s="612"/>
      <c r="CD167" s="612"/>
      <c r="CE167" s="612"/>
      <c r="CF167" s="612"/>
      <c r="CG167" s="612"/>
      <c r="CH167" s="612"/>
      <c r="CI167" s="612"/>
      <c r="CJ167" s="612"/>
      <c r="CK167" s="612"/>
      <c r="CL167" s="612"/>
      <c r="CM167" s="612"/>
      <c r="CN167" s="612"/>
      <c r="CO167" s="612"/>
      <c r="CP167" s="612"/>
      <c r="CQ167" s="612"/>
      <c r="CR167" s="612"/>
      <c r="CS167" s="612"/>
    </row>
    <row r="168" spans="1:106" s="614" customFormat="1" ht="13.5" thickBot="1">
      <c r="A168" s="613"/>
      <c r="D168" s="615"/>
      <c r="E168" s="615"/>
      <c r="F168" s="615"/>
      <c r="G168" s="615"/>
      <c r="H168" s="615"/>
      <c r="I168" s="615"/>
      <c r="J168" s="615"/>
      <c r="K168" s="615"/>
      <c r="L168" s="615"/>
      <c r="M168" s="616"/>
      <c r="N168" s="616"/>
      <c r="O168" s="616"/>
      <c r="P168" s="616"/>
      <c r="Q168" s="616"/>
      <c r="R168" s="616"/>
      <c r="S168" s="617"/>
      <c r="T168" s="615"/>
      <c r="U168" s="615"/>
      <c r="V168" s="615"/>
      <c r="W168" s="618"/>
      <c r="X168" s="618"/>
      <c r="Y168" s="618"/>
      <c r="Z168" s="619"/>
      <c r="AA168" s="615"/>
      <c r="AB168" s="672"/>
      <c r="AC168" s="672"/>
      <c r="AD168" s="672"/>
      <c r="AE168" s="768"/>
      <c r="AF168" s="615"/>
      <c r="AG168" s="615"/>
      <c r="AH168" s="615"/>
      <c r="AI168" s="615"/>
      <c r="AJ168" s="615"/>
      <c r="AK168" s="615"/>
      <c r="AL168" s="615"/>
      <c r="AM168" s="615"/>
      <c r="AN168" s="615"/>
      <c r="AO168" s="615"/>
      <c r="AP168" s="615"/>
      <c r="AQ168" s="615"/>
      <c r="AR168" s="615"/>
      <c r="AS168" s="615"/>
      <c r="AT168" s="615"/>
      <c r="AU168" s="615"/>
      <c r="AV168" s="615"/>
      <c r="AW168" s="615"/>
      <c r="AX168" s="615"/>
      <c r="AY168" s="615"/>
      <c r="AZ168" s="615"/>
      <c r="BA168" s="615"/>
      <c r="BB168" s="615"/>
      <c r="BC168" s="615"/>
      <c r="BD168" s="615"/>
      <c r="BE168" s="615"/>
      <c r="BF168" s="615"/>
      <c r="BG168" s="615"/>
      <c r="BH168" s="615"/>
      <c r="BI168" s="615"/>
      <c r="BJ168" s="615"/>
      <c r="BK168" s="615"/>
      <c r="BL168" s="615"/>
      <c r="BM168" s="615"/>
      <c r="BN168" s="615"/>
      <c r="BO168" s="615"/>
      <c r="BP168" s="615"/>
      <c r="BQ168" s="615"/>
      <c r="BR168" s="615"/>
      <c r="BS168" s="615"/>
      <c r="BT168" s="615"/>
      <c r="BU168" s="615"/>
      <c r="BV168" s="615"/>
      <c r="BW168" s="615"/>
      <c r="BX168" s="615"/>
      <c r="BY168" s="615"/>
      <c r="BZ168" s="615"/>
      <c r="CA168" s="615"/>
      <c r="CB168" s="615"/>
      <c r="CC168" s="615"/>
      <c r="CD168" s="615"/>
      <c r="CE168" s="615"/>
      <c r="CF168" s="615"/>
      <c r="CG168" s="615"/>
      <c r="CH168" s="615"/>
      <c r="CI168" s="615"/>
      <c r="CJ168" s="615"/>
      <c r="CK168" s="615"/>
      <c r="CL168" s="615"/>
      <c r="CM168" s="615"/>
      <c r="CN168" s="615"/>
      <c r="CO168" s="615"/>
      <c r="CP168" s="615"/>
      <c r="CQ168" s="615"/>
      <c r="CR168" s="615"/>
      <c r="CS168" s="615"/>
    </row>
    <row r="169" spans="1:106" ht="13.5" outlineLevel="1" thickTop="1">
      <c r="K169" s="620"/>
      <c r="L169" s="620"/>
      <c r="M169" s="487"/>
      <c r="U169" s="504"/>
      <c r="V169" s="504"/>
      <c r="W169" s="504"/>
      <c r="X169" s="504"/>
      <c r="Y169" s="504"/>
      <c r="Z169" s="504"/>
      <c r="AA169" s="504"/>
      <c r="AB169" s="504"/>
      <c r="AC169" s="504"/>
      <c r="AD169" s="504"/>
      <c r="AE169" s="73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  <c r="AQ169" s="504"/>
      <c r="AR169" s="504"/>
      <c r="AS169" s="504"/>
      <c r="AT169" s="504"/>
      <c r="AU169" s="504"/>
      <c r="AV169" s="504"/>
      <c r="AW169" s="504"/>
      <c r="AX169" s="504"/>
      <c r="AY169" s="504"/>
      <c r="AZ169" s="504"/>
      <c r="BA169" s="504"/>
      <c r="BB169" s="504"/>
      <c r="BC169" s="504"/>
      <c r="BD169" s="504"/>
      <c r="BE169" s="504"/>
      <c r="BF169" s="504"/>
      <c r="BG169" s="504"/>
      <c r="BH169" s="504"/>
      <c r="BI169" s="504"/>
      <c r="BJ169" s="504"/>
      <c r="BK169" s="504"/>
      <c r="BL169" s="504"/>
      <c r="BM169" s="504"/>
      <c r="BN169" s="504"/>
      <c r="BO169" s="504"/>
      <c r="BP169" s="504"/>
      <c r="BQ169" s="504"/>
      <c r="BR169" s="504"/>
      <c r="BS169" s="504"/>
      <c r="BT169" s="504"/>
      <c r="BU169" s="504"/>
      <c r="BV169" s="504"/>
      <c r="BW169" s="504"/>
      <c r="BX169" s="504"/>
      <c r="BY169" s="504"/>
      <c r="BZ169" s="504"/>
      <c r="CA169" s="504"/>
      <c r="CB169" s="504"/>
      <c r="CC169" s="504"/>
      <c r="CD169" s="504"/>
      <c r="CE169" s="504"/>
      <c r="CF169" s="504"/>
      <c r="CG169" s="504"/>
      <c r="CH169" s="504"/>
      <c r="CI169" s="504"/>
      <c r="CJ169" s="504"/>
      <c r="CK169" s="504"/>
      <c r="CL169" s="504"/>
      <c r="CM169" s="504"/>
      <c r="CN169" s="504"/>
      <c r="CO169" s="504"/>
      <c r="CP169" s="504"/>
      <c r="CQ169" s="504"/>
      <c r="CR169" s="504"/>
      <c r="CS169" s="504"/>
    </row>
    <row r="170" spans="1:106">
      <c r="A170" s="489" t="s">
        <v>371</v>
      </c>
      <c r="K170" s="621"/>
      <c r="L170" s="622"/>
      <c r="P170" s="623"/>
    </row>
    <row r="171" spans="1:106" ht="12.75" customHeight="1">
      <c r="M171" s="325" t="s">
        <v>358</v>
      </c>
    </row>
    <row r="172" spans="1:106" ht="12.75" customHeight="1">
      <c r="A172" s="324" t="s">
        <v>348</v>
      </c>
      <c r="D172" s="325">
        <v>1997</v>
      </c>
      <c r="E172" s="325">
        <v>1998</v>
      </c>
      <c r="F172" s="325">
        <v>1999</v>
      </c>
      <c r="G172" s="325">
        <v>2000</v>
      </c>
      <c r="H172" s="325">
        <v>2001</v>
      </c>
      <c r="I172" s="325">
        <v>2002</v>
      </c>
      <c r="J172" s="325">
        <v>2003</v>
      </c>
      <c r="K172" s="325">
        <v>2004</v>
      </c>
      <c r="L172" s="325">
        <v>2005</v>
      </c>
      <c r="M172" s="325">
        <v>2006</v>
      </c>
      <c r="N172" s="325">
        <v>2007</v>
      </c>
      <c r="O172" s="325">
        <v>2008</v>
      </c>
      <c r="P172" s="325">
        <v>2009</v>
      </c>
      <c r="Q172" s="325">
        <v>2010</v>
      </c>
      <c r="R172" s="325">
        <v>2011</v>
      </c>
      <c r="S172" s="325">
        <v>2012</v>
      </c>
      <c r="T172" s="325">
        <v>2013</v>
      </c>
      <c r="U172" s="325">
        <v>2014</v>
      </c>
      <c r="V172" s="325">
        <v>2015</v>
      </c>
      <c r="W172" s="325">
        <v>2016</v>
      </c>
      <c r="X172" s="325">
        <v>2017</v>
      </c>
      <c r="Y172" s="325">
        <v>2018</v>
      </c>
      <c r="Z172" s="325">
        <v>2019</v>
      </c>
      <c r="AA172" s="325">
        <v>2020</v>
      </c>
      <c r="AB172" s="325">
        <v>2021</v>
      </c>
      <c r="AC172" s="325">
        <v>2022</v>
      </c>
      <c r="AD172" s="325">
        <v>2023</v>
      </c>
      <c r="AE172" s="728">
        <v>2024</v>
      </c>
      <c r="AF172" s="325">
        <v>2025</v>
      </c>
      <c r="AG172" s="325">
        <v>2026</v>
      </c>
      <c r="AH172" s="325">
        <v>2027</v>
      </c>
      <c r="AI172" s="325">
        <v>2028</v>
      </c>
      <c r="AJ172" s="325">
        <v>2029</v>
      </c>
      <c r="AK172" s="325">
        <v>2030</v>
      </c>
    </row>
    <row r="173" spans="1:106" ht="12.75" customHeight="1">
      <c r="A173" s="325" t="s">
        <v>375</v>
      </c>
      <c r="D173" s="522">
        <v>0.67784417004149167</v>
      </c>
      <c r="E173" s="522">
        <v>0.67784417004149167</v>
      </c>
      <c r="F173" s="522">
        <v>0.67784417004149167</v>
      </c>
      <c r="G173" s="522">
        <v>0.67784417004149167</v>
      </c>
      <c r="H173" s="522">
        <v>0.67784417004149167</v>
      </c>
      <c r="I173" s="522">
        <v>0.67784417004149167</v>
      </c>
      <c r="J173" s="522">
        <v>0.67784417004149167</v>
      </c>
      <c r="K173" s="522">
        <v>0.67784417004149167</v>
      </c>
      <c r="L173" s="522">
        <v>0.71096009648723102</v>
      </c>
      <c r="M173" s="624">
        <f>($L$215+$L$216)/($L$196+$L$197)</f>
        <v>0.70893738955929475</v>
      </c>
      <c r="N173" s="624">
        <f t="shared" ref="N173:AK174" si="494">($L$215+$L$216)/($L$196+$L$197)</f>
        <v>0.70893738955929475</v>
      </c>
      <c r="O173" s="624">
        <f t="shared" si="494"/>
        <v>0.70893738955929475</v>
      </c>
      <c r="P173" s="624">
        <f t="shared" si="494"/>
        <v>0.70893738955929475</v>
      </c>
      <c r="Q173" s="624">
        <f t="shared" si="494"/>
        <v>0.70893738955929475</v>
      </c>
      <c r="R173" s="624">
        <f t="shared" si="494"/>
        <v>0.70893738955929475</v>
      </c>
      <c r="S173" s="624">
        <f t="shared" si="494"/>
        <v>0.70893738955929475</v>
      </c>
      <c r="T173" s="624">
        <f t="shared" si="494"/>
        <v>0.70893738955929475</v>
      </c>
      <c r="U173" s="624">
        <f>($L$215+$L$216)/($L$196+$L$197)</f>
        <v>0.70893738955929475</v>
      </c>
      <c r="V173" s="624">
        <f t="shared" si="494"/>
        <v>0.70893738955929475</v>
      </c>
      <c r="W173" s="624">
        <f t="shared" si="494"/>
        <v>0.70893738955929475</v>
      </c>
      <c r="X173" s="624">
        <f t="shared" si="494"/>
        <v>0.70893738955929475</v>
      </c>
      <c r="Y173" s="624">
        <f t="shared" si="494"/>
        <v>0.70893738955929475</v>
      </c>
      <c r="Z173" s="624">
        <f t="shared" si="494"/>
        <v>0.70893738955929475</v>
      </c>
      <c r="AA173" s="624">
        <f t="shared" si="494"/>
        <v>0.70893738955929475</v>
      </c>
      <c r="AB173" s="624">
        <f t="shared" si="494"/>
        <v>0.70893738955929475</v>
      </c>
      <c r="AC173" s="624">
        <f t="shared" si="494"/>
        <v>0.70893738955929475</v>
      </c>
      <c r="AD173" s="624">
        <f t="shared" si="494"/>
        <v>0.70893738955929475</v>
      </c>
      <c r="AE173" s="769">
        <f t="shared" si="494"/>
        <v>0.70893738955929475</v>
      </c>
      <c r="AF173" s="624">
        <f t="shared" si="494"/>
        <v>0.70893738955929475</v>
      </c>
      <c r="AG173" s="624">
        <f t="shared" si="494"/>
        <v>0.70893738955929475</v>
      </c>
      <c r="AH173" s="624">
        <f t="shared" si="494"/>
        <v>0.70893738955929475</v>
      </c>
      <c r="AI173" s="624">
        <f t="shared" si="494"/>
        <v>0.70893738955929475</v>
      </c>
      <c r="AJ173" s="624">
        <f t="shared" si="494"/>
        <v>0.70893738955929475</v>
      </c>
      <c r="AK173" s="624">
        <f t="shared" si="494"/>
        <v>0.70893738955929475</v>
      </c>
    </row>
    <row r="174" spans="1:106" ht="12.75" customHeight="1">
      <c r="A174" s="325" t="s">
        <v>376</v>
      </c>
      <c r="D174" s="522">
        <v>0.61655304129194477</v>
      </c>
      <c r="E174" s="522">
        <v>0.61655304129194477</v>
      </c>
      <c r="F174" s="522">
        <v>0.61655304129194477</v>
      </c>
      <c r="G174" s="522">
        <v>0.61655304129194477</v>
      </c>
      <c r="H174" s="522">
        <v>0.61655304129194477</v>
      </c>
      <c r="I174" s="522">
        <v>0.61655304129194477</v>
      </c>
      <c r="J174" s="522">
        <v>0.61655304129194477</v>
      </c>
      <c r="K174" s="522">
        <v>0.61655304129194477</v>
      </c>
      <c r="L174" s="522">
        <v>0.59558409619186481</v>
      </c>
      <c r="M174" s="624">
        <f>($L$215+$L$216)/($L$196+$L$197)</f>
        <v>0.70893738955929475</v>
      </c>
      <c r="N174" s="624">
        <f t="shared" si="494"/>
        <v>0.70893738955929475</v>
      </c>
      <c r="O174" s="624">
        <f t="shared" si="494"/>
        <v>0.70893738955929475</v>
      </c>
      <c r="P174" s="624">
        <f t="shared" si="494"/>
        <v>0.70893738955929475</v>
      </c>
      <c r="Q174" s="624">
        <f t="shared" si="494"/>
        <v>0.70893738955929475</v>
      </c>
      <c r="R174" s="624">
        <f t="shared" si="494"/>
        <v>0.70893738955929475</v>
      </c>
      <c r="S174" s="624">
        <f t="shared" si="494"/>
        <v>0.70893738955929475</v>
      </c>
      <c r="T174" s="624">
        <f t="shared" si="494"/>
        <v>0.70893738955929475</v>
      </c>
      <c r="U174" s="624">
        <f t="shared" si="494"/>
        <v>0.70893738955929475</v>
      </c>
      <c r="V174" s="624">
        <f t="shared" si="494"/>
        <v>0.70893738955929475</v>
      </c>
      <c r="W174" s="624">
        <f t="shared" si="494"/>
        <v>0.70893738955929475</v>
      </c>
      <c r="X174" s="624">
        <f t="shared" si="494"/>
        <v>0.70893738955929475</v>
      </c>
      <c r="Y174" s="624">
        <f t="shared" si="494"/>
        <v>0.70893738955929475</v>
      </c>
      <c r="Z174" s="624">
        <f t="shared" si="494"/>
        <v>0.70893738955929475</v>
      </c>
      <c r="AA174" s="624">
        <f t="shared" si="494"/>
        <v>0.70893738955929475</v>
      </c>
      <c r="AB174" s="624">
        <f t="shared" si="494"/>
        <v>0.70893738955929475</v>
      </c>
      <c r="AC174" s="624">
        <f t="shared" si="494"/>
        <v>0.70893738955929475</v>
      </c>
      <c r="AD174" s="624">
        <f t="shared" si="494"/>
        <v>0.70893738955929475</v>
      </c>
      <c r="AE174" s="769">
        <f t="shared" si="494"/>
        <v>0.70893738955929475</v>
      </c>
      <c r="AF174" s="624">
        <f t="shared" si="494"/>
        <v>0.70893738955929475</v>
      </c>
      <c r="AG174" s="624">
        <f t="shared" si="494"/>
        <v>0.70893738955929475</v>
      </c>
      <c r="AH174" s="624">
        <f t="shared" si="494"/>
        <v>0.70893738955929475</v>
      </c>
      <c r="AI174" s="624">
        <f t="shared" si="494"/>
        <v>0.70893738955929475</v>
      </c>
      <c r="AJ174" s="624">
        <f t="shared" si="494"/>
        <v>0.70893738955929475</v>
      </c>
      <c r="AK174" s="624">
        <f t="shared" si="494"/>
        <v>0.70893738955929475</v>
      </c>
    </row>
    <row r="175" spans="1:106" ht="12.75" customHeight="1">
      <c r="A175" s="325" t="s">
        <v>347</v>
      </c>
      <c r="D175" s="522">
        <v>0.26596385542168677</v>
      </c>
      <c r="E175" s="522">
        <v>0.26596385542168677</v>
      </c>
      <c r="F175" s="522">
        <v>0.26596385542168677</v>
      </c>
      <c r="G175" s="522">
        <v>0.26596385542168677</v>
      </c>
      <c r="H175" s="522">
        <v>0.26596385542168677</v>
      </c>
      <c r="I175" s="522">
        <v>0.26596385542168677</v>
      </c>
      <c r="J175" s="522">
        <v>0.26596385542168677</v>
      </c>
      <c r="K175" s="522">
        <v>0.26596385542168677</v>
      </c>
      <c r="L175" s="522">
        <v>0.26208156779661018</v>
      </c>
      <c r="M175" s="522">
        <v>0.28185160427807493</v>
      </c>
      <c r="N175" s="522">
        <v>0.27513513513513516</v>
      </c>
      <c r="O175" s="522">
        <v>0.39110429447852763</v>
      </c>
      <c r="P175" s="522">
        <v>0.39240506329113917</v>
      </c>
      <c r="Q175" s="522">
        <v>0.39423076923076922</v>
      </c>
      <c r="R175" s="522">
        <v>0.39423076923076922</v>
      </c>
      <c r="S175" s="522">
        <v>0.39423076923076922</v>
      </c>
      <c r="T175" s="522">
        <v>0.39423076923076922</v>
      </c>
      <c r="U175" s="522">
        <v>0.39423076923076922</v>
      </c>
      <c r="V175" s="522">
        <v>0.39423076923076922</v>
      </c>
      <c r="W175" s="522">
        <v>0.39423076923076922</v>
      </c>
      <c r="X175" s="522">
        <v>0.39423076923076922</v>
      </c>
      <c r="Y175" s="522">
        <v>0.39423076923076922</v>
      </c>
      <c r="Z175" s="522">
        <v>0.39423076923076922</v>
      </c>
      <c r="AA175" s="522">
        <v>0.39423076923076922</v>
      </c>
      <c r="AB175" s="522">
        <v>0.39423076923076922</v>
      </c>
      <c r="AC175" s="522">
        <v>0.39423076923076922</v>
      </c>
      <c r="AD175" s="522">
        <v>0.39423076923076922</v>
      </c>
      <c r="AE175" s="770">
        <v>0.39423076923076922</v>
      </c>
      <c r="AF175" s="522">
        <v>0.39423076923076922</v>
      </c>
      <c r="AG175" s="522">
        <v>0.39423076923076922</v>
      </c>
      <c r="AH175" s="522">
        <v>0.39423076923076922</v>
      </c>
      <c r="AI175" s="522">
        <v>0.39423076923076922</v>
      </c>
      <c r="AJ175" s="522">
        <v>0.39423076923076922</v>
      </c>
      <c r="AK175" s="522">
        <v>0.39423076923076922</v>
      </c>
    </row>
    <row r="176" spans="1:106" ht="12.75" customHeight="1">
      <c r="A176" s="325" t="s">
        <v>346</v>
      </c>
      <c r="D176" s="522">
        <v>0.52769317940364058</v>
      </c>
      <c r="E176" s="522">
        <v>0.52769317940364058</v>
      </c>
      <c r="F176" s="522">
        <v>0.52769317940364058</v>
      </c>
      <c r="G176" s="522">
        <v>0.52769317940364058</v>
      </c>
      <c r="H176" s="522">
        <v>0.52769317940364058</v>
      </c>
      <c r="I176" s="522">
        <v>0.52769317940364058</v>
      </c>
      <c r="J176" s="522">
        <v>0.52769317940364058</v>
      </c>
      <c r="K176" s="522">
        <v>0.52769317940364058</v>
      </c>
      <c r="L176" s="522">
        <v>0.51394958670922342</v>
      </c>
      <c r="M176" s="522">
        <v>0.51318240620957312</v>
      </c>
      <c r="N176" s="522">
        <v>0.50146723182262798</v>
      </c>
      <c r="O176" s="522">
        <v>0.5775862068965516</v>
      </c>
      <c r="P176" s="522">
        <v>0.57089552238805985</v>
      </c>
      <c r="Q176" s="522">
        <v>0.57196969696969679</v>
      </c>
      <c r="R176" s="522">
        <v>0.57196969696969679</v>
      </c>
      <c r="S176" s="522">
        <v>0.57196969696969679</v>
      </c>
      <c r="T176" s="522">
        <v>0.57196969696969679</v>
      </c>
      <c r="U176" s="522">
        <v>0.57196969696969679</v>
      </c>
      <c r="V176" s="522">
        <v>0.57196969696969679</v>
      </c>
      <c r="W176" s="522">
        <v>0.57196969696969679</v>
      </c>
      <c r="X176" s="522">
        <v>0.57196969696969679</v>
      </c>
      <c r="Y176" s="522">
        <v>0.57196969696969679</v>
      </c>
      <c r="Z176" s="522">
        <v>0.57196969696969679</v>
      </c>
      <c r="AA176" s="522">
        <v>0.57196969696969679</v>
      </c>
      <c r="AB176" s="522">
        <v>0.57196969696969679</v>
      </c>
      <c r="AC176" s="522">
        <v>0.57196969696969679</v>
      </c>
      <c r="AD176" s="522">
        <v>0.57196969696969679</v>
      </c>
      <c r="AE176" s="770">
        <v>0.57196969696969679</v>
      </c>
      <c r="AF176" s="522">
        <v>0.57196969696969679</v>
      </c>
      <c r="AG176" s="522">
        <v>0.57196969696969679</v>
      </c>
      <c r="AH176" s="522">
        <v>0.57196969696969679</v>
      </c>
      <c r="AI176" s="522">
        <v>0.57196969696969679</v>
      </c>
      <c r="AJ176" s="522">
        <v>0.57196969696969679</v>
      </c>
      <c r="AK176" s="522">
        <v>0.57196969696969679</v>
      </c>
    </row>
    <row r="177" spans="1:37" ht="12.75" customHeight="1">
      <c r="A177" s="325" t="s">
        <v>326</v>
      </c>
      <c r="D177" s="522">
        <v>0.5</v>
      </c>
      <c r="E177" s="522">
        <v>0.5</v>
      </c>
      <c r="F177" s="522">
        <v>0.5</v>
      </c>
      <c r="G177" s="522">
        <v>0.5</v>
      </c>
      <c r="H177" s="522">
        <v>0.5</v>
      </c>
      <c r="I177" s="522">
        <v>0.5</v>
      </c>
      <c r="J177" s="522">
        <v>0.5</v>
      </c>
      <c r="K177" s="522">
        <v>0.5</v>
      </c>
      <c r="L177" s="522">
        <v>0.5</v>
      </c>
      <c r="M177" s="522">
        <v>0.45</v>
      </c>
      <c r="N177" s="522">
        <v>0.45</v>
      </c>
      <c r="O177" s="522">
        <v>0.45</v>
      </c>
      <c r="P177" s="522">
        <v>0.45</v>
      </c>
      <c r="Q177" s="522">
        <v>0.5</v>
      </c>
      <c r="R177" s="522">
        <v>0.5</v>
      </c>
      <c r="S177" s="522">
        <v>0.5</v>
      </c>
      <c r="T177" s="522">
        <v>0.5</v>
      </c>
      <c r="U177" s="522">
        <v>0.5</v>
      </c>
      <c r="V177" s="522">
        <v>0.5</v>
      </c>
      <c r="W177" s="522">
        <v>0.5</v>
      </c>
      <c r="X177" s="522">
        <v>0.5</v>
      </c>
      <c r="Y177" s="522">
        <v>0.5</v>
      </c>
      <c r="Z177" s="522">
        <v>0.5</v>
      </c>
      <c r="AA177" s="522">
        <v>0.5</v>
      </c>
      <c r="AB177" s="522">
        <v>0.5</v>
      </c>
      <c r="AC177" s="522">
        <v>0.5</v>
      </c>
      <c r="AD177" s="522">
        <v>0.5</v>
      </c>
      <c r="AE177" s="770">
        <v>0.5</v>
      </c>
      <c r="AF177" s="522">
        <v>0.5</v>
      </c>
      <c r="AG177" s="522">
        <v>0.5</v>
      </c>
      <c r="AH177" s="522">
        <v>0.5</v>
      </c>
      <c r="AI177" s="522">
        <v>0.5</v>
      </c>
      <c r="AJ177" s="522">
        <v>0.5</v>
      </c>
      <c r="AK177" s="522">
        <v>0.5</v>
      </c>
    </row>
    <row r="178" spans="1:37" ht="12.75" customHeight="1">
      <c r="C178" s="522"/>
      <c r="D178" s="522"/>
      <c r="E178" s="522"/>
      <c r="F178" s="522"/>
      <c r="G178" s="522"/>
      <c r="H178" s="522"/>
      <c r="I178" s="522"/>
      <c r="J178" s="522"/>
      <c r="K178" s="522"/>
      <c r="L178" s="522"/>
      <c r="M178" s="522"/>
      <c r="N178" s="522"/>
      <c r="O178" s="522"/>
      <c r="P178" s="522"/>
      <c r="Q178" s="522"/>
      <c r="R178" s="522"/>
      <c r="S178" s="522"/>
      <c r="T178" s="522"/>
      <c r="U178" s="522"/>
      <c r="V178" s="522"/>
      <c r="W178" s="522"/>
      <c r="X178" s="522"/>
      <c r="Y178" s="522"/>
      <c r="Z178" s="522"/>
      <c r="AA178" s="522"/>
      <c r="AB178" s="522"/>
      <c r="AC178" s="522"/>
      <c r="AD178" s="522"/>
      <c r="AE178" s="770"/>
      <c r="AF178" s="522"/>
      <c r="AG178" s="522"/>
      <c r="AH178" s="522"/>
      <c r="AI178" s="522"/>
      <c r="AJ178" s="522"/>
      <c r="AK178" s="522"/>
    </row>
    <row r="179" spans="1:37" ht="12.75" customHeight="1">
      <c r="A179" s="625" t="s">
        <v>20</v>
      </c>
    </row>
    <row r="180" spans="1:37" ht="12.75" customHeight="1">
      <c r="A180" s="625"/>
    </row>
    <row r="181" spans="1:37" ht="12.75" customHeight="1">
      <c r="A181" s="324" t="s">
        <v>334</v>
      </c>
      <c r="D181" s="325">
        <f>D172</f>
        <v>1997</v>
      </c>
      <c r="E181" s="325">
        <f t="shared" ref="E181:AK181" si="495">E172</f>
        <v>1998</v>
      </c>
      <c r="F181" s="325">
        <f t="shared" si="495"/>
        <v>1999</v>
      </c>
      <c r="G181" s="325">
        <f t="shared" si="495"/>
        <v>2000</v>
      </c>
      <c r="H181" s="325">
        <f t="shared" si="495"/>
        <v>2001</v>
      </c>
      <c r="I181" s="325">
        <f t="shared" si="495"/>
        <v>2002</v>
      </c>
      <c r="J181" s="325">
        <f t="shared" si="495"/>
        <v>2003</v>
      </c>
      <c r="K181" s="325">
        <f t="shared" si="495"/>
        <v>2004</v>
      </c>
      <c r="L181" s="325">
        <f t="shared" si="495"/>
        <v>2005</v>
      </c>
      <c r="M181" s="325">
        <f t="shared" si="495"/>
        <v>2006</v>
      </c>
      <c r="N181" s="325">
        <f t="shared" si="495"/>
        <v>2007</v>
      </c>
      <c r="O181" s="325">
        <f t="shared" si="495"/>
        <v>2008</v>
      </c>
      <c r="P181" s="325">
        <f t="shared" si="495"/>
        <v>2009</v>
      </c>
      <c r="Q181" s="325">
        <f t="shared" si="495"/>
        <v>2010</v>
      </c>
      <c r="R181" s="325">
        <f t="shared" si="495"/>
        <v>2011</v>
      </c>
      <c r="S181" s="325">
        <f t="shared" si="495"/>
        <v>2012</v>
      </c>
      <c r="T181" s="325">
        <f t="shared" si="495"/>
        <v>2013</v>
      </c>
      <c r="U181" s="325">
        <f t="shared" si="495"/>
        <v>2014</v>
      </c>
      <c r="V181" s="325">
        <f t="shared" si="495"/>
        <v>2015</v>
      </c>
      <c r="W181" s="325">
        <f t="shared" si="495"/>
        <v>2016</v>
      </c>
      <c r="X181" s="325">
        <f t="shared" si="495"/>
        <v>2017</v>
      </c>
      <c r="Y181" s="325">
        <f t="shared" si="495"/>
        <v>2018</v>
      </c>
      <c r="Z181" s="325">
        <f t="shared" si="495"/>
        <v>2019</v>
      </c>
      <c r="AA181" s="325">
        <f t="shared" si="495"/>
        <v>2020</v>
      </c>
      <c r="AB181" s="325">
        <f t="shared" si="495"/>
        <v>2021</v>
      </c>
      <c r="AC181" s="325">
        <f t="shared" si="495"/>
        <v>2022</v>
      </c>
      <c r="AD181" s="325">
        <f t="shared" si="495"/>
        <v>2023</v>
      </c>
      <c r="AE181" s="728">
        <f t="shared" si="495"/>
        <v>2024</v>
      </c>
      <c r="AF181" s="325">
        <f t="shared" si="495"/>
        <v>2025</v>
      </c>
      <c r="AG181" s="325">
        <f t="shared" si="495"/>
        <v>2026</v>
      </c>
      <c r="AH181" s="325">
        <f t="shared" si="495"/>
        <v>2027</v>
      </c>
      <c r="AI181" s="325">
        <f t="shared" si="495"/>
        <v>2028</v>
      </c>
      <c r="AJ181" s="325">
        <f t="shared" si="495"/>
        <v>2029</v>
      </c>
      <c r="AK181" s="325">
        <f t="shared" si="495"/>
        <v>2030</v>
      </c>
    </row>
    <row r="182" spans="1:37" ht="12.75" customHeight="1">
      <c r="A182" s="325" t="s">
        <v>329</v>
      </c>
      <c r="C182" s="624"/>
      <c r="D182" s="624">
        <f t="shared" ref="D182:S186" si="496">1-D173</f>
        <v>0.32215582995850833</v>
      </c>
      <c r="E182" s="624">
        <f t="shared" si="496"/>
        <v>0.32215582995850833</v>
      </c>
      <c r="F182" s="624">
        <f t="shared" si="496"/>
        <v>0.32215582995850833</v>
      </c>
      <c r="G182" s="624">
        <f t="shared" si="496"/>
        <v>0.32215582995850833</v>
      </c>
      <c r="H182" s="624">
        <f t="shared" si="496"/>
        <v>0.32215582995850833</v>
      </c>
      <c r="I182" s="624">
        <f t="shared" si="496"/>
        <v>0.32215582995850833</v>
      </c>
      <c r="J182" s="624">
        <f t="shared" si="496"/>
        <v>0.32215582995850833</v>
      </c>
      <c r="K182" s="624">
        <f>1-K173</f>
        <v>0.32215582995850833</v>
      </c>
      <c r="L182" s="624">
        <f t="shared" ref="L182:AK186" si="497">1-L173</f>
        <v>0.28903990351276898</v>
      </c>
      <c r="M182" s="624">
        <f>1-M173</f>
        <v>0.29106261044070525</v>
      </c>
      <c r="N182" s="624">
        <f>1-N173</f>
        <v>0.29106261044070525</v>
      </c>
      <c r="O182" s="624">
        <f t="shared" si="497"/>
        <v>0.29106261044070525</v>
      </c>
      <c r="P182" s="624">
        <f t="shared" si="497"/>
        <v>0.29106261044070525</v>
      </c>
      <c r="Q182" s="624">
        <f t="shared" si="497"/>
        <v>0.29106261044070525</v>
      </c>
      <c r="R182" s="624">
        <f t="shared" si="497"/>
        <v>0.29106261044070525</v>
      </c>
      <c r="S182" s="624">
        <f t="shared" si="497"/>
        <v>0.29106261044070525</v>
      </c>
      <c r="T182" s="624">
        <f t="shared" si="497"/>
        <v>0.29106261044070525</v>
      </c>
      <c r="U182" s="624">
        <f t="shared" si="497"/>
        <v>0.29106261044070525</v>
      </c>
      <c r="V182" s="624">
        <f t="shared" si="497"/>
        <v>0.29106261044070525</v>
      </c>
      <c r="W182" s="624">
        <f t="shared" si="497"/>
        <v>0.29106261044070525</v>
      </c>
      <c r="X182" s="624">
        <f t="shared" si="497"/>
        <v>0.29106261044070525</v>
      </c>
      <c r="Y182" s="624">
        <f t="shared" si="497"/>
        <v>0.29106261044070525</v>
      </c>
      <c r="Z182" s="624">
        <f t="shared" si="497"/>
        <v>0.29106261044070525</v>
      </c>
      <c r="AA182" s="624">
        <f t="shared" si="497"/>
        <v>0.29106261044070525</v>
      </c>
      <c r="AB182" s="624">
        <f t="shared" si="497"/>
        <v>0.29106261044070525</v>
      </c>
      <c r="AC182" s="624">
        <f t="shared" si="497"/>
        <v>0.29106261044070525</v>
      </c>
      <c r="AD182" s="624">
        <f t="shared" si="497"/>
        <v>0.29106261044070525</v>
      </c>
      <c r="AE182" s="769">
        <f t="shared" si="497"/>
        <v>0.29106261044070525</v>
      </c>
      <c r="AF182" s="624">
        <f t="shared" si="497"/>
        <v>0.29106261044070525</v>
      </c>
      <c r="AG182" s="624">
        <f t="shared" si="497"/>
        <v>0.29106261044070525</v>
      </c>
      <c r="AH182" s="624">
        <f t="shared" si="497"/>
        <v>0.29106261044070525</v>
      </c>
      <c r="AI182" s="624">
        <f t="shared" si="497"/>
        <v>0.29106261044070525</v>
      </c>
      <c r="AJ182" s="624">
        <f t="shared" si="497"/>
        <v>0.29106261044070525</v>
      </c>
      <c r="AK182" s="624">
        <f t="shared" si="497"/>
        <v>0.29106261044070525</v>
      </c>
    </row>
    <row r="183" spans="1:37" ht="12.75" customHeight="1">
      <c r="A183" s="325" t="s">
        <v>330</v>
      </c>
      <c r="C183" s="624"/>
      <c r="D183" s="624">
        <f t="shared" si="496"/>
        <v>0.38344695870805523</v>
      </c>
      <c r="E183" s="624">
        <f t="shared" si="496"/>
        <v>0.38344695870805523</v>
      </c>
      <c r="F183" s="624">
        <f t="shared" si="496"/>
        <v>0.38344695870805523</v>
      </c>
      <c r="G183" s="624">
        <f t="shared" si="496"/>
        <v>0.38344695870805523</v>
      </c>
      <c r="H183" s="624">
        <f t="shared" si="496"/>
        <v>0.38344695870805523</v>
      </c>
      <c r="I183" s="624">
        <f t="shared" si="496"/>
        <v>0.38344695870805523</v>
      </c>
      <c r="J183" s="624">
        <f t="shared" si="496"/>
        <v>0.38344695870805523</v>
      </c>
      <c r="K183" s="624">
        <f t="shared" si="496"/>
        <v>0.38344695870805523</v>
      </c>
      <c r="L183" s="624">
        <f t="shared" si="497"/>
        <v>0.40441590380813519</v>
      </c>
      <c r="M183" s="624">
        <f t="shared" si="497"/>
        <v>0.29106261044070525</v>
      </c>
      <c r="N183" s="624">
        <f t="shared" si="497"/>
        <v>0.29106261044070525</v>
      </c>
      <c r="O183" s="624">
        <f t="shared" si="497"/>
        <v>0.29106261044070525</v>
      </c>
      <c r="P183" s="624">
        <f t="shared" si="497"/>
        <v>0.29106261044070525</v>
      </c>
      <c r="Q183" s="624">
        <f t="shared" si="497"/>
        <v>0.29106261044070525</v>
      </c>
      <c r="R183" s="624">
        <f t="shared" si="497"/>
        <v>0.29106261044070525</v>
      </c>
      <c r="S183" s="624">
        <f t="shared" si="497"/>
        <v>0.29106261044070525</v>
      </c>
      <c r="T183" s="624">
        <f t="shared" si="497"/>
        <v>0.29106261044070525</v>
      </c>
      <c r="U183" s="624">
        <f t="shared" si="497"/>
        <v>0.29106261044070525</v>
      </c>
      <c r="V183" s="624">
        <f t="shared" si="497"/>
        <v>0.29106261044070525</v>
      </c>
      <c r="W183" s="624">
        <f t="shared" si="497"/>
        <v>0.29106261044070525</v>
      </c>
      <c r="X183" s="624">
        <f t="shared" si="497"/>
        <v>0.29106261044070525</v>
      </c>
      <c r="Y183" s="624">
        <f t="shared" si="497"/>
        <v>0.29106261044070525</v>
      </c>
      <c r="Z183" s="624">
        <f t="shared" si="497"/>
        <v>0.29106261044070525</v>
      </c>
      <c r="AA183" s="624">
        <f t="shared" si="497"/>
        <v>0.29106261044070525</v>
      </c>
      <c r="AB183" s="624">
        <f t="shared" si="497"/>
        <v>0.29106261044070525</v>
      </c>
      <c r="AC183" s="624">
        <f t="shared" si="497"/>
        <v>0.29106261044070525</v>
      </c>
      <c r="AD183" s="624">
        <f t="shared" si="497"/>
        <v>0.29106261044070525</v>
      </c>
      <c r="AE183" s="769">
        <f t="shared" si="497"/>
        <v>0.29106261044070525</v>
      </c>
      <c r="AF183" s="624">
        <f t="shared" si="497"/>
        <v>0.29106261044070525</v>
      </c>
      <c r="AG183" s="624">
        <f t="shared" si="497"/>
        <v>0.29106261044070525</v>
      </c>
      <c r="AH183" s="624">
        <f t="shared" si="497"/>
        <v>0.29106261044070525</v>
      </c>
      <c r="AI183" s="624">
        <f t="shared" si="497"/>
        <v>0.29106261044070525</v>
      </c>
      <c r="AJ183" s="624">
        <f t="shared" si="497"/>
        <v>0.29106261044070525</v>
      </c>
      <c r="AK183" s="624">
        <f t="shared" si="497"/>
        <v>0.29106261044070525</v>
      </c>
    </row>
    <row r="184" spans="1:37" ht="12.75" customHeight="1">
      <c r="A184" s="325" t="s">
        <v>347</v>
      </c>
      <c r="C184" s="624"/>
      <c r="D184" s="624">
        <f t="shared" si="496"/>
        <v>0.73403614457831323</v>
      </c>
      <c r="E184" s="624">
        <f t="shared" si="496"/>
        <v>0.73403614457831323</v>
      </c>
      <c r="F184" s="624">
        <f t="shared" si="496"/>
        <v>0.73403614457831323</v>
      </c>
      <c r="G184" s="624">
        <f t="shared" si="496"/>
        <v>0.73403614457831323</v>
      </c>
      <c r="H184" s="624">
        <f t="shared" si="496"/>
        <v>0.73403614457831323</v>
      </c>
      <c r="I184" s="624">
        <f t="shared" si="496"/>
        <v>0.73403614457831323</v>
      </c>
      <c r="J184" s="624">
        <f t="shared" si="496"/>
        <v>0.73403614457831323</v>
      </c>
      <c r="K184" s="624">
        <f t="shared" si="496"/>
        <v>0.73403614457831323</v>
      </c>
      <c r="L184" s="624">
        <f t="shared" si="497"/>
        <v>0.73791843220338982</v>
      </c>
      <c r="M184" s="624">
        <f t="shared" si="497"/>
        <v>0.71814839572192501</v>
      </c>
      <c r="N184" s="624">
        <f t="shared" si="497"/>
        <v>0.72486486486486479</v>
      </c>
      <c r="O184" s="624">
        <f t="shared" si="497"/>
        <v>0.60889570552147232</v>
      </c>
      <c r="P184" s="624">
        <f t="shared" si="497"/>
        <v>0.60759493670886089</v>
      </c>
      <c r="Q184" s="624">
        <f t="shared" si="497"/>
        <v>0.60576923076923084</v>
      </c>
      <c r="R184" s="624">
        <f t="shared" si="497"/>
        <v>0.60576923076923084</v>
      </c>
      <c r="S184" s="624">
        <f t="shared" si="497"/>
        <v>0.60576923076923084</v>
      </c>
      <c r="T184" s="624">
        <f t="shared" si="497"/>
        <v>0.60576923076923084</v>
      </c>
      <c r="U184" s="624">
        <f t="shared" si="497"/>
        <v>0.60576923076923084</v>
      </c>
      <c r="V184" s="624">
        <f t="shared" si="497"/>
        <v>0.60576923076923084</v>
      </c>
      <c r="W184" s="624">
        <f t="shared" si="497"/>
        <v>0.60576923076923084</v>
      </c>
      <c r="X184" s="624">
        <f t="shared" si="497"/>
        <v>0.60576923076923084</v>
      </c>
      <c r="Y184" s="624">
        <f t="shared" si="497"/>
        <v>0.60576923076923084</v>
      </c>
      <c r="Z184" s="624">
        <f t="shared" si="497"/>
        <v>0.60576923076923084</v>
      </c>
      <c r="AA184" s="624">
        <f t="shared" si="497"/>
        <v>0.60576923076923084</v>
      </c>
      <c r="AB184" s="624">
        <f t="shared" si="497"/>
        <v>0.60576923076923084</v>
      </c>
      <c r="AC184" s="624">
        <f t="shared" si="497"/>
        <v>0.60576923076923084</v>
      </c>
      <c r="AD184" s="624">
        <f t="shared" si="497"/>
        <v>0.60576923076923084</v>
      </c>
      <c r="AE184" s="769">
        <f t="shared" si="497"/>
        <v>0.60576923076923084</v>
      </c>
      <c r="AF184" s="624">
        <f t="shared" si="497"/>
        <v>0.60576923076923084</v>
      </c>
      <c r="AG184" s="624">
        <f t="shared" si="497"/>
        <v>0.60576923076923084</v>
      </c>
      <c r="AH184" s="624">
        <f t="shared" si="497"/>
        <v>0.60576923076923084</v>
      </c>
      <c r="AI184" s="624">
        <f t="shared" si="497"/>
        <v>0.60576923076923084</v>
      </c>
      <c r="AJ184" s="624">
        <f t="shared" si="497"/>
        <v>0.60576923076923084</v>
      </c>
      <c r="AK184" s="624">
        <f t="shared" si="497"/>
        <v>0.60576923076923084</v>
      </c>
    </row>
    <row r="185" spans="1:37" ht="12.75" customHeight="1">
      <c r="A185" s="325" t="s">
        <v>346</v>
      </c>
      <c r="C185" s="624"/>
      <c r="D185" s="624">
        <f t="shared" si="496"/>
        <v>0.47230682059635942</v>
      </c>
      <c r="E185" s="624">
        <f t="shared" si="496"/>
        <v>0.47230682059635942</v>
      </c>
      <c r="F185" s="624">
        <f t="shared" si="496"/>
        <v>0.47230682059635942</v>
      </c>
      <c r="G185" s="624">
        <f t="shared" si="496"/>
        <v>0.47230682059635942</v>
      </c>
      <c r="H185" s="624">
        <f t="shared" si="496"/>
        <v>0.47230682059635942</v>
      </c>
      <c r="I185" s="624">
        <f t="shared" si="496"/>
        <v>0.47230682059635942</v>
      </c>
      <c r="J185" s="624">
        <f>1-J176</f>
        <v>0.47230682059635942</v>
      </c>
      <c r="K185" s="624">
        <f t="shared" si="496"/>
        <v>0.47230682059635942</v>
      </c>
      <c r="L185" s="624">
        <f t="shared" si="496"/>
        <v>0.48605041329077658</v>
      </c>
      <c r="M185" s="624">
        <f t="shared" si="496"/>
        <v>0.48681759379042688</v>
      </c>
      <c r="N185" s="624">
        <f t="shared" si="496"/>
        <v>0.49853276817737202</v>
      </c>
      <c r="O185" s="624">
        <f t="shared" si="496"/>
        <v>0.4224137931034484</v>
      </c>
      <c r="P185" s="624">
        <f t="shared" si="496"/>
        <v>0.42910447761194015</v>
      </c>
      <c r="Q185" s="624">
        <f t="shared" si="496"/>
        <v>0.42803030303030321</v>
      </c>
      <c r="R185" s="624">
        <f t="shared" si="497"/>
        <v>0.42803030303030321</v>
      </c>
      <c r="S185" s="624">
        <f t="shared" si="497"/>
        <v>0.42803030303030321</v>
      </c>
      <c r="T185" s="624">
        <f t="shared" si="497"/>
        <v>0.42803030303030321</v>
      </c>
      <c r="U185" s="624">
        <f t="shared" si="497"/>
        <v>0.42803030303030321</v>
      </c>
      <c r="V185" s="624">
        <f t="shared" si="497"/>
        <v>0.42803030303030321</v>
      </c>
      <c r="W185" s="624">
        <f t="shared" si="497"/>
        <v>0.42803030303030321</v>
      </c>
      <c r="X185" s="624">
        <f t="shared" si="497"/>
        <v>0.42803030303030321</v>
      </c>
      <c r="Y185" s="624">
        <f t="shared" si="497"/>
        <v>0.42803030303030321</v>
      </c>
      <c r="Z185" s="624">
        <f t="shared" si="497"/>
        <v>0.42803030303030321</v>
      </c>
      <c r="AA185" s="624">
        <f t="shared" si="497"/>
        <v>0.42803030303030321</v>
      </c>
      <c r="AB185" s="624">
        <f t="shared" si="497"/>
        <v>0.42803030303030321</v>
      </c>
      <c r="AC185" s="624">
        <f t="shared" si="497"/>
        <v>0.42803030303030321</v>
      </c>
      <c r="AD185" s="624">
        <f t="shared" si="497"/>
        <v>0.42803030303030321</v>
      </c>
      <c r="AE185" s="769">
        <f t="shared" si="497"/>
        <v>0.42803030303030321</v>
      </c>
      <c r="AF185" s="624">
        <f t="shared" si="497"/>
        <v>0.42803030303030321</v>
      </c>
      <c r="AG185" s="624">
        <f t="shared" si="497"/>
        <v>0.42803030303030321</v>
      </c>
      <c r="AH185" s="624">
        <f t="shared" si="497"/>
        <v>0.42803030303030321</v>
      </c>
      <c r="AI185" s="624">
        <f t="shared" si="497"/>
        <v>0.42803030303030321</v>
      </c>
      <c r="AJ185" s="624">
        <f t="shared" si="497"/>
        <v>0.42803030303030321</v>
      </c>
      <c r="AK185" s="624">
        <f t="shared" si="497"/>
        <v>0.42803030303030321</v>
      </c>
    </row>
    <row r="186" spans="1:37" ht="12.75" customHeight="1">
      <c r="A186" s="325" t="s">
        <v>326</v>
      </c>
      <c r="C186" s="624"/>
      <c r="D186" s="624">
        <f>1-D177</f>
        <v>0.5</v>
      </c>
      <c r="E186" s="624">
        <f t="shared" si="496"/>
        <v>0.5</v>
      </c>
      <c r="F186" s="624">
        <f t="shared" si="496"/>
        <v>0.5</v>
      </c>
      <c r="G186" s="624">
        <f t="shared" si="496"/>
        <v>0.5</v>
      </c>
      <c r="H186" s="624">
        <f t="shared" si="496"/>
        <v>0.5</v>
      </c>
      <c r="I186" s="624">
        <f t="shared" si="496"/>
        <v>0.5</v>
      </c>
      <c r="J186" s="624">
        <f t="shared" si="496"/>
        <v>0.5</v>
      </c>
      <c r="K186" s="624">
        <f t="shared" si="496"/>
        <v>0.5</v>
      </c>
      <c r="L186" s="624">
        <f t="shared" si="496"/>
        <v>0.5</v>
      </c>
      <c r="M186" s="624">
        <f t="shared" si="496"/>
        <v>0.55000000000000004</v>
      </c>
      <c r="N186" s="624">
        <f t="shared" si="496"/>
        <v>0.55000000000000004</v>
      </c>
      <c r="O186" s="624">
        <f t="shared" si="496"/>
        <v>0.55000000000000004</v>
      </c>
      <c r="P186" s="624">
        <f t="shared" si="496"/>
        <v>0.55000000000000004</v>
      </c>
      <c r="Q186" s="624">
        <f t="shared" si="496"/>
        <v>0.5</v>
      </c>
      <c r="R186" s="624">
        <f t="shared" si="496"/>
        <v>0.5</v>
      </c>
      <c r="S186" s="624">
        <f t="shared" si="496"/>
        <v>0.5</v>
      </c>
      <c r="T186" s="624">
        <f t="shared" si="497"/>
        <v>0.5</v>
      </c>
      <c r="U186" s="624">
        <f t="shared" si="497"/>
        <v>0.5</v>
      </c>
      <c r="V186" s="624">
        <f t="shared" si="497"/>
        <v>0.5</v>
      </c>
      <c r="W186" s="624">
        <f t="shared" si="497"/>
        <v>0.5</v>
      </c>
      <c r="X186" s="624">
        <f t="shared" si="497"/>
        <v>0.5</v>
      </c>
      <c r="Y186" s="624">
        <f t="shared" si="497"/>
        <v>0.5</v>
      </c>
      <c r="Z186" s="624">
        <f t="shared" si="497"/>
        <v>0.5</v>
      </c>
      <c r="AA186" s="624">
        <f t="shared" si="497"/>
        <v>0.5</v>
      </c>
      <c r="AB186" s="624">
        <f t="shared" si="497"/>
        <v>0.5</v>
      </c>
      <c r="AC186" s="624">
        <f t="shared" si="497"/>
        <v>0.5</v>
      </c>
      <c r="AD186" s="624">
        <f t="shared" si="497"/>
        <v>0.5</v>
      </c>
      <c r="AE186" s="769">
        <f t="shared" si="497"/>
        <v>0.5</v>
      </c>
      <c r="AF186" s="624">
        <f t="shared" si="497"/>
        <v>0.5</v>
      </c>
      <c r="AG186" s="624">
        <f t="shared" si="497"/>
        <v>0.5</v>
      </c>
      <c r="AH186" s="624">
        <f t="shared" si="497"/>
        <v>0.5</v>
      </c>
      <c r="AI186" s="624">
        <f t="shared" si="497"/>
        <v>0.5</v>
      </c>
      <c r="AJ186" s="624">
        <f t="shared" si="497"/>
        <v>0.5</v>
      </c>
      <c r="AK186" s="624">
        <f t="shared" si="497"/>
        <v>0.5</v>
      </c>
    </row>
    <row r="187" spans="1:37" ht="12.75" customHeight="1">
      <c r="A187" s="625" t="s">
        <v>351</v>
      </c>
      <c r="C187" s="626"/>
      <c r="D187" s="626">
        <f t="shared" ref="D187:AK187" si="498">D211/D201</f>
        <v>0.40107678466424657</v>
      </c>
      <c r="E187" s="626">
        <f t="shared" si="498"/>
        <v>0.38388307972352537</v>
      </c>
      <c r="F187" s="626">
        <f t="shared" si="498"/>
        <v>0.36926851535612337</v>
      </c>
      <c r="G187" s="626">
        <f t="shared" si="498"/>
        <v>0.33645215764879183</v>
      </c>
      <c r="H187" s="626">
        <f t="shared" si="498"/>
        <v>0.35177739647756523</v>
      </c>
      <c r="I187" s="626">
        <f t="shared" si="498"/>
        <v>0.34461960889322851</v>
      </c>
      <c r="J187" s="626">
        <f t="shared" si="498"/>
        <v>0.38897534104002757</v>
      </c>
      <c r="K187" s="626">
        <f t="shared" si="498"/>
        <v>0.40225606845989448</v>
      </c>
      <c r="L187" s="626">
        <f t="shared" si="498"/>
        <v>0.40006804986334521</v>
      </c>
      <c r="M187" s="626">
        <f>M211/M201</f>
        <v>0.35699522368520364</v>
      </c>
      <c r="N187" s="626">
        <f>N211/N201</f>
        <v>0.33369571922473534</v>
      </c>
      <c r="O187" s="626">
        <f t="shared" si="498"/>
        <v>0.3035322798584279</v>
      </c>
      <c r="P187" s="626">
        <f t="shared" si="498"/>
        <v>0.29908802174899635</v>
      </c>
      <c r="Q187" s="626">
        <f t="shared" si="498"/>
        <v>0.30190641714582994</v>
      </c>
      <c r="R187" s="626">
        <f t="shared" si="498"/>
        <v>0.29814362513268294</v>
      </c>
      <c r="S187" s="626">
        <f t="shared" si="498"/>
        <v>0.2949762317969577</v>
      </c>
      <c r="T187" s="626">
        <f t="shared" si="498"/>
        <v>0.30122822761273466</v>
      </c>
      <c r="U187" s="626">
        <f t="shared" si="498"/>
        <v>0.30513578737885855</v>
      </c>
      <c r="V187" s="626">
        <f t="shared" si="498"/>
        <v>0.3094453484006367</v>
      </c>
      <c r="W187" s="626">
        <f t="shared" si="498"/>
        <v>0.30190560209899037</v>
      </c>
      <c r="X187" s="626">
        <f t="shared" si="498"/>
        <v>0.30353759289430732</v>
      </c>
      <c r="Y187" s="626">
        <f t="shared" si="498"/>
        <v>0.30049602474406012</v>
      </c>
      <c r="Z187" s="626">
        <f t="shared" si="498"/>
        <v>0.294047575704457</v>
      </c>
      <c r="AA187" s="626">
        <f t="shared" si="498"/>
        <v>0.2934752971394381</v>
      </c>
      <c r="AB187" s="626">
        <f t="shared" si="498"/>
        <v>0.29626610949019561</v>
      </c>
      <c r="AC187" s="626">
        <f t="shared" si="498"/>
        <v>0.2964868227343827</v>
      </c>
      <c r="AD187" s="626">
        <f t="shared" si="498"/>
        <v>0.29845721540450298</v>
      </c>
      <c r="AE187" s="771">
        <f t="shared" si="498"/>
        <v>0.29993657554149772</v>
      </c>
      <c r="AF187" s="626">
        <f t="shared" si="498"/>
        <v>0.30081016552857143</v>
      </c>
      <c r="AG187" s="626">
        <f t="shared" si="498"/>
        <v>0.29889892986302563</v>
      </c>
      <c r="AH187" s="626">
        <f t="shared" si="498"/>
        <v>0.29632235170447929</v>
      </c>
      <c r="AI187" s="626">
        <f t="shared" si="498"/>
        <v>0.29944793033489608</v>
      </c>
      <c r="AJ187" s="626">
        <f t="shared" si="498"/>
        <v>0.30161832892431295</v>
      </c>
      <c r="AK187" s="626">
        <f t="shared" si="498"/>
        <v>0.30189996789937618</v>
      </c>
    </row>
    <row r="188" spans="1:37" ht="12.75" customHeight="1">
      <c r="A188" s="625" t="s">
        <v>352</v>
      </c>
      <c r="C188" s="627"/>
      <c r="D188" s="627">
        <f t="shared" ref="D188:AK188" si="499">D220/D201</f>
        <v>0.59892321533575354</v>
      </c>
      <c r="E188" s="627">
        <f t="shared" si="499"/>
        <v>0.61611692027647458</v>
      </c>
      <c r="F188" s="627">
        <f t="shared" si="499"/>
        <v>0.63073148464387663</v>
      </c>
      <c r="G188" s="627">
        <f t="shared" si="499"/>
        <v>0.66354784235120823</v>
      </c>
      <c r="H188" s="627">
        <f t="shared" si="499"/>
        <v>0.64822260352243477</v>
      </c>
      <c r="I188" s="627">
        <f t="shared" si="499"/>
        <v>0.6553803911067716</v>
      </c>
      <c r="J188" s="627">
        <f t="shared" si="499"/>
        <v>0.6110246589599726</v>
      </c>
      <c r="K188" s="627">
        <f t="shared" si="499"/>
        <v>0.59774393154010552</v>
      </c>
      <c r="L188" s="627">
        <f t="shared" si="499"/>
        <v>0.59993195013665479</v>
      </c>
      <c r="M188" s="627">
        <f>M220/M201</f>
        <v>0.64300477631479636</v>
      </c>
      <c r="N188" s="627">
        <f t="shared" si="499"/>
        <v>0.6663042807752646</v>
      </c>
      <c r="O188" s="627">
        <f>O220/O201</f>
        <v>0.69646772014157199</v>
      </c>
      <c r="P188" s="627">
        <f t="shared" si="499"/>
        <v>0.7009119782510036</v>
      </c>
      <c r="Q188" s="627">
        <f t="shared" si="499"/>
        <v>0.69809358285417</v>
      </c>
      <c r="R188" s="627">
        <f t="shared" si="499"/>
        <v>0.701856374867317</v>
      </c>
      <c r="S188" s="627">
        <f t="shared" si="499"/>
        <v>0.70502376820304224</v>
      </c>
      <c r="T188" s="627">
        <f t="shared" si="499"/>
        <v>0.6987717723872654</v>
      </c>
      <c r="U188" s="627">
        <f t="shared" si="499"/>
        <v>0.69486421262114173</v>
      </c>
      <c r="V188" s="627">
        <f t="shared" si="499"/>
        <v>0.69055465159936325</v>
      </c>
      <c r="W188" s="627">
        <f t="shared" si="499"/>
        <v>0.69809439790100958</v>
      </c>
      <c r="X188" s="627">
        <f t="shared" si="499"/>
        <v>0.69646240710569263</v>
      </c>
      <c r="Y188" s="627">
        <f t="shared" si="499"/>
        <v>0.69950397525593988</v>
      </c>
      <c r="Z188" s="627">
        <f t="shared" si="499"/>
        <v>0.70595242429554306</v>
      </c>
      <c r="AA188" s="627">
        <f t="shared" si="499"/>
        <v>0.7065247028605619</v>
      </c>
      <c r="AB188" s="627">
        <f t="shared" si="499"/>
        <v>0.70373389050980428</v>
      </c>
      <c r="AC188" s="627">
        <f t="shared" si="499"/>
        <v>0.70351317726561724</v>
      </c>
      <c r="AD188" s="627">
        <f t="shared" si="499"/>
        <v>0.7015427845954969</v>
      </c>
      <c r="AE188" s="772">
        <f t="shared" si="499"/>
        <v>0.70006342445850223</v>
      </c>
      <c r="AF188" s="627">
        <f t="shared" si="499"/>
        <v>0.69918983447142846</v>
      </c>
      <c r="AG188" s="627">
        <f t="shared" si="499"/>
        <v>0.70110107013697442</v>
      </c>
      <c r="AH188" s="627">
        <f t="shared" si="499"/>
        <v>0.70367764829552071</v>
      </c>
      <c r="AI188" s="627">
        <f t="shared" si="499"/>
        <v>0.70055206966510408</v>
      </c>
      <c r="AJ188" s="627">
        <f t="shared" si="499"/>
        <v>0.69838167107568705</v>
      </c>
      <c r="AK188" s="627">
        <f t="shared" si="499"/>
        <v>0.69810003210062377</v>
      </c>
    </row>
    <row r="189" spans="1:37" ht="12.75" customHeight="1">
      <c r="A189" s="625" t="s">
        <v>112</v>
      </c>
      <c r="C189" s="628"/>
      <c r="D189" s="628">
        <f t="shared" ref="D189:I189" si="500">D187+D188</f>
        <v>1</v>
      </c>
      <c r="E189" s="628">
        <f t="shared" si="500"/>
        <v>1</v>
      </c>
      <c r="F189" s="628">
        <f t="shared" si="500"/>
        <v>1</v>
      </c>
      <c r="G189" s="628">
        <f t="shared" si="500"/>
        <v>1</v>
      </c>
      <c r="H189" s="628">
        <f t="shared" si="500"/>
        <v>1</v>
      </c>
      <c r="I189" s="628">
        <f t="shared" si="500"/>
        <v>1</v>
      </c>
      <c r="J189" s="628">
        <f>J187+J188</f>
        <v>1.0000000000000002</v>
      </c>
      <c r="K189" s="628">
        <f>K187+K188</f>
        <v>1</v>
      </c>
      <c r="L189" s="628">
        <f t="shared" ref="L189:AK189" si="501">L187+L188</f>
        <v>1</v>
      </c>
      <c r="M189" s="628">
        <f t="shared" si="501"/>
        <v>1</v>
      </c>
      <c r="N189" s="628">
        <f t="shared" si="501"/>
        <v>1</v>
      </c>
      <c r="O189" s="628">
        <f t="shared" si="501"/>
        <v>0.99999999999999989</v>
      </c>
      <c r="P189" s="628">
        <f t="shared" si="501"/>
        <v>1</v>
      </c>
      <c r="Q189" s="628">
        <f t="shared" si="501"/>
        <v>1</v>
      </c>
      <c r="R189" s="628">
        <f t="shared" si="501"/>
        <v>1</v>
      </c>
      <c r="S189" s="628">
        <f t="shared" si="501"/>
        <v>1</v>
      </c>
      <c r="T189" s="628">
        <f t="shared" si="501"/>
        <v>1</v>
      </c>
      <c r="U189" s="628">
        <f t="shared" si="501"/>
        <v>1.0000000000000002</v>
      </c>
      <c r="V189" s="628">
        <f t="shared" si="501"/>
        <v>1</v>
      </c>
      <c r="W189" s="628">
        <f t="shared" si="501"/>
        <v>1</v>
      </c>
      <c r="X189" s="628">
        <f t="shared" si="501"/>
        <v>1</v>
      </c>
      <c r="Y189" s="628">
        <f t="shared" si="501"/>
        <v>1</v>
      </c>
      <c r="Z189" s="628">
        <f t="shared" si="501"/>
        <v>1</v>
      </c>
      <c r="AA189" s="628">
        <f t="shared" si="501"/>
        <v>1</v>
      </c>
      <c r="AB189" s="628">
        <f t="shared" si="501"/>
        <v>0.99999999999999989</v>
      </c>
      <c r="AC189" s="628">
        <f t="shared" si="501"/>
        <v>1</v>
      </c>
      <c r="AD189" s="628">
        <f t="shared" si="501"/>
        <v>0.99999999999999989</v>
      </c>
      <c r="AE189" s="773">
        <f t="shared" si="501"/>
        <v>1</v>
      </c>
      <c r="AF189" s="628">
        <f t="shared" si="501"/>
        <v>0.99999999999999989</v>
      </c>
      <c r="AG189" s="628">
        <f t="shared" si="501"/>
        <v>1</v>
      </c>
      <c r="AH189" s="628">
        <f t="shared" si="501"/>
        <v>1</v>
      </c>
      <c r="AI189" s="628">
        <f t="shared" si="501"/>
        <v>1.0000000000000002</v>
      </c>
      <c r="AJ189" s="628">
        <f t="shared" si="501"/>
        <v>1</v>
      </c>
      <c r="AK189" s="628">
        <f t="shared" si="501"/>
        <v>1</v>
      </c>
    </row>
    <row r="190" spans="1:37" ht="12.75" customHeight="1">
      <c r="A190" s="625" t="s">
        <v>355</v>
      </c>
      <c r="C190" s="628"/>
      <c r="D190" s="629">
        <f t="shared" ref="D190:AK190" si="502">D212/D202</f>
        <v>0.41695996881805925</v>
      </c>
      <c r="E190" s="629">
        <f t="shared" si="502"/>
        <v>0.39721787801120484</v>
      </c>
      <c r="F190" s="629">
        <f t="shared" si="502"/>
        <v>0.37975114934721937</v>
      </c>
      <c r="G190" s="629">
        <f t="shared" si="502"/>
        <v>0.35801720280265276</v>
      </c>
      <c r="H190" s="629">
        <f t="shared" si="502"/>
        <v>0.37775140659457623</v>
      </c>
      <c r="I190" s="629">
        <f t="shared" si="502"/>
        <v>0.36002372355701989</v>
      </c>
      <c r="J190" s="629">
        <f t="shared" si="502"/>
        <v>0.39881993425498052</v>
      </c>
      <c r="K190" s="629">
        <f t="shared" si="502"/>
        <v>0.40911853397820547</v>
      </c>
      <c r="L190" s="629">
        <f t="shared" si="502"/>
        <v>0.41115269603092325</v>
      </c>
      <c r="M190" s="629">
        <f>M212/M202</f>
        <v>0.38828100467997689</v>
      </c>
      <c r="N190" s="629">
        <f>N212/N202</f>
        <v>0.38060071967118531</v>
      </c>
      <c r="O190" s="629">
        <f t="shared" si="502"/>
        <v>0.36810203429633093</v>
      </c>
      <c r="P190" s="629">
        <f>P212/P202</f>
        <v>0.36489806912470546</v>
      </c>
      <c r="Q190" s="629">
        <f t="shared" si="502"/>
        <v>0.35790626631758032</v>
      </c>
      <c r="R190" s="629">
        <f t="shared" si="502"/>
        <v>0.3499549925314957</v>
      </c>
      <c r="S190" s="629">
        <f t="shared" si="502"/>
        <v>0.33916619594354397</v>
      </c>
      <c r="T190" s="629">
        <f t="shared" si="502"/>
        <v>0.34474407848255695</v>
      </c>
      <c r="U190" s="629">
        <f t="shared" si="502"/>
        <v>0.34628279684680124</v>
      </c>
      <c r="V190" s="629">
        <f t="shared" si="502"/>
        <v>0.34955223688976411</v>
      </c>
      <c r="W190" s="629">
        <f t="shared" si="502"/>
        <v>0.33802483147083512</v>
      </c>
      <c r="X190" s="629">
        <f t="shared" si="502"/>
        <v>0.34373347150089906</v>
      </c>
      <c r="Y190" s="629">
        <f t="shared" si="502"/>
        <v>0.34639892457477678</v>
      </c>
      <c r="Z190" s="629">
        <f t="shared" si="502"/>
        <v>0.33874310777809497</v>
      </c>
      <c r="AA190" s="629">
        <f t="shared" si="502"/>
        <v>0.33038333214819454</v>
      </c>
      <c r="AB190" s="629">
        <f t="shared" si="502"/>
        <v>0.34363967810430618</v>
      </c>
      <c r="AC190" s="629">
        <f t="shared" si="502"/>
        <v>0.34413479107476014</v>
      </c>
      <c r="AD190" s="629">
        <f t="shared" si="502"/>
        <v>0.32991991728833892</v>
      </c>
      <c r="AE190" s="774">
        <f t="shared" si="502"/>
        <v>0.33269703785063942</v>
      </c>
      <c r="AF190" s="629">
        <f t="shared" si="502"/>
        <v>0.33531912012987003</v>
      </c>
      <c r="AG190" s="629">
        <f t="shared" si="502"/>
        <v>0.34020411025155084</v>
      </c>
      <c r="AH190" s="629">
        <f t="shared" si="502"/>
        <v>0.33801984681970243</v>
      </c>
      <c r="AI190" s="629">
        <f t="shared" si="502"/>
        <v>0.34135406958173914</v>
      </c>
      <c r="AJ190" s="629">
        <f t="shared" si="502"/>
        <v>0.33984686838934453</v>
      </c>
      <c r="AK190" s="629">
        <f t="shared" si="502"/>
        <v>0.34096131919872785</v>
      </c>
    </row>
    <row r="191" spans="1:37" ht="12.75" customHeight="1">
      <c r="A191" s="625" t="s">
        <v>356</v>
      </c>
      <c r="C191" s="628"/>
      <c r="D191" s="629">
        <f t="shared" ref="D191:AK191" si="503">D221/D202</f>
        <v>0.58304003118194081</v>
      </c>
      <c r="E191" s="629">
        <f t="shared" si="503"/>
        <v>0.60278212198879522</v>
      </c>
      <c r="F191" s="629">
        <f t="shared" si="503"/>
        <v>0.62024885065278068</v>
      </c>
      <c r="G191" s="629">
        <f t="shared" si="503"/>
        <v>0.6419827971973473</v>
      </c>
      <c r="H191" s="629">
        <f t="shared" si="503"/>
        <v>0.62224859340542371</v>
      </c>
      <c r="I191" s="629">
        <f t="shared" si="503"/>
        <v>0.63997627644298027</v>
      </c>
      <c r="J191" s="629">
        <f t="shared" si="503"/>
        <v>0.60118006574501959</v>
      </c>
      <c r="K191" s="629">
        <f t="shared" si="503"/>
        <v>0.59088146602179459</v>
      </c>
      <c r="L191" s="629">
        <f t="shared" si="503"/>
        <v>0.58884730396907681</v>
      </c>
      <c r="M191" s="629">
        <f>M221/M202</f>
        <v>0.61171899532002305</v>
      </c>
      <c r="N191" s="629">
        <f t="shared" si="503"/>
        <v>0.61939928032881475</v>
      </c>
      <c r="O191" s="629">
        <f t="shared" si="503"/>
        <v>0.63189796570366896</v>
      </c>
      <c r="P191" s="629">
        <f t="shared" si="503"/>
        <v>0.63510193087529454</v>
      </c>
      <c r="Q191" s="629">
        <f t="shared" si="503"/>
        <v>0.64209373368241962</v>
      </c>
      <c r="R191" s="629">
        <f t="shared" si="503"/>
        <v>0.65004500746850424</v>
      </c>
      <c r="S191" s="629">
        <f t="shared" si="503"/>
        <v>0.66083380405645586</v>
      </c>
      <c r="T191" s="629">
        <f t="shared" si="503"/>
        <v>0.65525592151744305</v>
      </c>
      <c r="U191" s="629">
        <f t="shared" si="503"/>
        <v>0.65371720315319903</v>
      </c>
      <c r="V191" s="629">
        <f t="shared" si="503"/>
        <v>0.65044776311023589</v>
      </c>
      <c r="W191" s="629">
        <f t="shared" si="503"/>
        <v>0.66197516852916471</v>
      </c>
      <c r="X191" s="629">
        <f t="shared" si="503"/>
        <v>0.65626652849910094</v>
      </c>
      <c r="Y191" s="629">
        <f t="shared" si="503"/>
        <v>0.65360107542522317</v>
      </c>
      <c r="Z191" s="629">
        <f t="shared" si="503"/>
        <v>0.66125689222190498</v>
      </c>
      <c r="AA191" s="629">
        <f t="shared" si="503"/>
        <v>0.6696166678518054</v>
      </c>
      <c r="AB191" s="629">
        <f t="shared" si="503"/>
        <v>0.65636032189569382</v>
      </c>
      <c r="AC191" s="629">
        <f t="shared" si="503"/>
        <v>0.65586520892523981</v>
      </c>
      <c r="AD191" s="629">
        <f t="shared" si="503"/>
        <v>0.67008008271166097</v>
      </c>
      <c r="AE191" s="774">
        <f t="shared" si="503"/>
        <v>0.66730296214936047</v>
      </c>
      <c r="AF191" s="629">
        <f t="shared" si="503"/>
        <v>0.66468087987012969</v>
      </c>
      <c r="AG191" s="629">
        <f t="shared" si="503"/>
        <v>0.65979588974844905</v>
      </c>
      <c r="AH191" s="629">
        <f t="shared" si="503"/>
        <v>0.66198015318029768</v>
      </c>
      <c r="AI191" s="629">
        <f t="shared" si="503"/>
        <v>0.65864593041826103</v>
      </c>
      <c r="AJ191" s="629">
        <f t="shared" si="503"/>
        <v>0.66015313161065559</v>
      </c>
      <c r="AK191" s="629">
        <f t="shared" si="503"/>
        <v>0.65903868080127204</v>
      </c>
    </row>
    <row r="192" spans="1:37" ht="12.75" customHeight="1">
      <c r="A192" s="625" t="s">
        <v>112</v>
      </c>
      <c r="D192" s="628">
        <f t="shared" ref="D192:AJ192" si="504">SUM(D190:D191)</f>
        <v>1</v>
      </c>
      <c r="E192" s="628">
        <f t="shared" si="504"/>
        <v>1</v>
      </c>
      <c r="F192" s="628">
        <f t="shared" si="504"/>
        <v>1</v>
      </c>
      <c r="G192" s="628">
        <f t="shared" si="504"/>
        <v>1</v>
      </c>
      <c r="H192" s="628">
        <f t="shared" si="504"/>
        <v>1</v>
      </c>
      <c r="I192" s="628">
        <f t="shared" si="504"/>
        <v>1.0000000000000002</v>
      </c>
      <c r="J192" s="628">
        <f t="shared" si="504"/>
        <v>1</v>
      </c>
      <c r="K192" s="628">
        <f t="shared" si="504"/>
        <v>1</v>
      </c>
      <c r="L192" s="628">
        <f t="shared" si="504"/>
        <v>1</v>
      </c>
      <c r="M192" s="628">
        <f t="shared" si="504"/>
        <v>1</v>
      </c>
      <c r="N192" s="628">
        <f t="shared" si="504"/>
        <v>1</v>
      </c>
      <c r="O192" s="628">
        <f t="shared" si="504"/>
        <v>0.99999999999999989</v>
      </c>
      <c r="P192" s="628">
        <f t="shared" si="504"/>
        <v>1</v>
      </c>
      <c r="Q192" s="628">
        <f t="shared" si="504"/>
        <v>1</v>
      </c>
      <c r="R192" s="628">
        <f t="shared" si="504"/>
        <v>1</v>
      </c>
      <c r="S192" s="628">
        <f t="shared" si="504"/>
        <v>0.99999999999999978</v>
      </c>
      <c r="T192" s="628">
        <f t="shared" si="504"/>
        <v>1</v>
      </c>
      <c r="U192" s="628">
        <f t="shared" si="504"/>
        <v>1.0000000000000002</v>
      </c>
      <c r="V192" s="628">
        <f t="shared" si="504"/>
        <v>1</v>
      </c>
      <c r="W192" s="628">
        <f t="shared" si="504"/>
        <v>0.99999999999999978</v>
      </c>
      <c r="X192" s="628">
        <f t="shared" si="504"/>
        <v>1</v>
      </c>
      <c r="Y192" s="628">
        <f t="shared" si="504"/>
        <v>1</v>
      </c>
      <c r="Z192" s="628">
        <f t="shared" si="504"/>
        <v>1</v>
      </c>
      <c r="AA192" s="628">
        <f t="shared" si="504"/>
        <v>1</v>
      </c>
      <c r="AB192" s="628">
        <f t="shared" si="504"/>
        <v>1</v>
      </c>
      <c r="AC192" s="628">
        <f t="shared" si="504"/>
        <v>1</v>
      </c>
      <c r="AD192" s="628">
        <f t="shared" si="504"/>
        <v>0.99999999999999989</v>
      </c>
      <c r="AE192" s="773">
        <f t="shared" si="504"/>
        <v>0.99999999999999989</v>
      </c>
      <c r="AF192" s="628">
        <f t="shared" si="504"/>
        <v>0.99999999999999978</v>
      </c>
      <c r="AG192" s="628">
        <f t="shared" si="504"/>
        <v>0.99999999999999989</v>
      </c>
      <c r="AH192" s="628">
        <f t="shared" si="504"/>
        <v>1</v>
      </c>
      <c r="AI192" s="628">
        <f t="shared" si="504"/>
        <v>1.0000000000000002</v>
      </c>
      <c r="AJ192" s="628">
        <f t="shared" si="504"/>
        <v>1</v>
      </c>
      <c r="AK192" s="628">
        <f>SUM(AK190:AK191)</f>
        <v>0.99999999999999989</v>
      </c>
    </row>
    <row r="193" spans="1:74" ht="12.75" customHeight="1">
      <c r="A193" s="625"/>
    </row>
    <row r="194" spans="1:74" ht="12.75" customHeight="1">
      <c r="A194" s="625"/>
    </row>
    <row r="195" spans="1:74" ht="12.75" customHeight="1">
      <c r="A195" s="324" t="s">
        <v>378</v>
      </c>
    </row>
    <row r="196" spans="1:74" ht="12.75" customHeight="1">
      <c r="A196" s="325" t="s">
        <v>329</v>
      </c>
      <c r="C196" s="514"/>
      <c r="D196" s="514">
        <f t="shared" ref="D196:AK196" si="505">D83*(D12/(D12+D13))</f>
        <v>66613.420589041605</v>
      </c>
      <c r="E196" s="514">
        <f t="shared" si="505"/>
        <v>87702.378733024016</v>
      </c>
      <c r="F196" s="514">
        <f t="shared" si="505"/>
        <v>73954.533434329962</v>
      </c>
      <c r="G196" s="514">
        <f t="shared" si="505"/>
        <v>54047.840907785343</v>
      </c>
      <c r="H196" s="514">
        <f t="shared" si="505"/>
        <v>45220.532193945903</v>
      </c>
      <c r="I196" s="514">
        <f t="shared" si="505"/>
        <v>48271.470517509122</v>
      </c>
      <c r="J196" s="514">
        <f t="shared" si="505"/>
        <v>46988.749396034036</v>
      </c>
      <c r="K196" s="514">
        <f t="shared" si="505"/>
        <v>54525.726819258525</v>
      </c>
      <c r="L196" s="514">
        <f t="shared" si="505"/>
        <v>58264.528739313653</v>
      </c>
      <c r="M196" s="514">
        <f t="shared" si="505"/>
        <v>67581.782223278846</v>
      </c>
      <c r="N196" s="514">
        <f t="shared" si="505"/>
        <v>75772.807796715584</v>
      </c>
      <c r="O196" s="514">
        <f t="shared" si="505"/>
        <v>87073.492285396002</v>
      </c>
      <c r="P196" s="514">
        <f t="shared" si="505"/>
        <v>90574.877474511901</v>
      </c>
      <c r="Q196" s="514">
        <f t="shared" si="505"/>
        <v>72705.127271222809</v>
      </c>
      <c r="R196" s="514">
        <f t="shared" si="505"/>
        <v>88734.97189187356</v>
      </c>
      <c r="S196" s="514">
        <f t="shared" si="505"/>
        <v>111804.76946530009</v>
      </c>
      <c r="T196" s="514">
        <f t="shared" si="505"/>
        <v>128750.45641486533</v>
      </c>
      <c r="U196" s="514">
        <f t="shared" si="505"/>
        <v>129477.74704633761</v>
      </c>
      <c r="V196" s="514">
        <f t="shared" si="505"/>
        <v>106919.12747636194</v>
      </c>
      <c r="W196" s="514">
        <f t="shared" si="505"/>
        <v>92074.343597178013</v>
      </c>
      <c r="X196" s="514">
        <f t="shared" si="505"/>
        <v>83305.769046506073</v>
      </c>
      <c r="Y196" s="514">
        <f t="shared" si="505"/>
        <v>86349.706857288664</v>
      </c>
      <c r="Z196" s="514">
        <f t="shared" si="505"/>
        <v>102672.72582283078</v>
      </c>
      <c r="AA196" s="514">
        <f t="shared" si="505"/>
        <v>93341.029635203944</v>
      </c>
      <c r="AB196" s="514">
        <f t="shared" si="505"/>
        <v>86746.243256489397</v>
      </c>
      <c r="AC196" s="514">
        <f t="shared" si="505"/>
        <v>86056.737923523338</v>
      </c>
      <c r="AD196" s="514">
        <f t="shared" si="505"/>
        <v>104922.62703362718</v>
      </c>
      <c r="AE196" s="733">
        <f t="shared" si="505"/>
        <v>123066.99143736665</v>
      </c>
      <c r="AF196" s="514">
        <f t="shared" si="505"/>
        <v>108127.88892806746</v>
      </c>
      <c r="AG196" s="514">
        <f t="shared" si="505"/>
        <v>69678.397630118125</v>
      </c>
      <c r="AH196" s="514">
        <f t="shared" si="505"/>
        <v>52922.180504142598</v>
      </c>
      <c r="AI196" s="514">
        <f t="shared" si="505"/>
        <v>33993.966796262263</v>
      </c>
      <c r="AJ196" s="514">
        <f t="shared" si="505"/>
        <v>27149.021453204099</v>
      </c>
      <c r="AK196" s="514">
        <f t="shared" si="505"/>
        <v>22064.287260230773</v>
      </c>
      <c r="AL196" s="493"/>
      <c r="AM196" s="493"/>
      <c r="AN196" s="493"/>
      <c r="AO196" s="493"/>
      <c r="AP196" s="493"/>
      <c r="AQ196" s="493"/>
      <c r="AR196" s="493"/>
      <c r="AS196" s="493"/>
      <c r="AT196" s="493"/>
      <c r="AU196" s="493"/>
      <c r="AV196" s="493"/>
      <c r="AW196" s="493"/>
      <c r="AX196" s="493"/>
      <c r="AY196" s="493"/>
      <c r="AZ196" s="493"/>
      <c r="BA196" s="493"/>
      <c r="BB196" s="493"/>
      <c r="BC196" s="493"/>
      <c r="BD196" s="493"/>
      <c r="BE196" s="493"/>
      <c r="BF196" s="493"/>
      <c r="BG196" s="493"/>
      <c r="BH196" s="493"/>
      <c r="BI196" s="493"/>
      <c r="BJ196" s="493"/>
      <c r="BK196" s="493"/>
      <c r="BL196" s="493"/>
      <c r="BM196" s="493"/>
      <c r="BN196" s="493"/>
      <c r="BO196" s="493"/>
      <c r="BP196" s="493"/>
      <c r="BQ196" s="493"/>
      <c r="BR196" s="493"/>
      <c r="BS196" s="493"/>
      <c r="BT196" s="493"/>
      <c r="BU196" s="493"/>
      <c r="BV196" s="493"/>
    </row>
    <row r="197" spans="1:74" ht="12.75" customHeight="1">
      <c r="A197" s="325" t="s">
        <v>330</v>
      </c>
      <c r="C197" s="514"/>
      <c r="D197" s="514">
        <f t="shared" ref="D197:AK197" si="506">D83*(D13/(D13+D12))</f>
        <v>0</v>
      </c>
      <c r="E197" s="514">
        <f t="shared" si="506"/>
        <v>0</v>
      </c>
      <c r="F197" s="514">
        <f t="shared" si="506"/>
        <v>0</v>
      </c>
      <c r="G197" s="514">
        <f t="shared" si="506"/>
        <v>0</v>
      </c>
      <c r="H197" s="514">
        <f t="shared" si="506"/>
        <v>495.40916938841838</v>
      </c>
      <c r="I197" s="514">
        <f t="shared" si="506"/>
        <v>551.71997337827975</v>
      </c>
      <c r="J197" s="514">
        <f t="shared" si="506"/>
        <v>1322.6845071717028</v>
      </c>
      <c r="K197" s="514">
        <f t="shared" si="506"/>
        <v>283.59628639673792</v>
      </c>
      <c r="L197" s="514">
        <f t="shared" si="506"/>
        <v>1039.6880622774452</v>
      </c>
      <c r="M197" s="514">
        <f t="shared" si="506"/>
        <v>350.41469455995184</v>
      </c>
      <c r="N197" s="514">
        <f t="shared" si="506"/>
        <v>1876.462245359146</v>
      </c>
      <c r="O197" s="514">
        <f t="shared" si="506"/>
        <v>113.33477984339385</v>
      </c>
      <c r="P197" s="514">
        <f t="shared" si="506"/>
        <v>560.42465128765195</v>
      </c>
      <c r="Q197" s="514">
        <f t="shared" si="506"/>
        <v>1321.3058826787906</v>
      </c>
      <c r="R197" s="514">
        <f t="shared" si="506"/>
        <v>1387.2516739712964</v>
      </c>
      <c r="S197" s="514">
        <f t="shared" si="506"/>
        <v>2256.5257689924165</v>
      </c>
      <c r="T197" s="514">
        <f t="shared" si="506"/>
        <v>1709.7310658101862</v>
      </c>
      <c r="U197" s="514">
        <f t="shared" si="506"/>
        <v>1837.0064429290435</v>
      </c>
      <c r="V197" s="514">
        <f t="shared" si="506"/>
        <v>147.90262269874296</v>
      </c>
      <c r="W197" s="514">
        <f t="shared" si="506"/>
        <v>139.8193613116841</v>
      </c>
      <c r="X197" s="514">
        <f t="shared" si="506"/>
        <v>203.6581331376004</v>
      </c>
      <c r="Y197" s="514">
        <f t="shared" si="506"/>
        <v>677.1356232991933</v>
      </c>
      <c r="Z197" s="514">
        <f t="shared" si="506"/>
        <v>328.58309925960259</v>
      </c>
      <c r="AA197" s="514">
        <f t="shared" si="506"/>
        <v>377.74360500101631</v>
      </c>
      <c r="AB197" s="514">
        <f t="shared" si="506"/>
        <v>17.088615987093952</v>
      </c>
      <c r="AC197" s="514">
        <f t="shared" si="506"/>
        <v>51.262008725786607</v>
      </c>
      <c r="AD197" s="514">
        <f t="shared" si="506"/>
        <v>115.75999555113805</v>
      </c>
      <c r="AE197" s="733">
        <f t="shared" si="506"/>
        <v>1134.3694588543169</v>
      </c>
      <c r="AF197" s="514">
        <f t="shared" si="506"/>
        <v>6641.3167732631773</v>
      </c>
      <c r="AG197" s="514">
        <f t="shared" si="506"/>
        <v>24405.745126451624</v>
      </c>
      <c r="AH197" s="514">
        <f t="shared" si="506"/>
        <v>42443.743912016776</v>
      </c>
      <c r="AI197" s="514">
        <f t="shared" si="506"/>
        <v>57384.305555495921</v>
      </c>
      <c r="AJ197" s="514">
        <f t="shared" si="506"/>
        <v>73996.720276149776</v>
      </c>
      <c r="AK197" s="514">
        <f t="shared" si="506"/>
        <v>76925.964105738065</v>
      </c>
      <c r="AL197" s="493"/>
      <c r="AM197" s="493"/>
      <c r="AN197" s="493"/>
      <c r="AO197" s="493"/>
      <c r="AP197" s="493"/>
      <c r="AQ197" s="493"/>
      <c r="AR197" s="493"/>
      <c r="AS197" s="493"/>
      <c r="AT197" s="493"/>
      <c r="AU197" s="493"/>
      <c r="AV197" s="493"/>
      <c r="AW197" s="493"/>
      <c r="AX197" s="493"/>
      <c r="AY197" s="493"/>
      <c r="AZ197" s="493"/>
      <c r="BA197" s="493"/>
      <c r="BB197" s="493"/>
      <c r="BC197" s="493"/>
      <c r="BD197" s="493"/>
      <c r="BE197" s="493"/>
      <c r="BF197" s="493"/>
      <c r="BG197" s="493"/>
      <c r="BH197" s="493"/>
      <c r="BI197" s="493"/>
      <c r="BJ197" s="493"/>
      <c r="BK197" s="493"/>
      <c r="BL197" s="493"/>
      <c r="BM197" s="493"/>
      <c r="BN197" s="493"/>
      <c r="BO197" s="493"/>
      <c r="BP197" s="493"/>
      <c r="BQ197" s="493"/>
      <c r="BR197" s="493"/>
      <c r="BS197" s="493"/>
      <c r="BT197" s="493"/>
      <c r="BU197" s="493"/>
      <c r="BV197" s="493"/>
    </row>
    <row r="198" spans="1:74" ht="12.75" customHeight="1">
      <c r="A198" s="325" t="s">
        <v>347</v>
      </c>
      <c r="C198" s="514"/>
      <c r="D198" s="514">
        <f t="shared" ref="D198:AK198" si="507">D79</f>
        <v>15418.248269795793</v>
      </c>
      <c r="E198" s="514">
        <f t="shared" si="507"/>
        <v>14839.722586906493</v>
      </c>
      <c r="F198" s="514">
        <f t="shared" si="507"/>
        <v>7959.0607954577317</v>
      </c>
      <c r="G198" s="514">
        <f t="shared" si="507"/>
        <v>1200.7225730185853</v>
      </c>
      <c r="H198" s="514">
        <f t="shared" si="507"/>
        <v>3344.0085076792652</v>
      </c>
      <c r="I198" s="514">
        <f t="shared" si="507"/>
        <v>1293.7743985813731</v>
      </c>
      <c r="J198" s="514">
        <f t="shared" si="507"/>
        <v>5166.7600457705757</v>
      </c>
      <c r="K198" s="514">
        <f t="shared" si="507"/>
        <v>9433.9226368371383</v>
      </c>
      <c r="L198" s="514">
        <f t="shared" si="507"/>
        <v>14705.67711428077</v>
      </c>
      <c r="M198" s="514">
        <f t="shared" si="507"/>
        <v>7423.1422882612096</v>
      </c>
      <c r="N198" s="514">
        <f t="shared" si="507"/>
        <v>4715.7145391335744</v>
      </c>
      <c r="O198" s="514">
        <f t="shared" si="507"/>
        <v>2143.800546492067</v>
      </c>
      <c r="P198" s="514">
        <f t="shared" si="507"/>
        <v>549.30713657590434</v>
      </c>
      <c r="Q198" s="514">
        <f t="shared" si="507"/>
        <v>564.92121655151038</v>
      </c>
      <c r="R198" s="514">
        <f t="shared" si="507"/>
        <v>501.89950047474122</v>
      </c>
      <c r="S198" s="514">
        <f t="shared" si="507"/>
        <v>320.0940288988312</v>
      </c>
      <c r="T198" s="514">
        <f t="shared" si="507"/>
        <v>3056.2100291055508</v>
      </c>
      <c r="U198" s="514">
        <f t="shared" si="507"/>
        <v>4075.1279383923229</v>
      </c>
      <c r="V198" s="514">
        <f t="shared" si="507"/>
        <v>3884.3305144979181</v>
      </c>
      <c r="W198" s="514">
        <f t="shared" si="507"/>
        <v>1124.677980157312</v>
      </c>
      <c r="X198" s="514">
        <f t="shared" si="507"/>
        <v>2306.2542551165384</v>
      </c>
      <c r="Y198" s="514">
        <f t="shared" si="507"/>
        <v>2359.468678656825</v>
      </c>
      <c r="Z198" s="514">
        <f t="shared" si="507"/>
        <v>758.18853164460984</v>
      </c>
      <c r="AA198" s="514">
        <f t="shared" si="507"/>
        <v>527.15220888076783</v>
      </c>
      <c r="AB198" s="514">
        <f t="shared" si="507"/>
        <v>827.66551465711063</v>
      </c>
      <c r="AC198" s="514">
        <f t="shared" si="507"/>
        <v>952.99993611168668</v>
      </c>
      <c r="AD198" s="514">
        <f t="shared" si="507"/>
        <v>2281.0135429457268</v>
      </c>
      <c r="AE198" s="733">
        <f t="shared" si="507"/>
        <v>3117.8146580819866</v>
      </c>
      <c r="AF198" s="514">
        <f t="shared" si="507"/>
        <v>3025.3381627566728</v>
      </c>
      <c r="AG198" s="514">
        <f t="shared" si="507"/>
        <v>1816.0247490349122</v>
      </c>
      <c r="AH198" s="514">
        <f t="shared" si="507"/>
        <v>1173.7442933346165</v>
      </c>
      <c r="AI198" s="514">
        <f t="shared" si="507"/>
        <v>2109.8454761235676</v>
      </c>
      <c r="AJ198" s="514">
        <f t="shared" si="507"/>
        <v>3269.0164358017846</v>
      </c>
      <c r="AK198" s="514">
        <f t="shared" si="507"/>
        <v>3218.9351770752942</v>
      </c>
      <c r="AL198" s="493"/>
      <c r="AM198" s="493"/>
      <c r="AN198" s="493"/>
      <c r="AO198" s="493"/>
      <c r="AP198" s="493"/>
      <c r="AQ198" s="493"/>
      <c r="AR198" s="493"/>
      <c r="AS198" s="493"/>
      <c r="AT198" s="493"/>
      <c r="AU198" s="493"/>
      <c r="AV198" s="493"/>
      <c r="AW198" s="493"/>
      <c r="AX198" s="493"/>
      <c r="AY198" s="493"/>
      <c r="AZ198" s="493"/>
      <c r="BA198" s="493"/>
      <c r="BB198" s="493"/>
      <c r="BC198" s="493"/>
      <c r="BD198" s="493"/>
      <c r="BE198" s="493"/>
      <c r="BF198" s="493"/>
      <c r="BG198" s="493"/>
      <c r="BH198" s="493"/>
      <c r="BI198" s="493"/>
      <c r="BJ198" s="493"/>
      <c r="BK198" s="493"/>
      <c r="BL198" s="493"/>
      <c r="BM198" s="493"/>
      <c r="BN198" s="493"/>
      <c r="BO198" s="493"/>
      <c r="BP198" s="493"/>
      <c r="BQ198" s="493"/>
      <c r="BR198" s="493"/>
      <c r="BS198" s="493"/>
      <c r="BT198" s="493"/>
      <c r="BU198" s="493"/>
      <c r="BV198" s="493"/>
    </row>
    <row r="199" spans="1:74" ht="12.75" customHeight="1">
      <c r="A199" s="325" t="s">
        <v>346</v>
      </c>
      <c r="C199" s="514"/>
      <c r="D199" s="514">
        <f t="shared" ref="D199:AK199" si="508">D80</f>
        <v>1734.4463270019533</v>
      </c>
      <c r="E199" s="514">
        <f t="shared" si="508"/>
        <v>2459.2071031250002</v>
      </c>
      <c r="F199" s="514">
        <f t="shared" si="508"/>
        <v>5638.572265625</v>
      </c>
      <c r="G199" s="514">
        <f t="shared" si="508"/>
        <v>2173.6285703125</v>
      </c>
      <c r="H199" s="514">
        <f t="shared" si="508"/>
        <v>377.80903244018555</v>
      </c>
      <c r="I199" s="514">
        <f t="shared" si="508"/>
        <v>4378.8306318359373</v>
      </c>
      <c r="J199" s="514">
        <f t="shared" si="508"/>
        <v>16371.13850390625</v>
      </c>
      <c r="K199" s="514">
        <f t="shared" si="508"/>
        <v>17742.426853515626</v>
      </c>
      <c r="L199" s="514">
        <f t="shared" si="508"/>
        <v>17400.819386718751</v>
      </c>
      <c r="M199" s="514">
        <f t="shared" si="508"/>
        <v>13850.123679687498</v>
      </c>
      <c r="N199" s="514">
        <f t="shared" si="508"/>
        <v>8892.3440371093748</v>
      </c>
      <c r="O199" s="514">
        <f t="shared" si="508"/>
        <v>3638.5188955078124</v>
      </c>
      <c r="P199" s="514">
        <f t="shared" si="508"/>
        <v>4322.0162437500003</v>
      </c>
      <c r="Q199" s="514">
        <f t="shared" si="508"/>
        <v>5003.5707148437505</v>
      </c>
      <c r="R199" s="514">
        <f t="shared" si="508"/>
        <v>3724.4747434570313</v>
      </c>
      <c r="S199" s="514">
        <f t="shared" si="508"/>
        <v>2607.2838999999999</v>
      </c>
      <c r="T199" s="514">
        <f t="shared" si="508"/>
        <v>3118.7743</v>
      </c>
      <c r="U199" s="514">
        <f t="shared" si="508"/>
        <v>5068.5420156250002</v>
      </c>
      <c r="V199" s="514">
        <f t="shared" si="508"/>
        <v>6890.9691162109375</v>
      </c>
      <c r="W199" s="514">
        <f t="shared" si="508"/>
        <v>5218.0791132812501</v>
      </c>
      <c r="X199" s="514">
        <f t="shared" si="508"/>
        <v>2769.2837397460939</v>
      </c>
      <c r="Y199" s="514">
        <f t="shared" si="508"/>
        <v>789.41672729492188</v>
      </c>
      <c r="Z199" s="514">
        <f t="shared" si="508"/>
        <v>530.7515881884766</v>
      </c>
      <c r="AA199" s="514">
        <f t="shared" si="508"/>
        <v>456.96999734863277</v>
      </c>
      <c r="AB199" s="514">
        <f t="shared" si="508"/>
        <v>1482.2528755371095</v>
      </c>
      <c r="AC199" s="514">
        <f t="shared" si="508"/>
        <v>1309.9999812316894</v>
      </c>
      <c r="AD199" s="514">
        <f t="shared" si="508"/>
        <v>584.49258674072257</v>
      </c>
      <c r="AE199" s="733">
        <f t="shared" si="508"/>
        <v>1160.3144790039064</v>
      </c>
      <c r="AF199" s="514">
        <f t="shared" si="508"/>
        <v>1541.5394187145089</v>
      </c>
      <c r="AG199" s="514">
        <f t="shared" si="508"/>
        <v>1393.8466664724115</v>
      </c>
      <c r="AH199" s="514">
        <f t="shared" si="508"/>
        <v>1050.7230430972368</v>
      </c>
      <c r="AI199" s="514">
        <f t="shared" si="508"/>
        <v>932.82953621059414</v>
      </c>
      <c r="AJ199" s="514">
        <f t="shared" si="508"/>
        <v>580.5753682340586</v>
      </c>
      <c r="AK199" s="514">
        <f t="shared" si="508"/>
        <v>750.47195739803169</v>
      </c>
      <c r="AL199" s="493"/>
      <c r="AM199" s="493"/>
      <c r="AN199" s="493"/>
      <c r="AO199" s="493"/>
      <c r="AP199" s="493"/>
      <c r="AQ199" s="493"/>
      <c r="AR199" s="493"/>
      <c r="AS199" s="493"/>
      <c r="AT199" s="493"/>
      <c r="AU199" s="493"/>
      <c r="AV199" s="493"/>
      <c r="AW199" s="493"/>
      <c r="AX199" s="493"/>
      <c r="AY199" s="493"/>
      <c r="AZ199" s="493"/>
      <c r="BA199" s="493"/>
      <c r="BB199" s="493"/>
      <c r="BC199" s="493"/>
      <c r="BD199" s="493"/>
      <c r="BE199" s="493"/>
      <c r="BF199" s="493"/>
      <c r="BG199" s="493"/>
      <c r="BH199" s="493"/>
      <c r="BI199" s="493"/>
      <c r="BJ199" s="493"/>
      <c r="BK199" s="493"/>
      <c r="BL199" s="493"/>
      <c r="BM199" s="493"/>
      <c r="BN199" s="493"/>
      <c r="BO199" s="493"/>
      <c r="BP199" s="493"/>
      <c r="BQ199" s="493"/>
      <c r="BR199" s="493"/>
      <c r="BS199" s="493"/>
      <c r="BT199" s="493"/>
      <c r="BU199" s="493"/>
      <c r="BV199" s="493"/>
    </row>
    <row r="200" spans="1:74" ht="12.75" customHeight="1">
      <c r="A200" s="325" t="s">
        <v>326</v>
      </c>
      <c r="C200" s="514"/>
      <c r="D200" s="514">
        <f t="shared" ref="D200:AK200" si="509">D81</f>
        <v>16022.063267667869</v>
      </c>
      <c r="E200" s="514">
        <f t="shared" si="509"/>
        <v>13622.712205888341</v>
      </c>
      <c r="F200" s="514">
        <f t="shared" si="509"/>
        <v>7632.3167457874333</v>
      </c>
      <c r="G200" s="514">
        <f t="shared" si="509"/>
        <v>8721.5647871398323</v>
      </c>
      <c r="H200" s="514">
        <f t="shared" si="509"/>
        <v>10503.9805706565</v>
      </c>
      <c r="I200" s="514">
        <f t="shared" si="509"/>
        <v>5997.15540544945</v>
      </c>
      <c r="J200" s="514">
        <f t="shared" si="509"/>
        <v>6796.1832132777463</v>
      </c>
      <c r="K200" s="514">
        <f t="shared" si="509"/>
        <v>6190.743567568702</v>
      </c>
      <c r="L200" s="514">
        <f t="shared" si="509"/>
        <v>11404.458746860762</v>
      </c>
      <c r="M200" s="514">
        <f t="shared" si="509"/>
        <v>17257.481533689526</v>
      </c>
      <c r="N200" s="514">
        <f t="shared" si="509"/>
        <v>25268.25988443067</v>
      </c>
      <c r="O200" s="514">
        <f t="shared" si="509"/>
        <v>33001.990632778041</v>
      </c>
      <c r="P200" s="514">
        <f t="shared" si="509"/>
        <v>34133.628661046925</v>
      </c>
      <c r="Q200" s="514">
        <f t="shared" si="509"/>
        <v>31368.756975416618</v>
      </c>
      <c r="R200" s="514">
        <f t="shared" si="509"/>
        <v>32579.090415329294</v>
      </c>
      <c r="S200" s="514">
        <f t="shared" si="509"/>
        <v>32143.275494643181</v>
      </c>
      <c r="T200" s="514">
        <f t="shared" si="509"/>
        <v>38296.740645598955</v>
      </c>
      <c r="U200" s="514">
        <f t="shared" si="509"/>
        <v>37597.90030471186</v>
      </c>
      <c r="V200" s="514">
        <f t="shared" si="509"/>
        <v>31414.818539427593</v>
      </c>
      <c r="W200" s="514">
        <f t="shared" si="509"/>
        <v>21977.442801037698</v>
      </c>
      <c r="X200" s="514">
        <f t="shared" si="509"/>
        <v>22786.392842559981</v>
      </c>
      <c r="Y200" s="514">
        <f t="shared" si="509"/>
        <v>26948.557442574165</v>
      </c>
      <c r="Z200" s="514">
        <f t="shared" si="509"/>
        <v>28906.101976755032</v>
      </c>
      <c r="AA200" s="514">
        <f t="shared" si="509"/>
        <v>20607.041895325114</v>
      </c>
      <c r="AB200" s="514">
        <f t="shared" si="509"/>
        <v>26987.138948302993</v>
      </c>
      <c r="AC200" s="514">
        <f t="shared" si="509"/>
        <v>27014.999896869394</v>
      </c>
      <c r="AD200" s="514">
        <f t="shared" si="509"/>
        <v>19960.879418892022</v>
      </c>
      <c r="AE200" s="733">
        <f t="shared" si="509"/>
        <v>25158.236510936651</v>
      </c>
      <c r="AF200" s="514">
        <f t="shared" si="509"/>
        <v>25006.931488043163</v>
      </c>
      <c r="AG200" s="514">
        <f t="shared" si="509"/>
        <v>25149.250161738753</v>
      </c>
      <c r="AH200" s="514">
        <f t="shared" si="509"/>
        <v>25122.058496061152</v>
      </c>
      <c r="AI200" s="514">
        <f t="shared" si="509"/>
        <v>24941.184167955442</v>
      </c>
      <c r="AJ200" s="514">
        <f t="shared" si="509"/>
        <v>25062.377558643308</v>
      </c>
      <c r="AK200" s="514">
        <f t="shared" si="509"/>
        <v>25287.831677706472</v>
      </c>
      <c r="AL200" s="493"/>
      <c r="AM200" s="493"/>
      <c r="AN200" s="493"/>
      <c r="AO200" s="493"/>
      <c r="AP200" s="493"/>
      <c r="AQ200" s="493"/>
      <c r="AR200" s="493"/>
      <c r="AS200" s="493"/>
      <c r="AT200" s="493"/>
      <c r="AU200" s="493"/>
      <c r="AV200" s="493"/>
      <c r="AW200" s="493"/>
      <c r="AX200" s="493"/>
      <c r="AY200" s="493"/>
      <c r="AZ200" s="493"/>
      <c r="BA200" s="493"/>
      <c r="BB200" s="493"/>
      <c r="BC200" s="493"/>
      <c r="BD200" s="493"/>
      <c r="BE200" s="493"/>
      <c r="BF200" s="493"/>
      <c r="BG200" s="493"/>
      <c r="BH200" s="493"/>
      <c r="BI200" s="493"/>
      <c r="BJ200" s="493"/>
      <c r="BK200" s="493"/>
      <c r="BL200" s="493"/>
      <c r="BM200" s="493"/>
      <c r="BN200" s="493"/>
      <c r="BO200" s="493"/>
      <c r="BP200" s="493"/>
      <c r="BQ200" s="493"/>
      <c r="BR200" s="493"/>
      <c r="BS200" s="493"/>
      <c r="BT200" s="493"/>
      <c r="BU200" s="493"/>
      <c r="BV200" s="493"/>
    </row>
    <row r="201" spans="1:74" ht="12.75" customHeight="1">
      <c r="A201" s="325" t="s">
        <v>353</v>
      </c>
      <c r="C201" s="514"/>
      <c r="D201" s="514">
        <f>SUM(D196:D199)</f>
        <v>83766.115185839342</v>
      </c>
      <c r="E201" s="514">
        <f t="shared" ref="E201:AK201" si="510">SUM(E196:E199)</f>
        <v>105001.30842305551</v>
      </c>
      <c r="F201" s="514">
        <f t="shared" si="510"/>
        <v>87552.16649541269</v>
      </c>
      <c r="G201" s="514">
        <f t="shared" si="510"/>
        <v>57422.192051116428</v>
      </c>
      <c r="H201" s="514">
        <f t="shared" si="510"/>
        <v>49437.758903453774</v>
      </c>
      <c r="I201" s="514">
        <f t="shared" si="510"/>
        <v>54495.79552130471</v>
      </c>
      <c r="J201" s="514">
        <f t="shared" si="510"/>
        <v>69849.332452882561</v>
      </c>
      <c r="K201" s="514">
        <f t="shared" si="510"/>
        <v>81985.672596008022</v>
      </c>
      <c r="L201" s="514">
        <f t="shared" si="510"/>
        <v>91410.713302590622</v>
      </c>
      <c r="M201" s="514">
        <f t="shared" si="510"/>
        <v>89205.462885787507</v>
      </c>
      <c r="N201" s="514">
        <f t="shared" si="510"/>
        <v>91257.328618317682</v>
      </c>
      <c r="O201" s="514">
        <f>SUM(O196:O199)</f>
        <v>92969.146507239289</v>
      </c>
      <c r="P201" s="514">
        <f t="shared" si="510"/>
        <v>96006.625506125463</v>
      </c>
      <c r="Q201" s="514">
        <f t="shared" si="510"/>
        <v>79594.925085296854</v>
      </c>
      <c r="R201" s="514">
        <f t="shared" si="510"/>
        <v>94348.597809776635</v>
      </c>
      <c r="S201" s="514">
        <f t="shared" si="510"/>
        <v>116988.67316319134</v>
      </c>
      <c r="T201" s="514">
        <f t="shared" si="510"/>
        <v>136635.17180978105</v>
      </c>
      <c r="U201" s="514">
        <f t="shared" si="510"/>
        <v>140458.42344328394</v>
      </c>
      <c r="V201" s="514">
        <f t="shared" si="510"/>
        <v>117842.32972976955</v>
      </c>
      <c r="W201" s="514">
        <f t="shared" si="510"/>
        <v>98556.92005192826</v>
      </c>
      <c r="X201" s="514">
        <f t="shared" si="510"/>
        <v>88584.965174506317</v>
      </c>
      <c r="Y201" s="514">
        <f t="shared" si="510"/>
        <v>90175.727886539607</v>
      </c>
      <c r="Z201" s="514">
        <f t="shared" si="510"/>
        <v>104290.24904192347</v>
      </c>
      <c r="AA201" s="514">
        <f t="shared" si="510"/>
        <v>94702.895446434355</v>
      </c>
      <c r="AB201" s="514">
        <f t="shared" si="510"/>
        <v>89073.250262670714</v>
      </c>
      <c r="AC201" s="514">
        <f t="shared" si="510"/>
        <v>88370.99984959251</v>
      </c>
      <c r="AD201" s="514">
        <f t="shared" si="510"/>
        <v>107903.89315886478</v>
      </c>
      <c r="AE201" s="733">
        <f t="shared" si="510"/>
        <v>128479.49003330687</v>
      </c>
      <c r="AF201" s="514">
        <f t="shared" si="510"/>
        <v>119336.08328280183</v>
      </c>
      <c r="AG201" s="514">
        <f t="shared" si="510"/>
        <v>97294.014172077077</v>
      </c>
      <c r="AH201" s="514">
        <f t="shared" si="510"/>
        <v>97590.391752591226</v>
      </c>
      <c r="AI201" s="514">
        <f t="shared" si="510"/>
        <v>94420.947364092339</v>
      </c>
      <c r="AJ201" s="514">
        <f t="shared" si="510"/>
        <v>104995.33353338971</v>
      </c>
      <c r="AK201" s="514">
        <f t="shared" si="510"/>
        <v>102959.65850044216</v>
      </c>
      <c r="AL201" s="493"/>
      <c r="AM201" s="493"/>
      <c r="AN201" s="493"/>
      <c r="AO201" s="493"/>
      <c r="AP201" s="493"/>
      <c r="AQ201" s="493"/>
      <c r="AR201" s="493"/>
      <c r="AS201" s="493"/>
      <c r="AT201" s="493"/>
      <c r="AU201" s="493"/>
      <c r="AV201" s="493"/>
      <c r="AW201" s="493"/>
      <c r="AX201" s="493"/>
      <c r="AY201" s="493"/>
      <c r="AZ201" s="493"/>
      <c r="BA201" s="493"/>
      <c r="BB201" s="493"/>
      <c r="BC201" s="493"/>
      <c r="BD201" s="493"/>
      <c r="BE201" s="493"/>
      <c r="BF201" s="493"/>
      <c r="BG201" s="493"/>
      <c r="BH201" s="493"/>
      <c r="BI201" s="493"/>
      <c r="BJ201" s="493"/>
      <c r="BK201" s="493"/>
      <c r="BL201" s="493"/>
      <c r="BM201" s="493"/>
      <c r="BN201" s="493"/>
      <c r="BO201" s="493"/>
      <c r="BP201" s="493"/>
      <c r="BQ201" s="493"/>
      <c r="BR201" s="493"/>
      <c r="BS201" s="493"/>
      <c r="BT201" s="493"/>
      <c r="BU201" s="493"/>
      <c r="BV201" s="493"/>
    </row>
    <row r="202" spans="1:74" ht="12.75" customHeight="1">
      <c r="A202" s="325" t="s">
        <v>354</v>
      </c>
      <c r="C202" s="514"/>
      <c r="D202" s="514">
        <f>SUM(D196:D200)</f>
        <v>99788.178453507207</v>
      </c>
      <c r="E202" s="514">
        <f t="shared" ref="E202:AK202" si="511">SUM(E196:E200)</f>
        <v>118624.02062894385</v>
      </c>
      <c r="F202" s="514">
        <f t="shared" si="511"/>
        <v>95184.483241200127</v>
      </c>
      <c r="G202" s="514">
        <f t="shared" si="511"/>
        <v>66143.75683825626</v>
      </c>
      <c r="H202" s="514">
        <f t="shared" si="511"/>
        <v>59941.739474110276</v>
      </c>
      <c r="I202" s="514">
        <f t="shared" si="511"/>
        <v>60492.950926754158</v>
      </c>
      <c r="J202" s="514">
        <f t="shared" si="511"/>
        <v>76645.515666160311</v>
      </c>
      <c r="K202" s="514">
        <f t="shared" si="511"/>
        <v>88176.416163576723</v>
      </c>
      <c r="L202" s="514">
        <f t="shared" si="511"/>
        <v>102815.17204945139</v>
      </c>
      <c r="M202" s="514">
        <f t="shared" si="511"/>
        <v>106462.94441947703</v>
      </c>
      <c r="N202" s="514">
        <f t="shared" si="511"/>
        <v>116525.58850274835</v>
      </c>
      <c r="O202" s="514">
        <f t="shared" si="511"/>
        <v>125971.13714001732</v>
      </c>
      <c r="P202" s="514">
        <f t="shared" si="511"/>
        <v>130140.25416717239</v>
      </c>
      <c r="Q202" s="514">
        <f t="shared" si="511"/>
        <v>110963.68206071347</v>
      </c>
      <c r="R202" s="514">
        <f t="shared" si="511"/>
        <v>126927.68822510593</v>
      </c>
      <c r="S202" s="514">
        <f t="shared" si="511"/>
        <v>149131.94865783452</v>
      </c>
      <c r="T202" s="514">
        <f t="shared" si="511"/>
        <v>174931.91245538002</v>
      </c>
      <c r="U202" s="514">
        <f t="shared" si="511"/>
        <v>178056.3237479958</v>
      </c>
      <c r="V202" s="514">
        <f t="shared" si="511"/>
        <v>149257.14826919715</v>
      </c>
      <c r="W202" s="514">
        <f t="shared" si="511"/>
        <v>120534.36285296596</v>
      </c>
      <c r="X202" s="514">
        <f t="shared" si="511"/>
        <v>111371.35801706629</v>
      </c>
      <c r="Y202" s="514">
        <f t="shared" si="511"/>
        <v>117124.28532911377</v>
      </c>
      <c r="Z202" s="514">
        <f t="shared" si="511"/>
        <v>133196.35101867851</v>
      </c>
      <c r="AA202" s="514">
        <f t="shared" si="511"/>
        <v>115309.93734175948</v>
      </c>
      <c r="AB202" s="514">
        <f t="shared" si="511"/>
        <v>116060.38921097371</v>
      </c>
      <c r="AC202" s="514">
        <f t="shared" si="511"/>
        <v>115385.99974646191</v>
      </c>
      <c r="AD202" s="514">
        <f t="shared" si="511"/>
        <v>127864.77257775681</v>
      </c>
      <c r="AE202" s="733">
        <f t="shared" si="511"/>
        <v>153637.72654424352</v>
      </c>
      <c r="AF202" s="514">
        <f t="shared" si="511"/>
        <v>144343.01477084501</v>
      </c>
      <c r="AG202" s="514">
        <f t="shared" si="511"/>
        <v>122443.26433381584</v>
      </c>
      <c r="AH202" s="514">
        <f t="shared" si="511"/>
        <v>122712.45024865237</v>
      </c>
      <c r="AI202" s="514">
        <f t="shared" si="511"/>
        <v>119362.13153204779</v>
      </c>
      <c r="AJ202" s="514">
        <f t="shared" si="511"/>
        <v>130057.71109203302</v>
      </c>
      <c r="AK202" s="514">
        <f t="shared" si="511"/>
        <v>128247.49017814864</v>
      </c>
      <c r="AL202" s="493"/>
      <c r="AM202" s="493"/>
      <c r="AN202" s="493"/>
      <c r="AO202" s="493"/>
      <c r="AP202" s="493"/>
      <c r="AQ202" s="493"/>
      <c r="AR202" s="493"/>
      <c r="AS202" s="493"/>
      <c r="AT202" s="493"/>
      <c r="AU202" s="493"/>
      <c r="AV202" s="493"/>
      <c r="AW202" s="493"/>
      <c r="AX202" s="493"/>
      <c r="AY202" s="493"/>
      <c r="AZ202" s="493"/>
      <c r="BA202" s="493"/>
      <c r="BB202" s="493"/>
      <c r="BC202" s="493"/>
      <c r="BD202" s="493"/>
      <c r="BE202" s="493"/>
      <c r="BF202" s="493"/>
      <c r="BG202" s="493"/>
      <c r="BH202" s="493"/>
      <c r="BI202" s="493"/>
      <c r="BJ202" s="493"/>
      <c r="BK202" s="493"/>
      <c r="BL202" s="493"/>
      <c r="BM202" s="493"/>
      <c r="BN202" s="493"/>
      <c r="BO202" s="493"/>
      <c r="BP202" s="493"/>
      <c r="BQ202" s="493"/>
      <c r="BR202" s="493"/>
      <c r="BS202" s="493"/>
      <c r="BT202" s="493"/>
      <c r="BU202" s="493"/>
      <c r="BV202" s="493"/>
    </row>
    <row r="203" spans="1:74" ht="12.75" customHeight="1">
      <c r="A203" s="625" t="s">
        <v>20</v>
      </c>
      <c r="Q203" s="504"/>
      <c r="R203" s="504"/>
      <c r="S203" s="504"/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734"/>
      <c r="AF203" s="504"/>
      <c r="AG203" s="504"/>
      <c r="AH203" s="504"/>
      <c r="AI203" s="504"/>
      <c r="AJ203" s="504"/>
      <c r="AK203" s="504"/>
    </row>
    <row r="204" spans="1:74" ht="12.75" customHeight="1">
      <c r="A204" s="625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734"/>
      <c r="AF204" s="504"/>
      <c r="AG204" s="504"/>
      <c r="AH204" s="504"/>
      <c r="AI204" s="504"/>
      <c r="AJ204" s="504"/>
      <c r="AK204" s="504"/>
    </row>
    <row r="205" spans="1:74" ht="12.75" customHeight="1">
      <c r="A205" s="324" t="s">
        <v>379</v>
      </c>
      <c r="B205" s="325" t="s">
        <v>377</v>
      </c>
      <c r="K205" s="504"/>
      <c r="L205" s="504"/>
      <c r="M205" s="522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04"/>
      <c r="Y205" s="504"/>
      <c r="Z205" s="504"/>
      <c r="AA205" s="504"/>
      <c r="AB205" s="504"/>
      <c r="AC205" s="504"/>
      <c r="AD205" s="504"/>
      <c r="AE205" s="734"/>
      <c r="AF205" s="504"/>
      <c r="AG205" s="504"/>
      <c r="AH205" s="504"/>
      <c r="AI205" s="504"/>
      <c r="AJ205" s="504"/>
      <c r="AK205" s="504"/>
    </row>
    <row r="206" spans="1:74" ht="12.75" customHeight="1">
      <c r="A206" s="325" t="s">
        <v>329</v>
      </c>
      <c r="C206" s="514"/>
      <c r="D206" s="514">
        <f t="shared" ref="D206:S210" si="512">D182*D196</f>
        <v>21459.901796237886</v>
      </c>
      <c r="E206" s="514">
        <f t="shared" si="512"/>
        <v>28253.832610072783</v>
      </c>
      <c r="F206" s="514">
        <f t="shared" si="512"/>
        <v>23824.884097730821</v>
      </c>
      <c r="G206" s="514">
        <f t="shared" si="512"/>
        <v>17411.827045113005</v>
      </c>
      <c r="H206" s="514">
        <f t="shared" si="512"/>
        <v>14568.058080106088</v>
      </c>
      <c r="I206" s="514">
        <f t="shared" si="512"/>
        <v>15550.935647885817</v>
      </c>
      <c r="J206" s="514">
        <f t="shared" si="512"/>
        <v>15137.699560391702</v>
      </c>
      <c r="K206" s="514">
        <f>K182*K196</f>
        <v>17565.780777549127</v>
      </c>
      <c r="L206" s="514">
        <f t="shared" ref="L206:AK209" si="513">(1-L173)*L196</f>
        <v>16840.773765028174</v>
      </c>
      <c r="M206" s="514">
        <f>(1-M173)*M196</f>
        <v>19670.529952142791</v>
      </c>
      <c r="N206" s="514">
        <f>(1-N173)*N196</f>
        <v>22054.631237733862</v>
      </c>
      <c r="O206" s="514">
        <f>(1-O173)*O196</f>
        <v>25343.837964775968</v>
      </c>
      <c r="P206" s="514">
        <f t="shared" si="513"/>
        <v>26362.960278078466</v>
      </c>
      <c r="Q206" s="514">
        <f t="shared" si="513"/>
        <v>21161.74413598582</v>
      </c>
      <c r="R206" s="514">
        <f t="shared" si="513"/>
        <v>25827.432556231324</v>
      </c>
      <c r="S206" s="514">
        <f t="shared" si="513"/>
        <v>32542.188060291497</v>
      </c>
      <c r="T206" s="514">
        <f t="shared" si="513"/>
        <v>37474.443939542951</v>
      </c>
      <c r="U206" s="514">
        <f t="shared" si="513"/>
        <v>37686.131049288335</v>
      </c>
      <c r="V206" s="514">
        <f t="shared" si="513"/>
        <v>31120.160349312442</v>
      </c>
      <c r="W206" s="514">
        <f t="shared" si="513"/>
        <v>26799.398802009069</v>
      </c>
      <c r="X206" s="514">
        <f t="shared" si="513"/>
        <v>24247.194603446558</v>
      </c>
      <c r="Y206" s="514">
        <f t="shared" si="513"/>
        <v>25133.171088672105</v>
      </c>
      <c r="Z206" s="514">
        <f t="shared" si="513"/>
        <v>29884.191599055932</v>
      </c>
      <c r="AA206" s="514">
        <f t="shared" si="513"/>
        <v>27168.083746845688</v>
      </c>
      <c r="AB206" s="514">
        <f t="shared" si="513"/>
        <v>25248.588008158229</v>
      </c>
      <c r="AC206" s="514">
        <f t="shared" si="513"/>
        <v>25047.89878603234</v>
      </c>
      <c r="AD206" s="514">
        <f t="shared" si="513"/>
        <v>30539.053718704039</v>
      </c>
      <c r="AE206" s="733">
        <f t="shared" si="513"/>
        <v>35820.199786843856</v>
      </c>
      <c r="AF206" s="514">
        <f t="shared" si="513"/>
        <v>31471.985612845947</v>
      </c>
      <c r="AG206" s="514">
        <f t="shared" si="513"/>
        <v>20280.776305547632</v>
      </c>
      <c r="AH206" s="514">
        <f t="shared" si="513"/>
        <v>15403.668007749942</v>
      </c>
      <c r="AI206" s="514">
        <f t="shared" si="513"/>
        <v>9894.3727149547522</v>
      </c>
      <c r="AJ206" s="514">
        <f t="shared" si="513"/>
        <v>7902.0650550802939</v>
      </c>
      <c r="AK206" s="514">
        <f t="shared" si="513"/>
        <v>6422.0890474763655</v>
      </c>
    </row>
    <row r="207" spans="1:74" ht="12.75" customHeight="1">
      <c r="A207" s="325" t="s">
        <v>330</v>
      </c>
      <c r="C207" s="514"/>
      <c r="D207" s="514">
        <f t="shared" si="512"/>
        <v>0</v>
      </c>
      <c r="E207" s="514">
        <f t="shared" si="512"/>
        <v>0</v>
      </c>
      <c r="F207" s="514">
        <f t="shared" si="512"/>
        <v>0</v>
      </c>
      <c r="G207" s="514">
        <f t="shared" si="512"/>
        <v>0</v>
      </c>
      <c r="H207" s="514">
        <f t="shared" si="512"/>
        <v>189.96313931807279</v>
      </c>
      <c r="I207" s="514">
        <f t="shared" si="512"/>
        <v>211.55534585039055</v>
      </c>
      <c r="J207" s="514">
        <f t="shared" si="512"/>
        <v>507.17935160525229</v>
      </c>
      <c r="K207" s="514">
        <f t="shared" si="512"/>
        <v>108.74413351972777</v>
      </c>
      <c r="L207" s="514">
        <f t="shared" si="513"/>
        <v>420.46638738446171</v>
      </c>
      <c r="M207" s="514">
        <f>(1-M174)*M197</f>
        <v>101.99261573540198</v>
      </c>
      <c r="N207" s="514">
        <f t="shared" si="513"/>
        <v>546.16799952766019</v>
      </c>
      <c r="O207" s="514">
        <f t="shared" si="513"/>
        <v>32.987516874940837</v>
      </c>
      <c r="P207" s="514">
        <f t="shared" si="513"/>
        <v>163.11866195910594</v>
      </c>
      <c r="Q207" s="514">
        <f t="shared" si="513"/>
        <v>384.58273940314899</v>
      </c>
      <c r="R207" s="514">
        <f t="shared" si="513"/>
        <v>403.77709356432371</v>
      </c>
      <c r="S207" s="514">
        <f t="shared" si="513"/>
        <v>656.79028084965262</v>
      </c>
      <c r="T207" s="514">
        <f t="shared" si="513"/>
        <v>497.63878716628204</v>
      </c>
      <c r="U207" s="514">
        <f t="shared" si="513"/>
        <v>534.68389067532178</v>
      </c>
      <c r="V207" s="514">
        <f t="shared" si="513"/>
        <v>43.048923453722828</v>
      </c>
      <c r="W207" s="514">
        <f t="shared" si="513"/>
        <v>40.696188293530923</v>
      </c>
      <c r="X207" s="514">
        <f t="shared" si="513"/>
        <v>59.27726786851067</v>
      </c>
      <c r="Y207" s="514">
        <f t="shared" si="513"/>
        <v>197.08886213985724</v>
      </c>
      <c r="Z207" s="514">
        <f t="shared" si="513"/>
        <v>95.63825461719729</v>
      </c>
      <c r="AA207" s="514">
        <f t="shared" si="513"/>
        <v>109.94703974887845</v>
      </c>
      <c r="AB207" s="514">
        <f t="shared" si="513"/>
        <v>4.9738571780223344</v>
      </c>
      <c r="AC207" s="514">
        <f t="shared" si="513"/>
        <v>14.920454076161661</v>
      </c>
      <c r="AD207" s="514">
        <f t="shared" si="513"/>
        <v>33.693406489718669</v>
      </c>
      <c r="AE207" s="733">
        <f t="shared" si="513"/>
        <v>330.17253589834769</v>
      </c>
      <c r="AF207" s="514">
        <f t="shared" si="513"/>
        <v>1933.0389967896217</v>
      </c>
      <c r="AG207" s="514">
        <f t="shared" si="513"/>
        <v>7103.5998862555298</v>
      </c>
      <c r="AH207" s="514">
        <f t="shared" si="513"/>
        <v>12353.786899908395</v>
      </c>
      <c r="AI207" s="514">
        <f t="shared" si="513"/>
        <v>16702.425773309707</v>
      </c>
      <c r="AJ207" s="514">
        <f t="shared" si="513"/>
        <v>21537.678567626819</v>
      </c>
      <c r="AK207" s="514">
        <f t="shared" si="513"/>
        <v>22390.271923284112</v>
      </c>
    </row>
    <row r="208" spans="1:74" ht="12.75" customHeight="1">
      <c r="A208" s="325" t="s">
        <v>347</v>
      </c>
      <c r="C208" s="514"/>
      <c r="D208" s="514">
        <f t="shared" si="512"/>
        <v>11317.551516112153</v>
      </c>
      <c r="E208" s="514">
        <f t="shared" si="512"/>
        <v>10892.892754304556</v>
      </c>
      <c r="F208" s="514">
        <f t="shared" si="512"/>
        <v>5842.2383007621966</v>
      </c>
      <c r="G208" s="514">
        <f t="shared" si="512"/>
        <v>881.37376820671454</v>
      </c>
      <c r="H208" s="514">
        <f t="shared" si="512"/>
        <v>2454.6231124139667</v>
      </c>
      <c r="I208" s="514">
        <f t="shared" si="512"/>
        <v>949.67717148879706</v>
      </c>
      <c r="J208" s="514">
        <f t="shared" si="512"/>
        <v>3792.5886239587026</v>
      </c>
      <c r="K208" s="514">
        <f t="shared" si="512"/>
        <v>6924.8402005940079</v>
      </c>
      <c r="L208" s="514">
        <f t="shared" si="513"/>
        <v>10851.590200659335</v>
      </c>
      <c r="M208" s="514">
        <f t="shared" si="513"/>
        <v>5330.9177255303675</v>
      </c>
      <c r="N208" s="514">
        <f>(1-N175)*N198</f>
        <v>3418.2557821503365</v>
      </c>
      <c r="O208" s="514">
        <f t="shared" si="513"/>
        <v>1305.3509462536051</v>
      </c>
      <c r="P208" s="514">
        <f t="shared" si="513"/>
        <v>333.75623488156219</v>
      </c>
      <c r="Q208" s="514">
        <f t="shared" si="513"/>
        <v>342.21189079562652</v>
      </c>
      <c r="R208" s="514">
        <f t="shared" si="513"/>
        <v>304.03527432604517</v>
      </c>
      <c r="S208" s="514">
        <f t="shared" si="513"/>
        <v>193.90311365986892</v>
      </c>
      <c r="T208" s="514">
        <f t="shared" si="513"/>
        <v>1851.3579984004782</v>
      </c>
      <c r="U208" s="514">
        <f t="shared" si="513"/>
        <v>2468.5871165261187</v>
      </c>
      <c r="V208" s="514">
        <f t="shared" si="513"/>
        <v>2353.0079078208546</v>
      </c>
      <c r="W208" s="514">
        <f t="shared" si="513"/>
        <v>681.29531490298723</v>
      </c>
      <c r="X208" s="514">
        <f t="shared" si="513"/>
        <v>1397.0578660802109</v>
      </c>
      <c r="Y208" s="514">
        <f t="shared" si="513"/>
        <v>1429.2935264940384</v>
      </c>
      <c r="Z208" s="514">
        <f t="shared" si="513"/>
        <v>459.28728359240796</v>
      </c>
      <c r="AA208" s="514">
        <f t="shared" si="513"/>
        <v>319.3325880720036</v>
      </c>
      <c r="AB208" s="514">
        <f t="shared" si="513"/>
        <v>501.37430214805744</v>
      </c>
      <c r="AC208" s="514">
        <f t="shared" si="513"/>
        <v>577.29803822150257</v>
      </c>
      <c r="AD208" s="514">
        <f t="shared" si="513"/>
        <v>1381.7678192844307</v>
      </c>
      <c r="AE208" s="733">
        <f t="shared" si="513"/>
        <v>1888.6761871073575</v>
      </c>
      <c r="AF208" s="514">
        <f t="shared" si="513"/>
        <v>1832.6567716699078</v>
      </c>
      <c r="AG208" s="514">
        <f t="shared" si="513"/>
        <v>1100.0919152807642</v>
      </c>
      <c r="AH208" s="514">
        <f t="shared" si="513"/>
        <v>711.01817769308502</v>
      </c>
      <c r="AI208" s="514">
        <f t="shared" si="513"/>
        <v>1278.0794711133151</v>
      </c>
      <c r="AJ208" s="514">
        <f t="shared" si="513"/>
        <v>1980.2695716876196</v>
      </c>
      <c r="AK208" s="514">
        <f t="shared" si="513"/>
        <v>1949.9318861129188</v>
      </c>
    </row>
    <row r="209" spans="1:37" ht="12.75" customHeight="1">
      <c r="A209" s="325" t="s">
        <v>346</v>
      </c>
      <c r="C209" s="514"/>
      <c r="D209" s="514">
        <f t="shared" si="512"/>
        <v>819.19083020132609</v>
      </c>
      <c r="E209" s="514">
        <f t="shared" si="512"/>
        <v>1161.5002880649522</v>
      </c>
      <c r="F209" s="514">
        <f t="shared" si="512"/>
        <v>2663.1361394801547</v>
      </c>
      <c r="G209" s="514">
        <f t="shared" si="512"/>
        <v>1026.6195992017072</v>
      </c>
      <c r="H209" s="514">
        <f t="shared" si="512"/>
        <v>178.44178290441084</v>
      </c>
      <c r="I209" s="514">
        <f t="shared" si="512"/>
        <v>2068.1515736523793</v>
      </c>
      <c r="J209" s="514">
        <f t="shared" si="512"/>
        <v>7732.2003763226012</v>
      </c>
      <c r="K209" s="514">
        <f t="shared" si="512"/>
        <v>8379.8692168474354</v>
      </c>
      <c r="L209" s="514">
        <f t="shared" si="513"/>
        <v>8457.675454512806</v>
      </c>
      <c r="M209" s="514">
        <f t="shared" si="513"/>
        <v>6742.4838834452812</v>
      </c>
      <c r="N209" s="514">
        <f t="shared" si="513"/>
        <v>4433.124888405684</v>
      </c>
      <c r="O209" s="514">
        <f t="shared" si="513"/>
        <v>1536.9605679300246</v>
      </c>
      <c r="P209" s="514">
        <f t="shared" si="513"/>
        <v>1854.5965225046637</v>
      </c>
      <c r="Q209" s="514">
        <f t="shared" si="513"/>
        <v>2141.6798893081213</v>
      </c>
      <c r="R209" s="514">
        <f t="shared" si="513"/>
        <v>1594.1880530706239</v>
      </c>
      <c r="S209" s="514">
        <f t="shared" si="513"/>
        <v>1115.9965178030307</v>
      </c>
      <c r="T209" s="514">
        <f t="shared" si="513"/>
        <v>1334.9299087121217</v>
      </c>
      <c r="U209" s="514">
        <f t="shared" si="513"/>
        <v>2169.4895748697927</v>
      </c>
      <c r="V209" s="514">
        <f t="shared" si="513"/>
        <v>2949.5435989842281</v>
      </c>
      <c r="W209" s="514">
        <f t="shared" si="513"/>
        <v>2233.4959840938695</v>
      </c>
      <c r="X209" s="514">
        <f t="shared" si="513"/>
        <v>1185.337358300412</v>
      </c>
      <c r="Y209" s="514">
        <f t="shared" si="513"/>
        <v>337.89428100123564</v>
      </c>
      <c r="Z209" s="514">
        <f t="shared" si="513"/>
        <v>227.17776312612833</v>
      </c>
      <c r="AA209" s="514">
        <f t="shared" si="513"/>
        <v>195.59700644089213</v>
      </c>
      <c r="AB209" s="514">
        <f t="shared" si="513"/>
        <v>634.44914748368728</v>
      </c>
      <c r="AC209" s="514">
        <f t="shared" si="513"/>
        <v>560.7196889362915</v>
      </c>
      <c r="AD209" s="514">
        <f t="shared" si="513"/>
        <v>250.18053902159727</v>
      </c>
      <c r="AE209" s="733">
        <f t="shared" si="513"/>
        <v>496.64975805849042</v>
      </c>
      <c r="AF209" s="514">
        <f t="shared" si="513"/>
        <v>659.82558452552871</v>
      </c>
      <c r="AG209" s="514">
        <f t="shared" si="513"/>
        <v>596.60861102796423</v>
      </c>
      <c r="AH209" s="514">
        <f t="shared" si="513"/>
        <v>449.74130253783261</v>
      </c>
      <c r="AI209" s="514">
        <f t="shared" si="513"/>
        <v>399.27930905983783</v>
      </c>
      <c r="AJ209" s="514">
        <f t="shared" si="513"/>
        <v>248.50385079715397</v>
      </c>
      <c r="AK209" s="514">
        <f t="shared" si="513"/>
        <v>321.22473934082433</v>
      </c>
    </row>
    <row r="210" spans="1:37" ht="12.75" customHeight="1">
      <c r="A210" s="325" t="s">
        <v>326</v>
      </c>
      <c r="C210" s="514"/>
      <c r="D210" s="514">
        <f t="shared" si="512"/>
        <v>8011.0316338339344</v>
      </c>
      <c r="E210" s="514">
        <f t="shared" si="512"/>
        <v>6811.3561029441707</v>
      </c>
      <c r="F210" s="514">
        <f t="shared" si="512"/>
        <v>3816.1583728937167</v>
      </c>
      <c r="G210" s="514">
        <f t="shared" si="512"/>
        <v>4360.7823935699162</v>
      </c>
      <c r="H210" s="514">
        <f t="shared" si="512"/>
        <v>5251.9902853282501</v>
      </c>
      <c r="I210" s="514">
        <f t="shared" si="512"/>
        <v>2998.577702724725</v>
      </c>
      <c r="J210" s="514">
        <f t="shared" si="512"/>
        <v>3398.0916066388731</v>
      </c>
      <c r="K210" s="514">
        <f t="shared" si="512"/>
        <v>3095.371783784351</v>
      </c>
      <c r="L210" s="514">
        <f t="shared" si="512"/>
        <v>5702.2293734303812</v>
      </c>
      <c r="M210" s="514">
        <f t="shared" si="512"/>
        <v>9491.6148435292398</v>
      </c>
      <c r="N210" s="514">
        <f>N186*N200</f>
        <v>13897.54293643687</v>
      </c>
      <c r="O210" s="514">
        <f t="shared" si="512"/>
        <v>18151.094848027926</v>
      </c>
      <c r="P210" s="514">
        <f t="shared" si="512"/>
        <v>18773.495763575811</v>
      </c>
      <c r="Q210" s="514">
        <f>Q186*Q200</f>
        <v>15684.378487708309</v>
      </c>
      <c r="R210" s="514">
        <f t="shared" si="512"/>
        <v>16289.545207664647</v>
      </c>
      <c r="S210" s="514">
        <f t="shared" si="512"/>
        <v>16071.637747321591</v>
      </c>
      <c r="T210" s="514">
        <f t="shared" ref="T210:AK210" si="514">T186*T200</f>
        <v>19148.370322799477</v>
      </c>
      <c r="U210" s="514">
        <f t="shared" si="514"/>
        <v>18798.95015235593</v>
      </c>
      <c r="V210" s="514">
        <f t="shared" si="514"/>
        <v>15707.409269713797</v>
      </c>
      <c r="W210" s="514">
        <f t="shared" si="514"/>
        <v>10988.721400518849</v>
      </c>
      <c r="X210" s="514">
        <f t="shared" si="514"/>
        <v>11393.19642127999</v>
      </c>
      <c r="Y210" s="514">
        <f t="shared" si="514"/>
        <v>13474.278721287083</v>
      </c>
      <c r="Z210" s="514">
        <f t="shared" si="514"/>
        <v>14453.050988377516</v>
      </c>
      <c r="AA210" s="514">
        <f t="shared" si="514"/>
        <v>10303.520947662557</v>
      </c>
      <c r="AB210" s="514">
        <f t="shared" si="514"/>
        <v>13493.569474151496</v>
      </c>
      <c r="AC210" s="514">
        <f t="shared" si="514"/>
        <v>13507.499948434697</v>
      </c>
      <c r="AD210" s="514">
        <f t="shared" si="514"/>
        <v>9980.439709446011</v>
      </c>
      <c r="AE210" s="733">
        <f t="shared" si="514"/>
        <v>12579.118255468326</v>
      </c>
      <c r="AF210" s="514">
        <f t="shared" si="514"/>
        <v>12503.465744021581</v>
      </c>
      <c r="AG210" s="514">
        <f t="shared" si="514"/>
        <v>12574.625080869377</v>
      </c>
      <c r="AH210" s="514">
        <f t="shared" si="514"/>
        <v>12561.029248030576</v>
      </c>
      <c r="AI210" s="514">
        <f t="shared" si="514"/>
        <v>12470.592083977721</v>
      </c>
      <c r="AJ210" s="514">
        <f t="shared" si="514"/>
        <v>12531.188779321654</v>
      </c>
      <c r="AK210" s="514">
        <f t="shared" si="514"/>
        <v>12643.915838853236</v>
      </c>
    </row>
    <row r="211" spans="1:37" ht="12.75" customHeight="1">
      <c r="A211" s="325" t="s">
        <v>353</v>
      </c>
      <c r="C211" s="514"/>
      <c r="D211" s="514">
        <f t="shared" ref="D211:I211" si="515">SUM(D206:D209)</f>
        <v>33596.644142551362</v>
      </c>
      <c r="E211" s="514">
        <f t="shared" si="515"/>
        <v>40308.225652442292</v>
      </c>
      <c r="F211" s="514">
        <f t="shared" si="515"/>
        <v>32330.258537973172</v>
      </c>
      <c r="G211" s="514">
        <f t="shared" si="515"/>
        <v>19319.820412521425</v>
      </c>
      <c r="H211" s="514">
        <f t="shared" si="515"/>
        <v>17391.086114742538</v>
      </c>
      <c r="I211" s="514">
        <f t="shared" si="515"/>
        <v>18780.319738877384</v>
      </c>
      <c r="J211" s="514">
        <f t="shared" ref="J211:AK211" si="516">SUM(J206:J209)</f>
        <v>27169.667912278259</v>
      </c>
      <c r="K211" s="514">
        <f t="shared" si="516"/>
        <v>32979.234328510298</v>
      </c>
      <c r="L211" s="514">
        <f t="shared" si="516"/>
        <v>36570.505807584777</v>
      </c>
      <c r="M211" s="514">
        <f t="shared" si="516"/>
        <v>31845.924176853841</v>
      </c>
      <c r="N211" s="514">
        <f t="shared" si="516"/>
        <v>30452.179907817543</v>
      </c>
      <c r="O211" s="514">
        <f t="shared" si="516"/>
        <v>28219.136995834542</v>
      </c>
      <c r="P211" s="514">
        <f t="shared" si="516"/>
        <v>28714.431697423799</v>
      </c>
      <c r="Q211" s="514">
        <f t="shared" si="516"/>
        <v>24030.218655492718</v>
      </c>
      <c r="R211" s="514">
        <f t="shared" si="516"/>
        <v>28129.432977192315</v>
      </c>
      <c r="S211" s="514">
        <f t="shared" si="516"/>
        <v>34508.877972604052</v>
      </c>
      <c r="T211" s="514">
        <f t="shared" si="516"/>
        <v>41158.370633821833</v>
      </c>
      <c r="U211" s="514">
        <f t="shared" si="516"/>
        <v>42858.891631359569</v>
      </c>
      <c r="V211" s="514">
        <f t="shared" si="516"/>
        <v>36465.760779571247</v>
      </c>
      <c r="W211" s="514">
        <f t="shared" si="516"/>
        <v>29754.886289299458</v>
      </c>
      <c r="X211" s="514">
        <f t="shared" si="516"/>
        <v>26888.867095695688</v>
      </c>
      <c r="Y211" s="514">
        <f t="shared" si="516"/>
        <v>27097.447758307237</v>
      </c>
      <c r="Z211" s="514">
        <f t="shared" si="516"/>
        <v>30666.294900391666</v>
      </c>
      <c r="AA211" s="514">
        <f t="shared" si="516"/>
        <v>27792.960381107463</v>
      </c>
      <c r="AB211" s="514">
        <f t="shared" si="516"/>
        <v>26389.385314967996</v>
      </c>
      <c r="AC211" s="514">
        <f t="shared" si="516"/>
        <v>26200.836967266296</v>
      </c>
      <c r="AD211" s="514">
        <f t="shared" si="516"/>
        <v>32204.695483499785</v>
      </c>
      <c r="AE211" s="733">
        <f t="shared" si="516"/>
        <v>38535.698267908047</v>
      </c>
      <c r="AF211" s="514">
        <f t="shared" si="516"/>
        <v>35897.506965831002</v>
      </c>
      <c r="AG211" s="514">
        <f t="shared" si="516"/>
        <v>29081.07671811189</v>
      </c>
      <c r="AH211" s="514">
        <f t="shared" si="516"/>
        <v>28918.214387889253</v>
      </c>
      <c r="AI211" s="514">
        <f t="shared" si="516"/>
        <v>28274.157268437615</v>
      </c>
      <c r="AJ211" s="514">
        <f t="shared" si="516"/>
        <v>31668.517045191886</v>
      </c>
      <c r="AK211" s="514">
        <f t="shared" si="516"/>
        <v>31083.51759621422</v>
      </c>
    </row>
    <row r="212" spans="1:37" ht="12.75" customHeight="1">
      <c r="A212" s="325" t="s">
        <v>354</v>
      </c>
      <c r="D212" s="514">
        <f>SUM(D206:D210)</f>
        <v>41607.675776385295</v>
      </c>
      <c r="E212" s="514">
        <f t="shared" ref="E212:AK212" si="517">SUM(E206:E210)</f>
        <v>47119.581755386462</v>
      </c>
      <c r="F212" s="514">
        <f t="shared" si="517"/>
        <v>36146.416910866887</v>
      </c>
      <c r="G212" s="514">
        <f t="shared" si="517"/>
        <v>23680.602806091341</v>
      </c>
      <c r="H212" s="514">
        <f t="shared" si="517"/>
        <v>22643.07640007079</v>
      </c>
      <c r="I212" s="514">
        <f t="shared" si="517"/>
        <v>21778.897441602108</v>
      </c>
      <c r="J212" s="514">
        <f t="shared" si="517"/>
        <v>30567.759518917133</v>
      </c>
      <c r="K212" s="514">
        <f t="shared" si="517"/>
        <v>36074.606112294648</v>
      </c>
      <c r="L212" s="514">
        <f t="shared" si="517"/>
        <v>42272.735181015159</v>
      </c>
      <c r="M212" s="514">
        <f>SUM(M206:M210)</f>
        <v>41337.539020383083</v>
      </c>
      <c r="N212" s="514">
        <f>SUM(N206:N210)</f>
        <v>44349.722844254415</v>
      </c>
      <c r="O212" s="514">
        <f t="shared" si="517"/>
        <v>46370.231843862464</v>
      </c>
      <c r="P212" s="514">
        <f t="shared" si="517"/>
        <v>47487.927460999606</v>
      </c>
      <c r="Q212" s="514">
        <f t="shared" si="517"/>
        <v>39714.597143201026</v>
      </c>
      <c r="R212" s="514">
        <f t="shared" si="517"/>
        <v>44418.978184856962</v>
      </c>
      <c r="S212" s="514">
        <f t="shared" si="517"/>
        <v>50580.515719925643</v>
      </c>
      <c r="T212" s="514">
        <f t="shared" si="517"/>
        <v>60306.74095662131</v>
      </c>
      <c r="U212" s="514">
        <f t="shared" si="517"/>
        <v>61657.841783715499</v>
      </c>
      <c r="V212" s="514">
        <f t="shared" si="517"/>
        <v>52173.170049285043</v>
      </c>
      <c r="W212" s="514">
        <f t="shared" si="517"/>
        <v>40743.607689818309</v>
      </c>
      <c r="X212" s="514">
        <f t="shared" si="517"/>
        <v>38282.063516975679</v>
      </c>
      <c r="Y212" s="514">
        <f t="shared" si="517"/>
        <v>40571.726479594319</v>
      </c>
      <c r="Z212" s="514">
        <f t="shared" si="517"/>
        <v>45119.345888769181</v>
      </c>
      <c r="AA212" s="514">
        <f t="shared" si="517"/>
        <v>38096.481328770024</v>
      </c>
      <c r="AB212" s="514">
        <f t="shared" si="517"/>
        <v>39882.954789119496</v>
      </c>
      <c r="AC212" s="514">
        <f t="shared" si="517"/>
        <v>39708.336915700995</v>
      </c>
      <c r="AD212" s="514">
        <f t="shared" si="517"/>
        <v>42185.135192945796</v>
      </c>
      <c r="AE212" s="733">
        <f t="shared" si="517"/>
        <v>51114.816523376372</v>
      </c>
      <c r="AF212" s="514">
        <f t="shared" si="517"/>
        <v>48400.972709852584</v>
      </c>
      <c r="AG212" s="514">
        <f t="shared" si="517"/>
        <v>41655.701798981267</v>
      </c>
      <c r="AH212" s="514">
        <f t="shared" si="517"/>
        <v>41479.243635919833</v>
      </c>
      <c r="AI212" s="514">
        <f t="shared" si="517"/>
        <v>40744.74935241534</v>
      </c>
      <c r="AJ212" s="514">
        <f t="shared" si="517"/>
        <v>44199.705824513541</v>
      </c>
      <c r="AK212" s="514">
        <f t="shared" si="517"/>
        <v>43727.433435067454</v>
      </c>
    </row>
    <row r="213" spans="1:37" ht="12.75" customHeight="1"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734"/>
      <c r="AF213" s="504"/>
      <c r="AG213" s="504"/>
      <c r="AH213" s="504"/>
      <c r="AI213" s="504"/>
      <c r="AJ213" s="504"/>
      <c r="AK213" s="504"/>
    </row>
    <row r="214" spans="1:37" ht="12.75" customHeight="1">
      <c r="A214" s="324" t="s">
        <v>380</v>
      </c>
      <c r="K214" s="504"/>
      <c r="L214" s="504"/>
      <c r="M214" s="630"/>
      <c r="N214" s="630"/>
      <c r="O214" s="630"/>
      <c r="P214" s="630"/>
      <c r="Q214" s="630"/>
      <c r="R214" s="504"/>
      <c r="S214" s="504"/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734"/>
      <c r="AF214" s="504"/>
      <c r="AG214" s="504"/>
      <c r="AH214" s="504"/>
      <c r="AI214" s="504"/>
      <c r="AJ214" s="504"/>
      <c r="AK214" s="504"/>
    </row>
    <row r="215" spans="1:37" ht="12.75" customHeight="1">
      <c r="A215" s="325" t="s">
        <v>329</v>
      </c>
      <c r="C215" s="514"/>
      <c r="D215" s="514">
        <f t="shared" ref="D215:AK219" si="518">D196-D206</f>
        <v>45153.518792803719</v>
      </c>
      <c r="E215" s="514">
        <f t="shared" si="518"/>
        <v>59448.546122951229</v>
      </c>
      <c r="F215" s="514">
        <f t="shared" si="518"/>
        <v>50129.649336599141</v>
      </c>
      <c r="G215" s="514">
        <f t="shared" si="518"/>
        <v>36636.013862672335</v>
      </c>
      <c r="H215" s="514">
        <f t="shared" si="518"/>
        <v>30652.474113839817</v>
      </c>
      <c r="I215" s="514">
        <f t="shared" si="518"/>
        <v>32720.534869623305</v>
      </c>
      <c r="J215" s="514">
        <f t="shared" si="518"/>
        <v>31851.049835642334</v>
      </c>
      <c r="K215" s="514">
        <f>K196-K206</f>
        <v>36959.946041709394</v>
      </c>
      <c r="L215" s="514">
        <f t="shared" si="518"/>
        <v>41423.754974285475</v>
      </c>
      <c r="M215" s="514">
        <f t="shared" si="518"/>
        <v>47911.252271136051</v>
      </c>
      <c r="N215" s="514">
        <f>N196-N206</f>
        <v>53718.176558981722</v>
      </c>
      <c r="O215" s="514">
        <f>O196-O206</f>
        <v>61729.654320620029</v>
      </c>
      <c r="P215" s="514">
        <f t="shared" si="518"/>
        <v>64211.917196433438</v>
      </c>
      <c r="Q215" s="514">
        <f t="shared" si="518"/>
        <v>51543.383135236989</v>
      </c>
      <c r="R215" s="514">
        <f t="shared" si="518"/>
        <v>62907.539335642236</v>
      </c>
      <c r="S215" s="514">
        <f t="shared" si="518"/>
        <v>79262.58140500859</v>
      </c>
      <c r="T215" s="514">
        <f t="shared" si="518"/>
        <v>91276.012475322379</v>
      </c>
      <c r="U215" s="514">
        <f t="shared" si="518"/>
        <v>91791.615997049274</v>
      </c>
      <c r="V215" s="514">
        <f t="shared" si="518"/>
        <v>75798.967127049502</v>
      </c>
      <c r="W215" s="514">
        <f t="shared" si="518"/>
        <v>65274.944795168944</v>
      </c>
      <c r="X215" s="514">
        <f t="shared" si="518"/>
        <v>59058.574443059515</v>
      </c>
      <c r="Y215" s="514">
        <f t="shared" si="518"/>
        <v>61216.535768616559</v>
      </c>
      <c r="Z215" s="514">
        <f t="shared" si="518"/>
        <v>72788.534223774841</v>
      </c>
      <c r="AA215" s="514">
        <f t="shared" si="518"/>
        <v>66172.945888358256</v>
      </c>
      <c r="AB215" s="514">
        <f t="shared" si="518"/>
        <v>61497.655248331168</v>
      </c>
      <c r="AC215" s="514">
        <f t="shared" si="518"/>
        <v>61008.839137490999</v>
      </c>
      <c r="AD215" s="514">
        <f t="shared" si="518"/>
        <v>74383.573314923153</v>
      </c>
      <c r="AE215" s="733">
        <f t="shared" si="518"/>
        <v>87246.791650522791</v>
      </c>
      <c r="AF215" s="514">
        <f t="shared" si="518"/>
        <v>76655.903315221512</v>
      </c>
      <c r="AG215" s="514">
        <f t="shared" si="518"/>
        <v>49397.621324570493</v>
      </c>
      <c r="AH215" s="514">
        <f t="shared" si="518"/>
        <v>37518.512496392657</v>
      </c>
      <c r="AI215" s="514">
        <f t="shared" si="518"/>
        <v>24099.59408130751</v>
      </c>
      <c r="AJ215" s="514">
        <f t="shared" si="518"/>
        <v>19246.956398123806</v>
      </c>
      <c r="AK215" s="514">
        <f t="shared" si="518"/>
        <v>15642.198212754407</v>
      </c>
    </row>
    <row r="216" spans="1:37" ht="12.75" customHeight="1">
      <c r="A216" s="325" t="s">
        <v>330</v>
      </c>
      <c r="C216" s="514"/>
      <c r="D216" s="514">
        <f t="shared" si="518"/>
        <v>0</v>
      </c>
      <c r="E216" s="514">
        <f t="shared" si="518"/>
        <v>0</v>
      </c>
      <c r="F216" s="514">
        <f t="shared" si="518"/>
        <v>0</v>
      </c>
      <c r="G216" s="514">
        <f t="shared" si="518"/>
        <v>0</v>
      </c>
      <c r="H216" s="514">
        <f t="shared" si="518"/>
        <v>305.44603007034561</v>
      </c>
      <c r="I216" s="514">
        <f t="shared" si="518"/>
        <v>340.16462752788919</v>
      </c>
      <c r="J216" s="514">
        <f t="shared" si="518"/>
        <v>815.50515556645041</v>
      </c>
      <c r="K216" s="514">
        <f t="shared" si="518"/>
        <v>174.85215287701016</v>
      </c>
      <c r="L216" s="514">
        <f t="shared" si="518"/>
        <v>619.2216748929834</v>
      </c>
      <c r="M216" s="514">
        <f t="shared" si="518"/>
        <v>248.42207882454986</v>
      </c>
      <c r="N216" s="514">
        <f t="shared" si="518"/>
        <v>1330.2942458314858</v>
      </c>
      <c r="O216" s="514">
        <f t="shared" si="518"/>
        <v>80.347262968453009</v>
      </c>
      <c r="P216" s="514">
        <f t="shared" si="518"/>
        <v>397.30598932854605</v>
      </c>
      <c r="Q216" s="514">
        <f t="shared" si="518"/>
        <v>936.72314327564163</v>
      </c>
      <c r="R216" s="514">
        <f t="shared" si="518"/>
        <v>983.47458040697279</v>
      </c>
      <c r="S216" s="514">
        <f t="shared" si="518"/>
        <v>1599.7354881427639</v>
      </c>
      <c r="T216" s="514">
        <f t="shared" si="518"/>
        <v>1212.0922786439041</v>
      </c>
      <c r="U216" s="514">
        <f t="shared" si="518"/>
        <v>1302.3225522537218</v>
      </c>
      <c r="V216" s="514">
        <f t="shared" si="518"/>
        <v>104.85369924502012</v>
      </c>
      <c r="W216" s="514">
        <f t="shared" si="518"/>
        <v>99.123173018153182</v>
      </c>
      <c r="X216" s="514">
        <f t="shared" si="518"/>
        <v>144.38086526908972</v>
      </c>
      <c r="Y216" s="514">
        <f t="shared" si="518"/>
        <v>480.04676115933603</v>
      </c>
      <c r="Z216" s="514">
        <f t="shared" si="518"/>
        <v>232.94484464240531</v>
      </c>
      <c r="AA216" s="514">
        <f t="shared" si="518"/>
        <v>267.79656525213784</v>
      </c>
      <c r="AB216" s="514">
        <f t="shared" si="518"/>
        <v>12.114758809071617</v>
      </c>
      <c r="AC216" s="514">
        <f t="shared" si="518"/>
        <v>36.341554649624946</v>
      </c>
      <c r="AD216" s="514">
        <f t="shared" si="518"/>
        <v>82.066589061419378</v>
      </c>
      <c r="AE216" s="733">
        <f t="shared" si="518"/>
        <v>804.19692295596928</v>
      </c>
      <c r="AF216" s="514">
        <f t="shared" si="518"/>
        <v>4708.2777764735556</v>
      </c>
      <c r="AG216" s="514">
        <f t="shared" si="518"/>
        <v>17302.145240196092</v>
      </c>
      <c r="AH216" s="514">
        <f t="shared" si="518"/>
        <v>30089.957012108382</v>
      </c>
      <c r="AI216" s="514">
        <f t="shared" si="518"/>
        <v>40681.87978218621</v>
      </c>
      <c r="AJ216" s="514">
        <f t="shared" si="518"/>
        <v>52459.041708522956</v>
      </c>
      <c r="AK216" s="514">
        <f t="shared" si="518"/>
        <v>54535.692182453953</v>
      </c>
    </row>
    <row r="217" spans="1:37" ht="12.75" customHeight="1">
      <c r="A217" s="325" t="s">
        <v>347</v>
      </c>
      <c r="C217" s="514"/>
      <c r="D217" s="514">
        <f t="shared" si="518"/>
        <v>4100.6967536836401</v>
      </c>
      <c r="E217" s="514">
        <f t="shared" si="518"/>
        <v>3946.8298326019376</v>
      </c>
      <c r="F217" s="514">
        <f t="shared" si="518"/>
        <v>2116.8224946955352</v>
      </c>
      <c r="G217" s="514">
        <f t="shared" si="518"/>
        <v>319.34880481187076</v>
      </c>
      <c r="H217" s="514">
        <f t="shared" si="518"/>
        <v>889.38539526529848</v>
      </c>
      <c r="I217" s="514">
        <f t="shared" si="518"/>
        <v>344.09722709257608</v>
      </c>
      <c r="J217" s="514">
        <f t="shared" si="518"/>
        <v>1374.1714218118732</v>
      </c>
      <c r="K217" s="514">
        <f t="shared" si="518"/>
        <v>2509.0824362431304</v>
      </c>
      <c r="L217" s="514">
        <f t="shared" si="518"/>
        <v>3854.0869136214351</v>
      </c>
      <c r="M217" s="514">
        <f t="shared" si="518"/>
        <v>2092.2245627308421</v>
      </c>
      <c r="N217" s="514">
        <f t="shared" si="518"/>
        <v>1297.4587569832379</v>
      </c>
      <c r="O217" s="514">
        <f t="shared" si="518"/>
        <v>838.44960023846193</v>
      </c>
      <c r="P217" s="514">
        <f t="shared" si="518"/>
        <v>215.55090169434214</v>
      </c>
      <c r="Q217" s="514">
        <f t="shared" si="518"/>
        <v>222.70932575588387</v>
      </c>
      <c r="R217" s="514">
        <f t="shared" si="518"/>
        <v>197.86422614869605</v>
      </c>
      <c r="S217" s="514">
        <f t="shared" si="518"/>
        <v>126.19091523896228</v>
      </c>
      <c r="T217" s="514">
        <f t="shared" si="518"/>
        <v>1204.8520307050726</v>
      </c>
      <c r="U217" s="514">
        <f t="shared" si="518"/>
        <v>1606.5408218662042</v>
      </c>
      <c r="V217" s="514">
        <f t="shared" si="518"/>
        <v>1531.3226066770635</v>
      </c>
      <c r="W217" s="514">
        <f t="shared" si="518"/>
        <v>443.38266525432482</v>
      </c>
      <c r="X217" s="514">
        <f t="shared" si="518"/>
        <v>909.19638903632745</v>
      </c>
      <c r="Y217" s="514">
        <f t="shared" si="518"/>
        <v>930.17515216278662</v>
      </c>
      <c r="Z217" s="514">
        <f t="shared" si="518"/>
        <v>298.90124805220188</v>
      </c>
      <c r="AA217" s="514">
        <f t="shared" si="518"/>
        <v>207.81962080876423</v>
      </c>
      <c r="AB217" s="514">
        <f t="shared" si="518"/>
        <v>326.2912125090532</v>
      </c>
      <c r="AC217" s="514">
        <f t="shared" si="518"/>
        <v>375.70189789018411</v>
      </c>
      <c r="AD217" s="514">
        <f t="shared" si="518"/>
        <v>899.2457236612961</v>
      </c>
      <c r="AE217" s="733">
        <f t="shared" si="518"/>
        <v>1229.1384709746292</v>
      </c>
      <c r="AF217" s="514">
        <f t="shared" si="518"/>
        <v>1192.681391086765</v>
      </c>
      <c r="AG217" s="514">
        <f t="shared" si="518"/>
        <v>715.93283375414808</v>
      </c>
      <c r="AH217" s="514">
        <f t="shared" si="518"/>
        <v>462.72611564153146</v>
      </c>
      <c r="AI217" s="514">
        <f t="shared" si="518"/>
        <v>831.76600501025246</v>
      </c>
      <c r="AJ217" s="514">
        <f t="shared" si="518"/>
        <v>1288.746864114165</v>
      </c>
      <c r="AK217" s="514">
        <f t="shared" si="518"/>
        <v>1269.0032909623753</v>
      </c>
    </row>
    <row r="218" spans="1:37" ht="12.75" customHeight="1">
      <c r="A218" s="325" t="s">
        <v>346</v>
      </c>
      <c r="C218" s="514"/>
      <c r="D218" s="514">
        <f t="shared" si="518"/>
        <v>915.25549680062716</v>
      </c>
      <c r="E218" s="514">
        <f t="shared" si="518"/>
        <v>1297.706815060048</v>
      </c>
      <c r="F218" s="514">
        <f t="shared" si="518"/>
        <v>2975.4361261448453</v>
      </c>
      <c r="G218" s="514">
        <f t="shared" si="518"/>
        <v>1147.0089711107928</v>
      </c>
      <c r="H218" s="514">
        <f t="shared" si="518"/>
        <v>199.3672495357747</v>
      </c>
      <c r="I218" s="514">
        <f t="shared" si="518"/>
        <v>2310.679058183558</v>
      </c>
      <c r="J218" s="514">
        <f t="shared" si="518"/>
        <v>8638.9381275836495</v>
      </c>
      <c r="K218" s="514">
        <f t="shared" si="518"/>
        <v>9362.5576366681908</v>
      </c>
      <c r="L218" s="514">
        <f t="shared" si="518"/>
        <v>8943.143932205945</v>
      </c>
      <c r="M218" s="514">
        <f t="shared" si="518"/>
        <v>7107.639796242217</v>
      </c>
      <c r="N218" s="514">
        <f t="shared" si="518"/>
        <v>4459.2191487036907</v>
      </c>
      <c r="O218" s="514">
        <f t="shared" si="518"/>
        <v>2101.5583275777881</v>
      </c>
      <c r="P218" s="514">
        <f t="shared" si="518"/>
        <v>2467.4197212453364</v>
      </c>
      <c r="Q218" s="514">
        <f t="shared" si="518"/>
        <v>2861.8908255356291</v>
      </c>
      <c r="R218" s="514">
        <f t="shared" si="518"/>
        <v>2130.2866903864074</v>
      </c>
      <c r="S218" s="514">
        <f t="shared" si="518"/>
        <v>1491.2873821969692</v>
      </c>
      <c r="T218" s="514">
        <f t="shared" si="518"/>
        <v>1783.8443912878784</v>
      </c>
      <c r="U218" s="514">
        <f t="shared" si="518"/>
        <v>2899.0524407552075</v>
      </c>
      <c r="V218" s="514">
        <f t="shared" si="518"/>
        <v>3941.4255172267094</v>
      </c>
      <c r="W218" s="514">
        <f t="shared" si="518"/>
        <v>2984.5831291873806</v>
      </c>
      <c r="X218" s="514">
        <f t="shared" si="518"/>
        <v>1583.9463814456819</v>
      </c>
      <c r="Y218" s="514">
        <f t="shared" si="518"/>
        <v>451.52244629368624</v>
      </c>
      <c r="Z218" s="514">
        <f t="shared" si="518"/>
        <v>303.57382506234831</v>
      </c>
      <c r="AA218" s="514">
        <f t="shared" si="518"/>
        <v>261.37299090774064</v>
      </c>
      <c r="AB218" s="514">
        <f t="shared" si="518"/>
        <v>847.80372805342222</v>
      </c>
      <c r="AC218" s="514">
        <f t="shared" si="518"/>
        <v>749.28029229539789</v>
      </c>
      <c r="AD218" s="514">
        <f t="shared" si="518"/>
        <v>334.3120477191253</v>
      </c>
      <c r="AE218" s="733">
        <f t="shared" si="518"/>
        <v>663.66472094541598</v>
      </c>
      <c r="AF218" s="514">
        <f t="shared" si="518"/>
        <v>881.71383418898017</v>
      </c>
      <c r="AG218" s="514">
        <f t="shared" si="518"/>
        <v>797.23805544444724</v>
      </c>
      <c r="AH218" s="514">
        <f t="shared" si="518"/>
        <v>600.98174055940422</v>
      </c>
      <c r="AI218" s="514">
        <f t="shared" si="518"/>
        <v>533.55022715075631</v>
      </c>
      <c r="AJ218" s="514">
        <f t="shared" si="518"/>
        <v>332.07151743690463</v>
      </c>
      <c r="AK218" s="514">
        <f t="shared" si="518"/>
        <v>429.24721805720736</v>
      </c>
    </row>
    <row r="219" spans="1:37" ht="12.75" customHeight="1">
      <c r="A219" s="325" t="s">
        <v>326</v>
      </c>
      <c r="C219" s="514"/>
      <c r="D219" s="514">
        <f t="shared" si="518"/>
        <v>8011.0316338339344</v>
      </c>
      <c r="E219" s="514">
        <f t="shared" si="518"/>
        <v>6811.3561029441707</v>
      </c>
      <c r="F219" s="514">
        <f t="shared" si="518"/>
        <v>3816.1583728937167</v>
      </c>
      <c r="G219" s="514">
        <f t="shared" si="518"/>
        <v>4360.7823935699162</v>
      </c>
      <c r="H219" s="514">
        <f t="shared" si="518"/>
        <v>5251.9902853282501</v>
      </c>
      <c r="I219" s="514">
        <f t="shared" si="518"/>
        <v>2998.577702724725</v>
      </c>
      <c r="J219" s="514">
        <f t="shared" si="518"/>
        <v>3398.0916066388731</v>
      </c>
      <c r="K219" s="514">
        <f t="shared" si="518"/>
        <v>3095.371783784351</v>
      </c>
      <c r="L219" s="514">
        <f t="shared" si="518"/>
        <v>5702.2293734303812</v>
      </c>
      <c r="M219" s="514">
        <f t="shared" si="518"/>
        <v>7765.8666901602865</v>
      </c>
      <c r="N219" s="514">
        <f t="shared" si="518"/>
        <v>11370.7169479938</v>
      </c>
      <c r="O219" s="514">
        <f t="shared" si="518"/>
        <v>14850.895784750115</v>
      </c>
      <c r="P219" s="514">
        <f t="shared" si="518"/>
        <v>15360.132897471114</v>
      </c>
      <c r="Q219" s="514">
        <f t="shared" si="518"/>
        <v>15684.378487708309</v>
      </c>
      <c r="R219" s="514">
        <f t="shared" si="518"/>
        <v>16289.545207664647</v>
      </c>
      <c r="S219" s="514">
        <f t="shared" si="518"/>
        <v>16071.637747321591</v>
      </c>
      <c r="T219" s="514">
        <f t="shared" si="518"/>
        <v>19148.370322799477</v>
      </c>
      <c r="U219" s="514">
        <f t="shared" si="518"/>
        <v>18798.95015235593</v>
      </c>
      <c r="V219" s="514">
        <f t="shared" si="518"/>
        <v>15707.409269713797</v>
      </c>
      <c r="W219" s="514">
        <f t="shared" si="518"/>
        <v>10988.721400518849</v>
      </c>
      <c r="X219" s="514">
        <f t="shared" si="518"/>
        <v>11393.19642127999</v>
      </c>
      <c r="Y219" s="514">
        <f t="shared" si="518"/>
        <v>13474.278721287083</v>
      </c>
      <c r="Z219" s="514">
        <f t="shared" si="518"/>
        <v>14453.050988377516</v>
      </c>
      <c r="AA219" s="514">
        <f t="shared" si="518"/>
        <v>10303.520947662557</v>
      </c>
      <c r="AB219" s="514">
        <f t="shared" si="518"/>
        <v>13493.569474151496</v>
      </c>
      <c r="AC219" s="514">
        <f t="shared" si="518"/>
        <v>13507.499948434697</v>
      </c>
      <c r="AD219" s="514">
        <f t="shared" si="518"/>
        <v>9980.439709446011</v>
      </c>
      <c r="AE219" s="733">
        <f t="shared" si="518"/>
        <v>12579.118255468326</v>
      </c>
      <c r="AF219" s="514">
        <f t="shared" si="518"/>
        <v>12503.465744021581</v>
      </c>
      <c r="AG219" s="514">
        <f t="shared" si="518"/>
        <v>12574.625080869377</v>
      </c>
      <c r="AH219" s="514">
        <f t="shared" si="518"/>
        <v>12561.029248030576</v>
      </c>
      <c r="AI219" s="514">
        <f t="shared" si="518"/>
        <v>12470.592083977721</v>
      </c>
      <c r="AJ219" s="514">
        <f t="shared" si="518"/>
        <v>12531.188779321654</v>
      </c>
      <c r="AK219" s="514">
        <f t="shared" si="518"/>
        <v>12643.915838853236</v>
      </c>
    </row>
    <row r="220" spans="1:37" ht="12.75" customHeight="1">
      <c r="A220" s="325" t="s">
        <v>353</v>
      </c>
      <c r="C220" s="514"/>
      <c r="D220" s="514">
        <f t="shared" ref="D220:AK220" si="519">SUM(D215:D218)</f>
        <v>50169.471043287987</v>
      </c>
      <c r="E220" s="514">
        <f t="shared" si="519"/>
        <v>64693.082770613211</v>
      </c>
      <c r="F220" s="514">
        <f t="shared" si="519"/>
        <v>55221.907957439522</v>
      </c>
      <c r="G220" s="514">
        <f t="shared" si="519"/>
        <v>38102.371638595003</v>
      </c>
      <c r="H220" s="514">
        <f t="shared" si="519"/>
        <v>32046.672788711236</v>
      </c>
      <c r="I220" s="514">
        <f t="shared" si="519"/>
        <v>35715.475782427333</v>
      </c>
      <c r="J220" s="514">
        <f t="shared" si="519"/>
        <v>42679.66454060431</v>
      </c>
      <c r="K220" s="514">
        <f>SUM(K215:K218)</f>
        <v>49006.438267497724</v>
      </c>
      <c r="L220" s="514">
        <f t="shared" si="519"/>
        <v>54840.207495005845</v>
      </c>
      <c r="M220" s="514">
        <f t="shared" si="519"/>
        <v>57359.538708933665</v>
      </c>
      <c r="N220" s="514">
        <f t="shared" si="519"/>
        <v>60805.148710500136</v>
      </c>
      <c r="O220" s="514">
        <f t="shared" si="519"/>
        <v>64750.009511404736</v>
      </c>
      <c r="P220" s="514">
        <f t="shared" si="519"/>
        <v>67292.193808701661</v>
      </c>
      <c r="Q220" s="514">
        <f t="shared" si="519"/>
        <v>55564.706429804137</v>
      </c>
      <c r="R220" s="514">
        <f t="shared" si="519"/>
        <v>66219.164832584313</v>
      </c>
      <c r="S220" s="514">
        <f t="shared" si="519"/>
        <v>82479.795190587276</v>
      </c>
      <c r="T220" s="514">
        <f t="shared" si="519"/>
        <v>95476.801175959234</v>
      </c>
      <c r="U220" s="514">
        <f t="shared" si="519"/>
        <v>97599.531811924418</v>
      </c>
      <c r="V220" s="514">
        <f t="shared" si="519"/>
        <v>81376.5689501983</v>
      </c>
      <c r="W220" s="514">
        <f t="shared" si="519"/>
        <v>68802.033762628795</v>
      </c>
      <c r="X220" s="514">
        <f t="shared" si="519"/>
        <v>61696.098078810617</v>
      </c>
      <c r="Y220" s="514">
        <f t="shared" si="519"/>
        <v>63078.280128232371</v>
      </c>
      <c r="Z220" s="514">
        <f t="shared" si="519"/>
        <v>73623.954141531809</v>
      </c>
      <c r="AA220" s="514">
        <f t="shared" si="519"/>
        <v>66909.935065326892</v>
      </c>
      <c r="AB220" s="514">
        <f t="shared" si="519"/>
        <v>62683.864947702707</v>
      </c>
      <c r="AC220" s="514">
        <f t="shared" si="519"/>
        <v>62170.162882326207</v>
      </c>
      <c r="AD220" s="514">
        <f t="shared" si="519"/>
        <v>75699.197675364994</v>
      </c>
      <c r="AE220" s="733">
        <f t="shared" si="519"/>
        <v>89943.791765398812</v>
      </c>
      <c r="AF220" s="514">
        <f t="shared" si="519"/>
        <v>83438.576316970808</v>
      </c>
      <c r="AG220" s="514">
        <f t="shared" si="519"/>
        <v>68212.937453965191</v>
      </c>
      <c r="AH220" s="514">
        <f t="shared" si="519"/>
        <v>68672.177364701973</v>
      </c>
      <c r="AI220" s="514">
        <f t="shared" si="519"/>
        <v>66146.790095654738</v>
      </c>
      <c r="AJ220" s="514">
        <f t="shared" si="519"/>
        <v>73326.81648819783</v>
      </c>
      <c r="AK220" s="514">
        <f t="shared" si="519"/>
        <v>71876.140904227941</v>
      </c>
    </row>
    <row r="221" spans="1:37" ht="12.75" customHeight="1">
      <c r="A221" s="325" t="s">
        <v>354</v>
      </c>
      <c r="C221" s="514"/>
      <c r="D221" s="514">
        <f>SUM(D215:D219)</f>
        <v>58180.50267712192</v>
      </c>
      <c r="E221" s="514">
        <f t="shared" ref="E221:AK221" si="520">SUM(E215:E219)</f>
        <v>71504.438873557388</v>
      </c>
      <c r="F221" s="514">
        <f t="shared" si="520"/>
        <v>59038.06633033324</v>
      </c>
      <c r="G221" s="514">
        <f t="shared" si="520"/>
        <v>42463.154032164923</v>
      </c>
      <c r="H221" s="514">
        <f t="shared" si="520"/>
        <v>37298.663074039483</v>
      </c>
      <c r="I221" s="514">
        <f t="shared" si="520"/>
        <v>38714.053485152057</v>
      </c>
      <c r="J221" s="514">
        <f t="shared" si="520"/>
        <v>46077.756147243184</v>
      </c>
      <c r="K221" s="514">
        <f t="shared" si="520"/>
        <v>52101.810051282075</v>
      </c>
      <c r="L221" s="514">
        <f t="shared" si="520"/>
        <v>60542.436868436227</v>
      </c>
      <c r="M221" s="514">
        <f t="shared" si="520"/>
        <v>65125.40539909395</v>
      </c>
      <c r="N221" s="514">
        <f t="shared" si="520"/>
        <v>72175.865658493931</v>
      </c>
      <c r="O221" s="514">
        <f t="shared" si="520"/>
        <v>79600.905296154844</v>
      </c>
      <c r="P221" s="514">
        <f t="shared" si="520"/>
        <v>82652.326706172782</v>
      </c>
      <c r="Q221" s="514">
        <f t="shared" si="520"/>
        <v>71249.084917512446</v>
      </c>
      <c r="R221" s="514">
        <f t="shared" si="520"/>
        <v>82508.71004024896</v>
      </c>
      <c r="S221" s="514">
        <f t="shared" si="520"/>
        <v>98551.432937908859</v>
      </c>
      <c r="T221" s="514">
        <f t="shared" si="520"/>
        <v>114625.17149875872</v>
      </c>
      <c r="U221" s="514">
        <f t="shared" si="520"/>
        <v>116398.48196428035</v>
      </c>
      <c r="V221" s="514">
        <f t="shared" si="520"/>
        <v>97083.978219912096</v>
      </c>
      <c r="W221" s="514">
        <f t="shared" si="520"/>
        <v>79790.755163147638</v>
      </c>
      <c r="X221" s="514">
        <f t="shared" si="520"/>
        <v>73089.294500090604</v>
      </c>
      <c r="Y221" s="514">
        <f t="shared" si="520"/>
        <v>76552.558849519453</v>
      </c>
      <c r="Z221" s="514">
        <f t="shared" si="520"/>
        <v>88077.005129909317</v>
      </c>
      <c r="AA221" s="514">
        <f t="shared" si="520"/>
        <v>77213.456012989453</v>
      </c>
      <c r="AB221" s="514">
        <f t="shared" si="520"/>
        <v>76177.43442185421</v>
      </c>
      <c r="AC221" s="514">
        <f t="shared" si="520"/>
        <v>75677.662830760906</v>
      </c>
      <c r="AD221" s="514">
        <f t="shared" si="520"/>
        <v>85679.637384811009</v>
      </c>
      <c r="AE221" s="733">
        <f t="shared" si="520"/>
        <v>102522.91002086713</v>
      </c>
      <c r="AF221" s="514">
        <f t="shared" si="520"/>
        <v>95942.042060992389</v>
      </c>
      <c r="AG221" s="514">
        <f t="shared" si="520"/>
        <v>80787.562534834564</v>
      </c>
      <c r="AH221" s="514">
        <f t="shared" si="520"/>
        <v>81233.206612732552</v>
      </c>
      <c r="AI221" s="514">
        <f t="shared" si="520"/>
        <v>78617.382179632463</v>
      </c>
      <c r="AJ221" s="514">
        <f t="shared" si="520"/>
        <v>85858.005267519489</v>
      </c>
      <c r="AK221" s="514">
        <f t="shared" si="520"/>
        <v>84520.056743081179</v>
      </c>
    </row>
    <row r="222" spans="1:37" ht="12.75" customHeight="1"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734"/>
      <c r="AF222" s="504"/>
      <c r="AG222" s="504"/>
      <c r="AH222" s="504"/>
      <c r="AI222" s="504"/>
      <c r="AJ222" s="504"/>
      <c r="AK222" s="504"/>
    </row>
    <row r="223" spans="1:37" ht="12.75" customHeight="1">
      <c r="A223" s="324" t="s">
        <v>381</v>
      </c>
      <c r="E223" s="324">
        <f>E172</f>
        <v>1998</v>
      </c>
      <c r="F223" s="324">
        <f t="shared" ref="F223:AK223" si="521">F172</f>
        <v>1999</v>
      </c>
      <c r="G223" s="324">
        <f t="shared" si="521"/>
        <v>2000</v>
      </c>
      <c r="H223" s="324">
        <f t="shared" si="521"/>
        <v>2001</v>
      </c>
      <c r="I223" s="324">
        <f t="shared" si="521"/>
        <v>2002</v>
      </c>
      <c r="J223" s="324">
        <f t="shared" si="521"/>
        <v>2003</v>
      </c>
      <c r="K223" s="324">
        <f t="shared" si="521"/>
        <v>2004</v>
      </c>
      <c r="L223" s="324">
        <f t="shared" si="521"/>
        <v>2005</v>
      </c>
      <c r="M223" s="324">
        <f t="shared" si="521"/>
        <v>2006</v>
      </c>
      <c r="N223" s="324">
        <f t="shared" si="521"/>
        <v>2007</v>
      </c>
      <c r="O223" s="324">
        <f t="shared" si="521"/>
        <v>2008</v>
      </c>
      <c r="P223" s="324">
        <f t="shared" si="521"/>
        <v>2009</v>
      </c>
      <c r="Q223" s="324">
        <f t="shared" si="521"/>
        <v>2010</v>
      </c>
      <c r="R223" s="324">
        <f t="shared" si="521"/>
        <v>2011</v>
      </c>
      <c r="S223" s="324">
        <f t="shared" si="521"/>
        <v>2012</v>
      </c>
      <c r="T223" s="324">
        <f t="shared" si="521"/>
        <v>2013</v>
      </c>
      <c r="U223" s="324">
        <f t="shared" si="521"/>
        <v>2014</v>
      </c>
      <c r="V223" s="324">
        <f t="shared" si="521"/>
        <v>2015</v>
      </c>
      <c r="W223" s="324">
        <f t="shared" si="521"/>
        <v>2016</v>
      </c>
      <c r="X223" s="324">
        <f t="shared" si="521"/>
        <v>2017</v>
      </c>
      <c r="Y223" s="324">
        <f t="shared" si="521"/>
        <v>2018</v>
      </c>
      <c r="Z223" s="324">
        <f t="shared" si="521"/>
        <v>2019</v>
      </c>
      <c r="AA223" s="324">
        <f t="shared" si="521"/>
        <v>2020</v>
      </c>
      <c r="AB223" s="324">
        <f t="shared" si="521"/>
        <v>2021</v>
      </c>
      <c r="AC223" s="324">
        <f t="shared" si="521"/>
        <v>2022</v>
      </c>
      <c r="AD223" s="324">
        <f t="shared" si="521"/>
        <v>2023</v>
      </c>
      <c r="AE223" s="759">
        <f t="shared" si="521"/>
        <v>2024</v>
      </c>
      <c r="AF223" s="324">
        <f t="shared" si="521"/>
        <v>2025</v>
      </c>
      <c r="AG223" s="324">
        <f t="shared" si="521"/>
        <v>2026</v>
      </c>
      <c r="AH223" s="324">
        <f t="shared" si="521"/>
        <v>2027</v>
      </c>
      <c r="AI223" s="324">
        <f t="shared" si="521"/>
        <v>2028</v>
      </c>
      <c r="AJ223" s="324">
        <f t="shared" si="521"/>
        <v>2029</v>
      </c>
      <c r="AK223" s="324">
        <f t="shared" si="521"/>
        <v>2030</v>
      </c>
    </row>
    <row r="224" spans="1:37" ht="12.75" customHeight="1">
      <c r="A224" s="325" t="s">
        <v>329</v>
      </c>
      <c r="C224" s="514"/>
      <c r="D224" s="514"/>
      <c r="E224" s="514">
        <f t="shared" ref="E224:L230" si="522">E215-D215</f>
        <v>14295.02733014751</v>
      </c>
      <c r="F224" s="514">
        <f t="shared" si="522"/>
        <v>-9318.8967863520884</v>
      </c>
      <c r="G224" s="514">
        <f t="shared" si="522"/>
        <v>-13493.635473926806</v>
      </c>
      <c r="H224" s="514">
        <f t="shared" si="522"/>
        <v>-5983.5397488325179</v>
      </c>
      <c r="I224" s="514">
        <f>I215-H215</f>
        <v>2068.0607557834883</v>
      </c>
      <c r="J224" s="514">
        <f t="shared" si="522"/>
        <v>-869.48503398097091</v>
      </c>
      <c r="K224" s="514">
        <f t="shared" si="522"/>
        <v>5108.8962060670601</v>
      </c>
      <c r="L224" s="514">
        <f>L215-K215</f>
        <v>4463.8089325760811</v>
      </c>
      <c r="M224" s="514">
        <f t="shared" ref="M224:AK230" si="523">M215-L215</f>
        <v>6487.4972968505754</v>
      </c>
      <c r="N224" s="514">
        <f t="shared" si="523"/>
        <v>5806.9242878456716</v>
      </c>
      <c r="O224" s="514">
        <f>O215-N215</f>
        <v>8011.4777616383071</v>
      </c>
      <c r="P224" s="514">
        <f t="shared" si="523"/>
        <v>2482.2628758134088</v>
      </c>
      <c r="Q224" s="514">
        <f t="shared" si="523"/>
        <v>-12668.534061196449</v>
      </c>
      <c r="R224" s="514">
        <f t="shared" si="523"/>
        <v>11364.156200405247</v>
      </c>
      <c r="S224" s="514">
        <f t="shared" si="523"/>
        <v>16355.042069366355</v>
      </c>
      <c r="T224" s="514">
        <f t="shared" si="523"/>
        <v>12013.431070313789</v>
      </c>
      <c r="U224" s="514">
        <f t="shared" si="523"/>
        <v>515.60352172689454</v>
      </c>
      <c r="V224" s="514">
        <f t="shared" si="523"/>
        <v>-15992.648869999772</v>
      </c>
      <c r="W224" s="514">
        <f t="shared" si="523"/>
        <v>-10524.022331880558</v>
      </c>
      <c r="X224" s="514">
        <f t="shared" si="523"/>
        <v>-6216.3703521094285</v>
      </c>
      <c r="Y224" s="514">
        <f t="shared" si="523"/>
        <v>2157.9613255570439</v>
      </c>
      <c r="Z224" s="514">
        <f t="shared" si="523"/>
        <v>11571.998455158282</v>
      </c>
      <c r="AA224" s="514">
        <f t="shared" si="523"/>
        <v>-6615.5883354165853</v>
      </c>
      <c r="AB224" s="514">
        <f t="shared" si="523"/>
        <v>-4675.2906400270876</v>
      </c>
      <c r="AC224" s="514">
        <f t="shared" si="523"/>
        <v>-488.81611084016913</v>
      </c>
      <c r="AD224" s="514">
        <f t="shared" si="523"/>
        <v>13374.734177432154</v>
      </c>
      <c r="AE224" s="733">
        <f t="shared" si="523"/>
        <v>12863.218335599639</v>
      </c>
      <c r="AF224" s="514">
        <f t="shared" si="523"/>
        <v>-10590.888335301279</v>
      </c>
      <c r="AG224" s="514">
        <f t="shared" si="523"/>
        <v>-27258.281990651019</v>
      </c>
      <c r="AH224" s="514">
        <f t="shared" si="523"/>
        <v>-11879.108828177836</v>
      </c>
      <c r="AI224" s="514">
        <f t="shared" si="523"/>
        <v>-13418.918415085147</v>
      </c>
      <c r="AJ224" s="514">
        <f t="shared" si="523"/>
        <v>-4852.6376831837042</v>
      </c>
      <c r="AK224" s="514">
        <f t="shared" si="523"/>
        <v>-3604.7581853693991</v>
      </c>
    </row>
    <row r="225" spans="1:97" ht="12.75" customHeight="1">
      <c r="A225" s="325" t="s">
        <v>330</v>
      </c>
      <c r="C225" s="514"/>
      <c r="D225" s="514"/>
      <c r="E225" s="514">
        <f t="shared" si="522"/>
        <v>0</v>
      </c>
      <c r="F225" s="514">
        <f t="shared" si="522"/>
        <v>0</v>
      </c>
      <c r="G225" s="514">
        <f t="shared" si="522"/>
        <v>0</v>
      </c>
      <c r="H225" s="514">
        <f t="shared" si="522"/>
        <v>305.44603007034561</v>
      </c>
      <c r="I225" s="514">
        <f t="shared" si="522"/>
        <v>34.718597457543581</v>
      </c>
      <c r="J225" s="514">
        <f t="shared" si="522"/>
        <v>475.34052803856122</v>
      </c>
      <c r="K225" s="514">
        <f t="shared" si="522"/>
        <v>-640.6530026894402</v>
      </c>
      <c r="L225" s="514">
        <f t="shared" si="522"/>
        <v>444.36952201597325</v>
      </c>
      <c r="M225" s="514">
        <f t="shared" si="523"/>
        <v>-370.79959606843352</v>
      </c>
      <c r="N225" s="514">
        <f t="shared" si="523"/>
        <v>1081.872167006936</v>
      </c>
      <c r="O225" s="514">
        <f t="shared" si="523"/>
        <v>-1249.9469828630329</v>
      </c>
      <c r="P225" s="514">
        <f t="shared" si="523"/>
        <v>316.95872636009301</v>
      </c>
      <c r="Q225" s="514">
        <f t="shared" si="523"/>
        <v>539.41715394709558</v>
      </c>
      <c r="R225" s="514">
        <f t="shared" si="523"/>
        <v>46.751437131331159</v>
      </c>
      <c r="S225" s="514">
        <f t="shared" si="523"/>
        <v>616.26090773579108</v>
      </c>
      <c r="T225" s="514">
        <f t="shared" si="523"/>
        <v>-387.64320949885973</v>
      </c>
      <c r="U225" s="514">
        <f t="shared" si="523"/>
        <v>90.230273609817687</v>
      </c>
      <c r="V225" s="514">
        <f t="shared" si="523"/>
        <v>-1197.4688530087017</v>
      </c>
      <c r="W225" s="514">
        <f t="shared" si="523"/>
        <v>-5.7305262268669424</v>
      </c>
      <c r="X225" s="514">
        <f t="shared" si="523"/>
        <v>45.257692250936543</v>
      </c>
      <c r="Y225" s="514">
        <f t="shared" si="523"/>
        <v>335.6658958902463</v>
      </c>
      <c r="Z225" s="514">
        <f t="shared" si="523"/>
        <v>-247.10191651693071</v>
      </c>
      <c r="AA225" s="514">
        <f t="shared" si="523"/>
        <v>34.851720609732524</v>
      </c>
      <c r="AB225" s="514">
        <f t="shared" si="523"/>
        <v>-255.68180644306622</v>
      </c>
      <c r="AC225" s="514">
        <f t="shared" si="523"/>
        <v>24.226795840553329</v>
      </c>
      <c r="AD225" s="514">
        <f t="shared" si="523"/>
        <v>45.725034411794432</v>
      </c>
      <c r="AE225" s="733">
        <f t="shared" si="523"/>
        <v>722.13033389454995</v>
      </c>
      <c r="AF225" s="514">
        <f t="shared" si="523"/>
        <v>3904.0808535175865</v>
      </c>
      <c r="AG225" s="514">
        <f t="shared" si="523"/>
        <v>12593.867463722538</v>
      </c>
      <c r="AH225" s="514">
        <f t="shared" si="523"/>
        <v>12787.811771912289</v>
      </c>
      <c r="AI225" s="514">
        <f t="shared" si="523"/>
        <v>10591.922770077828</v>
      </c>
      <c r="AJ225" s="514">
        <f t="shared" si="523"/>
        <v>11777.161926336747</v>
      </c>
      <c r="AK225" s="514">
        <f t="shared" si="523"/>
        <v>2076.6504739309967</v>
      </c>
    </row>
    <row r="226" spans="1:97" ht="12.75" customHeight="1">
      <c r="A226" s="325" t="s">
        <v>347</v>
      </c>
      <c r="C226" s="514"/>
      <c r="D226" s="514"/>
      <c r="E226" s="514">
        <f t="shared" si="522"/>
        <v>-153.86692108170246</v>
      </c>
      <c r="F226" s="514">
        <f t="shared" si="522"/>
        <v>-1830.0073379064024</v>
      </c>
      <c r="G226" s="514">
        <f t="shared" si="522"/>
        <v>-1797.4736898836645</v>
      </c>
      <c r="H226" s="514">
        <f t="shared" si="522"/>
        <v>570.03659045342772</v>
      </c>
      <c r="I226" s="514">
        <f t="shared" si="522"/>
        <v>-545.28816817272241</v>
      </c>
      <c r="J226" s="514">
        <f t="shared" si="522"/>
        <v>1030.0741947192971</v>
      </c>
      <c r="K226" s="514">
        <f t="shared" si="522"/>
        <v>1134.9110144312572</v>
      </c>
      <c r="L226" s="514">
        <f t="shared" si="522"/>
        <v>1345.0044773783047</v>
      </c>
      <c r="M226" s="514">
        <f t="shared" si="523"/>
        <v>-1761.862350890593</v>
      </c>
      <c r="N226" s="514">
        <f t="shared" si="523"/>
        <v>-794.76580574760419</v>
      </c>
      <c r="O226" s="514">
        <f t="shared" si="523"/>
        <v>-459.00915674477596</v>
      </c>
      <c r="P226" s="514">
        <f t="shared" si="523"/>
        <v>-622.89869854411972</v>
      </c>
      <c r="Q226" s="514">
        <f t="shared" si="523"/>
        <v>7.1584240615417229</v>
      </c>
      <c r="R226" s="514">
        <f t="shared" si="523"/>
        <v>-24.845099607187819</v>
      </c>
      <c r="S226" s="514">
        <f t="shared" si="523"/>
        <v>-71.673310909733772</v>
      </c>
      <c r="T226" s="514">
        <f t="shared" si="523"/>
        <v>1078.6611154661102</v>
      </c>
      <c r="U226" s="514">
        <f t="shared" si="523"/>
        <v>401.68879116113158</v>
      </c>
      <c r="V226" s="514">
        <f t="shared" si="523"/>
        <v>-75.218215189140665</v>
      </c>
      <c r="W226" s="514">
        <f t="shared" si="523"/>
        <v>-1087.9399414227387</v>
      </c>
      <c r="X226" s="514">
        <f t="shared" si="523"/>
        <v>465.81372378200263</v>
      </c>
      <c r="Y226" s="514">
        <f t="shared" si="523"/>
        <v>20.978763126459171</v>
      </c>
      <c r="Z226" s="514">
        <f t="shared" si="523"/>
        <v>-631.27390411058468</v>
      </c>
      <c r="AA226" s="514">
        <f t="shared" si="523"/>
        <v>-91.081627243437651</v>
      </c>
      <c r="AB226" s="514">
        <f t="shared" si="523"/>
        <v>118.47159170028897</v>
      </c>
      <c r="AC226" s="514">
        <f t="shared" si="523"/>
        <v>49.410685381130918</v>
      </c>
      <c r="AD226" s="514">
        <f t="shared" si="523"/>
        <v>523.54382577111198</v>
      </c>
      <c r="AE226" s="733">
        <f t="shared" si="523"/>
        <v>329.89274731333307</v>
      </c>
      <c r="AF226" s="514">
        <f t="shared" si="523"/>
        <v>-36.457079887864211</v>
      </c>
      <c r="AG226" s="514">
        <f t="shared" si="523"/>
        <v>-476.74855733261688</v>
      </c>
      <c r="AH226" s="514">
        <f t="shared" si="523"/>
        <v>-253.20671811261661</v>
      </c>
      <c r="AI226" s="514">
        <f t="shared" si="523"/>
        <v>369.03988936872099</v>
      </c>
      <c r="AJ226" s="514">
        <f t="shared" si="523"/>
        <v>456.98085910391251</v>
      </c>
      <c r="AK226" s="514">
        <f t="shared" si="523"/>
        <v>-19.743573151789633</v>
      </c>
    </row>
    <row r="227" spans="1:97" ht="12.75" customHeight="1">
      <c r="A227" s="325" t="s">
        <v>346</v>
      </c>
      <c r="C227" s="514"/>
      <c r="D227" s="514"/>
      <c r="E227" s="514">
        <f t="shared" si="522"/>
        <v>382.45131825942087</v>
      </c>
      <c r="F227" s="514">
        <f t="shared" si="522"/>
        <v>1677.7293110847972</v>
      </c>
      <c r="G227" s="514">
        <f t="shared" si="522"/>
        <v>-1828.4271550340525</v>
      </c>
      <c r="H227" s="514">
        <f t="shared" si="522"/>
        <v>-947.6417215750181</v>
      </c>
      <c r="I227" s="514">
        <f t="shared" si="522"/>
        <v>2111.3118086477834</v>
      </c>
      <c r="J227" s="514">
        <f t="shared" si="522"/>
        <v>6328.2590694000919</v>
      </c>
      <c r="K227" s="514">
        <f t="shared" si="522"/>
        <v>723.61950908454128</v>
      </c>
      <c r="L227" s="514">
        <f t="shared" si="522"/>
        <v>-419.41370446224573</v>
      </c>
      <c r="M227" s="514">
        <f t="shared" si="523"/>
        <v>-1835.504135963728</v>
      </c>
      <c r="N227" s="514">
        <f t="shared" si="523"/>
        <v>-2648.4206475385263</v>
      </c>
      <c r="O227" s="514">
        <f t="shared" si="523"/>
        <v>-2357.6608211259027</v>
      </c>
      <c r="P227" s="514">
        <f t="shared" si="523"/>
        <v>365.86139366754833</v>
      </c>
      <c r="Q227" s="514">
        <f t="shared" si="523"/>
        <v>394.47110429029271</v>
      </c>
      <c r="R227" s="514">
        <f t="shared" si="523"/>
        <v>-731.60413514922175</v>
      </c>
      <c r="S227" s="514">
        <f t="shared" si="523"/>
        <v>-638.99930818943812</v>
      </c>
      <c r="T227" s="514">
        <f t="shared" si="523"/>
        <v>292.5570090909091</v>
      </c>
      <c r="U227" s="514">
        <f t="shared" si="523"/>
        <v>1115.2080494673291</v>
      </c>
      <c r="V227" s="514">
        <f t="shared" si="523"/>
        <v>1042.3730764715019</v>
      </c>
      <c r="W227" s="514">
        <f t="shared" si="523"/>
        <v>-956.84238803932885</v>
      </c>
      <c r="X227" s="514">
        <f t="shared" si="523"/>
        <v>-1400.6367477416986</v>
      </c>
      <c r="Y227" s="514">
        <f t="shared" si="523"/>
        <v>-1132.4239351519957</v>
      </c>
      <c r="Z227" s="514">
        <f t="shared" si="523"/>
        <v>-147.94862123133794</v>
      </c>
      <c r="AA227" s="514">
        <f t="shared" si="523"/>
        <v>-42.200834154607662</v>
      </c>
      <c r="AB227" s="514">
        <f t="shared" si="523"/>
        <v>586.43073714568163</v>
      </c>
      <c r="AC227" s="514">
        <f t="shared" si="523"/>
        <v>-98.523435758024334</v>
      </c>
      <c r="AD227" s="514">
        <f t="shared" si="523"/>
        <v>-414.96824457627258</v>
      </c>
      <c r="AE227" s="733">
        <f t="shared" si="523"/>
        <v>329.35267322629068</v>
      </c>
      <c r="AF227" s="514">
        <f t="shared" si="523"/>
        <v>218.04911324356419</v>
      </c>
      <c r="AG227" s="514">
        <f t="shared" si="523"/>
        <v>-84.475778744532931</v>
      </c>
      <c r="AH227" s="514">
        <f t="shared" si="523"/>
        <v>-196.25631488504303</v>
      </c>
      <c r="AI227" s="514">
        <f t="shared" si="523"/>
        <v>-67.431513408647902</v>
      </c>
      <c r="AJ227" s="514">
        <f t="shared" si="523"/>
        <v>-201.47870971385169</v>
      </c>
      <c r="AK227" s="514">
        <f t="shared" si="523"/>
        <v>97.175700620302734</v>
      </c>
    </row>
    <row r="228" spans="1:97" ht="12.75" customHeight="1">
      <c r="A228" s="325" t="s">
        <v>326</v>
      </c>
      <c r="C228" s="514"/>
      <c r="D228" s="514"/>
      <c r="E228" s="514">
        <f t="shared" si="522"/>
        <v>-1199.6755308897636</v>
      </c>
      <c r="F228" s="514">
        <f>F219-E219</f>
        <v>-2995.1977300504541</v>
      </c>
      <c r="G228" s="514">
        <f>G219-F219</f>
        <v>544.62402067619951</v>
      </c>
      <c r="H228" s="514">
        <f>H219-G219</f>
        <v>891.20789175833397</v>
      </c>
      <c r="I228" s="514">
        <f>I219-H219</f>
        <v>-2253.4125826035252</v>
      </c>
      <c r="J228" s="514">
        <f>J219-I219</f>
        <v>399.51390391414816</v>
      </c>
      <c r="K228" s="514">
        <f t="shared" si="522"/>
        <v>-302.71982285452214</v>
      </c>
      <c r="L228" s="514">
        <f t="shared" si="522"/>
        <v>2606.8575896460302</v>
      </c>
      <c r="M228" s="514">
        <f t="shared" si="523"/>
        <v>2063.6373167299053</v>
      </c>
      <c r="N228" s="514">
        <f t="shared" si="523"/>
        <v>3604.8502578335138</v>
      </c>
      <c r="O228" s="514">
        <f t="shared" si="523"/>
        <v>3480.1788367563149</v>
      </c>
      <c r="P228" s="514">
        <f t="shared" si="523"/>
        <v>509.23711272099899</v>
      </c>
      <c r="Q228" s="514">
        <f t="shared" si="523"/>
        <v>324.24559023719485</v>
      </c>
      <c r="R228" s="514">
        <f t="shared" si="523"/>
        <v>605.16671995633806</v>
      </c>
      <c r="S228" s="514">
        <f t="shared" si="523"/>
        <v>-217.9074603430563</v>
      </c>
      <c r="T228" s="514">
        <f t="shared" si="523"/>
        <v>3076.7325754778867</v>
      </c>
      <c r="U228" s="514">
        <f t="shared" si="523"/>
        <v>-349.42017044354725</v>
      </c>
      <c r="V228" s="514">
        <f t="shared" si="523"/>
        <v>-3091.5408826421335</v>
      </c>
      <c r="W228" s="514">
        <f t="shared" si="523"/>
        <v>-4718.6878691949478</v>
      </c>
      <c r="X228" s="514">
        <f t="shared" si="523"/>
        <v>404.47502076114142</v>
      </c>
      <c r="Y228" s="514">
        <f t="shared" si="523"/>
        <v>2081.0823000070923</v>
      </c>
      <c r="Z228" s="514">
        <f t="shared" si="523"/>
        <v>978.77226709043316</v>
      </c>
      <c r="AA228" s="514">
        <f t="shared" si="523"/>
        <v>-4149.5300407149589</v>
      </c>
      <c r="AB228" s="514">
        <f t="shared" si="523"/>
        <v>3190.0485264889394</v>
      </c>
      <c r="AC228" s="514">
        <f t="shared" si="523"/>
        <v>13.930474283200965</v>
      </c>
      <c r="AD228" s="514">
        <f t="shared" si="523"/>
        <v>-3527.0602389886863</v>
      </c>
      <c r="AE228" s="733">
        <f t="shared" si="523"/>
        <v>2598.6785460223145</v>
      </c>
      <c r="AF228" s="514">
        <f t="shared" si="523"/>
        <v>-75.652511446744029</v>
      </c>
      <c r="AG228" s="514">
        <f t="shared" si="523"/>
        <v>71.159336847795203</v>
      </c>
      <c r="AH228" s="514">
        <f t="shared" si="523"/>
        <v>-13.595832838800561</v>
      </c>
      <c r="AI228" s="514">
        <f t="shared" si="523"/>
        <v>-90.437164052855223</v>
      </c>
      <c r="AJ228" s="514">
        <f t="shared" si="523"/>
        <v>60.596695343932879</v>
      </c>
      <c r="AK228" s="514">
        <f t="shared" si="523"/>
        <v>112.7270595315822</v>
      </c>
    </row>
    <row r="229" spans="1:97">
      <c r="A229" s="325" t="s">
        <v>353</v>
      </c>
      <c r="C229" s="518"/>
      <c r="D229" s="518"/>
      <c r="E229" s="518">
        <f t="shared" si="522"/>
        <v>14523.611727325224</v>
      </c>
      <c r="F229" s="518">
        <f t="shared" si="522"/>
        <v>-9471.1748131736895</v>
      </c>
      <c r="G229" s="518">
        <f t="shared" si="522"/>
        <v>-17119.536318844519</v>
      </c>
      <c r="H229" s="518">
        <f t="shared" si="522"/>
        <v>-6055.6988498837673</v>
      </c>
      <c r="I229" s="518">
        <f t="shared" si="522"/>
        <v>3668.8029937160973</v>
      </c>
      <c r="J229" s="518">
        <f t="shared" si="522"/>
        <v>6964.188758176977</v>
      </c>
      <c r="K229" s="518">
        <f>K220-J220</f>
        <v>6326.7737268934143</v>
      </c>
      <c r="L229" s="518">
        <f t="shared" si="522"/>
        <v>5833.7692275081208</v>
      </c>
      <c r="M229" s="518">
        <f t="shared" si="523"/>
        <v>2519.3312139278205</v>
      </c>
      <c r="N229" s="518">
        <f t="shared" si="523"/>
        <v>3445.6100015664706</v>
      </c>
      <c r="O229" s="518">
        <f t="shared" si="523"/>
        <v>3944.8608009046002</v>
      </c>
      <c r="P229" s="518">
        <f t="shared" si="523"/>
        <v>2542.1842972969243</v>
      </c>
      <c r="Q229" s="518">
        <f t="shared" si="523"/>
        <v>-11727.487378897524</v>
      </c>
      <c r="R229" s="518">
        <f t="shared" si="523"/>
        <v>10654.458402780176</v>
      </c>
      <c r="S229" s="518">
        <f t="shared" si="523"/>
        <v>16260.630358002963</v>
      </c>
      <c r="T229" s="518">
        <f t="shared" si="523"/>
        <v>12997.005985371958</v>
      </c>
      <c r="U229" s="518">
        <f t="shared" si="523"/>
        <v>2122.7306359651848</v>
      </c>
      <c r="V229" s="518">
        <f t="shared" si="523"/>
        <v>-16222.962861726119</v>
      </c>
      <c r="W229" s="518">
        <f t="shared" si="523"/>
        <v>-12574.535187569505</v>
      </c>
      <c r="X229" s="518">
        <f t="shared" si="523"/>
        <v>-7105.9356838181775</v>
      </c>
      <c r="Y229" s="518">
        <f t="shared" si="523"/>
        <v>1382.1820494217536</v>
      </c>
      <c r="Z229" s="518">
        <f t="shared" si="523"/>
        <v>10545.674013299438</v>
      </c>
      <c r="AA229" s="518">
        <f t="shared" si="523"/>
        <v>-6714.0190762049169</v>
      </c>
      <c r="AB229" s="518">
        <f t="shared" si="523"/>
        <v>-4226.0701176241855</v>
      </c>
      <c r="AC229" s="518">
        <f t="shared" si="523"/>
        <v>-513.70206537649938</v>
      </c>
      <c r="AD229" s="518">
        <f t="shared" si="523"/>
        <v>13529.034793038787</v>
      </c>
      <c r="AE229" s="735">
        <f t="shared" si="523"/>
        <v>14244.594090033817</v>
      </c>
      <c r="AF229" s="518">
        <f t="shared" si="523"/>
        <v>-6505.2154484280036</v>
      </c>
      <c r="AG229" s="518">
        <f t="shared" si="523"/>
        <v>-15225.638863005617</v>
      </c>
      <c r="AH229" s="518">
        <f t="shared" si="523"/>
        <v>459.23991073678189</v>
      </c>
      <c r="AI229" s="518">
        <f t="shared" si="523"/>
        <v>-2525.3872690472344</v>
      </c>
      <c r="AJ229" s="518">
        <f t="shared" si="523"/>
        <v>7180.0263925430918</v>
      </c>
      <c r="AK229" s="518">
        <f t="shared" si="523"/>
        <v>-1450.675583969889</v>
      </c>
    </row>
    <row r="230" spans="1:97">
      <c r="A230" s="325" t="s">
        <v>354</v>
      </c>
      <c r="E230" s="518">
        <f t="shared" si="522"/>
        <v>13323.936196435468</v>
      </c>
      <c r="F230" s="518">
        <f>F221-E221</f>
        <v>-12466.372543224148</v>
      </c>
      <c r="G230" s="518">
        <f>G221-F221</f>
        <v>-16574.912298168318</v>
      </c>
      <c r="H230" s="518">
        <f>H221-G221</f>
        <v>-5164.4909581254396</v>
      </c>
      <c r="I230" s="518">
        <f>I221-H221</f>
        <v>1415.3904111125739</v>
      </c>
      <c r="J230" s="518">
        <f>J221-I221</f>
        <v>7363.7026620911274</v>
      </c>
      <c r="K230" s="518">
        <f t="shared" si="522"/>
        <v>6024.0539040388903</v>
      </c>
      <c r="L230" s="518">
        <f t="shared" si="522"/>
        <v>8440.6268171541524</v>
      </c>
      <c r="M230" s="518">
        <f>M221-L221</f>
        <v>4582.968530657723</v>
      </c>
      <c r="N230" s="518">
        <f t="shared" si="523"/>
        <v>7050.4602593999807</v>
      </c>
      <c r="O230" s="518">
        <f t="shared" si="523"/>
        <v>7425.0396376609133</v>
      </c>
      <c r="P230" s="518">
        <f t="shared" si="523"/>
        <v>3051.4214100179379</v>
      </c>
      <c r="Q230" s="518">
        <f t="shared" si="523"/>
        <v>-11403.241788660336</v>
      </c>
      <c r="R230" s="518">
        <f t="shared" si="523"/>
        <v>11259.625122736514</v>
      </c>
      <c r="S230" s="518">
        <f t="shared" si="523"/>
        <v>16042.7228976599</v>
      </c>
      <c r="T230" s="518">
        <f t="shared" si="523"/>
        <v>16073.738560849859</v>
      </c>
      <c r="U230" s="518">
        <f t="shared" si="523"/>
        <v>1773.3104655216302</v>
      </c>
      <c r="V230" s="518">
        <f t="shared" si="523"/>
        <v>-19314.503744368252</v>
      </c>
      <c r="W230" s="518">
        <f t="shared" si="523"/>
        <v>-17293.223056764458</v>
      </c>
      <c r="X230" s="518">
        <f t="shared" si="523"/>
        <v>-6701.4606630570343</v>
      </c>
      <c r="Y230" s="518">
        <f t="shared" si="523"/>
        <v>3463.2643494288495</v>
      </c>
      <c r="Z230" s="518">
        <f t="shared" si="523"/>
        <v>11524.446280389864</v>
      </c>
      <c r="AA230" s="518">
        <f t="shared" si="523"/>
        <v>-10863.549116919865</v>
      </c>
      <c r="AB230" s="518">
        <f t="shared" si="523"/>
        <v>-1036.0215911352425</v>
      </c>
      <c r="AC230" s="518">
        <f t="shared" si="523"/>
        <v>-499.77159109330387</v>
      </c>
      <c r="AD230" s="518">
        <f t="shared" si="523"/>
        <v>10001.974554050103</v>
      </c>
      <c r="AE230" s="735">
        <f t="shared" si="523"/>
        <v>16843.272636056121</v>
      </c>
      <c r="AF230" s="518">
        <f t="shared" si="523"/>
        <v>-6580.8679598747403</v>
      </c>
      <c r="AG230" s="518">
        <f t="shared" si="523"/>
        <v>-15154.479526157826</v>
      </c>
      <c r="AH230" s="518">
        <f t="shared" si="523"/>
        <v>445.64407789798861</v>
      </c>
      <c r="AI230" s="518">
        <f t="shared" si="523"/>
        <v>-2615.8244331000897</v>
      </c>
      <c r="AJ230" s="518">
        <f t="shared" si="523"/>
        <v>7240.6230878870265</v>
      </c>
      <c r="AK230" s="518">
        <f t="shared" si="523"/>
        <v>-1337.9485244383104</v>
      </c>
    </row>
    <row r="231" spans="1:97"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  <c r="AB231" s="518"/>
      <c r="AC231" s="518"/>
      <c r="AD231" s="518"/>
      <c r="AE231" s="735"/>
      <c r="AF231" s="518"/>
      <c r="AG231" s="518"/>
      <c r="AH231" s="518"/>
      <c r="AI231" s="518"/>
      <c r="AJ231" s="518"/>
      <c r="AK231" s="518"/>
    </row>
    <row r="232" spans="1:97">
      <c r="A232" s="324" t="s">
        <v>370</v>
      </c>
      <c r="E232" s="324">
        <f>E181</f>
        <v>1998</v>
      </c>
      <c r="F232" s="324">
        <f t="shared" ref="F232:AK232" si="524">F181</f>
        <v>1999</v>
      </c>
      <c r="G232" s="324">
        <f t="shared" si="524"/>
        <v>2000</v>
      </c>
      <c r="H232" s="324">
        <f t="shared" si="524"/>
        <v>2001</v>
      </c>
      <c r="I232" s="324">
        <f t="shared" si="524"/>
        <v>2002</v>
      </c>
      <c r="J232" s="324">
        <f t="shared" si="524"/>
        <v>2003</v>
      </c>
      <c r="K232" s="324">
        <f t="shared" si="524"/>
        <v>2004</v>
      </c>
      <c r="L232" s="324">
        <f t="shared" si="524"/>
        <v>2005</v>
      </c>
      <c r="M232" s="324">
        <f t="shared" si="524"/>
        <v>2006</v>
      </c>
      <c r="N232" s="324">
        <f t="shared" si="524"/>
        <v>2007</v>
      </c>
      <c r="O232" s="324">
        <f t="shared" si="524"/>
        <v>2008</v>
      </c>
      <c r="P232" s="324">
        <f t="shared" si="524"/>
        <v>2009</v>
      </c>
      <c r="Q232" s="324">
        <f t="shared" si="524"/>
        <v>2010</v>
      </c>
      <c r="R232" s="324">
        <f t="shared" si="524"/>
        <v>2011</v>
      </c>
      <c r="S232" s="324">
        <f t="shared" si="524"/>
        <v>2012</v>
      </c>
      <c r="T232" s="324">
        <f t="shared" si="524"/>
        <v>2013</v>
      </c>
      <c r="U232" s="324">
        <f t="shared" si="524"/>
        <v>2014</v>
      </c>
      <c r="V232" s="324">
        <f t="shared" si="524"/>
        <v>2015</v>
      </c>
      <c r="W232" s="324">
        <f t="shared" si="524"/>
        <v>2016</v>
      </c>
      <c r="X232" s="324">
        <f t="shared" si="524"/>
        <v>2017</v>
      </c>
      <c r="Y232" s="324">
        <f t="shared" si="524"/>
        <v>2018</v>
      </c>
      <c r="Z232" s="324">
        <f t="shared" si="524"/>
        <v>2019</v>
      </c>
      <c r="AA232" s="324">
        <f t="shared" si="524"/>
        <v>2020</v>
      </c>
      <c r="AB232" s="324">
        <f t="shared" si="524"/>
        <v>2021</v>
      </c>
      <c r="AC232" s="324">
        <f t="shared" si="524"/>
        <v>2022</v>
      </c>
      <c r="AD232" s="324">
        <f t="shared" si="524"/>
        <v>2023</v>
      </c>
      <c r="AE232" s="759">
        <f t="shared" si="524"/>
        <v>2024</v>
      </c>
      <c r="AF232" s="324">
        <f t="shared" si="524"/>
        <v>2025</v>
      </c>
      <c r="AG232" s="324">
        <f t="shared" si="524"/>
        <v>2026</v>
      </c>
      <c r="AH232" s="324">
        <f t="shared" si="524"/>
        <v>2027</v>
      </c>
      <c r="AI232" s="324">
        <f t="shared" si="524"/>
        <v>2028</v>
      </c>
      <c r="AJ232" s="324">
        <f t="shared" si="524"/>
        <v>2029</v>
      </c>
      <c r="AK232" s="324">
        <f t="shared" si="524"/>
        <v>2030</v>
      </c>
    </row>
    <row r="233" spans="1:97">
      <c r="A233" s="325" t="s">
        <v>359</v>
      </c>
      <c r="H233" s="504"/>
      <c r="I233" s="504"/>
      <c r="J233" s="504"/>
      <c r="K233" s="504">
        <f t="shared" ref="K233:AK233" si="525">K85</f>
        <v>123565.63834019459</v>
      </c>
      <c r="L233" s="504">
        <f t="shared" si="525"/>
        <v>148573.77901621317</v>
      </c>
      <c r="M233" s="504">
        <f t="shared" si="525"/>
        <v>149773.51659494013</v>
      </c>
      <c r="N233" s="504">
        <f t="shared" si="525"/>
        <v>163197.47579708064</v>
      </c>
      <c r="O233" s="504">
        <f t="shared" si="525"/>
        <v>173239.554125013</v>
      </c>
      <c r="P233" s="504">
        <f t="shared" si="525"/>
        <v>179358.09136931895</v>
      </c>
      <c r="Q233" s="504">
        <f t="shared" si="525"/>
        <v>162023.61180906353</v>
      </c>
      <c r="R233" s="504">
        <f t="shared" si="525"/>
        <v>180059.90168027501</v>
      </c>
      <c r="S233" s="504">
        <f t="shared" si="525"/>
        <v>210726.82740674238</v>
      </c>
      <c r="T233" s="504">
        <f t="shared" si="525"/>
        <v>249703.42319180287</v>
      </c>
      <c r="U233" s="504">
        <f t="shared" si="525"/>
        <v>246876.66557858579</v>
      </c>
      <c r="V233" s="504">
        <f t="shared" si="525"/>
        <v>216359.37741205061</v>
      </c>
      <c r="W233" s="504">
        <f t="shared" si="525"/>
        <v>181311.4688795371</v>
      </c>
      <c r="X233" s="504">
        <f t="shared" si="525"/>
        <v>170951.84391780841</v>
      </c>
      <c r="Y233" s="504">
        <f t="shared" si="525"/>
        <v>173075.78932194048</v>
      </c>
      <c r="Z233" s="504">
        <f t="shared" si="525"/>
        <v>197624.77550841306</v>
      </c>
      <c r="AA233" s="504">
        <f t="shared" si="525"/>
        <v>190881.6486166954</v>
      </c>
      <c r="AB233" s="504">
        <f t="shared" si="525"/>
        <v>188808.48994552818</v>
      </c>
      <c r="AC233" s="504">
        <f t="shared" si="525"/>
        <v>178315.9984486606</v>
      </c>
      <c r="AD233" s="504">
        <f t="shared" si="525"/>
        <v>196487.36235465578</v>
      </c>
      <c r="AE233" s="734">
        <f t="shared" si="525"/>
        <v>215743.12386541205</v>
      </c>
      <c r="AF233" s="504">
        <f t="shared" si="525"/>
        <v>224372.84882002854</v>
      </c>
      <c r="AG233" s="504">
        <f t="shared" si="525"/>
        <v>208666.74940262653</v>
      </c>
      <c r="AH233" s="504">
        <f t="shared" si="525"/>
        <v>195103.41069145582</v>
      </c>
      <c r="AI233" s="504">
        <f t="shared" si="525"/>
        <v>176481.60012187951</v>
      </c>
      <c r="AJ233" s="504">
        <f t="shared" si="525"/>
        <v>174833.16887937975</v>
      </c>
      <c r="AK233" s="504">
        <f t="shared" si="525"/>
        <v>170294.28957320226</v>
      </c>
    </row>
    <row r="234" spans="1:97">
      <c r="A234" s="325" t="s">
        <v>344</v>
      </c>
      <c r="H234" s="504"/>
      <c r="I234" s="504"/>
      <c r="J234" s="504"/>
      <c r="K234" s="504">
        <f>K233*K190</f>
        <v>50552.992807821553</v>
      </c>
      <c r="L234" s="504">
        <f>L233*L190</f>
        <v>61086.509802018656</v>
      </c>
      <c r="M234" s="504">
        <f>M233*M190</f>
        <v>58154.211497936543</v>
      </c>
      <c r="N234" s="504">
        <f>N233*N190</f>
        <v>62113.076736889736</v>
      </c>
      <c r="O234" s="504">
        <f>O233*O190</f>
        <v>63769.832294006614</v>
      </c>
      <c r="P234" s="504">
        <f t="shared" ref="P234:AK234" si="526">P233*P190</f>
        <v>65447.421222556986</v>
      </c>
      <c r="Q234" s="504">
        <f t="shared" si="526"/>
        <v>57989.265957870943</v>
      </c>
      <c r="R234" s="504">
        <f t="shared" si="526"/>
        <v>63012.86154774249</v>
      </c>
      <c r="S234" s="504">
        <f t="shared" si="526"/>
        <v>71471.416434796556</v>
      </c>
      <c r="T234" s="504">
        <f t="shared" si="526"/>
        <v>86083.776522198023</v>
      </c>
      <c r="U234" s="504">
        <f t="shared" si="526"/>
        <v>85489.142232765109</v>
      </c>
      <c r="V234" s="504">
        <f t="shared" si="526"/>
        <v>75628.904346458992</v>
      </c>
      <c r="W234" s="504">
        <f t="shared" si="526"/>
        <v>61287.778711735096</v>
      </c>
      <c r="X234" s="504">
        <f t="shared" si="526"/>
        <v>58761.870769348141</v>
      </c>
      <c r="Y234" s="504">
        <f t="shared" si="526"/>
        <v>59953.267291050819</v>
      </c>
      <c r="Z234" s="504">
        <f t="shared" si="526"/>
        <v>66944.030629668181</v>
      </c>
      <c r="AA234" s="504">
        <f t="shared" si="526"/>
        <v>63064.115115924636</v>
      </c>
      <c r="AB234" s="504">
        <f t="shared" si="526"/>
        <v>64882.088708241434</v>
      </c>
      <c r="AC234" s="504">
        <f t="shared" si="526"/>
        <v>61364.738871417067</v>
      </c>
      <c r="AD234" s="504">
        <f t="shared" si="526"/>
        <v>64825.09433625191</v>
      </c>
      <c r="AE234" s="734">
        <f t="shared" si="526"/>
        <v>71777.098246666181</v>
      </c>
      <c r="AF234" s="504">
        <f t="shared" si="526"/>
        <v>75236.506247364319</v>
      </c>
      <c r="AG234" s="504">
        <f t="shared" si="526"/>
        <v>70989.285819603887</v>
      </c>
      <c r="AH234" s="504">
        <f t="shared" si="526"/>
        <v>65948.824995927396</v>
      </c>
      <c r="AI234" s="504">
        <f t="shared" si="526"/>
        <v>60242.712407900719</v>
      </c>
      <c r="AJ234" s="504">
        <f t="shared" si="526"/>
        <v>59416.504934242614</v>
      </c>
      <c r="AK234" s="504">
        <f t="shared" si="526"/>
        <v>58063.765624889209</v>
      </c>
    </row>
    <row r="235" spans="1:97">
      <c r="A235" s="325" t="s">
        <v>335</v>
      </c>
      <c r="H235" s="504"/>
      <c r="I235" s="504"/>
      <c r="J235" s="504"/>
      <c r="K235" s="504">
        <f>K233-K234</f>
        <v>73012.645532373048</v>
      </c>
      <c r="L235" s="504">
        <f>L233-L234</f>
        <v>87487.269214194515</v>
      </c>
      <c r="M235" s="504">
        <f t="shared" ref="M235:AK235" si="527">M233-M234</f>
        <v>91619.305097003584</v>
      </c>
      <c r="N235" s="504">
        <f>N233-N234</f>
        <v>101084.3990601909</v>
      </c>
      <c r="O235" s="504">
        <f>O233-O234</f>
        <v>109469.72183100639</v>
      </c>
      <c r="P235" s="504">
        <f t="shared" si="527"/>
        <v>113910.67014676196</v>
      </c>
      <c r="Q235" s="504">
        <f t="shared" si="527"/>
        <v>104034.34585119259</v>
      </c>
      <c r="R235" s="504">
        <f t="shared" si="527"/>
        <v>117047.04013253252</v>
      </c>
      <c r="S235" s="504">
        <f t="shared" si="527"/>
        <v>139255.41097194582</v>
      </c>
      <c r="T235" s="504">
        <f t="shared" si="527"/>
        <v>163619.64666960484</v>
      </c>
      <c r="U235" s="504">
        <f t="shared" si="527"/>
        <v>161387.52334582066</v>
      </c>
      <c r="V235" s="504">
        <f t="shared" si="527"/>
        <v>140730.47306559162</v>
      </c>
      <c r="W235" s="504">
        <f t="shared" si="527"/>
        <v>120023.69016780201</v>
      </c>
      <c r="X235" s="504">
        <f t="shared" si="527"/>
        <v>112189.97314846027</v>
      </c>
      <c r="Y235" s="504">
        <f t="shared" si="527"/>
        <v>113122.52203088967</v>
      </c>
      <c r="Z235" s="504">
        <f t="shared" si="527"/>
        <v>130680.74487874488</v>
      </c>
      <c r="AA235" s="504">
        <f t="shared" si="527"/>
        <v>127817.53350077076</v>
      </c>
      <c r="AB235" s="504">
        <f t="shared" si="527"/>
        <v>123926.40123728674</v>
      </c>
      <c r="AC235" s="504">
        <f t="shared" si="527"/>
        <v>116951.25957724353</v>
      </c>
      <c r="AD235" s="504">
        <f t="shared" si="527"/>
        <v>131662.26801840388</v>
      </c>
      <c r="AE235" s="734">
        <f t="shared" si="527"/>
        <v>143966.02561874589</v>
      </c>
      <c r="AF235" s="504">
        <f t="shared" si="527"/>
        <v>149136.3425726642</v>
      </c>
      <c r="AG235" s="504">
        <f t="shared" si="527"/>
        <v>137677.46358302265</v>
      </c>
      <c r="AH235" s="504">
        <f t="shared" si="527"/>
        <v>129154.58569552843</v>
      </c>
      <c r="AI235" s="504">
        <f t="shared" si="527"/>
        <v>116238.88771397879</v>
      </c>
      <c r="AJ235" s="504">
        <f t="shared" si="527"/>
        <v>115416.66394513714</v>
      </c>
      <c r="AK235" s="504">
        <f t="shared" si="527"/>
        <v>112230.52394831306</v>
      </c>
    </row>
    <row r="236" spans="1:97" s="633" customFormat="1">
      <c r="A236" s="631" t="s">
        <v>360</v>
      </c>
      <c r="B236" s="631"/>
      <c r="C236" s="631"/>
      <c r="D236" s="631"/>
      <c r="E236" s="631"/>
      <c r="F236" s="631"/>
      <c r="G236" s="631"/>
      <c r="H236" s="631"/>
      <c r="I236" s="632"/>
      <c r="J236" s="632"/>
      <c r="K236" s="632"/>
      <c r="L236" s="632">
        <f t="shared" ref="L236:AK236" si="528">L235-K235</f>
        <v>14474.623681821467</v>
      </c>
      <c r="M236" s="632">
        <f t="shared" si="528"/>
        <v>4132.0358828090684</v>
      </c>
      <c r="N236" s="632">
        <f>N235-M235</f>
        <v>9465.0939631873189</v>
      </c>
      <c r="O236" s="632">
        <f>O235-N235</f>
        <v>8385.3227708154882</v>
      </c>
      <c r="P236" s="632">
        <f t="shared" si="528"/>
        <v>4440.948315755566</v>
      </c>
      <c r="Q236" s="632">
        <f t="shared" si="528"/>
        <v>-9876.3242955693713</v>
      </c>
      <c r="R236" s="632">
        <f t="shared" si="528"/>
        <v>13012.694281339936</v>
      </c>
      <c r="S236" s="632">
        <f t="shared" si="528"/>
        <v>22208.370839413299</v>
      </c>
      <c r="T236" s="632">
        <f t="shared" si="528"/>
        <v>24364.235697659024</v>
      </c>
      <c r="U236" s="632">
        <f t="shared" si="528"/>
        <v>-2232.1233237841807</v>
      </c>
      <c r="V236" s="632">
        <f t="shared" si="528"/>
        <v>-20657.050280229043</v>
      </c>
      <c r="W236" s="632">
        <f t="shared" si="528"/>
        <v>-20706.782897789613</v>
      </c>
      <c r="X236" s="632">
        <f t="shared" si="528"/>
        <v>-7833.7170193417405</v>
      </c>
      <c r="Y236" s="632">
        <f t="shared" si="528"/>
        <v>932.54888242940069</v>
      </c>
      <c r="Z236" s="632">
        <f t="shared" si="528"/>
        <v>17558.222847855213</v>
      </c>
      <c r="AA236" s="632">
        <f t="shared" si="528"/>
        <v>-2863.2113779741194</v>
      </c>
      <c r="AB236" s="632">
        <f t="shared" si="528"/>
        <v>-3891.132263484018</v>
      </c>
      <c r="AC236" s="632">
        <f t="shared" si="528"/>
        <v>-6975.1416600432131</v>
      </c>
      <c r="AD236" s="632">
        <f t="shared" si="528"/>
        <v>14711.008441160346</v>
      </c>
      <c r="AE236" s="775">
        <f t="shared" si="528"/>
        <v>12303.757600342011</v>
      </c>
      <c r="AF236" s="632">
        <f t="shared" si="528"/>
        <v>5170.3169539183145</v>
      </c>
      <c r="AG236" s="632">
        <f t="shared" si="528"/>
        <v>-11458.878989641555</v>
      </c>
      <c r="AH236" s="632">
        <f t="shared" si="528"/>
        <v>-8522.8778874942218</v>
      </c>
      <c r="AI236" s="632">
        <f t="shared" si="528"/>
        <v>-12915.697981549631</v>
      </c>
      <c r="AJ236" s="632">
        <f t="shared" si="528"/>
        <v>-822.22376884164987</v>
      </c>
      <c r="AK236" s="632">
        <f t="shared" si="528"/>
        <v>-3186.1399968240876</v>
      </c>
    </row>
    <row r="237" spans="1:97">
      <c r="E237" s="518"/>
      <c r="F237" s="518"/>
      <c r="G237" s="518"/>
      <c r="H237" s="518"/>
      <c r="I237" s="518"/>
      <c r="J237" s="518"/>
      <c r="K237" s="518"/>
      <c r="L237" s="518"/>
      <c r="M237" s="626"/>
      <c r="N237" s="626"/>
      <c r="O237" s="626"/>
      <c r="P237" s="626"/>
      <c r="Q237" s="626"/>
      <c r="R237" s="626"/>
      <c r="S237" s="626"/>
      <c r="T237" s="626"/>
      <c r="U237" s="626"/>
      <c r="V237" s="626"/>
      <c r="W237" s="626"/>
      <c r="X237" s="626"/>
      <c r="Y237" s="626"/>
      <c r="Z237" s="626"/>
      <c r="AA237" s="626"/>
      <c r="AB237" s="626"/>
      <c r="AC237" s="626"/>
      <c r="AD237" s="626"/>
      <c r="AE237" s="771"/>
      <c r="AF237" s="626"/>
      <c r="AG237" s="626"/>
      <c r="AH237" s="626"/>
      <c r="AI237" s="626"/>
      <c r="AJ237" s="626"/>
      <c r="AK237" s="626"/>
    </row>
    <row r="238" spans="1:97">
      <c r="D238" s="608"/>
      <c r="E238" s="608"/>
      <c r="F238" s="608"/>
      <c r="G238" s="608"/>
      <c r="H238" s="608"/>
      <c r="I238" s="608"/>
      <c r="J238" s="608"/>
      <c r="K238" s="608"/>
      <c r="L238" s="608"/>
      <c r="M238" s="324"/>
      <c r="N238" s="634"/>
      <c r="O238" s="634"/>
      <c r="P238" s="634"/>
      <c r="Q238" s="634"/>
      <c r="R238" s="634"/>
      <c r="S238" s="634"/>
      <c r="T238" s="608"/>
      <c r="U238" s="608"/>
      <c r="V238" s="608"/>
      <c r="W238" s="608"/>
      <c r="X238" s="608"/>
      <c r="Y238" s="608"/>
      <c r="Z238" s="608"/>
      <c r="AA238" s="608"/>
      <c r="AB238" s="608"/>
      <c r="AC238" s="608"/>
      <c r="AD238" s="608"/>
      <c r="AE238" s="766"/>
      <c r="AF238" s="608"/>
      <c r="AG238" s="608"/>
      <c r="AH238" s="608"/>
      <c r="AI238" s="608"/>
      <c r="AJ238" s="608"/>
      <c r="AK238" s="608"/>
      <c r="AL238" s="608"/>
      <c r="AM238" s="608"/>
      <c r="AN238" s="608"/>
      <c r="AO238" s="608"/>
      <c r="AP238" s="608"/>
      <c r="AQ238" s="608"/>
      <c r="AR238" s="608"/>
      <c r="AS238" s="608"/>
      <c r="AT238" s="608"/>
      <c r="AU238" s="608"/>
      <c r="AV238" s="608"/>
      <c r="AW238" s="608"/>
      <c r="AX238" s="608"/>
      <c r="AY238" s="608"/>
      <c r="AZ238" s="608"/>
      <c r="BA238" s="608"/>
      <c r="BB238" s="608"/>
      <c r="BC238" s="608"/>
      <c r="BD238" s="608"/>
      <c r="BE238" s="608"/>
      <c r="BF238" s="608"/>
      <c r="BG238" s="608"/>
      <c r="BH238" s="608"/>
      <c r="BI238" s="608"/>
      <c r="BJ238" s="608"/>
      <c r="BK238" s="608"/>
      <c r="BL238" s="608"/>
      <c r="BM238" s="608"/>
      <c r="BN238" s="608"/>
      <c r="BO238" s="608"/>
      <c r="BR238" s="608"/>
      <c r="BS238" s="608"/>
      <c r="BT238" s="608"/>
      <c r="BU238" s="608"/>
      <c r="BV238" s="608"/>
      <c r="BW238" s="608"/>
      <c r="BX238" s="608"/>
      <c r="BY238" s="608"/>
      <c r="BZ238" s="608"/>
      <c r="CA238" s="608"/>
      <c r="CB238" s="608"/>
      <c r="CC238" s="608"/>
      <c r="CD238" s="608"/>
      <c r="CE238" s="608"/>
      <c r="CF238" s="608"/>
      <c r="CG238" s="608"/>
      <c r="CH238" s="608"/>
      <c r="CI238" s="608"/>
      <c r="CJ238" s="608"/>
      <c r="CK238" s="608"/>
      <c r="CL238" s="608"/>
      <c r="CM238" s="608"/>
      <c r="CN238" s="608"/>
      <c r="CO238" s="608"/>
      <c r="CP238" s="608"/>
      <c r="CQ238" s="608"/>
      <c r="CR238" s="608"/>
      <c r="CS238" s="608"/>
    </row>
    <row r="239" spans="1:97">
      <c r="A239" s="635" t="s">
        <v>361</v>
      </c>
      <c r="B239" s="636"/>
      <c r="C239" s="636"/>
      <c r="D239" s="637"/>
      <c r="E239" s="637"/>
      <c r="F239" s="637"/>
      <c r="G239" s="637"/>
      <c r="H239" s="637"/>
      <c r="I239" s="637"/>
      <c r="J239" s="637"/>
      <c r="K239" s="637"/>
      <c r="L239" s="637"/>
      <c r="M239" s="635"/>
      <c r="N239" s="635"/>
      <c r="O239" s="635"/>
      <c r="P239" s="635"/>
      <c r="Q239" s="637"/>
      <c r="R239" s="637"/>
      <c r="S239" s="608"/>
      <c r="T239" s="608"/>
      <c r="U239" s="608"/>
      <c r="V239" s="608"/>
      <c r="W239" s="608"/>
      <c r="X239" s="608"/>
      <c r="Y239" s="608"/>
      <c r="Z239" s="608"/>
      <c r="AA239" s="608"/>
      <c r="AB239" s="608"/>
      <c r="AC239" s="608"/>
      <c r="AD239" s="608"/>
      <c r="AE239" s="766"/>
      <c r="AF239" s="608"/>
      <c r="AG239" s="608"/>
      <c r="AH239" s="608"/>
      <c r="AI239" s="608"/>
      <c r="AJ239" s="608"/>
      <c r="AK239" s="608"/>
      <c r="AL239" s="608"/>
      <c r="AM239" s="608"/>
      <c r="AN239" s="608"/>
      <c r="AO239" s="608"/>
      <c r="AP239" s="608"/>
      <c r="AQ239" s="608"/>
      <c r="AR239" s="608"/>
      <c r="AS239" s="608"/>
      <c r="AT239" s="608"/>
      <c r="AU239" s="608"/>
      <c r="AV239" s="608"/>
      <c r="AW239" s="608"/>
      <c r="AX239" s="608"/>
      <c r="AY239" s="608"/>
      <c r="AZ239" s="608"/>
      <c r="BA239" s="608"/>
      <c r="BB239" s="608"/>
      <c r="BC239" s="608"/>
      <c r="BD239" s="608"/>
      <c r="BE239" s="608"/>
      <c r="BF239" s="608"/>
      <c r="BG239" s="608"/>
      <c r="BH239" s="608"/>
      <c r="BI239" s="608"/>
      <c r="BJ239" s="608"/>
      <c r="BK239" s="608"/>
      <c r="BL239" s="608"/>
      <c r="BM239" s="608"/>
      <c r="BN239" s="608"/>
      <c r="BO239" s="608"/>
    </row>
    <row r="240" spans="1:97">
      <c r="A240" s="635"/>
      <c r="B240" s="636"/>
      <c r="C240" s="636"/>
      <c r="D240" s="637"/>
      <c r="E240" s="637"/>
      <c r="F240" s="637"/>
      <c r="G240" s="637"/>
      <c r="H240" s="637"/>
      <c r="I240" s="637"/>
      <c r="J240" s="637"/>
      <c r="K240" s="637"/>
      <c r="L240" s="638"/>
      <c r="M240" s="635">
        <v>2006</v>
      </c>
      <c r="N240" s="635">
        <v>2007</v>
      </c>
      <c r="O240" s="635">
        <v>2008</v>
      </c>
      <c r="P240" s="635">
        <v>2009</v>
      </c>
      <c r="Q240" s="638">
        <v>2010</v>
      </c>
      <c r="R240" s="638">
        <v>2011</v>
      </c>
      <c r="S240" s="638">
        <v>2012</v>
      </c>
      <c r="T240" s="324"/>
      <c r="U240" s="634"/>
      <c r="V240" s="324"/>
      <c r="W240" s="608"/>
      <c r="X240" s="608"/>
      <c r="Y240" s="608"/>
      <c r="Z240" s="608"/>
      <c r="AA240" s="608"/>
      <c r="AB240" s="608"/>
      <c r="AC240" s="608"/>
      <c r="AD240" s="608"/>
      <c r="AE240" s="766"/>
      <c r="AF240" s="608"/>
      <c r="AG240" s="608"/>
      <c r="AH240" s="608"/>
      <c r="AI240" s="608"/>
      <c r="AJ240" s="608"/>
      <c r="AK240" s="608"/>
      <c r="AL240" s="608"/>
      <c r="AM240" s="608"/>
      <c r="AN240" s="608"/>
      <c r="AO240" s="608"/>
      <c r="AP240" s="608"/>
      <c r="AQ240" s="608"/>
      <c r="AR240" s="608"/>
      <c r="AS240" s="608"/>
      <c r="AT240" s="608"/>
      <c r="AU240" s="608"/>
      <c r="AV240" s="608"/>
      <c r="AW240" s="608"/>
      <c r="AX240" s="608"/>
      <c r="AY240" s="608"/>
      <c r="AZ240" s="608"/>
      <c r="BA240" s="608"/>
      <c r="BB240" s="608"/>
      <c r="BC240" s="608"/>
      <c r="BD240" s="608"/>
      <c r="BE240" s="608"/>
      <c r="BF240" s="608"/>
      <c r="BG240" s="608"/>
      <c r="BH240" s="608"/>
      <c r="BI240" s="608"/>
      <c r="BJ240" s="608"/>
      <c r="BK240" s="608"/>
      <c r="BL240" s="608"/>
      <c r="BM240" s="608"/>
      <c r="BN240" s="608"/>
      <c r="BO240" s="608"/>
    </row>
    <row r="241" spans="1:67">
      <c r="A241" s="635" t="s">
        <v>364</v>
      </c>
      <c r="B241" s="636"/>
      <c r="C241" s="636"/>
      <c r="D241" s="637"/>
      <c r="E241" s="637"/>
      <c r="F241" s="637"/>
      <c r="G241" s="637"/>
      <c r="H241" s="637"/>
      <c r="I241" s="637"/>
      <c r="J241" s="637"/>
      <c r="K241" s="637"/>
      <c r="L241" s="639"/>
      <c r="M241" s="639">
        <v>2.5092919989360025</v>
      </c>
      <c r="N241" s="640">
        <v>7.5783250403259999</v>
      </c>
      <c r="O241" s="640">
        <v>0.88303272641300024</v>
      </c>
      <c r="P241" s="640">
        <v>-1.4817199451009984</v>
      </c>
      <c r="Q241" s="640">
        <v>9.4341907440780002</v>
      </c>
      <c r="R241" s="640">
        <v>-11.634999160932002</v>
      </c>
      <c r="S241" s="640">
        <v>-8.1819949766389968</v>
      </c>
      <c r="T241" s="608"/>
      <c r="U241" s="608"/>
      <c r="V241" s="608"/>
      <c r="W241" s="608"/>
      <c r="X241" s="608"/>
      <c r="Y241" s="608"/>
      <c r="Z241" s="608"/>
      <c r="AA241" s="608"/>
      <c r="AB241" s="608"/>
      <c r="AC241" s="608"/>
      <c r="AD241" s="608"/>
      <c r="AE241" s="766"/>
      <c r="AF241" s="608"/>
      <c r="AG241" s="608"/>
      <c r="AH241" s="608"/>
      <c r="AI241" s="608"/>
      <c r="AJ241" s="608"/>
      <c r="AK241" s="608"/>
      <c r="AL241" s="608"/>
      <c r="AM241" s="608"/>
      <c r="AN241" s="608"/>
      <c r="AO241" s="608"/>
      <c r="AP241" s="608"/>
      <c r="AQ241" s="608"/>
      <c r="AR241" s="608"/>
      <c r="AS241" s="608"/>
      <c r="AT241" s="608"/>
      <c r="AU241" s="608"/>
      <c r="AV241" s="608"/>
      <c r="AW241" s="608"/>
      <c r="AX241" s="608"/>
      <c r="AY241" s="608"/>
      <c r="AZ241" s="608"/>
      <c r="BA241" s="608"/>
      <c r="BB241" s="608"/>
      <c r="BC241" s="608"/>
      <c r="BD241" s="608"/>
      <c r="BE241" s="608"/>
      <c r="BF241" s="608"/>
      <c r="BG241" s="608"/>
      <c r="BH241" s="608"/>
      <c r="BI241" s="608"/>
      <c r="BJ241" s="608"/>
      <c r="BK241" s="608"/>
      <c r="BL241" s="608"/>
      <c r="BM241" s="608"/>
      <c r="BN241" s="608"/>
      <c r="BO241" s="608"/>
    </row>
    <row r="242" spans="1:67">
      <c r="A242" s="635" t="s">
        <v>362</v>
      </c>
      <c r="B242" s="636"/>
      <c r="C242" s="636"/>
      <c r="D242" s="637"/>
      <c r="E242" s="637"/>
      <c r="F242" s="637"/>
      <c r="G242" s="637"/>
      <c r="H242" s="637"/>
      <c r="I242" s="637"/>
      <c r="J242" s="637"/>
      <c r="K242" s="637"/>
      <c r="L242" s="641"/>
      <c r="M242" s="642">
        <f t="shared" ref="M242:S242" si="529">M241*1000</f>
        <v>2509.2919989360025</v>
      </c>
      <c r="N242" s="642">
        <f>N241*1000</f>
        <v>7578.3250403259999</v>
      </c>
      <c r="O242" s="642">
        <f t="shared" si="529"/>
        <v>883.0327264130002</v>
      </c>
      <c r="P242" s="642">
        <f t="shared" si="529"/>
        <v>-1481.7199451009983</v>
      </c>
      <c r="Q242" s="642">
        <f t="shared" si="529"/>
        <v>9434.1907440779996</v>
      </c>
      <c r="R242" s="642">
        <f t="shared" si="529"/>
        <v>-11634.999160932002</v>
      </c>
      <c r="S242" s="642">
        <f t="shared" si="529"/>
        <v>-8181.9949766389964</v>
      </c>
      <c r="T242" s="608"/>
      <c r="U242" s="608"/>
      <c r="V242" s="608"/>
      <c r="W242" s="608"/>
      <c r="X242" s="608"/>
      <c r="Y242" s="608"/>
      <c r="Z242" s="608"/>
      <c r="AA242" s="608"/>
      <c r="AB242" s="608"/>
      <c r="AC242" s="608"/>
      <c r="AD242" s="608"/>
      <c r="AE242" s="766"/>
      <c r="AF242" s="608"/>
      <c r="AG242" s="608"/>
      <c r="AH242" s="608"/>
      <c r="AI242" s="608"/>
      <c r="AJ242" s="608"/>
      <c r="AK242" s="608"/>
      <c r="AL242" s="608"/>
      <c r="AM242" s="608"/>
      <c r="AN242" s="608"/>
      <c r="AO242" s="608"/>
      <c r="AP242" s="608"/>
      <c r="AQ242" s="608"/>
      <c r="AR242" s="608"/>
      <c r="AS242" s="608"/>
      <c r="AT242" s="608"/>
      <c r="AU242" s="608"/>
      <c r="AV242" s="608"/>
      <c r="AW242" s="608"/>
      <c r="AX242" s="608"/>
      <c r="AY242" s="608"/>
      <c r="AZ242" s="608"/>
      <c r="BA242" s="608"/>
      <c r="BB242" s="608"/>
      <c r="BC242" s="608"/>
      <c r="BD242" s="608"/>
      <c r="BE242" s="608"/>
      <c r="BF242" s="608"/>
      <c r="BG242" s="608"/>
      <c r="BH242" s="608"/>
      <c r="BI242" s="608"/>
      <c r="BJ242" s="608"/>
      <c r="BK242" s="608"/>
      <c r="BL242" s="608"/>
      <c r="BM242" s="608"/>
      <c r="BN242" s="608"/>
      <c r="BO242" s="608"/>
    </row>
    <row r="243" spans="1:67">
      <c r="A243" s="635" t="s">
        <v>363</v>
      </c>
      <c r="B243" s="636"/>
      <c r="C243" s="636"/>
      <c r="D243" s="636"/>
      <c r="E243" s="636"/>
      <c r="F243" s="636"/>
      <c r="G243" s="636" t="s">
        <v>232</v>
      </c>
      <c r="H243" s="636"/>
      <c r="I243" s="636"/>
      <c r="J243" s="636"/>
      <c r="K243" s="642"/>
      <c r="L243" s="642"/>
      <c r="M243" s="642">
        <f t="shared" ref="M243:R243" si="530">M236</f>
        <v>4132.0358828090684</v>
      </c>
      <c r="N243" s="642">
        <f t="shared" si="530"/>
        <v>9465.0939631873189</v>
      </c>
      <c r="O243" s="642">
        <f t="shared" si="530"/>
        <v>8385.3227708154882</v>
      </c>
      <c r="P243" s="642">
        <f t="shared" si="530"/>
        <v>4440.948315755566</v>
      </c>
      <c r="Q243" s="642">
        <f t="shared" si="530"/>
        <v>-9876.3242955693713</v>
      </c>
      <c r="R243" s="642">
        <f t="shared" si="530"/>
        <v>13012.694281339936</v>
      </c>
      <c r="S243" s="642">
        <f>S236</f>
        <v>22208.370839413299</v>
      </c>
      <c r="T243" s="551"/>
      <c r="U243" s="551"/>
      <c r="V243" s="551"/>
      <c r="W243" s="551"/>
      <c r="X243" s="551"/>
      <c r="Y243" s="551"/>
      <c r="Z243" s="551"/>
      <c r="AA243" s="551"/>
      <c r="AB243" s="551"/>
      <c r="AC243" s="551"/>
      <c r="AD243" s="551"/>
      <c r="AE243" s="765"/>
      <c r="AF243" s="551"/>
      <c r="AG243" s="551"/>
      <c r="AH243" s="551"/>
      <c r="AI243" s="551"/>
      <c r="AJ243" s="551"/>
      <c r="AK243" s="551"/>
      <c r="AL243" s="551"/>
      <c r="AM243" s="551"/>
      <c r="AN243" s="551"/>
      <c r="AO243" s="551"/>
      <c r="AP243" s="551"/>
      <c r="AQ243" s="551"/>
      <c r="AR243" s="551"/>
      <c r="AS243" s="551"/>
      <c r="AT243" s="551"/>
      <c r="AU243" s="551"/>
      <c r="AV243" s="551"/>
      <c r="AW243" s="551"/>
      <c r="AX243" s="551"/>
      <c r="AY243" s="551"/>
      <c r="AZ243" s="551"/>
      <c r="BA243" s="551"/>
      <c r="BB243" s="551"/>
      <c r="BC243" s="551"/>
      <c r="BD243" s="551"/>
      <c r="BE243" s="551"/>
      <c r="BF243" s="551"/>
      <c r="BG243" s="551"/>
      <c r="BH243" s="551"/>
      <c r="BI243" s="551"/>
      <c r="BJ243" s="551"/>
      <c r="BK243" s="551"/>
      <c r="BL243" s="551"/>
      <c r="BM243" s="551"/>
      <c r="BN243" s="551"/>
      <c r="BO243" s="551"/>
    </row>
    <row r="244" spans="1:67" outlineLevel="1">
      <c r="A244" s="635" t="s">
        <v>366</v>
      </c>
      <c r="B244" s="636"/>
      <c r="C244" s="636"/>
      <c r="D244" s="636"/>
      <c r="E244" s="636"/>
      <c r="F244" s="636"/>
      <c r="G244" s="636"/>
      <c r="H244" s="636"/>
      <c r="I244" s="636"/>
      <c r="J244" s="636"/>
      <c r="K244" s="642"/>
      <c r="L244" s="642"/>
      <c r="M244" s="642">
        <f t="shared" ref="M244:S244" si="531">M243-M242</f>
        <v>1622.7438838730659</v>
      </c>
      <c r="N244" s="642">
        <f>N243-N242</f>
        <v>1886.768922861319</v>
      </c>
      <c r="O244" s="642">
        <f t="shared" si="531"/>
        <v>7502.2900444024881</v>
      </c>
      <c r="P244" s="642">
        <f t="shared" si="531"/>
        <v>5922.6682608565643</v>
      </c>
      <c r="Q244" s="642">
        <f t="shared" si="531"/>
        <v>-19310.515039647369</v>
      </c>
      <c r="R244" s="642">
        <f t="shared" si="531"/>
        <v>24647.693442271939</v>
      </c>
      <c r="S244" s="642">
        <f t="shared" si="531"/>
        <v>30390.365816052297</v>
      </c>
      <c r="T244" s="551"/>
      <c r="U244" s="551"/>
      <c r="V244" s="551"/>
      <c r="W244" s="551"/>
      <c r="X244" s="551"/>
      <c r="Y244" s="551"/>
      <c r="Z244" s="551"/>
      <c r="AA244" s="551"/>
      <c r="AB244" s="551"/>
      <c r="AC244" s="551"/>
      <c r="AD244" s="551"/>
      <c r="AE244" s="765"/>
      <c r="AF244" s="551"/>
      <c r="AG244" s="551"/>
      <c r="AH244" s="551"/>
      <c r="AI244" s="551"/>
      <c r="AJ244" s="551"/>
      <c r="AK244" s="551"/>
      <c r="AL244" s="551"/>
      <c r="AM244" s="551"/>
      <c r="AN244" s="551"/>
      <c r="AO244" s="551"/>
      <c r="AP244" s="551"/>
      <c r="AQ244" s="551"/>
      <c r="AR244" s="551"/>
      <c r="AS244" s="551"/>
      <c r="AT244" s="551"/>
      <c r="AU244" s="551"/>
      <c r="AV244" s="551"/>
      <c r="AW244" s="551"/>
      <c r="AX244" s="551"/>
      <c r="AY244" s="551"/>
      <c r="AZ244" s="551"/>
      <c r="BA244" s="551"/>
      <c r="BB244" s="551"/>
      <c r="BC244" s="551"/>
      <c r="BD244" s="551"/>
      <c r="BE244" s="551"/>
      <c r="BF244" s="551"/>
      <c r="BG244" s="551"/>
      <c r="BH244" s="551"/>
      <c r="BI244" s="551"/>
      <c r="BJ244" s="551"/>
      <c r="BK244" s="551"/>
      <c r="BL244" s="551"/>
      <c r="BM244" s="551"/>
      <c r="BN244" s="551"/>
      <c r="BO244" s="551"/>
    </row>
    <row r="245" spans="1:67" outlineLevel="1">
      <c r="A245" s="635" t="s">
        <v>367</v>
      </c>
      <c r="B245" s="636"/>
      <c r="C245" s="636"/>
      <c r="D245" s="643"/>
      <c r="E245" s="643"/>
      <c r="F245" s="643"/>
      <c r="G245" s="643"/>
      <c r="H245" s="643"/>
      <c r="I245" s="643"/>
      <c r="J245" s="643"/>
      <c r="K245" s="643"/>
      <c r="L245" s="643"/>
      <c r="M245" s="642">
        <f t="shared" ref="M245:S245" si="532">-1*M244</f>
        <v>-1622.7438838730659</v>
      </c>
      <c r="N245" s="642">
        <f t="shared" si="532"/>
        <v>-1886.768922861319</v>
      </c>
      <c r="O245" s="642">
        <f t="shared" si="532"/>
        <v>-7502.2900444024881</v>
      </c>
      <c r="P245" s="642">
        <f t="shared" si="532"/>
        <v>-5922.6682608565643</v>
      </c>
      <c r="Q245" s="642">
        <f t="shared" si="532"/>
        <v>19310.515039647369</v>
      </c>
      <c r="R245" s="642">
        <f t="shared" si="532"/>
        <v>-24647.693442271939</v>
      </c>
      <c r="S245" s="642">
        <f t="shared" si="532"/>
        <v>-30390.365816052297</v>
      </c>
      <c r="T245" s="544"/>
      <c r="U245" s="544"/>
      <c r="V245" s="544"/>
      <c r="W245" s="544"/>
      <c r="X245" s="544"/>
      <c r="Y245" s="544"/>
      <c r="Z245" s="544"/>
      <c r="AA245" s="544"/>
      <c r="AB245" s="544"/>
      <c r="AC245" s="544"/>
      <c r="AD245" s="544"/>
      <c r="AE245" s="744"/>
      <c r="AF245" s="544"/>
      <c r="AG245" s="544"/>
      <c r="AH245" s="544"/>
      <c r="AI245" s="544"/>
      <c r="AJ245" s="544"/>
      <c r="AK245" s="544"/>
    </row>
    <row r="246" spans="1:67" outlineLevel="1">
      <c r="A246" s="324"/>
      <c r="D246" s="544"/>
      <c r="E246" s="544"/>
      <c r="F246" s="544"/>
      <c r="G246" s="544"/>
      <c r="H246" s="544"/>
      <c r="I246" s="544"/>
      <c r="J246" s="544"/>
      <c r="K246" s="544"/>
      <c r="L246" s="544"/>
      <c r="N246" s="551">
        <v>6282.3250403259981</v>
      </c>
      <c r="O246" s="551">
        <v>976.64272641299976</v>
      </c>
      <c r="P246" s="551">
        <v>-1481.7199451009988</v>
      </c>
      <c r="Q246" s="551">
        <v>15767.948757826998</v>
      </c>
      <c r="R246" s="551">
        <v>-16543.66162178</v>
      </c>
      <c r="S246" s="551">
        <v>-8387.8519046779984</v>
      </c>
      <c r="T246" s="544"/>
      <c r="U246" s="544"/>
      <c r="V246" s="544"/>
      <c r="W246" s="544"/>
      <c r="X246" s="544"/>
      <c r="Y246" s="544"/>
      <c r="Z246" s="544"/>
      <c r="AA246" s="544"/>
      <c r="AB246" s="544"/>
      <c r="AC246" s="544"/>
      <c r="AD246" s="544"/>
      <c r="AE246" s="744"/>
      <c r="AF246" s="544"/>
      <c r="AG246" s="544"/>
      <c r="AH246" s="544"/>
      <c r="AI246" s="544"/>
      <c r="AJ246" s="544"/>
      <c r="AK246" s="544"/>
    </row>
    <row r="247" spans="1:67" outlineLevel="1">
      <c r="A247" s="324" t="s">
        <v>365</v>
      </c>
      <c r="D247" s="544"/>
      <c r="E247" s="544"/>
      <c r="F247" s="544"/>
      <c r="G247" s="544"/>
      <c r="H247" s="544"/>
      <c r="I247" s="544"/>
      <c r="J247" s="544"/>
      <c r="K247" s="544"/>
      <c r="L247" s="551"/>
      <c r="N247" s="644"/>
      <c r="O247" s="552"/>
      <c r="P247" s="552"/>
      <c r="Q247" s="552"/>
      <c r="R247" s="544"/>
      <c r="S247" s="544"/>
      <c r="T247" s="544"/>
      <c r="U247" s="544"/>
      <c r="V247" s="544"/>
      <c r="W247" s="544"/>
      <c r="X247" s="544"/>
      <c r="Y247" s="544"/>
      <c r="Z247" s="544"/>
      <c r="AA247" s="544"/>
      <c r="AB247" s="544"/>
      <c r="AC247" s="544"/>
      <c r="AD247" s="544"/>
      <c r="AE247" s="744"/>
      <c r="AF247" s="544"/>
      <c r="AG247" s="544"/>
      <c r="AH247" s="544"/>
      <c r="AI247" s="544"/>
      <c r="AJ247" s="544"/>
      <c r="AK247" s="544"/>
    </row>
    <row r="248" spans="1:67" outlineLevel="1">
      <c r="A248" s="325" t="s">
        <v>372</v>
      </c>
      <c r="D248" s="544"/>
      <c r="E248" s="544"/>
      <c r="F248" s="544"/>
      <c r="G248" s="544"/>
      <c r="H248" s="544"/>
      <c r="I248" s="544"/>
      <c r="J248" s="544"/>
      <c r="K248" s="544"/>
      <c r="L248" s="544"/>
      <c r="M248" s="544"/>
      <c r="N248" s="544"/>
      <c r="O248" s="544"/>
      <c r="P248" s="544"/>
      <c r="Q248" s="544"/>
      <c r="R248" s="544"/>
      <c r="S248" s="544"/>
      <c r="T248" s="544"/>
      <c r="U248" s="544"/>
      <c r="V248" s="544"/>
      <c r="W248" s="544"/>
      <c r="X248" s="544"/>
      <c r="Y248" s="544"/>
      <c r="Z248" s="544"/>
      <c r="AA248" s="544"/>
      <c r="AB248" s="544"/>
      <c r="AC248" s="544"/>
      <c r="AD248" s="544"/>
      <c r="AE248" s="744"/>
      <c r="AF248" s="544"/>
      <c r="AG248" s="544"/>
      <c r="AH248" s="544"/>
      <c r="AI248" s="544"/>
      <c r="AJ248" s="544"/>
      <c r="AK248" s="544"/>
    </row>
    <row r="249" spans="1:67" outlineLevel="1">
      <c r="A249" s="325" t="s">
        <v>368</v>
      </c>
      <c r="D249" s="544"/>
      <c r="E249" s="544"/>
      <c r="F249" s="544"/>
      <c r="G249" s="544"/>
      <c r="H249" s="544"/>
      <c r="I249" s="544"/>
      <c r="J249" s="544"/>
      <c r="K249" s="544"/>
      <c r="L249" s="544"/>
      <c r="M249" s="544"/>
      <c r="N249" s="544"/>
      <c r="O249" s="544"/>
      <c r="P249" s="544"/>
      <c r="Q249" s="544"/>
      <c r="R249" s="544"/>
      <c r="S249" s="544"/>
      <c r="T249" s="544"/>
      <c r="U249" s="544"/>
      <c r="V249" s="544"/>
      <c r="W249" s="544"/>
      <c r="X249" s="544"/>
      <c r="Y249" s="544"/>
      <c r="Z249" s="544"/>
      <c r="AA249" s="544"/>
      <c r="AB249" s="544"/>
      <c r="AC249" s="544"/>
      <c r="AD249" s="544"/>
      <c r="AE249" s="744"/>
      <c r="AF249" s="544"/>
      <c r="AG249" s="544"/>
      <c r="AH249" s="544"/>
      <c r="AI249" s="544"/>
      <c r="AJ249" s="544"/>
      <c r="AK249" s="544"/>
    </row>
  </sheetData>
  <phoneticPr fontId="54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2"/>
  <sheetViews>
    <sheetView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Y37" sqref="Y37"/>
    </sheetView>
  </sheetViews>
  <sheetFormatPr baseColWidth="10" defaultColWidth="11.42578125" defaultRowHeight="12.75"/>
  <cols>
    <col min="1" max="1" width="28.28515625" style="325" customWidth="1"/>
    <col min="2" max="7" width="6.140625" style="325" hidden="1" customWidth="1"/>
    <col min="8" max="9" width="6.5703125" style="325" hidden="1" customWidth="1"/>
    <col min="10" max="12" width="6.28515625" style="325" hidden="1" customWidth="1"/>
    <col min="13" max="33" width="6.28515625" style="325" customWidth="1"/>
    <col min="34" max="39" width="6.42578125" style="325" customWidth="1"/>
    <col min="40" max="49" width="6.42578125" style="487" customWidth="1"/>
    <col min="50" max="51" width="6.42578125" style="325" customWidth="1"/>
    <col min="52" max="16384" width="11.42578125" style="325"/>
  </cols>
  <sheetData>
    <row r="1" spans="1:51">
      <c r="A1" s="324" t="s">
        <v>423</v>
      </c>
    </row>
    <row r="4" spans="1:51">
      <c r="B4" s="399">
        <v>2013</v>
      </c>
      <c r="C4" s="399">
        <v>2014</v>
      </c>
      <c r="D4" s="399">
        <v>2015</v>
      </c>
      <c r="E4" s="399">
        <v>2016</v>
      </c>
      <c r="F4" s="399">
        <v>2017</v>
      </c>
      <c r="G4" s="399">
        <v>2018</v>
      </c>
      <c r="H4" s="399">
        <v>2019</v>
      </c>
      <c r="I4" s="399">
        <v>2020</v>
      </c>
      <c r="J4" s="399">
        <v>2021</v>
      </c>
      <c r="K4" s="399">
        <v>2022</v>
      </c>
      <c r="L4" s="399">
        <v>2023</v>
      </c>
      <c r="M4" s="399">
        <v>2024</v>
      </c>
      <c r="N4" s="399">
        <v>2025</v>
      </c>
      <c r="O4" s="399">
        <v>2026</v>
      </c>
      <c r="P4" s="399">
        <v>2027</v>
      </c>
      <c r="Q4" s="399">
        <v>2028</v>
      </c>
      <c r="R4" s="399">
        <v>2029</v>
      </c>
      <c r="S4" s="399">
        <v>2030</v>
      </c>
      <c r="T4" s="399">
        <v>2031</v>
      </c>
      <c r="U4" s="399">
        <v>2032</v>
      </c>
      <c r="V4" s="399">
        <v>2033</v>
      </c>
      <c r="W4" s="399">
        <v>2034</v>
      </c>
      <c r="X4" s="399">
        <v>2035</v>
      </c>
      <c r="Y4" s="399">
        <v>2036</v>
      </c>
      <c r="Z4" s="399">
        <v>2037</v>
      </c>
      <c r="AA4" s="399">
        <v>2038</v>
      </c>
      <c r="AB4" s="399">
        <v>2039</v>
      </c>
      <c r="AC4" s="399">
        <v>2040</v>
      </c>
      <c r="AD4" s="399">
        <v>2041</v>
      </c>
      <c r="AE4" s="399">
        <v>2042</v>
      </c>
      <c r="AF4" s="399">
        <v>2043</v>
      </c>
      <c r="AG4" s="399">
        <v>2044</v>
      </c>
      <c r="AH4" s="399">
        <v>2045</v>
      </c>
      <c r="AI4" s="399">
        <v>2046</v>
      </c>
      <c r="AJ4" s="399">
        <v>2047</v>
      </c>
      <c r="AK4" s="399">
        <v>2048</v>
      </c>
      <c r="AL4" s="399">
        <v>2049</v>
      </c>
      <c r="AM4" s="399">
        <v>2050</v>
      </c>
      <c r="AN4" s="399">
        <v>2051</v>
      </c>
      <c r="AO4" s="399">
        <v>2052</v>
      </c>
      <c r="AP4" s="399">
        <v>2053</v>
      </c>
      <c r="AQ4" s="399">
        <v>2054</v>
      </c>
      <c r="AR4" s="399">
        <v>2055</v>
      </c>
      <c r="AS4" s="399">
        <v>2056</v>
      </c>
      <c r="AT4" s="399">
        <v>2057</v>
      </c>
      <c r="AU4" s="399">
        <v>2058</v>
      </c>
      <c r="AV4" s="399">
        <v>2059</v>
      </c>
      <c r="AW4" s="399">
        <v>2060</v>
      </c>
    </row>
    <row r="5" spans="1:51">
      <c r="A5" s="325" t="s">
        <v>409</v>
      </c>
      <c r="B5" s="32">
        <v>59112</v>
      </c>
      <c r="C5" s="326">
        <v>50810</v>
      </c>
      <c r="D5" s="327">
        <v>36009</v>
      </c>
      <c r="E5" s="327">
        <v>32773</v>
      </c>
      <c r="F5" s="327">
        <v>42274.044694206299</v>
      </c>
      <c r="G5" s="328">
        <v>47627</v>
      </c>
      <c r="H5" s="328">
        <v>40334.130881995901</v>
      </c>
      <c r="I5" s="328">
        <v>28248.0095206841</v>
      </c>
      <c r="J5" s="328">
        <v>33149.452143358998</v>
      </c>
      <c r="K5" s="328">
        <v>49894.707624966999</v>
      </c>
      <c r="L5" s="328">
        <v>48451.568338779303</v>
      </c>
      <c r="M5" s="328">
        <v>45906.988620913697</v>
      </c>
      <c r="N5" s="328">
        <v>40000.2267792434</v>
      </c>
      <c r="O5" s="328">
        <v>39748.416718053697</v>
      </c>
      <c r="P5" s="328">
        <v>40083.763571209303</v>
      </c>
      <c r="Q5" s="328">
        <v>40185.398604176196</v>
      </c>
      <c r="R5" s="328">
        <v>39827.777266037003</v>
      </c>
      <c r="S5" s="328">
        <v>38247.754743086502</v>
      </c>
      <c r="T5" s="328">
        <v>36013.567790430498</v>
      </c>
      <c r="U5" s="328">
        <v>35085.924126697697</v>
      </c>
      <c r="V5" s="328">
        <v>32544.552850571599</v>
      </c>
      <c r="W5" s="328">
        <v>30387.614435446099</v>
      </c>
      <c r="X5" s="328">
        <v>28101.384572021499</v>
      </c>
      <c r="Y5" s="328">
        <v>26224.587376376199</v>
      </c>
      <c r="Z5" s="328">
        <v>23196.082085607199</v>
      </c>
      <c r="AA5" s="328">
        <v>20173.875250811299</v>
      </c>
      <c r="AB5" s="328">
        <v>18301.638477121502</v>
      </c>
      <c r="AC5" s="328">
        <v>16913.8133251892</v>
      </c>
      <c r="AD5" s="328">
        <v>15045.762580700301</v>
      </c>
      <c r="AE5" s="328">
        <v>13898.6281530164</v>
      </c>
      <c r="AF5" s="328">
        <v>12901.250648536001</v>
      </c>
      <c r="AG5" s="328">
        <v>11643.0075663225</v>
      </c>
      <c r="AH5" s="328">
        <v>10788.075374693401</v>
      </c>
      <c r="AI5" s="328">
        <v>9314.1983479089704</v>
      </c>
      <c r="AJ5" s="328">
        <v>9007.0671299832393</v>
      </c>
      <c r="AK5" s="328">
        <v>7284.6802465119299</v>
      </c>
      <c r="AL5" s="328">
        <v>5894.56915577773</v>
      </c>
      <c r="AM5" s="328">
        <v>4936.5220261379</v>
      </c>
      <c r="AN5" s="684">
        <v>4068.9352038332099</v>
      </c>
      <c r="AO5" s="684">
        <v>2866.17143066273</v>
      </c>
      <c r="AP5" s="684">
        <v>2298.6478798009698</v>
      </c>
      <c r="AQ5" s="684">
        <v>1654.7301772676101</v>
      </c>
      <c r="AR5" s="684">
        <v>1127.35993946084</v>
      </c>
      <c r="AS5" s="684">
        <v>766.13320039530402</v>
      </c>
      <c r="AT5" s="684">
        <v>370.63270531389799</v>
      </c>
      <c r="AU5" s="684">
        <v>356.30239790945802</v>
      </c>
      <c r="AV5" s="684">
        <v>338.613549067951</v>
      </c>
      <c r="AW5" s="684">
        <v>240.14449656531301</v>
      </c>
    </row>
    <row r="6" spans="1:51">
      <c r="A6" s="325" t="s">
        <v>421</v>
      </c>
      <c r="B6" s="329">
        <v>21</v>
      </c>
      <c r="C6" s="330">
        <v>21.6</v>
      </c>
      <c r="D6" s="331">
        <v>22.1</v>
      </c>
      <c r="E6" s="400">
        <v>22.1</v>
      </c>
      <c r="F6" s="400">
        <v>22.1023624404184</v>
      </c>
      <c r="G6" s="401">
        <v>21.170686022019101</v>
      </c>
      <c r="H6" s="401">
        <v>19.030569026952399</v>
      </c>
      <c r="I6" s="401">
        <v>18.049836879799798</v>
      </c>
      <c r="J6" s="401">
        <v>15.140605949709199</v>
      </c>
      <c r="K6" s="685">
        <v>12.481234966536199</v>
      </c>
      <c r="L6" s="401">
        <v>12.9704599627551</v>
      </c>
      <c r="M6" s="401">
        <v>14.090805668825199</v>
      </c>
      <c r="N6" s="401">
        <v>14.5264171933746</v>
      </c>
      <c r="O6" s="401">
        <v>15.2825943649325</v>
      </c>
      <c r="P6" s="401">
        <v>15.4169352290532</v>
      </c>
      <c r="Q6" s="401">
        <v>15.381716184560201</v>
      </c>
      <c r="R6" s="401">
        <v>15.1238272946275</v>
      </c>
      <c r="S6" s="401">
        <v>14.458167543187299</v>
      </c>
      <c r="T6" s="401">
        <v>12.999656846400301</v>
      </c>
      <c r="U6" s="401">
        <v>12.1010429740265</v>
      </c>
      <c r="V6" s="401">
        <v>10.7036492009246</v>
      </c>
      <c r="W6" s="401">
        <v>9.5442071522411407</v>
      </c>
      <c r="X6" s="401">
        <v>8.4064845679676008</v>
      </c>
      <c r="Y6" s="401">
        <v>7.6252250618180204</v>
      </c>
      <c r="Z6" s="401">
        <v>6.5501176409275104</v>
      </c>
      <c r="AA6" s="401">
        <v>5.5222163666163597</v>
      </c>
      <c r="AB6" s="401">
        <v>4.8854317326599297</v>
      </c>
      <c r="AC6" s="401">
        <v>4.4192166560990804</v>
      </c>
      <c r="AD6" s="401">
        <v>3.9106154586444402</v>
      </c>
      <c r="AE6" s="401">
        <v>3.5138655571550999</v>
      </c>
      <c r="AF6" s="401">
        <v>3.1591642798824502</v>
      </c>
      <c r="AG6" s="401">
        <v>2.7467847078208401</v>
      </c>
      <c r="AH6" s="401">
        <v>2.4737210810597499</v>
      </c>
      <c r="AI6" s="401">
        <v>2.0487444447745702</v>
      </c>
      <c r="AJ6" s="401">
        <v>1.9173434812521499</v>
      </c>
      <c r="AK6" s="401">
        <v>1.4773356022698201</v>
      </c>
      <c r="AL6" s="401">
        <v>1.1472303341380401</v>
      </c>
      <c r="AM6" s="401">
        <v>0.95530164193360201</v>
      </c>
      <c r="AN6" s="401">
        <v>0.78101941680904496</v>
      </c>
      <c r="AO6" s="534">
        <v>0.53412031437233098</v>
      </c>
      <c r="AP6" s="534">
        <v>0.42513031815542501</v>
      </c>
      <c r="AQ6" s="534">
        <v>0.30469153579019798</v>
      </c>
      <c r="AR6" s="534">
        <v>0.20867618493161899</v>
      </c>
      <c r="AS6" s="534">
        <v>0.13997563850716699</v>
      </c>
      <c r="AT6" s="534">
        <v>7.6948321395320804E-2</v>
      </c>
      <c r="AU6" s="534">
        <v>7.25227032817196E-2</v>
      </c>
      <c r="AV6" s="534">
        <v>6.7570852599601494E-2</v>
      </c>
      <c r="AW6" s="534">
        <v>4.6981570863863398E-2</v>
      </c>
      <c r="AX6" s="684"/>
    </row>
    <row r="7" spans="1:51"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3"/>
      <c r="U7" s="333"/>
      <c r="V7" s="333"/>
      <c r="W7" s="333"/>
      <c r="X7" s="333"/>
      <c r="Y7" s="333"/>
      <c r="Z7" s="333"/>
      <c r="AA7" s="333"/>
      <c r="AB7" s="333"/>
      <c r="AC7" s="333"/>
      <c r="AD7" s="333"/>
      <c r="AE7" s="333"/>
      <c r="AF7" s="333"/>
      <c r="AG7" s="333"/>
      <c r="AH7" s="333"/>
      <c r="AI7" s="333"/>
      <c r="AJ7" s="333"/>
      <c r="AK7" s="333"/>
      <c r="AL7" s="333"/>
      <c r="AM7" s="333"/>
    </row>
    <row r="8" spans="1:51">
      <c r="A8" s="325" t="s">
        <v>422</v>
      </c>
      <c r="B8" s="334">
        <f>B5/B6</f>
        <v>2814.8571428571427</v>
      </c>
      <c r="C8" s="334">
        <f>C5/C6</f>
        <v>2352.3148148148148</v>
      </c>
      <c r="D8" s="334">
        <f>D5/D6</f>
        <v>1629.3665158371039</v>
      </c>
      <c r="E8" s="334">
        <f>E5/E6</f>
        <v>1482.9411764705881</v>
      </c>
      <c r="F8" s="334">
        <f>F5/F6</f>
        <v>1912.648243289148</v>
      </c>
      <c r="G8" s="334">
        <f t="shared" ref="G8:J8" si="0">G5/G6</f>
        <v>2249.6672970570885</v>
      </c>
      <c r="H8" s="334">
        <f t="shared" si="0"/>
        <v>2119.4390364718961</v>
      </c>
      <c r="I8" s="334">
        <f t="shared" si="0"/>
        <v>1565.0008201623934</v>
      </c>
      <c r="J8" s="334">
        <f t="shared" si="0"/>
        <v>2189.4402544698478</v>
      </c>
      <c r="K8" s="334">
        <f>K5/K6</f>
        <v>3997.5777844693371</v>
      </c>
      <c r="L8" s="334">
        <f t="shared" ref="L8:AW8" si="1">L5/L6</f>
        <v>3735.5320071846963</v>
      </c>
      <c r="M8" s="334">
        <f t="shared" si="1"/>
        <v>3257.9392335584689</v>
      </c>
      <c r="N8" s="334">
        <f t="shared" si="1"/>
        <v>2753.619577819039</v>
      </c>
      <c r="O8" s="334">
        <f t="shared" si="1"/>
        <v>2600.894571229383</v>
      </c>
      <c r="P8" s="334">
        <f t="shared" si="1"/>
        <v>2599.9826149409701</v>
      </c>
      <c r="Q8" s="334">
        <f t="shared" si="1"/>
        <v>2612.5432378289061</v>
      </c>
      <c r="R8" s="334">
        <f t="shared" si="1"/>
        <v>2633.4456543407628</v>
      </c>
      <c r="S8" s="334">
        <f t="shared" si="1"/>
        <v>2645.4081839097844</v>
      </c>
      <c r="T8" s="334">
        <f t="shared" si="1"/>
        <v>2770.3475727055761</v>
      </c>
      <c r="U8" s="334">
        <f t="shared" si="1"/>
        <v>2899.4132325623177</v>
      </c>
      <c r="V8" s="334">
        <f t="shared" si="1"/>
        <v>3040.5100391145429</v>
      </c>
      <c r="W8" s="334">
        <f t="shared" si="1"/>
        <v>3183.8804366594845</v>
      </c>
      <c r="X8" s="334">
        <f t="shared" si="1"/>
        <v>3342.8223587181874</v>
      </c>
      <c r="Y8" s="334">
        <f t="shared" si="1"/>
        <v>3439.1886355841784</v>
      </c>
      <c r="Z8" s="334">
        <f t="shared" si="1"/>
        <v>3541.3229742118929</v>
      </c>
      <c r="AA8" s="334">
        <f t="shared" si="1"/>
        <v>3653.2207199937156</v>
      </c>
      <c r="AB8" s="334">
        <f t="shared" si="1"/>
        <v>3746.1660460368284</v>
      </c>
      <c r="AC8" s="334">
        <f t="shared" si="1"/>
        <v>3827.3329056736761</v>
      </c>
      <c r="AD8" s="334">
        <f t="shared" si="1"/>
        <v>3847.4155129319984</v>
      </c>
      <c r="AE8" s="334">
        <f t="shared" si="1"/>
        <v>3955.3670813373474</v>
      </c>
      <c r="AF8" s="334">
        <f t="shared" si="1"/>
        <v>4083.7542797920105</v>
      </c>
      <c r="AG8" s="334">
        <f t="shared" si="1"/>
        <v>4238.7768991037792</v>
      </c>
      <c r="AH8" s="334">
        <f t="shared" si="1"/>
        <v>4361.0718513470219</v>
      </c>
      <c r="AI8" s="334">
        <f t="shared" si="1"/>
        <v>4546.2958406868756</v>
      </c>
      <c r="AJ8" s="334">
        <f t="shared" si="1"/>
        <v>4697.6805241495067</v>
      </c>
      <c r="AK8" s="334">
        <f t="shared" si="1"/>
        <v>4930.9582977080781</v>
      </c>
      <c r="AL8" s="334">
        <f t="shared" si="1"/>
        <v>5138.0869040623429</v>
      </c>
      <c r="AM8" s="334">
        <f t="shared" si="1"/>
        <v>5167.5008284776004</v>
      </c>
      <c r="AN8" s="334">
        <f t="shared" si="1"/>
        <v>5209.7747075960888</v>
      </c>
      <c r="AO8" s="334">
        <f t="shared" si="1"/>
        <v>5366.1531934633458</v>
      </c>
      <c r="AP8" s="334">
        <f t="shared" si="1"/>
        <v>5406.9253159230066</v>
      </c>
      <c r="AQ8" s="334">
        <f t="shared" si="1"/>
        <v>5430.8373646684122</v>
      </c>
      <c r="AR8" s="334">
        <f t="shared" si="1"/>
        <v>5402.4369854675278</v>
      </c>
      <c r="AS8" s="334">
        <f t="shared" si="1"/>
        <v>5473.3324210275114</v>
      </c>
      <c r="AT8" s="334">
        <f t="shared" si="1"/>
        <v>4816.6444516674801</v>
      </c>
      <c r="AU8" s="334">
        <f t="shared" si="1"/>
        <v>4912.9773407008288</v>
      </c>
      <c r="AV8" s="334">
        <f t="shared" si="1"/>
        <v>5011.2368875148395</v>
      </c>
      <c r="AW8" s="334">
        <f t="shared" si="1"/>
        <v>5111.4616252651495</v>
      </c>
      <c r="AX8" s="334"/>
      <c r="AY8" s="334"/>
    </row>
    <row r="10" spans="1:51">
      <c r="K10" s="522"/>
    </row>
    <row r="12" spans="1:51">
      <c r="K12" s="522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66DB-D9B0-4962-A32A-C877F1A61BF7}">
  <dimension ref="A1:T84"/>
  <sheetViews>
    <sheetView showGridLines="0" topLeftCell="A25" zoomScaleNormal="100" workbookViewId="0">
      <selection activeCell="N73" sqref="N73"/>
    </sheetView>
  </sheetViews>
  <sheetFormatPr baseColWidth="10" defaultColWidth="10.5703125" defaultRowHeight="14.25"/>
  <cols>
    <col min="1" max="1" width="10.5703125" style="791"/>
    <col min="2" max="2" width="13.140625" style="791" customWidth="1"/>
    <col min="3" max="7" width="14.140625" style="791" bestFit="1" customWidth="1"/>
    <col min="8" max="8" width="13" style="791" bestFit="1" customWidth="1"/>
    <col min="9" max="10" width="14.140625" style="791" bestFit="1" customWidth="1"/>
    <col min="11" max="11" width="13" style="791" bestFit="1" customWidth="1"/>
    <col min="12" max="12" width="14.140625" style="791" bestFit="1" customWidth="1"/>
    <col min="13" max="13" width="14.7109375" style="791" bestFit="1" customWidth="1"/>
    <col min="14" max="14" width="23.28515625" style="791" bestFit="1" customWidth="1"/>
    <col min="15" max="15" width="12.140625" style="791" customWidth="1"/>
    <col min="16" max="16" width="15.140625" style="791" customWidth="1"/>
    <col min="17" max="17" width="25.5703125" style="791" customWidth="1"/>
    <col min="18" max="19" width="10.5703125" style="791"/>
    <col min="20" max="20" width="25.140625" style="791" customWidth="1"/>
    <col min="21" max="16384" width="10.5703125" style="791"/>
  </cols>
  <sheetData>
    <row r="1" spans="1:20" ht="15" customHeight="1">
      <c r="A1" s="796"/>
      <c r="B1" s="796"/>
      <c r="C1" s="796" t="s">
        <v>682</v>
      </c>
      <c r="D1" s="796" t="s">
        <v>722</v>
      </c>
      <c r="E1" s="796" t="s">
        <v>722</v>
      </c>
      <c r="F1" s="797" t="s">
        <v>723</v>
      </c>
      <c r="G1" s="797"/>
      <c r="H1" s="797"/>
      <c r="I1" s="798" t="s">
        <v>718</v>
      </c>
      <c r="J1" s="798"/>
      <c r="K1" s="798"/>
      <c r="L1" s="797" t="s">
        <v>719</v>
      </c>
      <c r="M1" s="797"/>
      <c r="N1" s="797"/>
      <c r="O1" s="799" t="s">
        <v>720</v>
      </c>
      <c r="P1" s="805"/>
      <c r="Q1" s="806"/>
      <c r="R1" s="799" t="s">
        <v>721</v>
      </c>
      <c r="S1" s="805"/>
      <c r="T1" s="806"/>
    </row>
    <row r="2" spans="1:20" ht="30" customHeight="1">
      <c r="A2" s="800" t="s">
        <v>710</v>
      </c>
      <c r="B2" s="801" t="s">
        <v>711</v>
      </c>
      <c r="C2" s="801" t="s">
        <v>712</v>
      </c>
      <c r="D2" s="801" t="s">
        <v>713</v>
      </c>
      <c r="E2" s="801" t="s">
        <v>714</v>
      </c>
      <c r="F2" s="789" t="s">
        <v>715</v>
      </c>
      <c r="G2" s="788" t="s">
        <v>716</v>
      </c>
      <c r="H2" s="788" t="s">
        <v>717</v>
      </c>
      <c r="I2" s="789" t="s">
        <v>715</v>
      </c>
      <c r="J2" s="788" t="s">
        <v>716</v>
      </c>
      <c r="K2" s="790" t="s">
        <v>717</v>
      </c>
      <c r="L2" s="789" t="s">
        <v>715</v>
      </c>
      <c r="M2" s="788" t="s">
        <v>716</v>
      </c>
      <c r="N2" s="790" t="s">
        <v>717</v>
      </c>
      <c r="O2" s="789" t="s">
        <v>715</v>
      </c>
      <c r="P2" s="788" t="s">
        <v>716</v>
      </c>
      <c r="Q2" s="790" t="s">
        <v>717</v>
      </c>
      <c r="R2" s="789" t="s">
        <v>715</v>
      </c>
      <c r="S2" s="788" t="s">
        <v>716</v>
      </c>
      <c r="T2" s="790" t="s">
        <v>717</v>
      </c>
    </row>
    <row r="3" spans="1:20" ht="15" customHeight="1">
      <c r="A3" s="796">
        <v>1970</v>
      </c>
      <c r="B3" s="792">
        <v>0</v>
      </c>
      <c r="C3" s="796"/>
      <c r="D3" s="796"/>
      <c r="E3" s="796"/>
      <c r="F3" s="802"/>
      <c r="G3" s="796"/>
      <c r="H3" s="796"/>
      <c r="I3" s="802"/>
      <c r="J3" s="796"/>
      <c r="K3" s="803"/>
      <c r="L3" s="802"/>
      <c r="M3" s="796"/>
      <c r="N3" s="803"/>
      <c r="O3" s="802"/>
      <c r="P3" s="807"/>
      <c r="Q3" s="803"/>
      <c r="R3" s="796"/>
      <c r="S3" s="796"/>
      <c r="T3" s="803"/>
    </row>
    <row r="4" spans="1:20" ht="15" customHeight="1">
      <c r="A4" s="796">
        <v>1971</v>
      </c>
      <c r="B4" s="792">
        <v>0.35711799999999999</v>
      </c>
      <c r="C4" s="796"/>
      <c r="D4" s="796"/>
      <c r="E4" s="796"/>
      <c r="F4" s="802"/>
      <c r="G4" s="796"/>
      <c r="H4" s="796"/>
      <c r="I4" s="802"/>
      <c r="J4" s="796"/>
      <c r="K4" s="803"/>
      <c r="L4" s="802"/>
      <c r="M4" s="796"/>
      <c r="N4" s="803"/>
      <c r="O4" s="802"/>
      <c r="P4" s="807"/>
      <c r="Q4" s="803"/>
      <c r="R4" s="796"/>
      <c r="S4" s="796"/>
      <c r="T4" s="803"/>
    </row>
    <row r="5" spans="1:20" ht="15" customHeight="1">
      <c r="A5" s="796">
        <v>1972</v>
      </c>
      <c r="B5" s="792">
        <v>1.92702</v>
      </c>
      <c r="C5" s="796"/>
      <c r="D5" s="796"/>
      <c r="E5" s="796"/>
      <c r="F5" s="802"/>
      <c r="G5" s="796"/>
      <c r="H5" s="796"/>
      <c r="I5" s="802"/>
      <c r="J5" s="796"/>
      <c r="K5" s="803"/>
      <c r="L5" s="802"/>
      <c r="M5" s="796"/>
      <c r="N5" s="803"/>
      <c r="O5" s="802"/>
      <c r="P5" s="807"/>
      <c r="Q5" s="803"/>
      <c r="R5" s="796"/>
      <c r="S5" s="796"/>
      <c r="T5" s="803"/>
    </row>
    <row r="6" spans="1:20" ht="15" customHeight="1">
      <c r="A6" s="796">
        <v>1973</v>
      </c>
      <c r="B6" s="792">
        <v>1.8695200000000001</v>
      </c>
      <c r="C6" s="796"/>
      <c r="D6" s="796"/>
      <c r="E6" s="796"/>
      <c r="F6" s="802"/>
      <c r="G6" s="796"/>
      <c r="H6" s="796"/>
      <c r="I6" s="802"/>
      <c r="J6" s="796"/>
      <c r="K6" s="803"/>
      <c r="L6" s="802"/>
      <c r="M6" s="796"/>
      <c r="N6" s="803"/>
      <c r="O6" s="802"/>
      <c r="P6" s="807"/>
      <c r="Q6" s="803"/>
      <c r="R6" s="796"/>
      <c r="S6" s="796"/>
      <c r="T6" s="803"/>
    </row>
    <row r="7" spans="1:20" ht="15" customHeight="1">
      <c r="A7" s="796">
        <v>1974</v>
      </c>
      <c r="B7" s="792">
        <v>2.0141680000000002</v>
      </c>
      <c r="C7" s="796"/>
      <c r="D7" s="796"/>
      <c r="E7" s="796"/>
      <c r="F7" s="802"/>
      <c r="G7" s="796"/>
      <c r="H7" s="796"/>
      <c r="I7" s="802"/>
      <c r="J7" s="796"/>
      <c r="K7" s="803"/>
      <c r="L7" s="802"/>
      <c r="M7" s="796"/>
      <c r="N7" s="803"/>
      <c r="O7" s="802"/>
      <c r="P7" s="807"/>
      <c r="Q7" s="803"/>
      <c r="R7" s="796"/>
      <c r="S7" s="796"/>
      <c r="T7" s="803"/>
    </row>
    <row r="8" spans="1:20" ht="15" customHeight="1">
      <c r="A8" s="796">
        <v>1975</v>
      </c>
      <c r="B8" s="792">
        <v>10.995331</v>
      </c>
      <c r="C8" s="796"/>
      <c r="D8" s="796"/>
      <c r="E8" s="796"/>
      <c r="F8" s="802"/>
      <c r="G8" s="796"/>
      <c r="H8" s="796"/>
      <c r="I8" s="802"/>
      <c r="J8" s="796"/>
      <c r="K8" s="803"/>
      <c r="L8" s="802"/>
      <c r="M8" s="796"/>
      <c r="N8" s="803"/>
      <c r="O8" s="802"/>
      <c r="P8" s="807"/>
      <c r="Q8" s="803"/>
      <c r="R8" s="796"/>
      <c r="S8" s="796"/>
      <c r="T8" s="803"/>
    </row>
    <row r="9" spans="1:20" ht="15" customHeight="1">
      <c r="A9" s="796">
        <v>1976</v>
      </c>
      <c r="B9" s="792">
        <v>16.226786000000001</v>
      </c>
      <c r="C9" s="796"/>
      <c r="D9" s="796"/>
      <c r="E9" s="796"/>
      <c r="F9" s="802"/>
      <c r="G9" s="796"/>
      <c r="H9" s="796"/>
      <c r="I9" s="802"/>
      <c r="J9" s="796"/>
      <c r="K9" s="803"/>
      <c r="L9" s="802"/>
      <c r="M9" s="796"/>
      <c r="N9" s="803"/>
      <c r="O9" s="802"/>
      <c r="P9" s="807"/>
      <c r="Q9" s="803"/>
      <c r="R9" s="796"/>
      <c r="S9" s="796"/>
      <c r="T9" s="803"/>
    </row>
    <row r="10" spans="1:20" ht="15" customHeight="1">
      <c r="A10" s="796">
        <v>1977</v>
      </c>
      <c r="B10" s="792">
        <v>16.644887000000001</v>
      </c>
      <c r="C10" s="796"/>
      <c r="D10" s="796"/>
      <c r="E10" s="796"/>
      <c r="F10" s="802"/>
      <c r="G10" s="796"/>
      <c r="H10" s="796"/>
      <c r="I10" s="802"/>
      <c r="J10" s="796"/>
      <c r="K10" s="803"/>
      <c r="L10" s="802"/>
      <c r="M10" s="796"/>
      <c r="N10" s="803"/>
      <c r="O10" s="802"/>
      <c r="P10" s="807"/>
      <c r="Q10" s="803"/>
      <c r="R10" s="796"/>
      <c r="S10" s="796"/>
      <c r="T10" s="803"/>
    </row>
    <row r="11" spans="1:20" ht="15" customHeight="1">
      <c r="A11" s="796">
        <v>1978</v>
      </c>
      <c r="B11" s="792">
        <v>20.665088000000001</v>
      </c>
      <c r="C11" s="796"/>
      <c r="D11" s="796"/>
      <c r="E11" s="796"/>
      <c r="F11" s="802"/>
      <c r="G11" s="796"/>
      <c r="H11" s="796"/>
      <c r="I11" s="802"/>
      <c r="J11" s="796"/>
      <c r="K11" s="803"/>
      <c r="L11" s="802"/>
      <c r="M11" s="796"/>
      <c r="N11" s="803"/>
      <c r="O11" s="802"/>
      <c r="P11" s="807"/>
      <c r="Q11" s="803"/>
      <c r="R11" s="796"/>
      <c r="S11" s="796"/>
      <c r="T11" s="803"/>
    </row>
    <row r="12" spans="1:20" ht="15" customHeight="1">
      <c r="A12" s="796">
        <v>1979</v>
      </c>
      <c r="B12" s="792">
        <v>23.5994876</v>
      </c>
      <c r="C12" s="796"/>
      <c r="D12" s="796"/>
      <c r="E12" s="796"/>
      <c r="F12" s="802"/>
      <c r="G12" s="796"/>
      <c r="H12" s="796"/>
      <c r="I12" s="802"/>
      <c r="J12" s="796"/>
      <c r="K12" s="803"/>
      <c r="L12" s="802"/>
      <c r="M12" s="796"/>
      <c r="N12" s="803"/>
      <c r="O12" s="802"/>
      <c r="P12" s="807"/>
      <c r="Q12" s="803"/>
      <c r="R12" s="796"/>
      <c r="S12" s="796"/>
      <c r="T12" s="803"/>
    </row>
    <row r="13" spans="1:20" ht="15" customHeight="1">
      <c r="A13" s="796">
        <v>1980</v>
      </c>
      <c r="B13" s="792">
        <v>30.6017811</v>
      </c>
      <c r="C13" s="796"/>
      <c r="D13" s="796"/>
      <c r="E13" s="796"/>
      <c r="F13" s="802"/>
      <c r="G13" s="796"/>
      <c r="H13" s="796"/>
      <c r="I13" s="802"/>
      <c r="J13" s="796"/>
      <c r="K13" s="803"/>
      <c r="L13" s="802"/>
      <c r="M13" s="796"/>
      <c r="N13" s="803"/>
      <c r="O13" s="802"/>
      <c r="P13" s="807"/>
      <c r="Q13" s="803"/>
      <c r="R13" s="796"/>
      <c r="S13" s="796"/>
      <c r="T13" s="803"/>
    </row>
    <row r="14" spans="1:20" ht="15" customHeight="1">
      <c r="A14" s="796">
        <v>1981</v>
      </c>
      <c r="B14" s="792">
        <v>48.1850971</v>
      </c>
      <c r="C14" s="796"/>
      <c r="D14" s="796"/>
      <c r="E14" s="796"/>
      <c r="F14" s="802"/>
      <c r="G14" s="796"/>
      <c r="H14" s="796"/>
      <c r="I14" s="802"/>
      <c r="J14" s="796"/>
      <c r="K14" s="803"/>
      <c r="L14" s="802"/>
      <c r="M14" s="796"/>
      <c r="N14" s="803"/>
      <c r="O14" s="802"/>
      <c r="P14" s="807"/>
      <c r="Q14" s="803"/>
      <c r="R14" s="796"/>
      <c r="S14" s="796"/>
      <c r="T14" s="803"/>
    </row>
    <row r="15" spans="1:20" ht="15" customHeight="1">
      <c r="A15" s="796">
        <v>1982</v>
      </c>
      <c r="B15" s="792">
        <v>50.081648299999998</v>
      </c>
      <c r="C15" s="796"/>
      <c r="D15" s="796"/>
      <c r="E15" s="796"/>
      <c r="F15" s="802"/>
      <c r="G15" s="796"/>
      <c r="H15" s="796"/>
      <c r="I15" s="802"/>
      <c r="J15" s="796"/>
      <c r="K15" s="803"/>
      <c r="L15" s="802"/>
      <c r="M15" s="796"/>
      <c r="N15" s="803"/>
      <c r="O15" s="802"/>
      <c r="P15" s="807"/>
      <c r="Q15" s="803"/>
      <c r="R15" s="796"/>
      <c r="S15" s="796"/>
      <c r="T15" s="803"/>
    </row>
    <row r="16" spans="1:20" ht="15" customHeight="1">
      <c r="A16" s="796">
        <v>1983</v>
      </c>
      <c r="B16" s="792">
        <v>61.383088899999997</v>
      </c>
      <c r="C16" s="796"/>
      <c r="D16" s="796"/>
      <c r="E16" s="796"/>
      <c r="F16" s="802"/>
      <c r="G16" s="796"/>
      <c r="H16" s="796"/>
      <c r="I16" s="802"/>
      <c r="J16" s="796"/>
      <c r="K16" s="803"/>
      <c r="L16" s="802"/>
      <c r="M16" s="796"/>
      <c r="N16" s="803"/>
      <c r="O16" s="802"/>
      <c r="P16" s="807"/>
      <c r="Q16" s="803"/>
      <c r="R16" s="796"/>
      <c r="S16" s="796"/>
      <c r="T16" s="803"/>
    </row>
    <row r="17" spans="1:20" ht="15" customHeight="1">
      <c r="A17" s="796">
        <v>1984</v>
      </c>
      <c r="B17" s="792">
        <v>69.268331700000005</v>
      </c>
      <c r="C17" s="796"/>
      <c r="D17" s="796"/>
      <c r="E17" s="796"/>
      <c r="F17" s="802"/>
      <c r="G17" s="796"/>
      <c r="H17" s="796"/>
      <c r="I17" s="802"/>
      <c r="J17" s="796"/>
      <c r="K17" s="803"/>
      <c r="L17" s="802"/>
      <c r="M17" s="796"/>
      <c r="N17" s="803"/>
      <c r="O17" s="802"/>
      <c r="P17" s="807"/>
      <c r="Q17" s="803"/>
      <c r="R17" s="796"/>
      <c r="S17" s="796"/>
      <c r="T17" s="803"/>
    </row>
    <row r="18" spans="1:20" ht="15" customHeight="1">
      <c r="A18" s="796">
        <v>1985</v>
      </c>
      <c r="B18" s="792">
        <v>73.187094000000002</v>
      </c>
      <c r="C18" s="796"/>
      <c r="D18" s="796"/>
      <c r="E18" s="796"/>
      <c r="F18" s="802"/>
      <c r="G18" s="796"/>
      <c r="H18" s="796"/>
      <c r="I18" s="802"/>
      <c r="J18" s="796"/>
      <c r="K18" s="803"/>
      <c r="L18" s="802"/>
      <c r="M18" s="796"/>
      <c r="N18" s="803"/>
      <c r="O18" s="802"/>
      <c r="P18" s="807"/>
      <c r="Q18" s="803"/>
      <c r="R18" s="796"/>
      <c r="S18" s="796"/>
      <c r="T18" s="803"/>
    </row>
    <row r="19" spans="1:20" ht="15" customHeight="1">
      <c r="A19" s="796">
        <v>1986</v>
      </c>
      <c r="B19" s="792">
        <v>78.768670499999999</v>
      </c>
      <c r="C19" s="796"/>
      <c r="D19" s="796"/>
      <c r="E19" s="796"/>
      <c r="F19" s="802"/>
      <c r="G19" s="796"/>
      <c r="H19" s="796"/>
      <c r="I19" s="802"/>
      <c r="J19" s="796"/>
      <c r="K19" s="803"/>
      <c r="L19" s="802"/>
      <c r="M19" s="796"/>
      <c r="N19" s="803"/>
      <c r="O19" s="802"/>
      <c r="P19" s="807"/>
      <c r="Q19" s="803"/>
      <c r="R19" s="796"/>
      <c r="S19" s="796"/>
      <c r="T19" s="803"/>
    </row>
    <row r="20" spans="1:20" ht="15" customHeight="1">
      <c r="A20" s="796">
        <v>1987</v>
      </c>
      <c r="B20" s="792">
        <v>89.483386899999999</v>
      </c>
      <c r="C20" s="796"/>
      <c r="D20" s="796"/>
      <c r="E20" s="796"/>
      <c r="F20" s="802"/>
      <c r="G20" s="796"/>
      <c r="H20" s="796"/>
      <c r="I20" s="802"/>
      <c r="J20" s="796"/>
      <c r="K20" s="803"/>
      <c r="L20" s="802"/>
      <c r="M20" s="796"/>
      <c r="N20" s="803"/>
      <c r="O20" s="802"/>
      <c r="P20" s="807"/>
      <c r="Q20" s="803"/>
      <c r="R20" s="796"/>
      <c r="S20" s="796"/>
      <c r="T20" s="803"/>
    </row>
    <row r="21" spans="1:20" ht="15" customHeight="1">
      <c r="A21" s="796">
        <v>1988</v>
      </c>
      <c r="B21" s="792">
        <v>98.145052100000001</v>
      </c>
      <c r="C21" s="796"/>
      <c r="D21" s="796"/>
      <c r="E21" s="796"/>
      <c r="F21" s="802"/>
      <c r="G21" s="796"/>
      <c r="H21" s="796"/>
      <c r="I21" s="802"/>
      <c r="J21" s="796"/>
      <c r="K21" s="803"/>
      <c r="L21" s="802"/>
      <c r="M21" s="796"/>
      <c r="N21" s="803"/>
      <c r="O21" s="802"/>
      <c r="P21" s="807"/>
      <c r="Q21" s="803"/>
      <c r="R21" s="796"/>
      <c r="S21" s="796"/>
      <c r="T21" s="803"/>
    </row>
    <row r="22" spans="1:20" ht="15" customHeight="1">
      <c r="A22" s="804">
        <v>1989</v>
      </c>
      <c r="B22" s="794">
        <v>119.94217380000001</v>
      </c>
      <c r="C22" s="796"/>
      <c r="D22" s="804"/>
      <c r="E22" s="804"/>
      <c r="F22" s="802"/>
      <c r="G22" s="796"/>
      <c r="H22" s="796"/>
      <c r="I22" s="802"/>
      <c r="J22" s="796"/>
      <c r="K22" s="803"/>
      <c r="L22" s="802"/>
      <c r="M22" s="796"/>
      <c r="N22" s="803"/>
      <c r="O22" s="802"/>
      <c r="P22" s="807"/>
      <c r="Q22" s="803"/>
      <c r="R22" s="796"/>
      <c r="S22" s="796"/>
      <c r="T22" s="803"/>
    </row>
    <row r="23" spans="1:20" ht="15" customHeight="1">
      <c r="A23" s="804">
        <v>1990</v>
      </c>
      <c r="B23" s="794">
        <v>125.5051744</v>
      </c>
      <c r="C23" s="796"/>
      <c r="D23" s="804"/>
      <c r="E23" s="804"/>
      <c r="F23" s="802"/>
      <c r="G23" s="796"/>
      <c r="H23" s="796"/>
      <c r="I23" s="802"/>
      <c r="J23" s="796"/>
      <c r="K23" s="803"/>
      <c r="L23" s="802"/>
      <c r="M23" s="796"/>
      <c r="N23" s="803"/>
      <c r="O23" s="802"/>
      <c r="P23" s="807"/>
      <c r="Q23" s="803"/>
      <c r="R23" s="796"/>
      <c r="S23" s="796"/>
      <c r="T23" s="803"/>
    </row>
    <row r="24" spans="1:20" ht="15" customHeight="1">
      <c r="A24" s="796">
        <v>1991</v>
      </c>
      <c r="B24" s="792">
        <v>138.89873739999999</v>
      </c>
      <c r="C24" s="796"/>
      <c r="D24" s="796"/>
      <c r="E24" s="796"/>
      <c r="F24" s="802"/>
      <c r="G24" s="796"/>
      <c r="H24" s="796"/>
      <c r="I24" s="802"/>
      <c r="J24" s="796"/>
      <c r="K24" s="803"/>
      <c r="L24" s="802"/>
      <c r="M24" s="796"/>
      <c r="N24" s="803"/>
      <c r="O24" s="802"/>
      <c r="P24" s="807"/>
      <c r="Q24" s="803"/>
      <c r="R24" s="796"/>
      <c r="S24" s="796"/>
      <c r="T24" s="803"/>
    </row>
    <row r="25" spans="1:20" ht="15" customHeight="1">
      <c r="A25" s="796">
        <v>1992</v>
      </c>
      <c r="B25" s="792">
        <v>155.41137950000001</v>
      </c>
      <c r="C25" s="796"/>
      <c r="D25" s="796"/>
      <c r="E25" s="796"/>
      <c r="F25" s="802"/>
      <c r="G25" s="796"/>
      <c r="H25" s="796"/>
      <c r="I25" s="802"/>
      <c r="J25" s="796"/>
      <c r="K25" s="803"/>
      <c r="L25" s="802"/>
      <c r="M25" s="796"/>
      <c r="N25" s="803"/>
      <c r="O25" s="802"/>
      <c r="P25" s="807"/>
      <c r="Q25" s="803"/>
      <c r="R25" s="796"/>
      <c r="S25" s="796"/>
      <c r="T25" s="803"/>
    </row>
    <row r="26" spans="1:20" ht="15" customHeight="1">
      <c r="A26" s="796">
        <v>1993</v>
      </c>
      <c r="B26" s="792">
        <v>163.2943756</v>
      </c>
      <c r="C26" s="796"/>
      <c r="D26" s="796"/>
      <c r="E26" s="796"/>
      <c r="F26" s="802"/>
      <c r="G26" s="796"/>
      <c r="H26" s="796"/>
      <c r="I26" s="802"/>
      <c r="J26" s="796"/>
      <c r="K26" s="803"/>
      <c r="L26" s="802"/>
      <c r="M26" s="796"/>
      <c r="N26" s="803"/>
      <c r="O26" s="802"/>
      <c r="P26" s="807"/>
      <c r="Q26" s="803"/>
      <c r="R26" s="796"/>
      <c r="S26" s="796"/>
      <c r="T26" s="803"/>
    </row>
    <row r="27" spans="1:20" ht="15" customHeight="1">
      <c r="A27" s="796">
        <v>1994</v>
      </c>
      <c r="B27" s="792">
        <v>183.626285</v>
      </c>
      <c r="C27" s="796"/>
      <c r="D27" s="796"/>
      <c r="E27" s="796"/>
      <c r="F27" s="802"/>
      <c r="G27" s="796"/>
      <c r="H27" s="796"/>
      <c r="I27" s="802"/>
      <c r="J27" s="796"/>
      <c r="K27" s="803"/>
      <c r="L27" s="802"/>
      <c r="M27" s="796"/>
      <c r="N27" s="803"/>
      <c r="O27" s="802"/>
      <c r="P27" s="807"/>
      <c r="Q27" s="803"/>
      <c r="R27" s="796"/>
      <c r="S27" s="796"/>
      <c r="T27" s="803"/>
    </row>
    <row r="28" spans="1:20" ht="15" customHeight="1">
      <c r="A28" s="796">
        <v>1995</v>
      </c>
      <c r="B28" s="792">
        <v>196.90757429999999</v>
      </c>
      <c r="C28" s="796"/>
      <c r="D28" s="796"/>
      <c r="E28" s="796"/>
      <c r="F28" s="802"/>
      <c r="G28" s="796"/>
      <c r="H28" s="796"/>
      <c r="I28" s="802"/>
      <c r="J28" s="796"/>
      <c r="K28" s="803"/>
      <c r="L28" s="802"/>
      <c r="M28" s="796"/>
      <c r="N28" s="803"/>
      <c r="O28" s="802"/>
      <c r="P28" s="807"/>
      <c r="Q28" s="803"/>
      <c r="R28" s="796"/>
      <c r="S28" s="796"/>
      <c r="T28" s="803"/>
    </row>
    <row r="29" spans="1:20" ht="15" customHeight="1">
      <c r="A29" s="796">
        <v>1996</v>
      </c>
      <c r="B29" s="792">
        <v>226.23315210000001</v>
      </c>
      <c r="C29" s="796"/>
      <c r="D29" s="796"/>
      <c r="E29" s="796"/>
      <c r="F29" s="802"/>
      <c r="G29" s="796"/>
      <c r="H29" s="796"/>
      <c r="I29" s="802"/>
      <c r="J29" s="796"/>
      <c r="K29" s="803"/>
      <c r="L29" s="802"/>
      <c r="M29" s="796"/>
      <c r="N29" s="803"/>
      <c r="O29" s="802"/>
      <c r="P29" s="807"/>
      <c r="Q29" s="803"/>
      <c r="R29" s="796"/>
      <c r="S29" s="796"/>
      <c r="T29" s="803"/>
    </row>
    <row r="30" spans="1:20" ht="15" customHeight="1">
      <c r="A30" s="796">
        <v>1997</v>
      </c>
      <c r="B30" s="792">
        <v>233.68240499999999</v>
      </c>
      <c r="C30" s="796"/>
      <c r="D30" s="796"/>
      <c r="E30" s="796"/>
      <c r="F30" s="802"/>
      <c r="G30" s="796"/>
      <c r="H30" s="796"/>
      <c r="I30" s="802"/>
      <c r="J30" s="796"/>
      <c r="K30" s="803"/>
      <c r="L30" s="802"/>
      <c r="M30" s="796"/>
      <c r="N30" s="803"/>
      <c r="O30" s="802"/>
      <c r="P30" s="807"/>
      <c r="Q30" s="803"/>
      <c r="R30" s="796"/>
      <c r="S30" s="796"/>
      <c r="T30" s="803"/>
    </row>
    <row r="31" spans="1:20" ht="15" customHeight="1">
      <c r="A31" s="796">
        <v>1998</v>
      </c>
      <c r="B31" s="792">
        <v>228.2459163</v>
      </c>
      <c r="C31" s="796"/>
      <c r="D31" s="796"/>
      <c r="E31" s="796"/>
      <c r="F31" s="802"/>
      <c r="G31" s="796"/>
      <c r="H31" s="796"/>
      <c r="I31" s="802"/>
      <c r="J31" s="796"/>
      <c r="K31" s="803"/>
      <c r="L31" s="802"/>
      <c r="M31" s="796"/>
      <c r="N31" s="803"/>
      <c r="O31" s="802"/>
      <c r="P31" s="807"/>
      <c r="Q31" s="803"/>
      <c r="R31" s="796"/>
      <c r="S31" s="796"/>
      <c r="T31" s="803"/>
    </row>
    <row r="32" spans="1:20" ht="15" customHeight="1">
      <c r="A32" s="796">
        <v>1999</v>
      </c>
      <c r="B32" s="792">
        <v>229.90428879999999</v>
      </c>
      <c r="C32" s="796"/>
      <c r="D32" s="796"/>
      <c r="E32" s="796"/>
      <c r="F32" s="802"/>
      <c r="G32" s="796"/>
      <c r="H32" s="796"/>
      <c r="I32" s="802"/>
      <c r="J32" s="796"/>
      <c r="K32" s="803"/>
      <c r="L32" s="802"/>
      <c r="M32" s="796"/>
      <c r="N32" s="803"/>
      <c r="O32" s="802"/>
      <c r="P32" s="807"/>
      <c r="Q32" s="803"/>
      <c r="R32" s="796"/>
      <c r="S32" s="796"/>
      <c r="T32" s="803"/>
    </row>
    <row r="33" spans="1:20" ht="15" customHeight="1">
      <c r="A33" s="796">
        <v>2000</v>
      </c>
      <c r="B33" s="792">
        <v>244.0002892</v>
      </c>
      <c r="C33" s="796"/>
      <c r="D33" s="796"/>
      <c r="E33" s="796"/>
      <c r="F33" s="802"/>
      <c r="G33" s="796"/>
      <c r="H33" s="796"/>
      <c r="I33" s="802"/>
      <c r="J33" s="796"/>
      <c r="K33" s="803"/>
      <c r="L33" s="802"/>
      <c r="M33" s="796"/>
      <c r="N33" s="803"/>
      <c r="O33" s="802"/>
      <c r="P33" s="807"/>
      <c r="Q33" s="803"/>
      <c r="R33" s="796"/>
      <c r="S33" s="796"/>
      <c r="T33" s="803"/>
    </row>
    <row r="34" spans="1:20" ht="15" customHeight="1">
      <c r="A34" s="796">
        <v>2001</v>
      </c>
      <c r="B34" s="792">
        <v>251.40900679999999</v>
      </c>
      <c r="C34" s="796"/>
      <c r="D34" s="796"/>
      <c r="E34" s="796"/>
      <c r="F34" s="802"/>
      <c r="G34" s="796"/>
      <c r="H34" s="796"/>
      <c r="I34" s="802"/>
      <c r="J34" s="796"/>
      <c r="K34" s="803"/>
      <c r="L34" s="802"/>
      <c r="M34" s="796"/>
      <c r="N34" s="803"/>
      <c r="O34" s="802"/>
      <c r="P34" s="807"/>
      <c r="Q34" s="803"/>
      <c r="R34" s="796"/>
      <c r="S34" s="796"/>
      <c r="T34" s="803"/>
    </row>
    <row r="35" spans="1:20" ht="15" customHeight="1">
      <c r="A35" s="796">
        <v>2002</v>
      </c>
      <c r="B35" s="792">
        <v>258.07879309999998</v>
      </c>
      <c r="C35" s="796"/>
      <c r="D35" s="796"/>
      <c r="E35" s="796"/>
      <c r="F35" s="802"/>
      <c r="G35" s="796"/>
      <c r="H35" s="796"/>
      <c r="I35" s="802"/>
      <c r="J35" s="796"/>
      <c r="K35" s="803"/>
      <c r="L35" s="802"/>
      <c r="M35" s="796"/>
      <c r="N35" s="803"/>
      <c r="O35" s="802"/>
      <c r="P35" s="807"/>
      <c r="Q35" s="803"/>
      <c r="R35" s="796"/>
      <c r="S35" s="796"/>
      <c r="T35" s="803"/>
    </row>
    <row r="36" spans="1:20" ht="15" customHeight="1">
      <c r="A36" s="796">
        <v>2003</v>
      </c>
      <c r="B36" s="792">
        <v>261.48087659999999</v>
      </c>
      <c r="C36" s="796"/>
      <c r="D36" s="796"/>
      <c r="E36" s="796"/>
      <c r="F36" s="802"/>
      <c r="G36" s="796"/>
      <c r="H36" s="796"/>
      <c r="I36" s="802"/>
      <c r="J36" s="796"/>
      <c r="K36" s="803"/>
      <c r="L36" s="802"/>
      <c r="M36" s="796"/>
      <c r="N36" s="803"/>
      <c r="O36" s="802"/>
      <c r="P36" s="807"/>
      <c r="Q36" s="803"/>
      <c r="R36" s="796"/>
      <c r="S36" s="796"/>
      <c r="T36" s="803"/>
    </row>
    <row r="37" spans="1:20" ht="15" customHeight="1">
      <c r="A37" s="796">
        <v>2004</v>
      </c>
      <c r="B37" s="792">
        <v>264.29322639999998</v>
      </c>
      <c r="C37" s="796"/>
      <c r="D37" s="796"/>
      <c r="E37" s="796"/>
      <c r="F37" s="802"/>
      <c r="G37" s="796"/>
      <c r="H37" s="796"/>
      <c r="I37" s="802"/>
      <c r="J37" s="796"/>
      <c r="K37" s="803"/>
      <c r="L37" s="802"/>
      <c r="M37" s="796"/>
      <c r="N37" s="803"/>
      <c r="O37" s="802"/>
      <c r="P37" s="807"/>
      <c r="Q37" s="803"/>
      <c r="R37" s="796"/>
      <c r="S37" s="796"/>
      <c r="T37" s="803"/>
    </row>
    <row r="38" spans="1:20" ht="15" customHeight="1">
      <c r="A38" s="796">
        <v>2005</v>
      </c>
      <c r="B38" s="792">
        <v>257.80971879999998</v>
      </c>
      <c r="C38" s="796"/>
      <c r="D38" s="796"/>
      <c r="E38" s="796"/>
      <c r="F38" s="802"/>
      <c r="G38" s="796"/>
      <c r="H38" s="796"/>
      <c r="I38" s="802"/>
      <c r="J38" s="796"/>
      <c r="K38" s="803"/>
      <c r="L38" s="802"/>
      <c r="M38" s="796"/>
      <c r="N38" s="803"/>
      <c r="O38" s="802"/>
      <c r="P38" s="807"/>
      <c r="Q38" s="803"/>
      <c r="R38" s="796"/>
      <c r="S38" s="796"/>
      <c r="T38" s="803"/>
    </row>
    <row r="39" spans="1:20" ht="15" customHeight="1">
      <c r="A39" s="796">
        <v>2006</v>
      </c>
      <c r="B39" s="792">
        <v>249.28395800000001</v>
      </c>
      <c r="C39" s="796"/>
      <c r="D39" s="796"/>
      <c r="E39" s="796"/>
      <c r="F39" s="802"/>
      <c r="G39" s="796"/>
      <c r="H39" s="796"/>
      <c r="I39" s="802"/>
      <c r="J39" s="796"/>
      <c r="K39" s="803"/>
      <c r="L39" s="802"/>
      <c r="M39" s="796"/>
      <c r="N39" s="803"/>
      <c r="O39" s="802"/>
      <c r="P39" s="807"/>
      <c r="Q39" s="803"/>
      <c r="R39" s="796"/>
      <c r="S39" s="796"/>
      <c r="T39" s="803"/>
    </row>
    <row r="40" spans="1:20" ht="15" customHeight="1">
      <c r="A40" s="796">
        <v>2007</v>
      </c>
      <c r="B40" s="792">
        <v>237.39743429999999</v>
      </c>
      <c r="C40" s="796"/>
      <c r="D40" s="796"/>
      <c r="E40" s="796"/>
      <c r="F40" s="802"/>
      <c r="G40" s="796"/>
      <c r="H40" s="796"/>
      <c r="I40" s="802"/>
      <c r="J40" s="796"/>
      <c r="K40" s="803"/>
      <c r="L40" s="802"/>
      <c r="M40" s="796"/>
      <c r="N40" s="803"/>
      <c r="O40" s="802"/>
      <c r="P40" s="807"/>
      <c r="Q40" s="803"/>
      <c r="R40" s="796"/>
      <c r="S40" s="796"/>
      <c r="T40" s="803"/>
    </row>
    <row r="41" spans="1:20" ht="15" customHeight="1">
      <c r="A41" s="796">
        <v>2008</v>
      </c>
      <c r="B41" s="792">
        <v>240.5947233</v>
      </c>
      <c r="C41" s="796"/>
      <c r="D41" s="796"/>
      <c r="E41" s="796"/>
      <c r="F41" s="802"/>
      <c r="G41" s="796"/>
      <c r="H41" s="796"/>
      <c r="I41" s="802"/>
      <c r="J41" s="796"/>
      <c r="K41" s="803"/>
      <c r="L41" s="802"/>
      <c r="M41" s="796"/>
      <c r="N41" s="803"/>
      <c r="O41" s="802"/>
      <c r="P41" s="807"/>
      <c r="Q41" s="803"/>
      <c r="R41" s="796"/>
      <c r="S41" s="796"/>
      <c r="T41" s="803"/>
    </row>
    <row r="42" spans="1:20" ht="15" customHeight="1">
      <c r="A42" s="796">
        <v>2009</v>
      </c>
      <c r="B42" s="792">
        <v>235.94587849999999</v>
      </c>
      <c r="C42" s="796"/>
      <c r="D42" s="796"/>
      <c r="E42" s="796"/>
      <c r="F42" s="802"/>
      <c r="G42" s="796"/>
      <c r="H42" s="796"/>
      <c r="I42" s="802"/>
      <c r="J42" s="796"/>
      <c r="K42" s="803"/>
      <c r="L42" s="802"/>
      <c r="M42" s="796"/>
      <c r="N42" s="803"/>
      <c r="O42" s="802"/>
      <c r="P42" s="807"/>
      <c r="Q42" s="803"/>
      <c r="R42" s="796"/>
      <c r="S42" s="796"/>
      <c r="T42" s="803"/>
    </row>
    <row r="43" spans="1:20" ht="15" customHeight="1">
      <c r="A43" s="796">
        <v>2010</v>
      </c>
      <c r="B43" s="792">
        <v>228.7964661</v>
      </c>
      <c r="C43" s="796"/>
      <c r="D43" s="796"/>
      <c r="E43" s="796"/>
      <c r="F43" s="802"/>
      <c r="G43" s="796"/>
      <c r="H43" s="796"/>
      <c r="I43" s="802"/>
      <c r="J43" s="796"/>
      <c r="K43" s="803"/>
      <c r="L43" s="802"/>
      <c r="M43" s="796"/>
      <c r="N43" s="803"/>
      <c r="O43" s="802"/>
      <c r="P43" s="807"/>
      <c r="Q43" s="803"/>
      <c r="R43" s="796"/>
      <c r="S43" s="796"/>
      <c r="T43" s="803"/>
    </row>
    <row r="44" spans="1:20" ht="15" customHeight="1">
      <c r="A44" s="796">
        <v>2011</v>
      </c>
      <c r="B44" s="792">
        <v>218.4713036</v>
      </c>
      <c r="C44" s="796"/>
      <c r="D44" s="796"/>
      <c r="E44" s="796"/>
      <c r="F44" s="802"/>
      <c r="G44" s="796"/>
      <c r="H44" s="796"/>
      <c r="I44" s="802"/>
      <c r="J44" s="796"/>
      <c r="K44" s="803"/>
      <c r="L44" s="802"/>
      <c r="M44" s="796"/>
      <c r="N44" s="803"/>
      <c r="O44" s="802"/>
      <c r="P44" s="807"/>
      <c r="Q44" s="803"/>
      <c r="R44" s="796"/>
      <c r="S44" s="796"/>
      <c r="T44" s="803"/>
    </row>
    <row r="45" spans="1:20" ht="15" customHeight="1">
      <c r="A45" s="796">
        <v>2012</v>
      </c>
      <c r="B45" s="792">
        <v>224.22823389999999</v>
      </c>
      <c r="C45" s="796"/>
      <c r="D45" s="796"/>
      <c r="E45" s="796"/>
      <c r="F45" s="802"/>
      <c r="G45" s="796"/>
      <c r="H45" s="796"/>
      <c r="I45" s="802"/>
      <c r="J45" s="796"/>
      <c r="K45" s="803"/>
      <c r="L45" s="802"/>
      <c r="M45" s="796"/>
      <c r="N45" s="803"/>
      <c r="O45" s="802"/>
      <c r="P45" s="807"/>
      <c r="Q45" s="803"/>
      <c r="R45" s="796"/>
      <c r="S45" s="796"/>
      <c r="T45" s="803"/>
    </row>
    <row r="46" spans="1:20" ht="15" customHeight="1">
      <c r="A46" s="796">
        <v>2013</v>
      </c>
      <c r="B46" s="792">
        <v>213.08008570000001</v>
      </c>
      <c r="C46" s="796"/>
      <c r="D46" s="796"/>
      <c r="E46" s="796"/>
      <c r="F46" s="802"/>
      <c r="G46" s="796"/>
      <c r="H46" s="796"/>
      <c r="I46" s="802"/>
      <c r="J46" s="796"/>
      <c r="K46" s="803"/>
      <c r="L46" s="802"/>
      <c r="M46" s="796"/>
      <c r="N46" s="803"/>
      <c r="O46" s="802"/>
      <c r="P46" s="807"/>
      <c r="Q46" s="803"/>
      <c r="R46" s="796"/>
      <c r="S46" s="796"/>
      <c r="T46" s="803"/>
    </row>
    <row r="47" spans="1:20" ht="15" customHeight="1">
      <c r="A47" s="796">
        <v>2014</v>
      </c>
      <c r="B47" s="792">
        <v>214.88650419999999</v>
      </c>
      <c r="C47" s="796"/>
      <c r="D47" s="796"/>
      <c r="E47" s="796"/>
      <c r="F47" s="802"/>
      <c r="G47" s="796"/>
      <c r="H47" s="796"/>
      <c r="I47" s="802"/>
      <c r="J47" s="796"/>
      <c r="K47" s="803"/>
      <c r="L47" s="802"/>
      <c r="M47" s="796"/>
      <c r="N47" s="803"/>
      <c r="O47" s="802"/>
      <c r="P47" s="807"/>
      <c r="Q47" s="803"/>
      <c r="R47" s="796"/>
      <c r="S47" s="796"/>
      <c r="T47" s="803"/>
    </row>
    <row r="48" spans="1:20" ht="15" customHeight="1">
      <c r="A48" s="796">
        <v>2015</v>
      </c>
      <c r="B48" s="792">
        <v>226.87955640000001</v>
      </c>
      <c r="C48" s="796"/>
      <c r="D48" s="796"/>
      <c r="E48" s="796"/>
      <c r="F48" s="802"/>
      <c r="G48" s="796"/>
      <c r="H48" s="796"/>
      <c r="I48" s="802"/>
      <c r="J48" s="796"/>
      <c r="K48" s="803"/>
      <c r="L48" s="802"/>
      <c r="M48" s="796"/>
      <c r="N48" s="803"/>
      <c r="O48" s="802"/>
      <c r="P48" s="807"/>
      <c r="Q48" s="803"/>
      <c r="R48" s="796"/>
      <c r="S48" s="796"/>
      <c r="T48" s="803"/>
    </row>
    <row r="49" spans="1:20" ht="15" customHeight="1">
      <c r="A49" s="796">
        <v>2016</v>
      </c>
      <c r="B49" s="792">
        <v>230.15961870000001</v>
      </c>
      <c r="C49" s="796"/>
      <c r="D49" s="796"/>
      <c r="E49" s="796"/>
      <c r="F49" s="802"/>
      <c r="G49" s="796"/>
      <c r="H49" s="796"/>
      <c r="I49" s="802"/>
      <c r="J49" s="796"/>
      <c r="K49" s="803"/>
      <c r="L49" s="802"/>
      <c r="M49" s="796"/>
      <c r="N49" s="803"/>
      <c r="O49" s="802"/>
      <c r="P49" s="807"/>
      <c r="Q49" s="803"/>
      <c r="R49" s="796"/>
      <c r="S49" s="796"/>
      <c r="T49" s="803"/>
    </row>
    <row r="50" spans="1:20" ht="15" customHeight="1">
      <c r="A50" s="796">
        <v>2017</v>
      </c>
      <c r="B50" s="792">
        <v>236.36308639999999</v>
      </c>
      <c r="C50" s="796"/>
      <c r="D50" s="796"/>
      <c r="E50" s="796"/>
      <c r="F50" s="802"/>
      <c r="G50" s="796"/>
      <c r="H50" s="796"/>
      <c r="I50" s="802"/>
      <c r="J50" s="796"/>
      <c r="K50" s="803"/>
      <c r="L50" s="802"/>
      <c r="M50" s="796"/>
      <c r="N50" s="803"/>
      <c r="O50" s="802"/>
      <c r="P50" s="807"/>
      <c r="Q50" s="803"/>
      <c r="R50" s="796"/>
      <c r="S50" s="796"/>
      <c r="T50" s="803"/>
    </row>
    <row r="51" spans="1:20" ht="15" customHeight="1">
      <c r="A51" s="796">
        <v>2018</v>
      </c>
      <c r="B51" s="792">
        <v>226.93116879999999</v>
      </c>
      <c r="C51" s="796"/>
      <c r="D51" s="796"/>
      <c r="E51" s="796"/>
      <c r="F51" s="802"/>
      <c r="G51" s="796"/>
      <c r="H51" s="796"/>
      <c r="I51" s="802"/>
      <c r="J51" s="796"/>
      <c r="K51" s="803"/>
      <c r="L51" s="802"/>
      <c r="M51" s="796"/>
      <c r="N51" s="803"/>
      <c r="O51" s="802"/>
      <c r="P51" s="807"/>
      <c r="Q51" s="803"/>
      <c r="R51" s="796"/>
      <c r="S51" s="796"/>
      <c r="T51" s="803"/>
    </row>
    <row r="52" spans="1:20" ht="15" customHeight="1">
      <c r="A52" s="796">
        <v>2019</v>
      </c>
      <c r="B52" s="792">
        <v>213.89716999999999</v>
      </c>
      <c r="C52" s="796"/>
      <c r="D52" s="796"/>
      <c r="E52" s="796"/>
      <c r="F52" s="802"/>
      <c r="G52" s="796"/>
      <c r="H52" s="796"/>
      <c r="I52" s="802"/>
      <c r="J52" s="796"/>
      <c r="K52" s="803"/>
      <c r="L52" s="802"/>
      <c r="M52" s="796"/>
      <c r="N52" s="803"/>
      <c r="O52" s="802"/>
      <c r="P52" s="807"/>
      <c r="Q52" s="803"/>
      <c r="R52" s="796"/>
      <c r="S52" s="796"/>
      <c r="T52" s="803"/>
    </row>
    <row r="53" spans="1:20" ht="15" customHeight="1">
      <c r="A53" s="796">
        <v>2020</v>
      </c>
      <c r="B53" s="792">
        <v>226.63456679999999</v>
      </c>
      <c r="C53" s="796"/>
      <c r="D53" s="796"/>
      <c r="E53" s="796"/>
      <c r="F53" s="802"/>
      <c r="G53" s="796"/>
      <c r="H53" s="796"/>
      <c r="I53" s="802"/>
      <c r="J53" s="796"/>
      <c r="K53" s="803"/>
      <c r="L53" s="802"/>
      <c r="M53" s="796"/>
      <c r="N53" s="803"/>
      <c r="O53" s="802"/>
      <c r="P53" s="807"/>
      <c r="Q53" s="803"/>
      <c r="R53" s="796"/>
      <c r="S53" s="796"/>
      <c r="T53" s="803"/>
    </row>
    <row r="54" spans="1:20" ht="15" customHeight="1">
      <c r="A54" s="796">
        <v>2021</v>
      </c>
      <c r="B54" s="792">
        <v>231.0185664</v>
      </c>
      <c r="C54" s="796"/>
      <c r="D54" s="796"/>
      <c r="E54" s="796"/>
      <c r="F54" s="802"/>
      <c r="G54" s="796"/>
      <c r="H54" s="796"/>
      <c r="I54" s="802"/>
      <c r="J54" s="796"/>
      <c r="K54" s="803"/>
      <c r="L54" s="802"/>
      <c r="M54" s="796"/>
      <c r="N54" s="803"/>
      <c r="O54" s="802"/>
      <c r="P54" s="807"/>
      <c r="Q54" s="803"/>
      <c r="R54" s="796"/>
      <c r="S54" s="796"/>
      <c r="T54" s="803"/>
    </row>
    <row r="55" spans="1:20" ht="15" customHeight="1">
      <c r="A55" s="796">
        <v>2022</v>
      </c>
      <c r="B55" s="792">
        <v>234.0152837</v>
      </c>
      <c r="C55" s="796"/>
      <c r="D55" s="796"/>
      <c r="E55" s="796"/>
      <c r="F55" s="802"/>
      <c r="G55" s="796"/>
      <c r="H55" s="796"/>
      <c r="I55" s="802"/>
      <c r="J55" s="796"/>
      <c r="K55" s="803"/>
      <c r="L55" s="802"/>
      <c r="M55" s="796"/>
      <c r="N55" s="803"/>
      <c r="O55" s="802"/>
      <c r="P55" s="807"/>
      <c r="Q55" s="803"/>
      <c r="R55" s="796"/>
      <c r="S55" s="796"/>
      <c r="T55" s="803"/>
    </row>
    <row r="56" spans="1:20" ht="15" customHeight="1">
      <c r="A56" s="796">
        <v>2023</v>
      </c>
      <c r="B56" s="792">
        <v>234.09371770000001</v>
      </c>
      <c r="C56" s="796"/>
      <c r="D56" s="796"/>
      <c r="E56" s="796"/>
      <c r="F56" s="802"/>
      <c r="G56" s="796"/>
      <c r="H56" s="796"/>
      <c r="I56" s="802"/>
      <c r="J56" s="796"/>
      <c r="K56" s="803"/>
      <c r="L56" s="802"/>
      <c r="M56" s="796"/>
      <c r="N56" s="803"/>
      <c r="O56" s="802"/>
      <c r="P56" s="807"/>
      <c r="Q56" s="803"/>
      <c r="R56" s="796"/>
      <c r="S56" s="796"/>
      <c r="T56" s="803"/>
    </row>
    <row r="57" spans="1:20" ht="15" customHeight="1">
      <c r="A57" s="796">
        <v>2024</v>
      </c>
      <c r="B57" s="792">
        <v>241.24613919999999</v>
      </c>
      <c r="C57" s="796"/>
      <c r="D57" s="796"/>
      <c r="E57" s="796"/>
      <c r="F57" s="802"/>
      <c r="G57" s="796"/>
      <c r="H57" s="796"/>
      <c r="I57" s="802"/>
      <c r="J57" s="796"/>
      <c r="K57" s="803"/>
      <c r="L57" s="802"/>
      <c r="M57" s="796"/>
      <c r="N57" s="803"/>
      <c r="O57" s="802"/>
      <c r="P57" s="807"/>
      <c r="Q57" s="803"/>
      <c r="R57" s="796"/>
      <c r="S57" s="796"/>
      <c r="T57" s="803"/>
    </row>
    <row r="58" spans="1:20" ht="15" customHeight="1">
      <c r="A58" s="796">
        <v>2025</v>
      </c>
      <c r="B58" s="792">
        <v>239.94270650000001</v>
      </c>
      <c r="C58" s="792">
        <f>SUM($F$58:$H$58)</f>
        <v>238.16830110926762</v>
      </c>
      <c r="D58" s="792">
        <f>SUM($F$58:$H$58)</f>
        <v>238.16830110926762</v>
      </c>
      <c r="E58" s="792">
        <f>SUM($F$58:$H$58)</f>
        <v>238.16830110926762</v>
      </c>
      <c r="F58" s="793">
        <v>105.18980898457799</v>
      </c>
      <c r="G58" s="792">
        <v>118.452074931315</v>
      </c>
      <c r="H58" s="792">
        <v>14.5264171933746</v>
      </c>
      <c r="I58" s="793">
        <f t="shared" ref="I58:K83" si="0">F58*$D58/$C58</f>
        <v>105.18980898457799</v>
      </c>
      <c r="J58" s="792">
        <f t="shared" si="0"/>
        <v>118.452074931315</v>
      </c>
      <c r="K58" s="795">
        <f t="shared" si="0"/>
        <v>14.5264171933746</v>
      </c>
      <c r="L58" s="792">
        <f t="shared" ref="L58:N83" si="1">F58*$E58/$C58</f>
        <v>105.18980898457799</v>
      </c>
      <c r="M58" s="792">
        <f t="shared" si="1"/>
        <v>118.452074931315</v>
      </c>
      <c r="N58" s="795">
        <f t="shared" si="1"/>
        <v>14.5264171933746</v>
      </c>
      <c r="O58" s="802"/>
      <c r="P58" s="807"/>
      <c r="Q58" s="803"/>
      <c r="R58" s="796"/>
      <c r="S58" s="796"/>
      <c r="T58" s="803"/>
    </row>
    <row r="59" spans="1:20" ht="15" customHeight="1">
      <c r="A59" s="796">
        <v>2026</v>
      </c>
      <c r="B59" s="796"/>
      <c r="C59" s="792">
        <f t="shared" ref="C59:C83" si="2">SUM(F59:H59)</f>
        <v>236.41447723234148</v>
      </c>
      <c r="D59" s="792">
        <v>240.3021766</v>
      </c>
      <c r="E59" s="792">
        <v>238.87717660000001</v>
      </c>
      <c r="F59" s="793">
        <v>101.045761449213</v>
      </c>
      <c r="G59" s="792">
        <v>120.086121418196</v>
      </c>
      <c r="H59" s="792">
        <v>15.2825943649325</v>
      </c>
      <c r="I59" s="793">
        <f t="shared" si="0"/>
        <v>102.70740056492846</v>
      </c>
      <c r="J59" s="792">
        <f t="shared" si="0"/>
        <v>122.06086824321073</v>
      </c>
      <c r="K59" s="795">
        <f t="shared" si="0"/>
        <v>15.53390779186083</v>
      </c>
      <c r="L59" s="792">
        <f t="shared" si="1"/>
        <v>102.09834222065618</v>
      </c>
      <c r="M59" s="792">
        <f t="shared" si="1"/>
        <v>121.337043183831</v>
      </c>
      <c r="N59" s="795">
        <f t="shared" si="1"/>
        <v>15.441791195512858</v>
      </c>
      <c r="O59" s="802"/>
      <c r="P59" s="807"/>
      <c r="Q59" s="803"/>
      <c r="R59" s="796"/>
      <c r="S59" s="796"/>
      <c r="T59" s="803"/>
    </row>
    <row r="60" spans="1:20" ht="15" customHeight="1">
      <c r="A60" s="796">
        <v>2027</v>
      </c>
      <c r="B60" s="796"/>
      <c r="C60" s="792">
        <f t="shared" si="2"/>
        <v>232.08664448923989</v>
      </c>
      <c r="D60" s="792">
        <v>236.5317154</v>
      </c>
      <c r="E60" s="792">
        <v>235.24407740000001</v>
      </c>
      <c r="F60" s="793">
        <v>96.575066729448693</v>
      </c>
      <c r="G60" s="792">
        <v>120.094642530738</v>
      </c>
      <c r="H60" s="792">
        <v>15.4169352290532</v>
      </c>
      <c r="I60" s="793">
        <f t="shared" si="0"/>
        <v>98.424733782753407</v>
      </c>
      <c r="J60" s="792">
        <f t="shared" si="0"/>
        <v>122.39477144692933</v>
      </c>
      <c r="K60" s="795">
        <f t="shared" si="0"/>
        <v>15.712210170317277</v>
      </c>
      <c r="L60" s="792">
        <f t="shared" si="1"/>
        <v>97.888926450767357</v>
      </c>
      <c r="M60" s="792">
        <f t="shared" si="1"/>
        <v>121.72847535023101</v>
      </c>
      <c r="N60" s="795">
        <f t="shared" si="1"/>
        <v>15.626675599001658</v>
      </c>
      <c r="O60" s="802"/>
      <c r="P60" s="807"/>
      <c r="Q60" s="803"/>
      <c r="R60" s="796"/>
      <c r="S60" s="796"/>
      <c r="T60" s="803"/>
    </row>
    <row r="61" spans="1:20" ht="15" customHeight="1">
      <c r="A61" s="796">
        <v>2028</v>
      </c>
      <c r="B61" s="796"/>
      <c r="C61" s="792">
        <f t="shared" si="2"/>
        <v>218.59570077720218</v>
      </c>
      <c r="D61" s="792">
        <v>231.75706700000001</v>
      </c>
      <c r="E61" s="792">
        <v>223.64014800000001</v>
      </c>
      <c r="F61" s="793">
        <v>87.047892082627996</v>
      </c>
      <c r="G61" s="792">
        <v>116.166092510014</v>
      </c>
      <c r="H61" s="792">
        <v>15.381716184560201</v>
      </c>
      <c r="I61" s="793">
        <f t="shared" si="0"/>
        <v>92.288933798218466</v>
      </c>
      <c r="J61" s="792">
        <f t="shared" si="0"/>
        <v>123.16030365305016</v>
      </c>
      <c r="K61" s="795">
        <f t="shared" si="0"/>
        <v>16.307829548731387</v>
      </c>
      <c r="L61" s="792">
        <f t="shared" si="1"/>
        <v>89.056662135769017</v>
      </c>
      <c r="M61" s="792">
        <f t="shared" si="1"/>
        <v>118.84681185015634</v>
      </c>
      <c r="N61" s="795">
        <f t="shared" si="1"/>
        <v>15.736674014074666</v>
      </c>
      <c r="O61" s="802"/>
      <c r="P61" s="807"/>
      <c r="Q61" s="803"/>
      <c r="R61" s="796"/>
      <c r="S61" s="796"/>
      <c r="T61" s="803"/>
    </row>
    <row r="62" spans="1:20" ht="15" customHeight="1">
      <c r="A62" s="796">
        <v>2029</v>
      </c>
      <c r="B62" s="796"/>
      <c r="C62" s="792">
        <f t="shared" si="2"/>
        <v>204.6059458103143</v>
      </c>
      <c r="D62" s="792">
        <v>226.84598719592401</v>
      </c>
      <c r="E62" s="792">
        <v>207.12982260000001</v>
      </c>
      <c r="F62" s="793">
        <v>78.845847543704807</v>
      </c>
      <c r="G62" s="792">
        <v>110.636270971982</v>
      </c>
      <c r="H62" s="792">
        <v>15.1238272946275</v>
      </c>
      <c r="I62" s="793">
        <f t="shared" si="0"/>
        <v>87.416150354362784</v>
      </c>
      <c r="J62" s="792">
        <f t="shared" si="0"/>
        <v>122.66209571242008</v>
      </c>
      <c r="K62" s="795">
        <f t="shared" si="0"/>
        <v>16.767741129141168</v>
      </c>
      <c r="L62" s="792">
        <f t="shared" si="1"/>
        <v>79.81843513782654</v>
      </c>
      <c r="M62" s="792">
        <f t="shared" si="1"/>
        <v>112.00100314189869</v>
      </c>
      <c r="N62" s="795">
        <f t="shared" si="1"/>
        <v>15.310384320274803</v>
      </c>
      <c r="O62" s="802"/>
      <c r="P62" s="807"/>
      <c r="Q62" s="803"/>
      <c r="R62" s="796"/>
      <c r="S62" s="796"/>
      <c r="T62" s="803"/>
    </row>
    <row r="63" spans="1:20" ht="15" customHeight="1">
      <c r="A63" s="796">
        <v>2030</v>
      </c>
      <c r="B63" s="796"/>
      <c r="C63" s="792">
        <f t="shared" si="2"/>
        <v>193.19365242068238</v>
      </c>
      <c r="D63" s="792">
        <v>221.43623555168</v>
      </c>
      <c r="E63" s="792">
        <v>188.20312770000001</v>
      </c>
      <c r="F63" s="793">
        <v>73.793908506930094</v>
      </c>
      <c r="G63" s="792">
        <v>104.941576370565</v>
      </c>
      <c r="H63" s="792">
        <v>14.458167543187299</v>
      </c>
      <c r="I63" s="793">
        <f t="shared" si="0"/>
        <v>84.581688381964383</v>
      </c>
      <c r="J63" s="792">
        <f t="shared" si="0"/>
        <v>120.28276981769673</v>
      </c>
      <c r="K63" s="795">
        <f t="shared" si="0"/>
        <v>16.571777352018909</v>
      </c>
      <c r="L63" s="792">
        <f t="shared" si="1"/>
        <v>71.887684777396302</v>
      </c>
      <c r="M63" s="792">
        <f t="shared" si="1"/>
        <v>102.23075474396059</v>
      </c>
      <c r="N63" s="795">
        <f t="shared" si="1"/>
        <v>14.08468817864313</v>
      </c>
      <c r="O63" s="802"/>
      <c r="P63" s="807"/>
      <c r="Q63" s="803"/>
      <c r="R63" s="796"/>
      <c r="S63" s="796"/>
      <c r="T63" s="803"/>
    </row>
    <row r="64" spans="1:20" ht="15" customHeight="1">
      <c r="A64" s="796">
        <v>2031</v>
      </c>
      <c r="B64" s="796"/>
      <c r="C64" s="792">
        <f t="shared" si="2"/>
        <v>184.77994896594291</v>
      </c>
      <c r="D64" s="792">
        <v>217.60875676879999</v>
      </c>
      <c r="E64" s="792">
        <v>174.46210070000001</v>
      </c>
      <c r="F64" s="793">
        <v>71.649846538435597</v>
      </c>
      <c r="G64" s="792">
        <v>100.130445581107</v>
      </c>
      <c r="H64" s="792">
        <v>12.999656846400301</v>
      </c>
      <c r="I64" s="793">
        <f t="shared" si="0"/>
        <v>84.379469283098445</v>
      </c>
      <c r="J64" s="792">
        <f t="shared" si="0"/>
        <v>117.92005517669394</v>
      </c>
      <c r="K64" s="795">
        <f t="shared" si="0"/>
        <v>15.309232309007601</v>
      </c>
      <c r="L64" s="792">
        <f t="shared" si="1"/>
        <v>67.64902150845397</v>
      </c>
      <c r="M64" s="792">
        <f t="shared" si="1"/>
        <v>94.539304604563426</v>
      </c>
      <c r="N64" s="795">
        <f t="shared" si="1"/>
        <v>12.27377458698261</v>
      </c>
      <c r="O64" s="802"/>
      <c r="P64" s="807"/>
      <c r="Q64" s="803"/>
      <c r="R64" s="796"/>
      <c r="S64" s="796"/>
      <c r="T64" s="803"/>
    </row>
    <row r="65" spans="1:20" ht="15" customHeight="1">
      <c r="A65" s="796">
        <v>2032</v>
      </c>
      <c r="B65" s="796"/>
      <c r="C65" s="792">
        <f t="shared" si="2"/>
        <v>176.30876350221612</v>
      </c>
      <c r="D65" s="792">
        <v>212.77220395694101</v>
      </c>
      <c r="E65" s="792">
        <v>159.59955110000001</v>
      </c>
      <c r="F65" s="793">
        <v>70.715986239141799</v>
      </c>
      <c r="G65" s="792">
        <v>93.491734289047798</v>
      </c>
      <c r="H65" s="792">
        <v>12.1010429740265</v>
      </c>
      <c r="I65" s="793">
        <f t="shared" si="0"/>
        <v>85.341170502292059</v>
      </c>
      <c r="J65" s="792">
        <f t="shared" si="0"/>
        <v>112.8273034266239</v>
      </c>
      <c r="K65" s="795">
        <f t="shared" si="0"/>
        <v>14.603730028025016</v>
      </c>
      <c r="L65" s="792">
        <f t="shared" si="1"/>
        <v>64.014059398805472</v>
      </c>
      <c r="M65" s="792">
        <f t="shared" si="1"/>
        <v>84.631294143838488</v>
      </c>
      <c r="N65" s="795">
        <f t="shared" si="1"/>
        <v>10.954197557356034</v>
      </c>
      <c r="O65" s="802"/>
      <c r="P65" s="807"/>
      <c r="Q65" s="803"/>
      <c r="R65" s="796"/>
      <c r="S65" s="796"/>
      <c r="T65" s="803"/>
    </row>
    <row r="66" spans="1:20" ht="15" customHeight="1">
      <c r="A66" s="796">
        <v>2033</v>
      </c>
      <c r="B66" s="796"/>
      <c r="C66" s="792">
        <f t="shared" si="2"/>
        <v>169.4251810943926</v>
      </c>
      <c r="D66" s="792">
        <v>207.77951277434201</v>
      </c>
      <c r="E66" s="792">
        <v>147.82543269999999</v>
      </c>
      <c r="F66" s="793">
        <v>69.386447109542203</v>
      </c>
      <c r="G66" s="792">
        <v>89.335084783925794</v>
      </c>
      <c r="H66" s="792">
        <v>10.7036492009246</v>
      </c>
      <c r="I66" s="793">
        <f t="shared" si="0"/>
        <v>85.094093336285582</v>
      </c>
      <c r="J66" s="792">
        <f t="shared" si="0"/>
        <v>109.55868702726724</v>
      </c>
      <c r="K66" s="795">
        <f t="shared" si="0"/>
        <v>13.126732410789174</v>
      </c>
      <c r="L66" s="792">
        <f t="shared" si="1"/>
        <v>60.540478701151081</v>
      </c>
      <c r="M66" s="792">
        <f t="shared" si="1"/>
        <v>77.945896106892747</v>
      </c>
      <c r="N66" s="795">
        <f t="shared" si="1"/>
        <v>9.3390578919561573</v>
      </c>
      <c r="O66" s="802"/>
      <c r="P66" s="807"/>
      <c r="Q66" s="803"/>
      <c r="R66" s="796"/>
      <c r="S66" s="796"/>
      <c r="T66" s="803"/>
    </row>
    <row r="67" spans="1:20" ht="15" customHeight="1">
      <c r="A67" s="796">
        <v>2034</v>
      </c>
      <c r="B67" s="796"/>
      <c r="C67" s="792">
        <f t="shared" si="2"/>
        <v>165.75468141269565</v>
      </c>
      <c r="D67" s="792">
        <v>203.61606526732399</v>
      </c>
      <c r="E67" s="792">
        <v>138.86819159999999</v>
      </c>
      <c r="F67" s="793">
        <v>69.474901314808406</v>
      </c>
      <c r="G67" s="792">
        <v>86.735572945646098</v>
      </c>
      <c r="H67" s="792">
        <v>9.5442071522411407</v>
      </c>
      <c r="I67" s="793">
        <f t="shared" si="0"/>
        <v>85.344232331729614</v>
      </c>
      <c r="J67" s="792">
        <f t="shared" si="0"/>
        <v>106.54755528700697</v>
      </c>
      <c r="K67" s="795">
        <f t="shared" si="0"/>
        <v>11.724277648587398</v>
      </c>
      <c r="L67" s="792">
        <f t="shared" si="1"/>
        <v>58.205619442836117</v>
      </c>
      <c r="M67" s="792">
        <f t="shared" si="1"/>
        <v>72.666497619832597</v>
      </c>
      <c r="N67" s="795">
        <f t="shared" si="1"/>
        <v>7.9960745373312729</v>
      </c>
      <c r="O67" s="802"/>
      <c r="P67" s="807"/>
      <c r="Q67" s="803"/>
      <c r="R67" s="796"/>
      <c r="S67" s="796"/>
      <c r="T67" s="803"/>
    </row>
    <row r="68" spans="1:20" ht="15" customHeight="1">
      <c r="A68" s="796">
        <v>2035</v>
      </c>
      <c r="B68" s="796"/>
      <c r="C68" s="792">
        <f t="shared" si="2"/>
        <v>161.7762638432495</v>
      </c>
      <c r="D68" s="792">
        <v>199.29088110110101</v>
      </c>
      <c r="E68" s="792">
        <v>127.83201680000001</v>
      </c>
      <c r="F68" s="793">
        <v>69.035837323349497</v>
      </c>
      <c r="G68" s="792">
        <v>84.333941951932403</v>
      </c>
      <c r="H68" s="792">
        <v>8.4064845679676008</v>
      </c>
      <c r="I68" s="793">
        <f t="shared" si="0"/>
        <v>85.044693954938865</v>
      </c>
      <c r="J68" s="792">
        <f t="shared" si="0"/>
        <v>103.89030627270866</v>
      </c>
      <c r="K68" s="795">
        <f t="shared" si="0"/>
        <v>10.355880873453483</v>
      </c>
      <c r="L68" s="792">
        <f t="shared" si="1"/>
        <v>54.550587996464749</v>
      </c>
      <c r="M68" s="792">
        <f t="shared" si="1"/>
        <v>66.638811085755535</v>
      </c>
      <c r="N68" s="795">
        <f t="shared" si="1"/>
        <v>6.6426177177797161</v>
      </c>
      <c r="O68" s="802"/>
      <c r="P68" s="807"/>
      <c r="Q68" s="803"/>
      <c r="R68" s="796"/>
      <c r="S68" s="796"/>
      <c r="T68" s="803"/>
    </row>
    <row r="69" spans="1:20" ht="15" customHeight="1">
      <c r="A69" s="796">
        <v>2036</v>
      </c>
      <c r="B69" s="796"/>
      <c r="C69" s="792">
        <f t="shared" si="2"/>
        <v>157.66172991607431</v>
      </c>
      <c r="D69" s="792">
        <v>194.80186414830001</v>
      </c>
      <c r="E69" s="792">
        <v>115.5689721</v>
      </c>
      <c r="F69" s="793">
        <v>67.882734389063302</v>
      </c>
      <c r="G69" s="792">
        <v>82.153770465193006</v>
      </c>
      <c r="H69" s="792">
        <v>7.6252250618180204</v>
      </c>
      <c r="I69" s="793">
        <f t="shared" si="0"/>
        <v>83.873767016971129</v>
      </c>
      <c r="J69" s="792">
        <f t="shared" si="0"/>
        <v>101.50660938421875</v>
      </c>
      <c r="K69" s="795">
        <f t="shared" si="0"/>
        <v>9.4214877471101683</v>
      </c>
      <c r="L69" s="792">
        <f t="shared" si="1"/>
        <v>49.759303293560528</v>
      </c>
      <c r="M69" s="792">
        <f t="shared" si="1"/>
        <v>60.220237414975202</v>
      </c>
      <c r="N69" s="795">
        <f t="shared" si="1"/>
        <v>5.5894313914642728</v>
      </c>
      <c r="O69" s="802"/>
      <c r="P69" s="807"/>
      <c r="Q69" s="803"/>
      <c r="R69" s="796"/>
      <c r="S69" s="796"/>
      <c r="T69" s="803"/>
    </row>
    <row r="70" spans="1:20" ht="15" customHeight="1">
      <c r="A70" s="796">
        <v>2037</v>
      </c>
      <c r="B70" s="796"/>
      <c r="C70" s="792">
        <f t="shared" si="2"/>
        <v>151.81280442972241</v>
      </c>
      <c r="D70" s="792">
        <v>191.534043147104</v>
      </c>
      <c r="E70" s="792">
        <v>100.2857793</v>
      </c>
      <c r="F70" s="793">
        <v>66.422217238456199</v>
      </c>
      <c r="G70" s="792">
        <v>78.840469550338696</v>
      </c>
      <c r="H70" s="792">
        <v>6.5501176409275104</v>
      </c>
      <c r="I70" s="793">
        <f t="shared" si="0"/>
        <v>83.801335929909257</v>
      </c>
      <c r="J70" s="792">
        <f t="shared" si="0"/>
        <v>99.468776387586843</v>
      </c>
      <c r="K70" s="795">
        <f t="shared" si="0"/>
        <v>8.2639308296078937</v>
      </c>
      <c r="L70" s="792">
        <f t="shared" si="1"/>
        <v>43.877746963538222</v>
      </c>
      <c r="M70" s="792">
        <f t="shared" si="1"/>
        <v>52.08110052992118</v>
      </c>
      <c r="N70" s="795">
        <f t="shared" si="1"/>
        <v>4.3269318065405962</v>
      </c>
      <c r="O70" s="802"/>
      <c r="P70" s="807"/>
      <c r="Q70" s="803"/>
      <c r="R70" s="796"/>
      <c r="S70" s="796"/>
      <c r="T70" s="803"/>
    </row>
    <row r="71" spans="1:20" ht="15" customHeight="1">
      <c r="A71" s="796">
        <v>2038</v>
      </c>
      <c r="B71" s="796"/>
      <c r="C71" s="792">
        <f t="shared" si="2"/>
        <v>143.32598267418305</v>
      </c>
      <c r="D71" s="792">
        <v>188.39616800044001</v>
      </c>
      <c r="E71" s="792">
        <v>87.3121972</v>
      </c>
      <c r="F71" s="793">
        <v>63.920650066007603</v>
      </c>
      <c r="G71" s="792">
        <v>73.883116241559094</v>
      </c>
      <c r="H71" s="792">
        <v>5.5222163666163597</v>
      </c>
      <c r="I71" s="793">
        <f t="shared" si="0"/>
        <v>84.021091667017558</v>
      </c>
      <c r="J71" s="792">
        <f t="shared" si="0"/>
        <v>97.116347783799654</v>
      </c>
      <c r="K71" s="795">
        <f t="shared" si="0"/>
        <v>7.2587285496227985</v>
      </c>
      <c r="L71" s="792">
        <f t="shared" si="1"/>
        <v>38.939571873737798</v>
      </c>
      <c r="M71" s="792">
        <f t="shared" si="1"/>
        <v>45.008567844241362</v>
      </c>
      <c r="N71" s="795">
        <f t="shared" si="1"/>
        <v>3.3640574820208422</v>
      </c>
      <c r="O71" s="802"/>
      <c r="P71" s="807"/>
      <c r="Q71" s="803"/>
      <c r="R71" s="796"/>
      <c r="S71" s="796"/>
      <c r="T71" s="803"/>
    </row>
    <row r="72" spans="1:20" ht="15" customHeight="1">
      <c r="A72" s="796">
        <v>2039</v>
      </c>
      <c r="B72" s="796"/>
      <c r="C72" s="792">
        <f t="shared" si="2"/>
        <v>135.17011303045234</v>
      </c>
      <c r="D72" s="792">
        <v>185.284755987095</v>
      </c>
      <c r="E72" s="792">
        <v>77.0042708</v>
      </c>
      <c r="F72" s="793">
        <v>61.744994652282898</v>
      </c>
      <c r="G72" s="792">
        <v>68.539686645509505</v>
      </c>
      <c r="H72" s="792">
        <v>4.8854317326599297</v>
      </c>
      <c r="I72" s="793">
        <f t="shared" si="0"/>
        <v>84.637099215825344</v>
      </c>
      <c r="J72" s="792">
        <f t="shared" si="0"/>
        <v>93.950939529688455</v>
      </c>
      <c r="K72" s="795">
        <f t="shared" si="0"/>
        <v>6.6967172415811707</v>
      </c>
      <c r="L72" s="792">
        <f t="shared" si="1"/>
        <v>35.17514472801971</v>
      </c>
      <c r="M72" s="792">
        <f t="shared" si="1"/>
        <v>39.045973053295562</v>
      </c>
      <c r="N72" s="795">
        <f t="shared" si="1"/>
        <v>2.7831530186847213</v>
      </c>
      <c r="O72" s="802"/>
      <c r="P72" s="807"/>
      <c r="Q72" s="803"/>
      <c r="R72" s="796"/>
      <c r="S72" s="796"/>
      <c r="T72" s="803"/>
    </row>
    <row r="73" spans="1:20" ht="15" customHeight="1">
      <c r="A73" s="796">
        <v>2040</v>
      </c>
      <c r="B73" s="796"/>
      <c r="C73" s="792">
        <f t="shared" si="2"/>
        <v>128.87716393736778</v>
      </c>
      <c r="D73" s="792">
        <v>182.12534899471899</v>
      </c>
      <c r="E73" s="792">
        <v>67.380391200000005</v>
      </c>
      <c r="F73" s="793">
        <v>59.765761492930402</v>
      </c>
      <c r="G73" s="792">
        <v>64.692185788338307</v>
      </c>
      <c r="H73" s="792">
        <v>4.4192166560990804</v>
      </c>
      <c r="I73" s="793">
        <f t="shared" si="0"/>
        <v>84.459184523372599</v>
      </c>
      <c r="J73" s="792">
        <f t="shared" si="0"/>
        <v>91.421059821414275</v>
      </c>
      <c r="K73" s="795">
        <f t="shared" si="0"/>
        <v>6.2451046499321237</v>
      </c>
      <c r="L73" s="792">
        <f t="shared" si="1"/>
        <v>31.247121419560592</v>
      </c>
      <c r="M73" s="792">
        <f t="shared" si="1"/>
        <v>33.822786386886293</v>
      </c>
      <c r="N73" s="795">
        <f t="shared" si="1"/>
        <v>2.3104833935531253</v>
      </c>
      <c r="O73" s="802"/>
      <c r="P73" s="807"/>
      <c r="Q73" s="803"/>
      <c r="R73" s="796"/>
      <c r="S73" s="796"/>
      <c r="T73" s="803"/>
    </row>
    <row r="74" spans="1:20" ht="15" customHeight="1">
      <c r="A74" s="796">
        <v>2041</v>
      </c>
      <c r="B74" s="796"/>
      <c r="C74" s="792">
        <f t="shared" si="2"/>
        <v>123.30066131627613</v>
      </c>
      <c r="D74" s="792">
        <v>179.210411108172</v>
      </c>
      <c r="E74" s="792">
        <v>59.1762175</v>
      </c>
      <c r="F74" s="793">
        <v>58.160948087532198</v>
      </c>
      <c r="G74" s="792">
        <v>61.2290977700995</v>
      </c>
      <c r="H74" s="792">
        <v>3.9106154586444402</v>
      </c>
      <c r="I74" s="793">
        <f t="shared" si="0"/>
        <v>84.533588919460371</v>
      </c>
      <c r="J74" s="792">
        <f t="shared" si="0"/>
        <v>88.992967807493244</v>
      </c>
      <c r="K74" s="795">
        <f t="shared" si="0"/>
        <v>5.6838543812184037</v>
      </c>
      <c r="L74" s="792">
        <f t="shared" si="1"/>
        <v>27.913434342461972</v>
      </c>
      <c r="M74" s="792">
        <f t="shared" si="1"/>
        <v>29.385944635593642</v>
      </c>
      <c r="N74" s="795">
        <f t="shared" si="1"/>
        <v>1.876838521944391</v>
      </c>
      <c r="O74" s="802"/>
      <c r="P74" s="807"/>
      <c r="Q74" s="803"/>
      <c r="R74" s="796"/>
      <c r="S74" s="796"/>
      <c r="T74" s="803"/>
    </row>
    <row r="75" spans="1:20" ht="15" customHeight="1">
      <c r="A75" s="796">
        <v>2042</v>
      </c>
      <c r="B75" s="796"/>
      <c r="C75" s="792">
        <f t="shared" si="2"/>
        <v>118.4257562608541</v>
      </c>
      <c r="D75" s="792">
        <v>176.62031784269601</v>
      </c>
      <c r="E75" s="792">
        <v>52.781483100000003</v>
      </c>
      <c r="F75" s="793">
        <v>56.304564567923002</v>
      </c>
      <c r="G75" s="792">
        <v>58.607326135775999</v>
      </c>
      <c r="H75" s="792">
        <v>3.5138655571550999</v>
      </c>
      <c r="I75" s="793">
        <f t="shared" si="0"/>
        <v>83.972696514401292</v>
      </c>
      <c r="J75" s="792">
        <f t="shared" si="0"/>
        <v>87.407037935318883</v>
      </c>
      <c r="K75" s="795">
        <f t="shared" si="0"/>
        <v>5.2405833929758341</v>
      </c>
      <c r="L75" s="792">
        <f t="shared" si="1"/>
        <v>25.094527719533211</v>
      </c>
      <c r="M75" s="792">
        <f t="shared" si="1"/>
        <v>26.120851507656138</v>
      </c>
      <c r="N75" s="795">
        <f t="shared" si="1"/>
        <v>1.5661038728106527</v>
      </c>
      <c r="O75" s="802"/>
      <c r="P75" s="807"/>
      <c r="Q75" s="803"/>
      <c r="R75" s="796"/>
      <c r="S75" s="796"/>
      <c r="T75" s="803"/>
    </row>
    <row r="76" spans="1:20" ht="15" customHeight="1">
      <c r="A76" s="796">
        <v>2043</v>
      </c>
      <c r="B76" s="796"/>
      <c r="C76" s="792">
        <f t="shared" si="2"/>
        <v>113.60222458101305</v>
      </c>
      <c r="D76" s="792">
        <v>174.10383349284999</v>
      </c>
      <c r="E76" s="792">
        <v>47.681744100000003</v>
      </c>
      <c r="F76" s="793">
        <v>54.5807199205301</v>
      </c>
      <c r="G76" s="792">
        <v>55.8623403806005</v>
      </c>
      <c r="H76" s="792">
        <v>3.1591642798824502</v>
      </c>
      <c r="I76" s="793">
        <f t="shared" si="0"/>
        <v>83.649000783318229</v>
      </c>
      <c r="J76" s="792">
        <f t="shared" si="0"/>
        <v>85.613179178627746</v>
      </c>
      <c r="K76" s="795">
        <f t="shared" si="0"/>
        <v>4.8416535309040212</v>
      </c>
      <c r="L76" s="792">
        <f t="shared" si="1"/>
        <v>22.908916877667018</v>
      </c>
      <c r="M76" s="792">
        <f t="shared" si="1"/>
        <v>23.446845593726813</v>
      </c>
      <c r="N76" s="795">
        <f t="shared" si="1"/>
        <v>1.3259816286061719</v>
      </c>
      <c r="O76" s="802"/>
      <c r="P76" s="807"/>
      <c r="Q76" s="803"/>
      <c r="R76" s="796"/>
      <c r="S76" s="796"/>
      <c r="T76" s="803"/>
    </row>
    <row r="77" spans="1:20" ht="15" customHeight="1">
      <c r="A77" s="796">
        <v>2044</v>
      </c>
      <c r="B77" s="796"/>
      <c r="C77" s="792">
        <f t="shared" si="2"/>
        <v>108.76792428614533</v>
      </c>
      <c r="D77" s="792">
        <v>171.67484527411801</v>
      </c>
      <c r="E77" s="792">
        <v>43.094025700000003</v>
      </c>
      <c r="F77" s="793">
        <v>53.233861304295701</v>
      </c>
      <c r="G77" s="792">
        <v>52.7872782740288</v>
      </c>
      <c r="H77" s="792">
        <v>2.7467847078208401</v>
      </c>
      <c r="I77" s="793">
        <f t="shared" si="0"/>
        <v>84.022150489111809</v>
      </c>
      <c r="J77" s="792">
        <f t="shared" si="0"/>
        <v>83.31728209039693</v>
      </c>
      <c r="K77" s="795">
        <f t="shared" si="0"/>
        <v>4.3354126946092864</v>
      </c>
      <c r="L77" s="792">
        <f t="shared" si="1"/>
        <v>21.091341056784039</v>
      </c>
      <c r="M77" s="792">
        <f t="shared" si="1"/>
        <v>20.914404145375524</v>
      </c>
      <c r="N77" s="795">
        <f t="shared" si="1"/>
        <v>1.088280497840447</v>
      </c>
      <c r="O77" s="802"/>
      <c r="P77" s="807"/>
      <c r="Q77" s="803"/>
      <c r="R77" s="796"/>
      <c r="S77" s="796"/>
      <c r="T77" s="803"/>
    </row>
    <row r="78" spans="1:20" ht="15" customHeight="1">
      <c r="A78" s="796">
        <v>2045</v>
      </c>
      <c r="B78" s="796"/>
      <c r="C78" s="792">
        <f>SUM(F78:H78)</f>
        <v>104.17507405643636</v>
      </c>
      <c r="D78" s="792">
        <v>169.54724491509199</v>
      </c>
      <c r="E78" s="792">
        <v>37.846859799999997</v>
      </c>
      <c r="F78" s="793">
        <v>51.418462866102303</v>
      </c>
      <c r="G78" s="792">
        <v>50.282890109274298</v>
      </c>
      <c r="H78" s="792">
        <v>2.4737210810597499</v>
      </c>
      <c r="I78" s="793">
        <f t="shared" si="0"/>
        <v>83.684689410383811</v>
      </c>
      <c r="J78" s="792">
        <f t="shared" si="0"/>
        <v>81.836519547634111</v>
      </c>
      <c r="K78" s="795">
        <f t="shared" si="0"/>
        <v>4.0260359570740381</v>
      </c>
      <c r="L78" s="792">
        <f t="shared" si="1"/>
        <v>18.680354901121824</v>
      </c>
      <c r="M78" s="792">
        <f t="shared" si="1"/>
        <v>18.267800714723204</v>
      </c>
      <c r="N78" s="795">
        <f t="shared" si="1"/>
        <v>0.89870418415496578</v>
      </c>
      <c r="O78" s="802"/>
      <c r="P78" s="807"/>
      <c r="Q78" s="803"/>
      <c r="R78" s="796"/>
      <c r="S78" s="796"/>
      <c r="T78" s="803"/>
    </row>
    <row r="79" spans="1:20" ht="15" customHeight="1">
      <c r="A79" s="796">
        <v>2046</v>
      </c>
      <c r="B79" s="796"/>
      <c r="C79" s="792">
        <f t="shared" si="2"/>
        <v>100.24064588468177</v>
      </c>
      <c r="D79" s="792">
        <v>167.33644849652899</v>
      </c>
      <c r="E79" s="792">
        <v>32.595459200000001</v>
      </c>
      <c r="F79" s="793">
        <v>49.851933117199302</v>
      </c>
      <c r="G79" s="792">
        <v>48.339968322707897</v>
      </c>
      <c r="H79" s="792">
        <v>2.0487444447745702</v>
      </c>
      <c r="I79" s="793">
        <f t="shared" si="0"/>
        <v>83.220188426513474</v>
      </c>
      <c r="J79" s="792">
        <f t="shared" si="0"/>
        <v>80.696194125309162</v>
      </c>
      <c r="K79" s="795">
        <f t="shared" si="0"/>
        <v>3.4200659447063591</v>
      </c>
      <c r="L79" s="792">
        <f t="shared" si="1"/>
        <v>16.210456722636842</v>
      </c>
      <c r="M79" s="792">
        <f t="shared" si="1"/>
        <v>15.71880798737852</v>
      </c>
      <c r="N79" s="795">
        <f t="shared" si="1"/>
        <v>0.66619448998463693</v>
      </c>
      <c r="O79" s="802"/>
      <c r="P79" s="807"/>
      <c r="Q79" s="803"/>
      <c r="R79" s="796"/>
      <c r="S79" s="796"/>
      <c r="T79" s="803"/>
    </row>
    <row r="80" spans="1:20" ht="15" customHeight="1">
      <c r="A80" s="796">
        <v>2047</v>
      </c>
      <c r="B80" s="796"/>
      <c r="C80" s="792">
        <f t="shared" si="2"/>
        <v>96.438412448617342</v>
      </c>
      <c r="D80" s="792">
        <v>165.14950317883699</v>
      </c>
      <c r="E80" s="792">
        <v>28.719845899999999</v>
      </c>
      <c r="F80" s="793">
        <v>48.074596180958899</v>
      </c>
      <c r="G80" s="792">
        <v>46.446472786406297</v>
      </c>
      <c r="H80" s="792">
        <v>1.9173434812521499</v>
      </c>
      <c r="I80" s="793">
        <f t="shared" si="0"/>
        <v>82.327108806760606</v>
      </c>
      <c r="J80" s="792">
        <f t="shared" si="0"/>
        <v>79.538969071803166</v>
      </c>
      <c r="K80" s="795">
        <f t="shared" si="0"/>
        <v>3.283425300273223</v>
      </c>
      <c r="L80" s="792">
        <f t="shared" si="1"/>
        <v>14.316857349321323</v>
      </c>
      <c r="M80" s="792">
        <f t="shared" si="1"/>
        <v>13.831993986160411</v>
      </c>
      <c r="N80" s="795">
        <f t="shared" si="1"/>
        <v>0.57099456451826713</v>
      </c>
      <c r="O80" s="802"/>
      <c r="P80" s="807"/>
      <c r="Q80" s="803"/>
      <c r="R80" s="796"/>
      <c r="S80" s="796"/>
      <c r="T80" s="803"/>
    </row>
    <row r="81" spans="1:20" ht="15" customHeight="1">
      <c r="A81" s="796">
        <v>2048</v>
      </c>
      <c r="B81" s="796"/>
      <c r="C81" s="792">
        <f t="shared" si="2"/>
        <v>92.968473816209411</v>
      </c>
      <c r="D81" s="792">
        <v>163.82205670472999</v>
      </c>
      <c r="E81" s="792">
        <v>25.194774299999999</v>
      </c>
      <c r="F81" s="793">
        <v>46.7917568132398</v>
      </c>
      <c r="G81" s="792">
        <v>44.699381400699799</v>
      </c>
      <c r="H81" s="792">
        <v>1.4773356022698201</v>
      </c>
      <c r="I81" s="793">
        <f t="shared" si="0"/>
        <v>82.452916814861098</v>
      </c>
      <c r="J81" s="792">
        <f t="shared" si="0"/>
        <v>78.765890133554578</v>
      </c>
      <c r="K81" s="795">
        <f t="shared" si="0"/>
        <v>2.603249756314336</v>
      </c>
      <c r="L81" s="792">
        <f t="shared" si="1"/>
        <v>12.680726095823214</v>
      </c>
      <c r="M81" s="792">
        <f t="shared" si="1"/>
        <v>12.113685204369716</v>
      </c>
      <c r="N81" s="795">
        <f t="shared" si="1"/>
        <v>0.40036299980707046</v>
      </c>
      <c r="O81" s="802"/>
      <c r="P81" s="807"/>
      <c r="Q81" s="803"/>
      <c r="R81" s="796"/>
      <c r="S81" s="796"/>
      <c r="T81" s="803"/>
    </row>
    <row r="82" spans="1:20" ht="15" customHeight="1">
      <c r="A82" s="796">
        <v>2049</v>
      </c>
      <c r="B82" s="796"/>
      <c r="C82" s="792">
        <f t="shared" si="2"/>
        <v>89.467297762524652</v>
      </c>
      <c r="D82" s="792">
        <v>161.331535967424</v>
      </c>
      <c r="E82" s="792">
        <v>20.5366368</v>
      </c>
      <c r="F82" s="793">
        <v>45.026558890705999</v>
      </c>
      <c r="G82" s="792">
        <v>43.293508537680601</v>
      </c>
      <c r="H82" s="792">
        <v>1.1472303341380401</v>
      </c>
      <c r="I82" s="793">
        <f t="shared" si="0"/>
        <v>81.19395675106712</v>
      </c>
      <c r="J82" s="792">
        <f t="shared" si="0"/>
        <v>78.068840844419171</v>
      </c>
      <c r="K82" s="795">
        <f t="shared" si="0"/>
        <v>2.0687383719377044</v>
      </c>
      <c r="L82" s="792">
        <f t="shared" si="1"/>
        <v>10.335553989198146</v>
      </c>
      <c r="M82" s="792">
        <f t="shared" si="1"/>
        <v>9.9377435428531076</v>
      </c>
      <c r="N82" s="795">
        <f t="shared" si="1"/>
        <v>0.26333926794874429</v>
      </c>
      <c r="O82" s="802"/>
      <c r="P82" s="807"/>
      <c r="Q82" s="803"/>
      <c r="R82" s="796"/>
      <c r="S82" s="796"/>
      <c r="T82" s="803"/>
    </row>
    <row r="83" spans="1:20" ht="15" customHeight="1">
      <c r="A83" s="796">
        <v>2050</v>
      </c>
      <c r="B83" s="796"/>
      <c r="C83" s="792">
        <f t="shared" si="2"/>
        <v>85.971856646497599</v>
      </c>
      <c r="D83" s="792">
        <v>157.784624175728</v>
      </c>
      <c r="E83" s="792">
        <v>16.533381800000001</v>
      </c>
      <c r="F83" s="793">
        <v>43.367769223710603</v>
      </c>
      <c r="G83" s="792">
        <v>41.648785780853402</v>
      </c>
      <c r="H83" s="792">
        <v>0.95530164193360201</v>
      </c>
      <c r="I83" s="793">
        <f t="shared" si="0"/>
        <v>79.593106805163401</v>
      </c>
      <c r="J83" s="792">
        <f t="shared" si="0"/>
        <v>76.438246981549582</v>
      </c>
      <c r="K83" s="795">
        <f t="shared" si="0"/>
        <v>1.7532703890150305</v>
      </c>
      <c r="L83" s="792">
        <f t="shared" si="1"/>
        <v>8.3401233189385522</v>
      </c>
      <c r="M83" s="792">
        <f t="shared" si="1"/>
        <v>8.0095429327838428</v>
      </c>
      <c r="N83" s="795">
        <f t="shared" si="1"/>
        <v>0.18371554827760694</v>
      </c>
      <c r="O83" s="802"/>
      <c r="P83" s="807"/>
      <c r="Q83" s="803"/>
      <c r="R83" s="796"/>
      <c r="S83" s="796"/>
      <c r="T83" s="803"/>
    </row>
    <row r="84" spans="1:20" ht="15" customHeight="1">
      <c r="I84" s="792"/>
    </row>
  </sheetData>
  <mergeCells count="5">
    <mergeCell ref="F1:H1"/>
    <mergeCell ref="I1:K1"/>
    <mergeCell ref="L1:N1"/>
    <mergeCell ref="O1:Q1"/>
    <mergeCell ref="R1:T1"/>
  </mergeCells>
  <pageMargins left="0.7" right="0.7" top="0.75" bottom="0.75" header="0.3" footer="0.3"/>
  <pageSetup paperSize="9" orientation="portrait" r:id="rId1"/>
  <ignoredErrors>
    <ignoredError sqref="C59:C8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9</vt:i4>
      </vt:variant>
      <vt:variant>
        <vt:lpstr>Navngitte områder</vt:lpstr>
      </vt:variant>
      <vt:variant>
        <vt:i4>4</vt:i4>
      </vt:variant>
    </vt:vector>
  </HeadingPairs>
  <TitlesOfParts>
    <vt:vector size="13" baseType="lpstr">
      <vt:lpstr>SNKS</vt:lpstr>
      <vt:lpstr>Petoro</vt:lpstr>
      <vt:lpstr>Formue</vt:lpstr>
      <vt:lpstr>Charts</vt:lpstr>
      <vt:lpstr>KVARTS</vt:lpstr>
      <vt:lpstr>Skiftberegning</vt:lpstr>
      <vt:lpstr>Investments</vt:lpstr>
      <vt:lpstr>NGL-pris</vt:lpstr>
      <vt:lpstr>Ark1</vt:lpstr>
      <vt:lpstr>KVARTS!Utskriftsområde</vt:lpstr>
      <vt:lpstr>Petoro!Utskriftsområde</vt:lpstr>
      <vt:lpstr>Skiftberegning!Utskriftsområde</vt:lpstr>
      <vt:lpstr>SNKS!Utskriftsområde</vt:lpstr>
    </vt:vector>
  </TitlesOfParts>
  <Company>Det Kongelige Finans og Tolldepartement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Prices</dc:title>
  <dc:creator>test5</dc:creator>
  <cp:lastModifiedBy>Adrian Ruud Wiker</cp:lastModifiedBy>
  <cp:lastPrinted>2026-08-31T13:37:30Z</cp:lastPrinted>
  <dcterms:created xsi:type="dcterms:W3CDTF">1998-09-30T12:31:37Z</dcterms:created>
  <dcterms:modified xsi:type="dcterms:W3CDTF">2026-09-01T06:41:37Z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